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5.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drawings/drawing11.xml" ContentType="application/vnd.openxmlformats-officedocument.drawing+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O:\Valuation\RNA Advisors\Medikine\409A VD 01.31.2019\6 - Analysis\"/>
    </mc:Choice>
  </mc:AlternateContent>
  <xr:revisionPtr revIDLastSave="0" documentId="10_ncr:100000_{6670A9AD-D01C-4137-8AE2-94B7BE4D92A1}" xr6:coauthVersionLast="31" xr6:coauthVersionMax="31" xr10:uidLastSave="{00000000-0000-0000-0000-000000000000}"/>
  <bookViews>
    <workbookView xWindow="0" yWindow="0" windowWidth="20490" windowHeight="7245" firstSheet="5" activeTab="7" xr2:uid="{00000000-000D-0000-FFFF-FFFF00000000}"/>
  </bookViews>
  <sheets>
    <sheet name="Model Guidelines" sheetId="123" r:id="rId1"/>
    <sheet name="MASTER PubCo Inputs" sheetId="79" r:id="rId2"/>
    <sheet name="Change Log" sheetId="228" r:id="rId3"/>
    <sheet name="Notes &amp; Assumptions" sheetId="142" r:id="rId4"/>
    <sheet name="Checklist" sheetId="248" r:id="rId5"/>
    <sheet name="Exhibits--&gt;&gt;" sheetId="86" r:id="rId6"/>
    <sheet name="_CIQHiddenCacheSheet" sheetId="296" state="veryHidden" r:id="rId7"/>
    <sheet name="Title" sheetId="1" r:id="rId8"/>
    <sheet name="Outline" sheetId="133" r:id="rId9"/>
    <sheet name="Val Summ" sheetId="4" r:id="rId10"/>
    <sheet name="Allocation Method &gt;&gt;" sheetId="90" r:id="rId11"/>
    <sheet name="CVM" sheetId="289" r:id="rId12"/>
    <sheet name="FS &gt;&gt;" sheetId="94" r:id="rId13"/>
    <sheet name="Forecast" sheetId="266" r:id="rId14"/>
    <sheet name="Hist IS" sheetId="10" r:id="rId15"/>
    <sheet name="Hist BS" sheetId="8" r:id="rId16"/>
    <sheet name="GCM FP &gt;&gt;" sheetId="21" r:id="rId17"/>
    <sheet name="Comp.1" sheetId="47" r:id="rId18"/>
    <sheet name="Comp.6" sheetId="15" r:id="rId19"/>
    <sheet name="Cap Structure FP &gt;&gt;" sheetId="24" r:id="rId20"/>
    <sheet name="Cap Table" sheetId="63" r:id="rId21"/>
    <sheet name="Econ Rights" sheetId="64" r:id="rId22"/>
    <sheet name="Support FP &gt;&gt;" sheetId="25" r:id="rId23"/>
    <sheet name="Metrick Gross Value" sheetId="290" r:id="rId24"/>
    <sheet name="DLOM - CVM" sheetId="287" r:id="rId25"/>
    <sheet name="Asset Vol- CVM" sheetId="288" r:id="rId26"/>
    <sheet name="Equity Vol" sheetId="13" r:id="rId27"/>
    <sheet name="Risk-Free Rates" sheetId="14" r:id="rId28"/>
    <sheet name="Title_Workpapers &gt; &gt;" sheetId="152" r:id="rId29"/>
    <sheet name="Outline_Workpapers" sheetId="232" r:id="rId30"/>
    <sheet name="Val Summ_OPM" sheetId="292" r:id="rId31"/>
    <sheet name="OPM 1" sheetId="52" r:id="rId32"/>
    <sheet name="OPM 2" sheetId="66" r:id="rId33"/>
    <sheet name="DLOM" sheetId="11" r:id="rId34"/>
    <sheet name="Asset Vol_OPM" sheetId="12" r:id="rId35"/>
    <sheet name="Asset Vol_OPM DLOM" sheetId="295" r:id="rId36"/>
    <sheet name="Risk-Free Rates - OPM" sheetId="291" r:id="rId37"/>
    <sheet name="Market Trends since Prior Val" sheetId="185" r:id="rId38"/>
    <sheet name="Comparative Sheet" sheetId="156" r:id="rId39"/>
    <sheet name="PBC -&gt;&gt;&gt;" sheetId="231" r:id="rId40"/>
    <sheet name="$4M Oper Plan MM 112018" sheetId="285" r:id="rId41"/>
    <sheet name="IS_2018" sheetId="282" r:id="rId42"/>
    <sheet name="BS_2018" sheetId="283" r:id="rId43"/>
    <sheet name="CF_2018" sheetId="284" r:id="rId44"/>
    <sheet name="IS_2017" sheetId="280" r:id="rId45"/>
    <sheet name="BS_2017" sheetId="279" r:id="rId46"/>
    <sheet name="CF_2017" sheetId="281" r:id="rId47"/>
    <sheet name="IS_2016" sheetId="277" r:id="rId48"/>
    <sheet name="BS_2016" sheetId="276" r:id="rId49"/>
    <sheet name="CF_2016" sheetId="278" r:id="rId50"/>
    <sheet name="IS_2015" sheetId="268" r:id="rId51"/>
    <sheet name="BS_2015" sheetId="267" r:id="rId52"/>
    <sheet name="CF_2015" sheetId="269" r:id="rId53"/>
    <sheet name="Draft Series Seed 2 Cap Table" sheetId="264" r:id="rId54"/>
    <sheet name="Stock Option Schedule 122018" sheetId="265" r:id="rId55"/>
    <sheet name="CAPIQ -&gt;&gt;&gt;" sheetId="230" r:id="rId56"/>
    <sheet name="Capital IQ Sheet-GPC" sheetId="200" r:id="rId57"/>
    <sheet name="Capital IQ Sheet-STM" sheetId="204" r:id="rId58"/>
    <sheet name="GPC Linked" sheetId="213" r:id="rId59"/>
    <sheet name="STM Linked" sheetId="214" r:id="rId60"/>
    <sheet name="&lt;DO NOT INCLUDE&gt;" sheetId="26" r:id="rId61"/>
    <sheet name="Beta Calc" sheetId="41" r:id="rId62"/>
    <sheet name="IPO Data_BioPharma_OPM" sheetId="233" r:id="rId63"/>
    <sheet name="Control Premium Summary" sheetId="189" r:id="rId64"/>
    <sheet name="IPO Data_BioPharma " sheetId="294" r:id="rId65"/>
    <sheet name="List Data" sheetId="106" r:id="rId66"/>
    <sheet name="Template Details" sheetId="88" r:id="rId67"/>
    <sheet name="WACC CAPM" sheetId="39" r:id="rId68"/>
    <sheet name="Discount Rate FP &gt;&gt;" sheetId="27" r:id="rId69"/>
    <sheet name="Comp.2" sheetId="172" r:id="rId70"/>
    <sheet name="RoR Stage of Dev" sheetId="38" r:id="rId71"/>
    <sheet name="Licensing Deals" sheetId="217" r:id="rId72"/>
    <sheet name="IPO Data_Med Device" sheetId="234" r:id="rId73"/>
    <sheet name="IPO Data_Diagnostic" sheetId="235" r:id="rId74"/>
    <sheet name="DLOM Rest Stock" sheetId="5" r:id="rId75"/>
    <sheet name="Comp.4" sheetId="173" r:id="rId76"/>
    <sheet name="Lack Voting" sheetId="2" r:id="rId77"/>
    <sheet name="Comp.5" sheetId="53" r:id="rId78"/>
    <sheet name="GTM FP &gt;&gt;" sheetId="22" r:id="rId79"/>
    <sheet name="Trans.1" sheetId="57" r:id="rId80"/>
    <sheet name="Trans.2" sheetId="59" r:id="rId81"/>
  </sheets>
  <externalReferences>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s>
  <definedNames>
    <definedName name="_" localSheetId="35" hidden="1">#REF!</definedName>
    <definedName name="_" localSheetId="4" hidden="1">#REF!</definedName>
    <definedName name="_" localSheetId="13" hidden="1">#REF!</definedName>
    <definedName name="_" localSheetId="64" hidden="1">#REF!</definedName>
    <definedName name="_" localSheetId="62" hidden="1">#REF!</definedName>
    <definedName name="_" localSheetId="73" hidden="1">#REF!</definedName>
    <definedName name="_" localSheetId="72" hidden="1">#REF!</definedName>
    <definedName name="_" localSheetId="29" hidden="1">#REF!</definedName>
    <definedName name="_" localSheetId="36" hidden="1">#REF!</definedName>
    <definedName name="_" localSheetId="30" hidden="1">#REF!</definedName>
    <definedName name="_" hidden="1">#REF!</definedName>
    <definedName name="__123Graph_A" hidden="1">'[1]Sheet1 (2)'!$H$20:$O$20</definedName>
    <definedName name="__123Graph_B" hidden="1">'[1]Sheet1 (2)'!$H$15:$O$15</definedName>
    <definedName name="__123Graph_X" hidden="1">'[1]Sheet1 (2)'!$H$3:$P$3</definedName>
    <definedName name="__FDS_HYPERLINK_TOGGLE_STATE__" hidden="1">"ON"</definedName>
    <definedName name="__IntlFixup" hidden="1">TRUE</definedName>
    <definedName name="__IntlFixupTable" localSheetId="35" hidden="1">#REF!</definedName>
    <definedName name="__IntlFixupTable" localSheetId="4" hidden="1">#REF!</definedName>
    <definedName name="__IntlFixupTable" localSheetId="13" hidden="1">#REF!</definedName>
    <definedName name="__IntlFixupTable" localSheetId="64" hidden="1">#REF!</definedName>
    <definedName name="__IntlFixupTable" localSheetId="62" hidden="1">#REF!</definedName>
    <definedName name="__IntlFixupTable" localSheetId="73" hidden="1">#REF!</definedName>
    <definedName name="__IntlFixupTable" localSheetId="72" hidden="1">#REF!</definedName>
    <definedName name="__IntlFixupTable" localSheetId="29" hidden="1">#REF!</definedName>
    <definedName name="__IntlFixupTable" localSheetId="36" hidden="1">#REF!</definedName>
    <definedName name="__IntlFixupTable" localSheetId="30" hidden="1">#REF!</definedName>
    <definedName name="__IntlFixupTable" hidden="1">#REF!</definedName>
    <definedName name="_1__123Graph_ACHART_1" hidden="1">[2]Africa!$B$19:$V$19</definedName>
    <definedName name="_10__123Graph_ACHART_18" hidden="1">[2]Ocean!$B$28:$V$28</definedName>
    <definedName name="_11__123Graph_ACHART_19" hidden="1">'[2]S Amer'!$B$19:$V$19</definedName>
    <definedName name="_12__123Graph_ACHART_2" hidden="1">[2]Africa!$B$14:$V$14</definedName>
    <definedName name="_13__123Graph_ACHART_20" hidden="1">'[2]S Amer'!$B$14:$V$14</definedName>
    <definedName name="_14__123Graph_ACHART_21" hidden="1">'[2]S Amer'!$B$28:$V$28</definedName>
    <definedName name="_15__123Graph_ACHART_22" hidden="1">'[2]W Eur'!$B$19:$V$19</definedName>
    <definedName name="_16__123Graph_ACHART_23" hidden="1">'[2]W Eur'!$B$14:$V$14</definedName>
    <definedName name="_17__123Graph_ACHART_24" hidden="1">'[2]W Eur'!$B$28:$V$28</definedName>
    <definedName name="_18__123Graph_ACHART_3" hidden="1">[2]Africa!$B$28:$V$28</definedName>
    <definedName name="_19__123Graph_ACHART_4" hidden="1">'[2]C Amer'!$B$19:$V$19</definedName>
    <definedName name="_1998">'[3]Options by Employee'!$A$9:$J$63</definedName>
    <definedName name="_1999">'[3]Options by Employee'!$A$64:$H$148</definedName>
    <definedName name="_2__123Graph_ACHART_10" hidden="1">'[2]E Eur'!$B$14:$V$14</definedName>
    <definedName name="_20__123Graph_ACHART_5" hidden="1">'[2]C Amer'!$B$14:$V$14</definedName>
    <definedName name="_21__123Graph_ACHART_6" hidden="1">'[2]C Amer'!$B$28:$V$28</definedName>
    <definedName name="_22__123Graph_A_Chart_1A" hidden="1">'[4]Stock Price'!$B$4:$B$265</definedName>
    <definedName name="_22__123Graph_ACHART_7" hidden="1">'[2]E Asia'!$B$19:$V$19</definedName>
    <definedName name="_23__123Graph_AChart_1" hidden="1">[5]Total!$D$322:$D$325</definedName>
    <definedName name="_23__123Graph_ACHART_8" hidden="1">'[2]E Asia'!$B$14:$V$14</definedName>
    <definedName name="_24__123Graph_AChart_2" hidden="1">'[6]sales vol.'!$K$398:$K$401</definedName>
    <definedName name="_24__123Graph_ACHART_9" hidden="1">'[2]E Eur'!$B$19:$V$19</definedName>
    <definedName name="_25__123Graph_AChart_3" hidden="1">'[6]sales vol.'!$K$211:$K$214</definedName>
    <definedName name="_25__123Graph_BCHART_1" hidden="1">[2]Africa!$B$21:$V$21</definedName>
    <definedName name="_26__123Graph_AChart_4" hidden="1">'[6]sales vol.'!$J$1121:$J$1122</definedName>
    <definedName name="_26__123Graph_BCHART_10" hidden="1">'[2]E Eur'!$B$51:$V$51</definedName>
    <definedName name="_27__123Graph_AChart_5" hidden="1">'[6]sales vol.'!$J$1632:$J$1635</definedName>
    <definedName name="_27__123Graph_BCHART_13" hidden="1">[2]Mideast!$B$21:$V$21</definedName>
    <definedName name="_28__123Graph_AChart_6" hidden="1">'[6]sales vol.'!$J$2248:$J$2251</definedName>
    <definedName name="_28__123Graph_BCHART_14" hidden="1">[2]Mideast!$B$51:$V$51</definedName>
    <definedName name="_29__123Graph_B_Chart_1A" hidden="1">'[4]Stock Price'!$C$4:$C$265</definedName>
    <definedName name="_29__123Graph_BCHART_16" hidden="1">[2]Ocean!$B$21:$V$21</definedName>
    <definedName name="_3__123Graph_ACHART_11" hidden="1">'[2]E Eur'!$B$28:$V$28</definedName>
    <definedName name="_30__123Graph_BCHART_17" hidden="1">[2]Ocean!$B$51:$V$51</definedName>
    <definedName name="_30__123Graph_C_Chart_1A" hidden="1">'[4]Stock Price'!$D$4:$D$265</definedName>
    <definedName name="_31__123Graph_BCHART_19" hidden="1">'[2]S Amer'!$B$21:$V$21</definedName>
    <definedName name="_31__123Graph_D_Chart_1A" hidden="1">'[4]Stock Price'!$E$4:$E$265</definedName>
    <definedName name="_32__123Graph_BCHART_2" hidden="1">[2]Africa!$B$51:$V$51</definedName>
    <definedName name="_32__123Graph_E_Chart_1A" hidden="1">'[4]Stock Price'!$F$4:$F$265</definedName>
    <definedName name="_33__123Graph_BCHART_20" hidden="1">'[2]S Amer'!$B$51:$V$51</definedName>
    <definedName name="_33__123Graph_F_Chart_1A" hidden="1">'[4]Stock Price'!$G$4:$G$265</definedName>
    <definedName name="_34__123Graph_BCHART_22" hidden="1">'[2]W Eur'!$B$21:$V$21</definedName>
    <definedName name="_34__123Graph_X_Chart_1A" hidden="1">'[4]Stock Price'!$A$4:$A$265</definedName>
    <definedName name="_35__123Graph_BCHART_23" hidden="1">'[2]W Eur'!$B$51:$V$51</definedName>
    <definedName name="_35__123Graph_XChart_1" hidden="1">[5]Total!$C$322:$C$325</definedName>
    <definedName name="_36__123Graph_BCHART_4" hidden="1">'[2]C Amer'!$B$21:$V$21</definedName>
    <definedName name="_36__123Graph_XChart_2" hidden="1">'[6]sales vol.'!$J$398:$J$401</definedName>
    <definedName name="_37__123Graph_BCHART_5" hidden="1">'[2]C Amer'!$B$51:$V$51</definedName>
    <definedName name="_37__123Graph_XChart_3" hidden="1">'[6]sales vol.'!$J$211:$J$214</definedName>
    <definedName name="_38__123Graph_BCHART_7" hidden="1">'[2]E Asia'!$B$21:$V$21</definedName>
    <definedName name="_38__123Graph_XChart_4" hidden="1">'[6]sales vol.'!$I$1121:$I$1122</definedName>
    <definedName name="_39__123Graph_BCHART_8" hidden="1">'[2]E Asia'!$B$51:$V$51</definedName>
    <definedName name="_39__123Graph_XChart_5" hidden="1">'[6]sales vol.'!$I$1632:$I$1635</definedName>
    <definedName name="_4__123Graph_ACHART_12" hidden="1">'[2]E Asia'!$B$28:$V$28</definedName>
    <definedName name="_40__123Graph_BCHART_9" hidden="1">'[2]E Eur'!$B$21:$V$21</definedName>
    <definedName name="_40__123Graph_XChart_6" hidden="1">'[6]sales vol.'!$I$2248:$I$2251</definedName>
    <definedName name="_41__123Graph_CCHART_10" hidden="1">'[2]E Eur'!$B$13:$V$13</definedName>
    <definedName name="_42__123Graph_CCHART_14" hidden="1">[2]Mideast!$B$13:$V$13</definedName>
    <definedName name="_43__123Graph_CCHART_17" hidden="1">[2]Ocean!$B$13:$V$13</definedName>
    <definedName name="_44__123Graph_CCHART_2" hidden="1">[2]Africa!$B$13:$V$13</definedName>
    <definedName name="_45__123Graph_CCHART_20" hidden="1">'[2]S Amer'!$B$13:$V$13</definedName>
    <definedName name="_46__123Graph_CCHART_23" hidden="1">'[2]W Eur'!$B$13:$V$13</definedName>
    <definedName name="_47__123Graph_CCHART_5" hidden="1">'[2]C Amer'!$B$13:$V$13</definedName>
    <definedName name="_48__123Graph_CCHART_8" hidden="1">'[2]E Asia'!$B$13:$V$13</definedName>
    <definedName name="_49__123Graph_XCHART_10" hidden="1">'[2]E Eur'!$B$8:$V$8</definedName>
    <definedName name="_5__123Graph_ACHART_13" hidden="1">[2]Mideast!$B$19:$V$19</definedName>
    <definedName name="_50__123Graph_XCHART_11" hidden="1">'[2]E Eur'!$B$8:$V$8</definedName>
    <definedName name="_51__123Graph_XCHART_14" hidden="1">[2]Mideast!$B$8:$V$8</definedName>
    <definedName name="_52__123Graph_XCHART_15" hidden="1">[2]Mideast!$B$8:$V$8</definedName>
    <definedName name="_53__123Graph_XCHART_17" hidden="1">[2]Ocean!$B$8:$V$8</definedName>
    <definedName name="_54__123Graph_XCHART_18" hidden="1">[2]Ocean!$B$8:$V$8</definedName>
    <definedName name="_55__123Graph_XCHART_2" hidden="1">[2]Africa!$B$8:$V$8</definedName>
    <definedName name="_56__123Graph_XCHART_20" hidden="1">'[2]S Amer'!$B$8:$V$8</definedName>
    <definedName name="_57__123Graph_XCHART_21" hidden="1">'[2]S Amer'!$B$8:$V$8</definedName>
    <definedName name="_58__123Graph_XCHART_23" hidden="1">'[2]W Eur'!$B$8:$V$8</definedName>
    <definedName name="_59__123Graph_XCHART_24" hidden="1">'[2]W Eur'!$B$8:$V$8</definedName>
    <definedName name="_6__123Graph_ACHART_14" hidden="1">[2]Mideast!$B$14:$V$14</definedName>
    <definedName name="_60__123Graph_XCHART_3" hidden="1">[2]Africa!$B$8:$V$8</definedName>
    <definedName name="_61__123Graph_XCHART_5" hidden="1">'[2]C Amer'!$B$8:$V$8</definedName>
    <definedName name="_62__123Graph_XCHART_6" hidden="1">'[2]C Amer'!$B$8:$V$8</definedName>
    <definedName name="_63__123Graph_XCHART_8" hidden="1">'[2]E Asia'!$B$8:$V$8</definedName>
    <definedName name="_64_0_0Cwvu.GREY_A" localSheetId="35" hidden="1">[7]TargIS!#REF!</definedName>
    <definedName name="_64_0_0Cwvu.GREY_A" localSheetId="4" hidden="1">[7]TargIS!#REF!</definedName>
    <definedName name="_64_0_0Cwvu.GREY_A" localSheetId="13" hidden="1">[7]TargIS!#REF!</definedName>
    <definedName name="_64_0_0Cwvu.GREY_A" localSheetId="64" hidden="1">[7]TargIS!#REF!</definedName>
    <definedName name="_64_0_0Cwvu.GREY_A" localSheetId="62" hidden="1">[7]TargIS!#REF!</definedName>
    <definedName name="_64_0_0Cwvu.GREY_A" localSheetId="73" hidden="1">[7]TargIS!#REF!</definedName>
    <definedName name="_64_0_0Cwvu.GREY_A" localSheetId="72" hidden="1">[7]TargIS!#REF!</definedName>
    <definedName name="_64_0_0Cwvu.GREY_A" localSheetId="29" hidden="1">[7]TargIS!#REF!</definedName>
    <definedName name="_64_0_0Cwvu.GREY_A" localSheetId="36" hidden="1">[7]TargIS!#REF!</definedName>
    <definedName name="_64_0_0Cwvu.GREY_A" localSheetId="30" hidden="1">[7]TargIS!#REF!</definedName>
    <definedName name="_64_0_0Cwvu.GREY_A" hidden="1">[7]TargIS!#REF!</definedName>
    <definedName name="_7__123Graph_ACHART_15" hidden="1">[2]Mideast!$B$28:$V$28</definedName>
    <definedName name="_8__123Graph_ACHART_16" hidden="1">[2]Ocean!$B$19:$V$19</definedName>
    <definedName name="_9__123Graph_ACHART_17" hidden="1">[2]Ocean!$B$14:$V$14</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0</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46a18ed9dffd4cd6880b56437874ece9.edm" localSheetId="35" hidden="1">#REF!</definedName>
    <definedName name="_bdm.46a18ed9dffd4cd6880b56437874ece9.edm" localSheetId="4" hidden="1">#REF!</definedName>
    <definedName name="_bdm.46a18ed9dffd4cd6880b56437874ece9.edm" localSheetId="13" hidden="1">#REF!</definedName>
    <definedName name="_bdm.46a18ed9dffd4cd6880b56437874ece9.edm" localSheetId="64" hidden="1">#REF!</definedName>
    <definedName name="_bdm.46a18ed9dffd4cd6880b56437874ece9.edm" localSheetId="36" hidden="1">#REF!</definedName>
    <definedName name="_bdm.46a18ed9dffd4cd6880b56437874ece9.edm" localSheetId="30" hidden="1">#REF!</definedName>
    <definedName name="_bdm.46a18ed9dffd4cd6880b56437874ece9.edm" hidden="1">#REF!</definedName>
    <definedName name="_bdm.d437fcb6dd254b7a8c2aff490de850e3.edm" localSheetId="35" hidden="1">#REF!</definedName>
    <definedName name="_bdm.d437fcb6dd254b7a8c2aff490de850e3.edm" localSheetId="4" hidden="1">#REF!</definedName>
    <definedName name="_bdm.d437fcb6dd254b7a8c2aff490de850e3.edm" localSheetId="13" hidden="1">#REF!</definedName>
    <definedName name="_bdm.d437fcb6dd254b7a8c2aff490de850e3.edm" localSheetId="64" hidden="1">#REF!</definedName>
    <definedName name="_bdm.d437fcb6dd254b7a8c2aff490de850e3.edm" localSheetId="36" hidden="1">#REF!</definedName>
    <definedName name="_bdm.d437fcb6dd254b7a8c2aff490de850e3.edm" localSheetId="30" hidden="1">#REF!</definedName>
    <definedName name="_bdm.d437fcb6dd254b7a8c2aff490de850e3.edm" hidden="1">#REF!</definedName>
    <definedName name="_bdm.d97762a431bc47a188ab7c2f84c57d3e.edm" localSheetId="35" hidden="1">#REF!</definedName>
    <definedName name="_bdm.d97762a431bc47a188ab7c2f84c57d3e.edm" localSheetId="4" hidden="1">#REF!</definedName>
    <definedName name="_bdm.d97762a431bc47a188ab7c2f84c57d3e.edm" localSheetId="13" hidden="1">#REF!</definedName>
    <definedName name="_bdm.d97762a431bc47a188ab7c2f84c57d3e.edm" localSheetId="64" hidden="1">#REF!</definedName>
    <definedName name="_bdm.d97762a431bc47a188ab7c2f84c57d3e.edm" localSheetId="62" hidden="1">#REF!</definedName>
    <definedName name="_bdm.d97762a431bc47a188ab7c2f84c57d3e.edm" localSheetId="73" hidden="1">#REF!</definedName>
    <definedName name="_bdm.d97762a431bc47a188ab7c2f84c57d3e.edm" localSheetId="72" hidden="1">#REF!</definedName>
    <definedName name="_bdm.d97762a431bc47a188ab7c2f84c57d3e.edm" localSheetId="29" hidden="1">#REF!</definedName>
    <definedName name="_bdm.d97762a431bc47a188ab7c2f84c57d3e.edm" localSheetId="36" hidden="1">#REF!</definedName>
    <definedName name="_bdm.d97762a431bc47a188ab7c2f84c57d3e.edm" localSheetId="30" hidden="1">#REF!</definedName>
    <definedName name="_bdm.d97762a431bc47a188ab7c2f84c57d3e.edm" hidden="1">#REF!</definedName>
    <definedName name="_bdm.D97763A431BC47A188AB7C2F84C57D3E.edm" localSheetId="35" hidden="1">#REF!</definedName>
    <definedName name="_bdm.D97763A431BC47A188AB7C2F84C57D3E.edm" localSheetId="4" hidden="1">#REF!</definedName>
    <definedName name="_bdm.D97763A431BC47A188AB7C2F84C57D3E.edm" localSheetId="13" hidden="1">#REF!</definedName>
    <definedName name="_bdm.D97763A431BC47A188AB7C2F84C57D3E.edm" localSheetId="64" hidden="1">#REF!</definedName>
    <definedName name="_bdm.D97763A431BC47A188AB7C2F84C57D3E.edm" localSheetId="62" hidden="1">#REF!</definedName>
    <definedName name="_bdm.D97763A431BC47A188AB7C2F84C57D3E.edm" localSheetId="73" hidden="1">#REF!</definedName>
    <definedName name="_bdm.D97763A431BC47A188AB7C2F84C57D3E.edm" localSheetId="72" hidden="1">#REF!</definedName>
    <definedName name="_bdm.D97763A431BC47A188AB7C2F84C57D3E.edm" localSheetId="29" hidden="1">#REF!</definedName>
    <definedName name="_bdm.D97763A431BC47A188AB7C2F84C57D3E.edm" localSheetId="36" hidden="1">#REF!</definedName>
    <definedName name="_bdm.D97763A431BC47A188AB7C2F84C57D3E.edm" localSheetId="30" hidden="1">#REF!</definedName>
    <definedName name="_bdm.D97763A431BC47A188AB7C2F84C57D3E.edm" hidden="1">#REF!</definedName>
    <definedName name="_bdm.FBC8F4734CD44B95848F689416B40C4F.edm" localSheetId="35" hidden="1">#REF!</definedName>
    <definedName name="_bdm.FBC8F4734CD44B95848F689416B40C4F.edm" localSheetId="4" hidden="1">#REF!</definedName>
    <definedName name="_bdm.FBC8F4734CD44B95848F689416B40C4F.edm" localSheetId="13" hidden="1">#REF!</definedName>
    <definedName name="_bdm.FBC8F4734CD44B95848F689416B40C4F.edm" localSheetId="64" hidden="1">#REF!</definedName>
    <definedName name="_bdm.FBC8F4734CD44B95848F689416B40C4F.edm" localSheetId="62" hidden="1">#REF!</definedName>
    <definedName name="_bdm.FBC8F4734CD44B95848F689416B40C4F.edm" localSheetId="73" hidden="1">#REF!</definedName>
    <definedName name="_bdm.FBC8F4734CD44B95848F689416B40C4F.edm" localSheetId="72" hidden="1">#REF!</definedName>
    <definedName name="_bdm.FBC8F4734CD44B95848F689416B40C4F.edm" localSheetId="29" hidden="1">#REF!</definedName>
    <definedName name="_bdm.FBC8F4734CD44B95848F689416B40C4F.edm" localSheetId="36" hidden="1">#REF!</definedName>
    <definedName name="_bdm.FBC8F4734CD44B95848F689416B40C4F.edm" localSheetId="59" hidden="1">#REF!</definedName>
    <definedName name="_bdm.FBC8F4734CD44B95848F689416B40C4F.edm" localSheetId="30" hidden="1">#REF!</definedName>
    <definedName name="_bdm.FBC8F4734CD44B95848F689416B40C4F.edm" hidden="1">#REF!</definedName>
    <definedName name="_Dist_Values" localSheetId="35" hidden="1">#REF!</definedName>
    <definedName name="_Dist_Values" localSheetId="4" hidden="1">#REF!</definedName>
    <definedName name="_Dist_Values" localSheetId="13" hidden="1">#REF!</definedName>
    <definedName name="_Dist_Values" localSheetId="64" hidden="1">#REF!</definedName>
    <definedName name="_Dist_Values" localSheetId="62" hidden="1">#REF!</definedName>
    <definedName name="_Dist_Values" localSheetId="73" hidden="1">#REF!</definedName>
    <definedName name="_Dist_Values" localSheetId="72" hidden="1">#REF!</definedName>
    <definedName name="_Dist_Values" localSheetId="29" hidden="1">#REF!</definedName>
    <definedName name="_Dist_Values" localSheetId="36" hidden="1">#REF!</definedName>
    <definedName name="_Dist_Values" localSheetId="59" hidden="1">#REF!</definedName>
    <definedName name="_Dist_Values" localSheetId="30" hidden="1">#REF!</definedName>
    <definedName name="_Dist_Values" hidden="1">#REF!</definedName>
    <definedName name="_Fill" localSheetId="35" hidden="1">#REF!</definedName>
    <definedName name="_Fill" localSheetId="4" hidden="1">#REF!</definedName>
    <definedName name="_Fill" localSheetId="13" hidden="1">#REF!</definedName>
    <definedName name="_Fill" localSheetId="64" hidden="1">#REF!</definedName>
    <definedName name="_Fill" localSheetId="62" hidden="1">#REF!</definedName>
    <definedName name="_Fill" localSheetId="73" hidden="1">#REF!</definedName>
    <definedName name="_Fill" localSheetId="72" hidden="1">#REF!</definedName>
    <definedName name="_Fill" localSheetId="29" hidden="1">#REF!</definedName>
    <definedName name="_Fill" localSheetId="36" hidden="1">#REF!</definedName>
    <definedName name="_Fill" localSheetId="59" hidden="1">#REF!</definedName>
    <definedName name="_Fill" localSheetId="30" hidden="1">#REF!</definedName>
    <definedName name="_Fill" hidden="1">#REF!</definedName>
    <definedName name="_xlnm._FilterDatabase" localSheetId="64" hidden="1">'IPO Data_BioPharma '!$B$10:$AI$128</definedName>
    <definedName name="_xlnm._FilterDatabase" localSheetId="62" hidden="1">'IPO Data_BioPharma_OPM'!$B$10:$AI$128</definedName>
    <definedName name="_xlnm._FilterDatabase" localSheetId="73" hidden="1">'IPO Data_Diagnostic'!$B$10:$AB$135</definedName>
    <definedName name="_xlnm._FilterDatabase" localSheetId="72" hidden="1">'IPO Data_Med Device'!#REF!</definedName>
    <definedName name="_xlnm._FilterDatabase" localSheetId="71" hidden="1">'Licensing Deals'!$B$6:$M$137</definedName>
    <definedName name="_I2" hidden="1">{"PVGraph2",#N/A,FALSE,"PV Data"}</definedName>
    <definedName name="_I3" hidden="1">{"PVGraph2",#N/A,FALSE,"PV Data"}</definedName>
    <definedName name="_Key1" localSheetId="35" hidden="1">#REF!</definedName>
    <definedName name="_Key1" localSheetId="4" hidden="1">#REF!</definedName>
    <definedName name="_Key1" localSheetId="13" hidden="1">#REF!</definedName>
    <definedName name="_Key1" localSheetId="64" hidden="1">#REF!</definedName>
    <definedName name="_Key1" localSheetId="62" hidden="1">#REF!</definedName>
    <definedName name="_Key1" localSheetId="73" hidden="1">#REF!</definedName>
    <definedName name="_Key1" localSheetId="72" hidden="1">#REF!</definedName>
    <definedName name="_Key1" localSheetId="29" hidden="1">#REF!</definedName>
    <definedName name="_Key1" localSheetId="36" hidden="1">#REF!</definedName>
    <definedName name="_Key1" localSheetId="59" hidden="1">#REF!</definedName>
    <definedName name="_Key1" localSheetId="30" hidden="1">#REF!</definedName>
    <definedName name="_Key1" hidden="1">#REF!</definedName>
    <definedName name="_Key2" localSheetId="35" hidden="1">#REF!</definedName>
    <definedName name="_Key2" localSheetId="4" hidden="1">#REF!</definedName>
    <definedName name="_Key2" localSheetId="13" hidden="1">#REF!</definedName>
    <definedName name="_Key2" localSheetId="64" hidden="1">#REF!</definedName>
    <definedName name="_Key2" localSheetId="62" hidden="1">#REF!</definedName>
    <definedName name="_Key2" localSheetId="73" hidden="1">#REF!</definedName>
    <definedName name="_Key2" localSheetId="72" hidden="1">#REF!</definedName>
    <definedName name="_Key2" localSheetId="29" hidden="1">#REF!</definedName>
    <definedName name="_Key2" localSheetId="36" hidden="1">#REF!</definedName>
    <definedName name="_Key2" localSheetId="59" hidden="1">#REF!</definedName>
    <definedName name="_Key2" localSheetId="30" hidden="1">#REF!</definedName>
    <definedName name="_Key2" hidden="1">#REF!</definedName>
    <definedName name="_m" localSheetId="35" hidden="1">#REF!</definedName>
    <definedName name="_m" localSheetId="4" hidden="1">#REF!</definedName>
    <definedName name="_m" localSheetId="13" hidden="1">#REF!</definedName>
    <definedName name="_m" localSheetId="64" hidden="1">#REF!</definedName>
    <definedName name="_m" localSheetId="62" hidden="1">#REF!</definedName>
    <definedName name="_m" localSheetId="73" hidden="1">#REF!</definedName>
    <definedName name="_m" localSheetId="72" hidden="1">#REF!</definedName>
    <definedName name="_m" localSheetId="29" hidden="1">#REF!</definedName>
    <definedName name="_m" localSheetId="36" hidden="1">#REF!</definedName>
    <definedName name="_m" localSheetId="30" hidden="1">#REF!</definedName>
    <definedName name="_m" hidden="1">#REF!</definedName>
    <definedName name="_Order1" hidden="1">0</definedName>
    <definedName name="_Order2" hidden="1">255</definedName>
    <definedName name="_s1" hidden="1">'[6]sales vol.'!$J$34:$J$37</definedName>
    <definedName name="_s2" hidden="1">'[6]sales vol.'!$J$398:$J$401</definedName>
    <definedName name="_s3" hidden="1">'[6]sales vol.'!$J$211:$J$214</definedName>
    <definedName name="_s4" hidden="1">'[6]sales vol.'!$I$1121:$I$1122</definedName>
    <definedName name="_s5" hidden="1">'[6]sales vol.'!$I$1632:$I$1635</definedName>
    <definedName name="_s6" hidden="1">'[6]sales vol.'!$I$2248:$I$2251</definedName>
    <definedName name="_Sort" localSheetId="35" hidden="1">#REF!</definedName>
    <definedName name="_Sort" localSheetId="4" hidden="1">#REF!</definedName>
    <definedName name="_Sort" localSheetId="13" hidden="1">#REF!</definedName>
    <definedName name="_Sort" localSheetId="64" hidden="1">#REF!</definedName>
    <definedName name="_Sort" localSheetId="62" hidden="1">#REF!</definedName>
    <definedName name="_Sort" localSheetId="73" hidden="1">#REF!</definedName>
    <definedName name="_Sort" localSheetId="72" hidden="1">#REF!</definedName>
    <definedName name="_Sort" localSheetId="29" hidden="1">#REF!</definedName>
    <definedName name="_Sort" localSheetId="36" hidden="1">#REF!</definedName>
    <definedName name="_Sort" localSheetId="59" hidden="1">#REF!</definedName>
    <definedName name="_Sort" localSheetId="30" hidden="1">#REF!</definedName>
    <definedName name="_Sort" hidden="1">#REF!</definedName>
    <definedName name="_Table1_In1" localSheetId="35" hidden="1">#REF!</definedName>
    <definedName name="_Table1_In1" localSheetId="4" hidden="1">#REF!</definedName>
    <definedName name="_Table1_In1" localSheetId="13" hidden="1">#REF!</definedName>
    <definedName name="_Table1_In1" localSheetId="64" hidden="1">#REF!</definedName>
    <definedName name="_Table1_In1" localSheetId="62" hidden="1">#REF!</definedName>
    <definedName name="_Table1_In1" localSheetId="73" hidden="1">#REF!</definedName>
    <definedName name="_Table1_In1" localSheetId="72" hidden="1">#REF!</definedName>
    <definedName name="_Table1_In1" localSheetId="29" hidden="1">#REF!</definedName>
    <definedName name="_Table1_In1" localSheetId="36" hidden="1">#REF!</definedName>
    <definedName name="_Table1_In1" localSheetId="59" hidden="1">#REF!</definedName>
    <definedName name="_Table1_In1" localSheetId="30" hidden="1">#REF!</definedName>
    <definedName name="_Table1_In1" hidden="1">#REF!</definedName>
    <definedName name="_Table1_Out" localSheetId="35" hidden="1">#REF!</definedName>
    <definedName name="_Table1_Out" localSheetId="4" hidden="1">#REF!</definedName>
    <definedName name="_Table1_Out" localSheetId="13" hidden="1">#REF!</definedName>
    <definedName name="_Table1_Out" localSheetId="64" hidden="1">#REF!</definedName>
    <definedName name="_Table1_Out" localSheetId="62" hidden="1">#REF!</definedName>
    <definedName name="_Table1_Out" localSheetId="73" hidden="1">#REF!</definedName>
    <definedName name="_Table1_Out" localSheetId="72" hidden="1">#REF!</definedName>
    <definedName name="_Table1_Out" localSheetId="29" hidden="1">#REF!</definedName>
    <definedName name="_Table1_Out" localSheetId="36" hidden="1">#REF!</definedName>
    <definedName name="_Table1_Out" localSheetId="59" hidden="1">#REF!</definedName>
    <definedName name="_Table1_Out" localSheetId="30" hidden="1">#REF!</definedName>
    <definedName name="_Table1_Out" hidden="1">#REF!</definedName>
    <definedName name="_Table2_In1" localSheetId="35" hidden="1">#REF!</definedName>
    <definedName name="_Table2_In1" localSheetId="4" hidden="1">#REF!</definedName>
    <definedName name="_Table2_In1" localSheetId="13" hidden="1">#REF!</definedName>
    <definedName name="_Table2_In1" localSheetId="64" hidden="1">#REF!</definedName>
    <definedName name="_Table2_In1" localSheetId="62" hidden="1">#REF!</definedName>
    <definedName name="_Table2_In1" localSheetId="73" hidden="1">#REF!</definedName>
    <definedName name="_Table2_In1" localSheetId="72" hidden="1">#REF!</definedName>
    <definedName name="_Table2_In1" localSheetId="29" hidden="1">#REF!</definedName>
    <definedName name="_Table2_In1" localSheetId="36" hidden="1">#REF!</definedName>
    <definedName name="_Table2_In1" localSheetId="59" hidden="1">#REF!</definedName>
    <definedName name="_Table2_In1" localSheetId="30" hidden="1">#REF!</definedName>
    <definedName name="_Table2_In1" hidden="1">#REF!</definedName>
    <definedName name="_Table2_In2" localSheetId="35" hidden="1">#REF!</definedName>
    <definedName name="_Table2_In2" localSheetId="4" hidden="1">#REF!</definedName>
    <definedName name="_Table2_In2" localSheetId="13" hidden="1">#REF!</definedName>
    <definedName name="_Table2_In2" localSheetId="64" hidden="1">#REF!</definedName>
    <definedName name="_Table2_In2" localSheetId="62" hidden="1">#REF!</definedName>
    <definedName name="_Table2_In2" localSheetId="73" hidden="1">#REF!</definedName>
    <definedName name="_Table2_In2" localSheetId="72" hidden="1">#REF!</definedName>
    <definedName name="_Table2_In2" localSheetId="29" hidden="1">#REF!</definedName>
    <definedName name="_Table2_In2" localSheetId="36" hidden="1">#REF!</definedName>
    <definedName name="_Table2_In2" localSheetId="30" hidden="1">#REF!</definedName>
    <definedName name="_Table2_In2" hidden="1">#REF!</definedName>
    <definedName name="_Table2_Out" localSheetId="35" hidden="1">#REF!</definedName>
    <definedName name="_Table2_Out" localSheetId="4" hidden="1">#REF!</definedName>
    <definedName name="_Table2_Out" localSheetId="13" hidden="1">#REF!</definedName>
    <definedName name="_Table2_Out" localSheetId="64" hidden="1">#REF!</definedName>
    <definedName name="_Table2_Out" localSheetId="62" hidden="1">#REF!</definedName>
    <definedName name="_Table2_Out" localSheetId="73" hidden="1">#REF!</definedName>
    <definedName name="_Table2_Out" localSheetId="72" hidden="1">#REF!</definedName>
    <definedName name="_Table2_Out" localSheetId="29" hidden="1">#REF!</definedName>
    <definedName name="_Table2_Out" localSheetId="36" hidden="1">#REF!</definedName>
    <definedName name="_Table2_Out" localSheetId="59" hidden="1">#REF!</definedName>
    <definedName name="_Table2_Out" localSheetId="30" hidden="1">#REF!</definedName>
    <definedName name="_Table2_Out" hidden="1">#REF!</definedName>
    <definedName name="_w1" hidden="1">{"PVGraph2",#N/A,FALSE,"PV Data"}</definedName>
    <definedName name="_w2" hidden="1">{"PVGraph2",#N/A,FALSE,"PV Data"}</definedName>
    <definedName name="_w3" hidden="1">{"PVGraph2",#N/A,FALSE,"PV Data"}</definedName>
    <definedName name="_y2" hidden="1">{"PVGraph2",#N/A,FALSE,"PV Data"}</definedName>
    <definedName name="abc" localSheetId="35" hidden="1">#REF!</definedName>
    <definedName name="abc" localSheetId="4" hidden="1">#REF!</definedName>
    <definedName name="abc" localSheetId="13" hidden="1">#REF!</definedName>
    <definedName name="abc" localSheetId="64" hidden="1">#REF!</definedName>
    <definedName name="abc" localSheetId="62" hidden="1">#REF!</definedName>
    <definedName name="abc" localSheetId="73" hidden="1">#REF!</definedName>
    <definedName name="abc" localSheetId="72" hidden="1">#REF!</definedName>
    <definedName name="abc" localSheetId="29" hidden="1">#REF!</definedName>
    <definedName name="abc" localSheetId="36" hidden="1">#REF!</definedName>
    <definedName name="abc" localSheetId="30" hidden="1">#REF!</definedName>
    <definedName name="abc" hidden="1">#REF!</definedName>
    <definedName name="ABS" localSheetId="35" hidden="1">#REF!</definedName>
    <definedName name="ABS" localSheetId="4" hidden="1">#REF!</definedName>
    <definedName name="ABS" localSheetId="13" hidden="1">#REF!</definedName>
    <definedName name="ABS" localSheetId="64" hidden="1">#REF!</definedName>
    <definedName name="ABS" localSheetId="62" hidden="1">#REF!</definedName>
    <definedName name="ABS" localSheetId="73" hidden="1">#REF!</definedName>
    <definedName name="ABS" localSheetId="72" hidden="1">#REF!</definedName>
    <definedName name="ABS" localSheetId="29" hidden="1">#REF!</definedName>
    <definedName name="ABS" localSheetId="36" hidden="1">#REF!</definedName>
    <definedName name="ABS" localSheetId="30" hidden="1">#REF!</definedName>
    <definedName name="ABS" hidden="1">#REF!</definedName>
    <definedName name="AccessDatabase" hidden="1">"I:\DEPT8900\OEL\FY01\Reports\Budget Comparison\Comparitive Budget TEST.mdb"</definedName>
    <definedName name="acct">'[8]Acct Recon'!$A$3</definedName>
    <definedName name="adsf" localSheetId="35" hidden="1">#REF!</definedName>
    <definedName name="adsf" localSheetId="4" hidden="1">#REF!</definedName>
    <definedName name="adsf" localSheetId="13" hidden="1">#REF!</definedName>
    <definedName name="adsf" localSheetId="64" hidden="1">#REF!</definedName>
    <definedName name="adsf" localSheetId="62" hidden="1">#REF!</definedName>
    <definedName name="adsf" localSheetId="73" hidden="1">#REF!</definedName>
    <definedName name="adsf" localSheetId="72" hidden="1">#REF!</definedName>
    <definedName name="adsf" localSheetId="29" hidden="1">#REF!</definedName>
    <definedName name="adsf" localSheetId="36" hidden="1">#REF!</definedName>
    <definedName name="adsf" localSheetId="30" hidden="1">#REF!</definedName>
    <definedName name="adsf" hidden="1">#REF!</definedName>
    <definedName name="anscount" hidden="1">6</definedName>
    <definedName name="as" hidden="1">{"ModelPage1",#N/A,TRUE,"Model";"ModelSum_Debt",#N/A,TRUE,"Model"}</definedName>
    <definedName name="AS2DocOpenMode" hidden="1">"AS2DocumentEdit"</definedName>
    <definedName name="AS2ReportLS" hidden="1">1</definedName>
    <definedName name="AS2SyncStepLS" hidden="1">0</definedName>
    <definedName name="AS2VersionLS" hidden="1">300</definedName>
    <definedName name="ASD">{"DCF","UPSIDE CASE",FALSE,"Sheet1";"DCF","BASE CASE",FALSE,"Sheet1";"DCF","DOWNSIDE CASE",FALSE,"Sheet1"}</definedName>
    <definedName name="asdfasdfdddd" hidden="1">{"DCF","UPSIDE CASE",FALSE,"Sheet1";"DCF","BASE CASE",FALSE,"Sheet1";"DCF","DOWNSIDE CASE",FALSE,"Sheet1"}</definedName>
    <definedName name="avegmultiple" localSheetId="35" hidden="1">#REF!</definedName>
    <definedName name="avegmultiple" localSheetId="4" hidden="1">#REF!</definedName>
    <definedName name="avegmultiple" localSheetId="13" hidden="1">#REF!</definedName>
    <definedName name="avegmultiple" localSheetId="64" hidden="1">#REF!</definedName>
    <definedName name="avegmultiple" localSheetId="62" hidden="1">#REF!</definedName>
    <definedName name="avegmultiple" localSheetId="73" hidden="1">#REF!</definedName>
    <definedName name="avegmultiple" localSheetId="72" hidden="1">#REF!</definedName>
    <definedName name="avegmultiple" localSheetId="29" hidden="1">#REF!</definedName>
    <definedName name="avegmultiple" localSheetId="36" hidden="1">#REF!</definedName>
    <definedName name="avegmultiple" localSheetId="30" hidden="1">#REF!</definedName>
    <definedName name="avegmultiple" hidden="1">#REF!</definedName>
    <definedName name="BegDate">'[8]Acct Recon'!$E$2</definedName>
    <definedName name="bei" hidden="1">{#N/A,#N/A,FALSE,"softdraw";#N/A,#N/A,FALSE,"linereclass";"northpint loan",#N/A,FALSE,"LOAN"}</definedName>
    <definedName name="Benefits">350</definedName>
    <definedName name="BG_Ins" hidden="1">4</definedName>
    <definedName name="BG_Mod" hidden="1">6</definedName>
    <definedName name="BLPH1" localSheetId="35" hidden="1">#REF!</definedName>
    <definedName name="BLPH1" localSheetId="4" hidden="1">#REF!</definedName>
    <definedName name="BLPH1" localSheetId="13" hidden="1">#REF!</definedName>
    <definedName name="BLPH1" localSheetId="64" hidden="1">#REF!</definedName>
    <definedName name="BLPH1" localSheetId="62" hidden="1">#REF!</definedName>
    <definedName name="BLPH1" localSheetId="73" hidden="1">#REF!</definedName>
    <definedName name="BLPH1" localSheetId="72" hidden="1">#REF!</definedName>
    <definedName name="BLPH1" localSheetId="29" hidden="1">#REF!</definedName>
    <definedName name="BLPH1" localSheetId="36" hidden="1">#REF!</definedName>
    <definedName name="BLPH1" localSheetId="30" hidden="1">#REF!</definedName>
    <definedName name="BLPH1" hidden="1">#REF!</definedName>
    <definedName name="BLPH10" localSheetId="35" hidden="1">#REF!</definedName>
    <definedName name="BLPH10" localSheetId="4" hidden="1">#REF!</definedName>
    <definedName name="BLPH10" localSheetId="13" hidden="1">#REF!</definedName>
    <definedName name="BLPH10" localSheetId="64" hidden="1">#REF!</definedName>
    <definedName name="BLPH10" localSheetId="62" hidden="1">#REF!</definedName>
    <definedName name="BLPH10" localSheetId="73" hidden="1">#REF!</definedName>
    <definedName name="BLPH10" localSheetId="72" hidden="1">#REF!</definedName>
    <definedName name="BLPH10" localSheetId="29" hidden="1">#REF!</definedName>
    <definedName name="BLPH10" localSheetId="36" hidden="1">#REF!</definedName>
    <definedName name="BLPH10" localSheetId="30" hidden="1">#REF!</definedName>
    <definedName name="BLPH10" hidden="1">#REF!</definedName>
    <definedName name="BLPH11" localSheetId="35" hidden="1">#REF!</definedName>
    <definedName name="BLPH11" localSheetId="4" hidden="1">#REF!</definedName>
    <definedName name="BLPH11" localSheetId="13" hidden="1">#REF!</definedName>
    <definedName name="BLPH11" localSheetId="64" hidden="1">#REF!</definedName>
    <definedName name="BLPH11" localSheetId="62" hidden="1">#REF!</definedName>
    <definedName name="BLPH11" localSheetId="73" hidden="1">#REF!</definedName>
    <definedName name="BLPH11" localSheetId="72" hidden="1">#REF!</definedName>
    <definedName name="BLPH11" localSheetId="29" hidden="1">#REF!</definedName>
    <definedName name="BLPH11" localSheetId="36" hidden="1">#REF!</definedName>
    <definedName name="BLPH11" localSheetId="30" hidden="1">#REF!</definedName>
    <definedName name="BLPH11" hidden="1">#REF!</definedName>
    <definedName name="BLPH12" localSheetId="35" hidden="1">#REF!</definedName>
    <definedName name="BLPH12" localSheetId="4" hidden="1">#REF!</definedName>
    <definedName name="BLPH12" localSheetId="13" hidden="1">#REF!</definedName>
    <definedName name="BLPH12" localSheetId="64" hidden="1">#REF!</definedName>
    <definedName name="BLPH12" localSheetId="62" hidden="1">#REF!</definedName>
    <definedName name="BLPH12" localSheetId="73" hidden="1">#REF!</definedName>
    <definedName name="BLPH12" localSheetId="72" hidden="1">#REF!</definedName>
    <definedName name="BLPH12" localSheetId="29" hidden="1">#REF!</definedName>
    <definedName name="BLPH12" localSheetId="36" hidden="1">#REF!</definedName>
    <definedName name="BLPH12" localSheetId="30" hidden="1">#REF!</definedName>
    <definedName name="BLPH12" hidden="1">#REF!</definedName>
    <definedName name="BLPH13" localSheetId="35" hidden="1">#REF!</definedName>
    <definedName name="BLPH13" localSheetId="4" hidden="1">#REF!</definedName>
    <definedName name="BLPH13" localSheetId="13" hidden="1">#REF!</definedName>
    <definedName name="BLPH13" localSheetId="64" hidden="1">#REF!</definedName>
    <definedName name="BLPH13" localSheetId="62" hidden="1">#REF!</definedName>
    <definedName name="BLPH13" localSheetId="73" hidden="1">#REF!</definedName>
    <definedName name="BLPH13" localSheetId="72" hidden="1">#REF!</definedName>
    <definedName name="BLPH13" localSheetId="29" hidden="1">#REF!</definedName>
    <definedName name="BLPH13" localSheetId="36" hidden="1">#REF!</definedName>
    <definedName name="BLPH13" localSheetId="30" hidden="1">#REF!</definedName>
    <definedName name="BLPH13" hidden="1">#REF!</definedName>
    <definedName name="BLPH14" localSheetId="35" hidden="1">#REF!</definedName>
    <definedName name="BLPH14" localSheetId="4" hidden="1">#REF!</definedName>
    <definedName name="BLPH14" localSheetId="13" hidden="1">#REF!</definedName>
    <definedName name="BLPH14" localSheetId="64" hidden="1">#REF!</definedName>
    <definedName name="BLPH14" localSheetId="62" hidden="1">#REF!</definedName>
    <definedName name="BLPH14" localSheetId="73" hidden="1">#REF!</definedName>
    <definedName name="BLPH14" localSheetId="72" hidden="1">#REF!</definedName>
    <definedName name="BLPH14" localSheetId="29" hidden="1">#REF!</definedName>
    <definedName name="BLPH14" localSheetId="36" hidden="1">#REF!</definedName>
    <definedName name="BLPH14" localSheetId="30" hidden="1">#REF!</definedName>
    <definedName name="BLPH14" hidden="1">#REF!</definedName>
    <definedName name="BLPH15" localSheetId="35" hidden="1">#REF!</definedName>
    <definedName name="BLPH15" localSheetId="4" hidden="1">#REF!</definedName>
    <definedName name="BLPH15" localSheetId="13" hidden="1">#REF!</definedName>
    <definedName name="BLPH15" localSheetId="64" hidden="1">#REF!</definedName>
    <definedName name="BLPH15" localSheetId="62" hidden="1">#REF!</definedName>
    <definedName name="BLPH15" localSheetId="73" hidden="1">#REF!</definedName>
    <definedName name="BLPH15" localSheetId="72" hidden="1">#REF!</definedName>
    <definedName name="BLPH15" localSheetId="29" hidden="1">#REF!</definedName>
    <definedName name="BLPH15" localSheetId="36" hidden="1">#REF!</definedName>
    <definedName name="BLPH15" localSheetId="30" hidden="1">#REF!</definedName>
    <definedName name="BLPH15" hidden="1">#REF!</definedName>
    <definedName name="BLPH16" localSheetId="35" hidden="1">#REF!</definedName>
    <definedName name="BLPH16" localSheetId="4" hidden="1">#REF!</definedName>
    <definedName name="BLPH16" localSheetId="13" hidden="1">#REF!</definedName>
    <definedName name="BLPH16" localSheetId="64" hidden="1">#REF!</definedName>
    <definedName name="BLPH16" localSheetId="62" hidden="1">#REF!</definedName>
    <definedName name="BLPH16" localSheetId="73" hidden="1">#REF!</definedName>
    <definedName name="BLPH16" localSheetId="72" hidden="1">#REF!</definedName>
    <definedName name="BLPH16" localSheetId="29" hidden="1">#REF!</definedName>
    <definedName name="BLPH16" localSheetId="36" hidden="1">#REF!</definedName>
    <definedName name="BLPH16" localSheetId="30" hidden="1">#REF!</definedName>
    <definedName name="BLPH16" hidden="1">#REF!</definedName>
    <definedName name="BLPH2" localSheetId="35" hidden="1">#REF!</definedName>
    <definedName name="BLPH2" localSheetId="4" hidden="1">#REF!</definedName>
    <definedName name="BLPH2" localSheetId="13" hidden="1">#REF!</definedName>
    <definedName name="BLPH2" localSheetId="64" hidden="1">#REF!</definedName>
    <definedName name="BLPH2" localSheetId="62" hidden="1">#REF!</definedName>
    <definedName name="BLPH2" localSheetId="73" hidden="1">#REF!</definedName>
    <definedName name="BLPH2" localSheetId="72" hidden="1">#REF!</definedName>
    <definedName name="BLPH2" localSheetId="29" hidden="1">#REF!</definedName>
    <definedName name="BLPH2" localSheetId="36" hidden="1">#REF!</definedName>
    <definedName name="BLPH2" localSheetId="30" hidden="1">#REF!</definedName>
    <definedName name="BLPH2" hidden="1">#REF!</definedName>
    <definedName name="BLPH3" localSheetId="35" hidden="1">#REF!</definedName>
    <definedName name="BLPH3" localSheetId="4" hidden="1">#REF!</definedName>
    <definedName name="BLPH3" localSheetId="13" hidden="1">#REF!</definedName>
    <definedName name="BLPH3" localSheetId="64" hidden="1">#REF!</definedName>
    <definedName name="BLPH3" localSheetId="62" hidden="1">#REF!</definedName>
    <definedName name="BLPH3" localSheetId="73" hidden="1">#REF!</definedName>
    <definedName name="BLPH3" localSheetId="72" hidden="1">#REF!</definedName>
    <definedName name="BLPH3" localSheetId="29" hidden="1">#REF!</definedName>
    <definedName name="BLPH3" localSheetId="36" hidden="1">#REF!</definedName>
    <definedName name="BLPH3" localSheetId="30" hidden="1">#REF!</definedName>
    <definedName name="BLPH3" hidden="1">#REF!</definedName>
    <definedName name="BLPH4" localSheetId="35" hidden="1">#REF!</definedName>
    <definedName name="BLPH4" localSheetId="4" hidden="1">#REF!</definedName>
    <definedName name="BLPH4" localSheetId="13" hidden="1">#REF!</definedName>
    <definedName name="BLPH4" localSheetId="64" hidden="1">#REF!</definedName>
    <definedName name="BLPH4" localSheetId="62" hidden="1">#REF!</definedName>
    <definedName name="BLPH4" localSheetId="73" hidden="1">#REF!</definedName>
    <definedName name="BLPH4" localSheetId="72" hidden="1">#REF!</definedName>
    <definedName name="BLPH4" localSheetId="29" hidden="1">#REF!</definedName>
    <definedName name="BLPH4" localSheetId="36" hidden="1">#REF!</definedName>
    <definedName name="BLPH4" localSheetId="30" hidden="1">#REF!</definedName>
    <definedName name="BLPH4" hidden="1">#REF!</definedName>
    <definedName name="BLPH5" localSheetId="35" hidden="1">#REF!</definedName>
    <definedName name="BLPH5" localSheetId="4" hidden="1">#REF!</definedName>
    <definedName name="BLPH5" localSheetId="13" hidden="1">#REF!</definedName>
    <definedName name="BLPH5" localSheetId="64" hidden="1">#REF!</definedName>
    <definedName name="BLPH5" localSheetId="62" hidden="1">#REF!</definedName>
    <definedName name="BLPH5" localSheetId="73" hidden="1">#REF!</definedName>
    <definedName name="BLPH5" localSheetId="72" hidden="1">#REF!</definedName>
    <definedName name="BLPH5" localSheetId="29" hidden="1">#REF!</definedName>
    <definedName name="BLPH5" localSheetId="36" hidden="1">#REF!</definedName>
    <definedName name="BLPH5" localSheetId="30" hidden="1">#REF!</definedName>
    <definedName name="BLPH5" hidden="1">#REF!</definedName>
    <definedName name="BLPH6" localSheetId="35" hidden="1">#REF!</definedName>
    <definedName name="BLPH6" localSheetId="4" hidden="1">#REF!</definedName>
    <definedName name="BLPH6" localSheetId="13" hidden="1">#REF!</definedName>
    <definedName name="BLPH6" localSheetId="64" hidden="1">#REF!</definedName>
    <definedName name="BLPH6" localSheetId="62" hidden="1">#REF!</definedName>
    <definedName name="BLPH6" localSheetId="73" hidden="1">#REF!</definedName>
    <definedName name="BLPH6" localSheetId="72" hidden="1">#REF!</definedName>
    <definedName name="BLPH6" localSheetId="29" hidden="1">#REF!</definedName>
    <definedName name="BLPH6" localSheetId="36" hidden="1">#REF!</definedName>
    <definedName name="BLPH6" localSheetId="30" hidden="1">#REF!</definedName>
    <definedName name="BLPH6" hidden="1">#REF!</definedName>
    <definedName name="BLPH7" localSheetId="35" hidden="1">#REF!</definedName>
    <definedName name="BLPH7" localSheetId="4" hidden="1">#REF!</definedName>
    <definedName name="BLPH7" localSheetId="13" hidden="1">#REF!</definedName>
    <definedName name="BLPH7" localSheetId="64" hidden="1">#REF!</definedName>
    <definedName name="BLPH7" localSheetId="62" hidden="1">#REF!</definedName>
    <definedName name="BLPH7" localSheetId="73" hidden="1">#REF!</definedName>
    <definedName name="BLPH7" localSheetId="72" hidden="1">#REF!</definedName>
    <definedName name="BLPH7" localSheetId="29" hidden="1">#REF!</definedName>
    <definedName name="BLPH7" localSheetId="36" hidden="1">#REF!</definedName>
    <definedName name="BLPH7" localSheetId="30" hidden="1">#REF!</definedName>
    <definedName name="BLPH7" hidden="1">#REF!</definedName>
    <definedName name="BLPH8" localSheetId="35" hidden="1">#REF!</definedName>
    <definedName name="BLPH8" localSheetId="4" hidden="1">#REF!</definedName>
    <definedName name="BLPH8" localSheetId="13" hidden="1">#REF!</definedName>
    <definedName name="BLPH8" localSheetId="64" hidden="1">#REF!</definedName>
    <definedName name="BLPH8" localSheetId="62" hidden="1">#REF!</definedName>
    <definedName name="BLPH8" localSheetId="73" hidden="1">#REF!</definedName>
    <definedName name="BLPH8" localSheetId="72" hidden="1">#REF!</definedName>
    <definedName name="BLPH8" localSheetId="29" hidden="1">#REF!</definedName>
    <definedName name="BLPH8" localSheetId="36" hidden="1">#REF!</definedName>
    <definedName name="BLPH8" localSheetId="30" hidden="1">#REF!</definedName>
    <definedName name="BLPH8" hidden="1">#REF!</definedName>
    <definedName name="BLPH9" localSheetId="35" hidden="1">#REF!</definedName>
    <definedName name="BLPH9" localSheetId="4" hidden="1">#REF!</definedName>
    <definedName name="BLPH9" localSheetId="13" hidden="1">#REF!</definedName>
    <definedName name="BLPH9" localSheetId="64" hidden="1">#REF!</definedName>
    <definedName name="BLPH9" localSheetId="62" hidden="1">#REF!</definedName>
    <definedName name="BLPH9" localSheetId="73" hidden="1">#REF!</definedName>
    <definedName name="BLPH9" localSheetId="72" hidden="1">#REF!</definedName>
    <definedName name="BLPH9" localSheetId="29" hidden="1">#REF!</definedName>
    <definedName name="BLPH9" localSheetId="36" hidden="1">#REF!</definedName>
    <definedName name="BLPH9" localSheetId="30" hidden="1">#REF!</definedName>
    <definedName name="BLPH9" hidden="1">#REF!</definedName>
    <definedName name="BNE_MESSAGES_HIDDEN" localSheetId="35" hidden="1">#REF!</definedName>
    <definedName name="BNE_MESSAGES_HIDDEN" localSheetId="4" hidden="1">#REF!</definedName>
    <definedName name="BNE_MESSAGES_HIDDEN" localSheetId="13" hidden="1">#REF!</definedName>
    <definedName name="BNE_MESSAGES_HIDDEN" localSheetId="64" hidden="1">#REF!</definedName>
    <definedName name="BNE_MESSAGES_HIDDEN" localSheetId="62" hidden="1">#REF!</definedName>
    <definedName name="BNE_MESSAGES_HIDDEN" localSheetId="73" hidden="1">#REF!</definedName>
    <definedName name="BNE_MESSAGES_HIDDEN" localSheetId="72" hidden="1">#REF!</definedName>
    <definedName name="BNE_MESSAGES_HIDDEN" localSheetId="29" hidden="1">#REF!</definedName>
    <definedName name="BNE_MESSAGES_HIDDEN" localSheetId="36" hidden="1">#REF!</definedName>
    <definedName name="BNE_MESSAGES_HIDDEN" localSheetId="30" hidden="1">#REF!</definedName>
    <definedName name="BNE_MESSAGES_HIDDEN" hidden="1">#REF!</definedName>
    <definedName name="Bridge_mo" hidden="1">{#N/A,#N/A,FALSE,"Model";#N/A,#N/A,FALSE,"Gen Pts &amp; Rts 2000";#N/A,#N/A,FALSE,"AcqsAss";#N/A,#N/A,FALSE,"Acqs &amp; De Novos"}</definedName>
    <definedName name="bridge_month" hidden="1">{#N/A,#N/A,FALSE,"Model";#N/A,#N/A,FALSE,"Gen Pts &amp; Rts 2000";#N/A,#N/A,FALSE,"AcqsAss";#N/A,#N/A,FALSE,"Acqs &amp; De Novos"}</definedName>
    <definedName name="bridge_qtr" hidden="1">{#N/A,#N/A,FALSE,"Model";#N/A,#N/A,FALSE,"Gen Pts &amp; Rts 2000";#N/A,#N/A,FALSE,"AcqsAss";#N/A,#N/A,FALSE,"Acqs &amp; De Novos"}</definedName>
    <definedName name="bridger_qtr" hidden="1">{#N/A,#N/A,FALSE,"Model";#N/A,#N/A,FALSE,"Gen Pts &amp; Rts 2000";#N/A,#N/A,FALSE,"AcqsAss";#N/A,#N/A,FALSE,"Acqs &amp; De Novos"}</definedName>
    <definedName name="BTPI">'[9]MR Component Summary'!$D$20</definedName>
    <definedName name="build" hidden="1">{#N/A,#N/A,FALSE,"softdraw";#N/A,#N/A,FALSE,"linereclass";"northpint loan",#N/A,FALSE,"LOAN"}</definedName>
    <definedName name="Calcint" localSheetId="35">[10]!Calcint</definedName>
    <definedName name="Calcint" localSheetId="64">[10]!Calcint</definedName>
    <definedName name="Calcint" localSheetId="36">[10]!Calcint</definedName>
    <definedName name="Calcint" localSheetId="30">[10]!Calcint</definedName>
    <definedName name="Calcint">[10]!Calcint</definedName>
    <definedName name="CBWorkbookPriority" hidden="1">-1959504492</definedName>
    <definedName name="CIQWBGuid" localSheetId="58" hidden="1">"fbe512cc-6749-4c8e-993d-8a4c49fb67e0"</definedName>
    <definedName name="CIQWBGuid" localSheetId="59" hidden="1">"fbe512cc-6749-4c8e-993d-8a4c49fb67e0"</definedName>
    <definedName name="CIQWBGuid" hidden="1">"4c317e69-d429-41e3-b46a-b4c398e620fd"</definedName>
    <definedName name="COBRA" hidden="1">{#N/A,#N/A,FALSE,"softdraw";#N/A,#N/A,FALSE,"linereclass";"northpint loan",#N/A,FALSE,"LOAN"}</definedName>
    <definedName name="COBRA1" hidden="1">{#N/A,#N/A,FALSE,"softdraw";#N/A,#N/A,FALSE,"linereclass";"northpint loan",#N/A,FALSE,"LOAN"}</definedName>
    <definedName name="Company_Name" hidden="1">[11]Settings!$C$56</definedName>
    <definedName name="compnam" localSheetId="35" hidden="1">[12]KeyMultInputs!#REF!</definedName>
    <definedName name="compnam" localSheetId="4" hidden="1">[12]KeyMultInputs!#REF!</definedName>
    <definedName name="compnam" localSheetId="13" hidden="1">[12]KeyMultInputs!#REF!</definedName>
    <definedName name="compnam" localSheetId="64" hidden="1">[12]KeyMultInputs!#REF!</definedName>
    <definedName name="compnam" localSheetId="62" hidden="1">[12]KeyMultInputs!#REF!</definedName>
    <definedName name="compnam" localSheetId="73" hidden="1">[12]KeyMultInputs!#REF!</definedName>
    <definedName name="compnam" localSheetId="72" hidden="1">[12]KeyMultInputs!#REF!</definedName>
    <definedName name="compnam" localSheetId="29" hidden="1">[12]KeyMultInputs!#REF!</definedName>
    <definedName name="compnam" localSheetId="36" hidden="1">[12]KeyMultInputs!#REF!</definedName>
    <definedName name="compnam" localSheetId="30" hidden="1">[12]KeyMultInputs!#REF!</definedName>
    <definedName name="compnam" hidden="1">[12]KeyMultInputs!#REF!</definedName>
    <definedName name="copy" hidden="1">{#N/A,#N/A,FALSE,"Title Page";#N/A,#N/A,FALSE,"Conclusions";#N/A,#N/A,FALSE,"Assum.";#N/A,#N/A,FALSE,"Sun  DCF-WC-Dep";#N/A,#N/A,FALSE,"MarketValue";#N/A,#N/A,FALSE,"BalSheet";#N/A,#N/A,FALSE,"WACC";#N/A,#N/A,FALSE,"PC+ Info.";#N/A,#N/A,FALSE,"PC+Info_2"}</definedName>
    <definedName name="Data.Dump" localSheetId="35" hidden="1">OFFSET([0]!Data.Top.Left,1,0)</definedName>
    <definedName name="Data.Dump" localSheetId="4" hidden="1">OFFSET([0]!Data.Top.Left,1,0)</definedName>
    <definedName name="Data.Dump" localSheetId="13" hidden="1">OFFSET([0]!Data.Top.Left,1,0)</definedName>
    <definedName name="Data.Dump" localSheetId="64" hidden="1">OFFSET([0]!Data.Top.Left,1,0)</definedName>
    <definedName name="Data.Dump" localSheetId="62" hidden="1">OFFSET([0]!Data.Top.Left,1,0)</definedName>
    <definedName name="Data.Dump" localSheetId="73" hidden="1">OFFSET([0]!Data.Top.Left,1,0)</definedName>
    <definedName name="Data.Dump" localSheetId="72" hidden="1">OFFSET([0]!Data.Top.Left,1,0)</definedName>
    <definedName name="Data.Dump" localSheetId="29" hidden="1">OFFSET([0]!Data.Top.Left,1,0)</definedName>
    <definedName name="Data.Dump" localSheetId="36" hidden="1">OFFSET([0]!Data.Top.Left,1,0)</definedName>
    <definedName name="Data.Dump" localSheetId="30" hidden="1">OFFSET([0]!Data.Top.Left,1,0)</definedName>
    <definedName name="Data.Dump" hidden="1">OFFSET([0]!Data.Top.Left,1,0)</definedName>
    <definedName name="Dates">[13]Lookup!$K$2:$K$55</definedName>
    <definedName name="days">'[8]Acct Recon'!$E$4</definedName>
    <definedName name="dd" hidden="1">{#N/A,#N/A,FALSE,"Bakersfield PCs";#N/A,#N/A,FALSE,"Bremer PCs";#N/A,#N/A,FALSE,"Bakersfield Notebooks"}</definedName>
    <definedName name="dddddddddddddddd" localSheetId="35" hidden="1">Main.SAPF4Help()</definedName>
    <definedName name="dddddddddddddddd" localSheetId="4" hidden="1">Main.SAPF4Help()</definedName>
    <definedName name="dddddddddddddddd" localSheetId="13" hidden="1">Main.SAPF4Help()</definedName>
    <definedName name="dddddddddddddddd" localSheetId="64" hidden="1">Main.SAPF4Help()</definedName>
    <definedName name="dddddddddddddddd" localSheetId="62" hidden="1">Main.SAPF4Help()</definedName>
    <definedName name="dddddddddddddddd" localSheetId="73" hidden="1">Main.SAPF4Help()</definedName>
    <definedName name="dddddddddddddddd" localSheetId="72" hidden="1">Main.SAPF4Help()</definedName>
    <definedName name="dddddddddddddddd" localSheetId="29" hidden="1">Main.SAPF4Help()</definedName>
    <definedName name="dddddddddddddddd" localSheetId="36" hidden="1">Main.SAPF4Help()</definedName>
    <definedName name="dddddddddddddddd" localSheetId="30" hidden="1">Main.SAPF4Help()</definedName>
    <definedName name="dddddddddddddddd" hidden="1">Main.SAPF4Help()</definedName>
    <definedName name="del" hidden="1">{#N/A,#N/A,FALSE,"Cov";#N/A,#N/A,FALSE,"sum";#N/A,#N/A,FALSE,"baladj";#N/A,#N/A,FALSE,"bs";#N/A,#N/A,FALSE,"is";#N/A,#N/A,FALSE,"pis";#N/A,#N/A,FALSE,"pis";#N/A,#N/A,FALSE,"cf";#N/A,#N/A,FALSE,"balhist";#N/A,#N/A,FALSE,"wc";#N/A,#N/A,FALSE,"ltd";#N/A,#N/A,FALSE,"cover";#N/A,#N/A,FALSE,"fa";#N/A,#N/A,FALSE,"tax";#N/A,#N/A,FALSE,"irr";#N/A,#N/A,FALSE,"in";#N/A,#N/A,FALSE,"DCF Cov";#N/A,#N/A,FALSE,"dcf"}</definedName>
    <definedName name="dele" hidden="1">{#N/A,#N/A,FALSE,"Cov";#N/A,#N/A,FALSE,"sum";#N/A,#N/A,FALSE,"baladj";#N/A,#N/A,FALSE,"bs";#N/A,#N/A,FALSE,"is";#N/A,#N/A,FALSE,"pis";#N/A,#N/A,FALSE,"cf";#N/A,#N/A,FALSE,"balhist";#N/A,#N/A,FALSE,"wc";#N/A,#N/A,FALSE,"ltd";#N/A,#N/A,FALSE,"cover";#N/A,#N/A,FALSE,"fa";#N/A,#N/A,FALSE,"tax";#N/A,#N/A,FALSE,"irr";#N/A,#N/A,FALSE,"in"}</definedName>
    <definedName name="delete" hidden="1">{#N/A,#N/A,FALSE,"DCF Cov";#N/A,#N/A,FALSE,"dcf"}</definedName>
    <definedName name="dse" hidden="1">{#N/A,#N/A,FALSE,"Model";#N/A,#N/A,FALSE,"Gen Pts &amp; Rts 2000";#N/A,#N/A,FALSE,"AcqsAss";#N/A,#N/A,FALSE,"Acqs &amp; De Novos"}</definedName>
    <definedName name="ef." hidden="1">{#N/A,"A",FALSE,"DCF"}</definedName>
    <definedName name="EndDate">'[8]Acct Recon'!$E$3</definedName>
    <definedName name="Error_Amount" hidden="1">"'Error_Checks'!B10"</definedName>
    <definedName name="Error_Check" hidden="1">"ABS(Error_Amount)&gt;Error_Threshold"</definedName>
    <definedName name="Error_Threshold" hidden="1">0.05</definedName>
    <definedName name="ev.Calculation" hidden="1">-4105</definedName>
    <definedName name="ev.Initialized" hidden="1">FALSE</definedName>
    <definedName name="ExactAddinReports" hidden="1">1</definedName>
    <definedName name="ExbMult_Total" localSheetId="35" hidden="1">#REF!</definedName>
    <definedName name="ExbMult_Total" localSheetId="4" hidden="1">#REF!</definedName>
    <definedName name="ExbMult_Total" localSheetId="13" hidden="1">#REF!</definedName>
    <definedName name="ExbMult_Total" localSheetId="64" hidden="1">#REF!</definedName>
    <definedName name="ExbMult_Total" localSheetId="62" hidden="1">#REF!</definedName>
    <definedName name="ExbMult_Total" localSheetId="73" hidden="1">#REF!</definedName>
    <definedName name="ExbMult_Total" localSheetId="72" hidden="1">#REF!</definedName>
    <definedName name="ExbMult_Total" localSheetId="29" hidden="1">#REF!</definedName>
    <definedName name="ExbMult_Total" localSheetId="36" hidden="1">#REF!</definedName>
    <definedName name="ExbMult_Total" localSheetId="30" hidden="1">#REF!</definedName>
    <definedName name="ExbMult_Total" hidden="1">#REF!</definedName>
    <definedName name="Facilities">1700</definedName>
    <definedName name="finres" localSheetId="35" hidden="1">#REF!</definedName>
    <definedName name="finres" localSheetId="4" hidden="1">#REF!</definedName>
    <definedName name="finres" localSheetId="13" hidden="1">#REF!</definedName>
    <definedName name="finres" localSheetId="64" hidden="1">#REF!</definedName>
    <definedName name="finres" localSheetId="62" hidden="1">#REF!</definedName>
    <definedName name="finres" localSheetId="73" hidden="1">#REF!</definedName>
    <definedName name="finres" localSheetId="72" hidden="1">#REF!</definedName>
    <definedName name="finres" localSheetId="29" hidden="1">#REF!</definedName>
    <definedName name="finres" localSheetId="36" hidden="1">#REF!</definedName>
    <definedName name="finres" localSheetId="30" hidden="1">#REF!</definedName>
    <definedName name="finres" hidden="1">#REF!</definedName>
    <definedName name="fw" hidden="1">{#N/A,#N/A,FALSE,"Model";#N/A,#N/A,FALSE,"Gen Pts &amp; Rts 2000";#N/A,#N/A,FALSE,"AcqsAss";#N/A,#N/A,FALSE,"Acqs &amp; De Novos"}</definedName>
    <definedName name="gin" localSheetId="35" hidden="1">#REF!</definedName>
    <definedName name="gin" localSheetId="4" hidden="1">#REF!</definedName>
    <definedName name="gin" localSheetId="13" hidden="1">#REF!</definedName>
    <definedName name="gin" localSheetId="64" hidden="1">#REF!</definedName>
    <definedName name="gin" localSheetId="62" hidden="1">#REF!</definedName>
    <definedName name="gin" localSheetId="73" hidden="1">#REF!</definedName>
    <definedName name="gin" localSheetId="72" hidden="1">#REF!</definedName>
    <definedName name="gin" localSheetId="29" hidden="1">#REF!</definedName>
    <definedName name="gin" localSheetId="36" hidden="1">#REF!</definedName>
    <definedName name="gin" localSheetId="30" hidden="1">#REF!</definedName>
    <definedName name="gin" hidden="1">#REF!</definedName>
    <definedName name="Header_Row" localSheetId="35">ROW(#REF!)</definedName>
    <definedName name="Header_Row" localSheetId="64">ROW(#REF!)</definedName>
    <definedName name="Header_Row" localSheetId="36">ROW(#REF!)</definedName>
    <definedName name="Header_Row" localSheetId="30">ROW(#REF!)</definedName>
    <definedName name="Header_Row">ROW(#REF!)</definedName>
    <definedName name="hh" hidden="1">{#N/A,#N/A,FALSE,"Bakersfield PCs";#N/A,#N/A,FALSE,"Bremer PCs";#N/A,#N/A,FALSE,"Bakersfield Notebooks"}</definedName>
    <definedName name="hhhh" hidden="1">{#N/A,#N/A,FALSE,"Bakersfield PCs";#N/A,#N/A,FALSE,"Bremer PCs";#N/A,#N/A,FALSE,"Bakersfield Notebooks"}</definedName>
    <definedName name="hhhhh" hidden="1">{#N/A,#N/A,FALSE,"Bakersfield PCs";#N/A,#N/A,FALSE,"Bremer PCs";#N/A,#N/A,FALSE,"Bakersfield Notebooks"}</definedName>
    <definedName name="hhhw" hidden="1">{#N/A,#N/A,FALSE,"Bakersfield PCs";#N/A,#N/A,FALSE,"Bremer PCs";#N/A,#N/A,FALSE,"Bakersfield Notebooks"}</definedName>
    <definedName name="hn.ExtDb" hidden="1">FALSE</definedName>
    <definedName name="hn.ModelType" hidden="1">"DEAL"</definedName>
    <definedName name="hn.ModelVersion" hidden="1">1</definedName>
    <definedName name="hn.NoUpload" hidden="1">0</definedName>
    <definedName name="HTML_CodePage" hidden="1">1252</definedName>
    <definedName name="HTML_Control" hidden="1">{"'Leverage'!$B$2:$M$418"}</definedName>
    <definedName name="HTML_Description" hidden="1">""</definedName>
    <definedName name="HTML_Email" hidden="1">""</definedName>
    <definedName name="HTML_Header" hidden="1">"Leverage"</definedName>
    <definedName name="HTML_LastUpdate" hidden="1">"8/21/00"</definedName>
    <definedName name="HTML_LineAfter" hidden="1">FALSE</definedName>
    <definedName name="HTML_LineBefore" hidden="1">FALSE</definedName>
    <definedName name="HTML_Name" hidden="1">"Frank Vickers"</definedName>
    <definedName name="HTML_OBDlg2" hidden="1">TRUE</definedName>
    <definedName name="HTML_OBDlg4" hidden="1">TRUE</definedName>
    <definedName name="HTML_OS" hidden="1">0</definedName>
    <definedName name="HTML_PathFile" hidden="1">"C:\my documents\lever.htm"</definedName>
    <definedName name="HTML_PathFileMac" hidden="1">"Macintosh HD:HomePageStuff:New_Home_Page:datafile:ctryprem.html"</definedName>
    <definedName name="HTML_Title" hidden="1">"leverage"</definedName>
    <definedName name="HTML1_1" hidden="1">"[BC死亡者数.xls]BCpts!$A$2:$I$51"</definedName>
    <definedName name="HTML1_10" hidden="1">""</definedName>
    <definedName name="HTML1_11" hidden="1">1</definedName>
    <definedName name="HTML1_12" hidden="1">"O:\CTAT\Z-mate\厚生省\BC-death.htm"</definedName>
    <definedName name="HTML1_2" hidden="1">1</definedName>
    <definedName name="HTML1_3" hidden="1">"BC死亡者数.xls"</definedName>
    <definedName name="HTML1_4" hidden="1">"BCpts"</definedName>
    <definedName name="HTML1_5" hidden="1">""</definedName>
    <definedName name="HTML1_6" hidden="1">-4146</definedName>
    <definedName name="HTML1_7" hidden="1">-4146</definedName>
    <definedName name="HTML1_8" hidden="1">"98/06/04"</definedName>
    <definedName name="HTML1_9" hidden="1">"j631091"</definedName>
    <definedName name="HTMLCount" hidden="1">1</definedName>
    <definedName name="iiii" hidden="1">{#N/A,#N/A,FALSE,"Bakersfield PCs";#N/A,#N/A,FALSE,"Bremer PCs";#N/A,#N/A,FALSE,"Bakersfield Notebooks"}</definedName>
    <definedName name="int_ext_sel">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"c7"</definedName>
    <definedName name="IQ_ACCUMULATED_PENSION_OBLIGATION" hidden="1">"c2108"</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FAX" hidden="1">"c2100"</definedName>
    <definedName name="IQ_BOARD_MEMBER_OFFICE" hidden="1">"c2098"</definedName>
    <definedName name="IQ_BOARD_MEMBER_PHONE" hidden="1">"c2099"</definedName>
    <definedName name="IQ_BOARD_MEMBER_TITLE" hidden="1">"c97"</definedName>
    <definedName name="IQ_BONDRATING_FITCH" hidden="1">"c223"</definedName>
    <definedName name="IQ_BONDRATING_FITCH_DATE" hidden="1">"c241"</definedName>
    <definedName name="IQ_BONDRATING_SP" hidden="1">"c224"</definedName>
    <definedName name="IQ_BONDRATING_SP_DATE" hidden="1">"c242"</definedName>
    <definedName name="IQ_BROK_COMISSION" hidden="1">"c98"</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INESS_DESCRIPTION" hidden="1">"c322"</definedName>
    <definedName name="IQ_BV_ACT_OR_EST_REUT" hidden="1">"c5471"</definedName>
    <definedName name="IQ_BV_ACT_OR_EST_THOM" hidden="1">"c5308"</definedName>
    <definedName name="IQ_BV_EST_REUT" hidden="1">"c5403"</definedName>
    <definedName name="IQ_BV_EST_THOM" hidden="1">"c5147"</definedName>
    <definedName name="IQ_BV_HIGH_EST_REUT" hidden="1">"c5405"</definedName>
    <definedName name="IQ_BV_HIGH_EST_THOM" hidden="1">"c5149"</definedName>
    <definedName name="IQ_BV_LOW_EST_REUT" hidden="1">"c5406"</definedName>
    <definedName name="IQ_BV_LOW_EST_THOM" hidden="1">"c5150"</definedName>
    <definedName name="IQ_BV_MEDIAN_EST_REUT" hidden="1">"c5404"</definedName>
    <definedName name="IQ_BV_MEDIAN_EST_THOM" hidden="1">"c5148"</definedName>
    <definedName name="IQ_BV_NUM_EST_REUT" hidden="1">"c5407"</definedName>
    <definedName name="IQ_BV_NUM_EST_THOM" hidden="1">"c5151"</definedName>
    <definedName name="IQ_BV_OVER_SHARES" hidden="1">"c100"</definedName>
    <definedName name="IQ_BV_SHARE" hidden="1">"c100"</definedName>
    <definedName name="IQ_BV_STDDEV_EST_REUT" hidden="1">"c5408"</definedName>
    <definedName name="IQ_BV_STDDEV_EST_THOM" hidden="1">"c5152"</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_REUT" hidden="1">"c6800"</definedName>
    <definedName name="IQ_CAL_Y" hidden="1">"c102"</definedName>
    <definedName name="IQ_CAL_Y_EST_REUT" hidden="1">"c6801"</definedName>
    <definedName name="IQ_CALC_TYPE_BS" hidden="1">"c3086"</definedName>
    <definedName name="IQ_CALC_TYPE_CF" hidden="1">"c3085"</definedName>
    <definedName name="IQ_CALC_TYPE_IS" hidden="1">"c3084"</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QUIV" hidden="1">"c118"</definedName>
    <definedName name="IQ_CASH_FINAN" hidden="1">"c119"</definedName>
    <definedName name="IQ_CASH_IN_PROCESS_FDIC" hidden="1">"c6386"</definedName>
    <definedName name="IQ_CASH_INTEREST" hidden="1">"c120"</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CE_FDIC" hidden="1">"c6296"</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FPS_DET_EST_REUT_CURRENCY_CURRENCY_REUT" hidden="1">"c12526"</definedName>
    <definedName name="IQ_CH">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ASSB_OUTSTANDING_BS_DATE" hidden="1">"c1972"</definedName>
    <definedName name="IQ_CLASSB_OUTSTANDING_FILING_DATE" hidden="1">"c1974"</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RATE" hidden="1">"c2192"</definedName>
    <definedName name="IQ_CONVERT" hidden="1">"c2536"</definedName>
    <definedName name="IQ_CONVERT_DEBT" hidden="1">"c224"</definedName>
    <definedName name="IQ_CONVERT_PCT" hidden="1">"c2537"</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5000</definedName>
    <definedName name="IQ_CREDIT_CARD_CHARGE_OFFS_FDIC" hidden="1">"c6652"</definedName>
    <definedName name="IQ_CREDIT_CARD_FEE" hidden="1">"c231"</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Y">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500000</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EST_CIQ" hidden="1">"c4802"</definedName>
    <definedName name="IQ_DISTRIBUTABLE_CASH_HIGH_EST_CIQ" hidden="1">"c4805"</definedName>
    <definedName name="IQ_DISTRIBUTABLE_CASH_LOW_EST_CIQ" hidden="1">"c4806"</definedName>
    <definedName name="IQ_DISTRIBUTABLE_CASH_MEDIAN_EST_CIQ" hidden="1">"c4807"</definedName>
    <definedName name="IQ_DISTRIBUTABLE_CASH_NUM_EST_CIQ" hidden="1">"c4808"</definedName>
    <definedName name="IQ_DISTRIBUTABLE_CASH_PAYOUT" hidden="1">"c3005"</definedName>
    <definedName name="IQ_DISTRIBUTABLE_CASH_SHARE" hidden="1">"c3003"</definedName>
    <definedName name="IQ_DISTRIBUTABLE_CASH_SHARE_EST_CIQ" hidden="1">"c4810"</definedName>
    <definedName name="IQ_DISTRIBUTABLE_CASH_SHARE_HIGH_EST_CIQ" hidden="1">"c4813"</definedName>
    <definedName name="IQ_DISTRIBUTABLE_CASH_SHARE_LOW_EST_CIQ" hidden="1">"c4814"</definedName>
    <definedName name="IQ_DISTRIBUTABLE_CASH_SHARE_MEDIAN_EST_CIQ" hidden="1">"c4815"</definedName>
    <definedName name="IQ_DISTRIBUTABLE_CASH_SHARE_NUM_EST_CIQ" hidden="1">"c4816"</definedName>
    <definedName name="IQ_DISTRIBUTABLE_CASH_SHARE_STDDEV_EST_CIQ" hidden="1">"c4817"</definedName>
    <definedName name="IQ_DISTRIBUTABLE_CASH_STDDEV_EST_CIQ" hidden="1">"c4819"</definedName>
    <definedName name="IQ_DIV_AMOUNT" hidden="1">"c3041"</definedName>
    <definedName name="IQ_DIV_PAYMENT_DATE" hidden="1">"c2106"</definedName>
    <definedName name="IQ_DIV_RECORD_DATE" hidden="1">"c2105"</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PAC" hidden="1">"c2801"</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Q_INC" hidden="1">"c3498"</definedName>
    <definedName name="IQ_EBIT_EQ_INC_EXCL_SBC" hidden="1">"c3502"</definedName>
    <definedName name="IQ_EBIT_EXCL_SBC" hidden="1">"c3082"</definedName>
    <definedName name="IQ_EBIT_GROWTH_1" hidden="1">"c157"</definedName>
    <definedName name="IQ_EBIT_GROWTH_2" hidden="1">"c161"</definedName>
    <definedName name="IQ_EBIT_INT" hidden="1">"c360"</definedName>
    <definedName name="IQ_EBIT_MARGIN" hidden="1">"c359"</definedName>
    <definedName name="IQ_EBIT_OVER_IE" hidden="1">"c360"</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"c368"</definedName>
    <definedName name="IQ_EBITDA_DET_EST_REUT_CURRENCY_CURRENCY_REUT" hidden="1">"c12529"</definedName>
    <definedName name="IQ_EBITDA_EQ_INC" hidden="1">"c3496"</definedName>
    <definedName name="IQ_EBITDA_EQ_INC_EXCL_SBC" hidden="1">"c3500"</definedName>
    <definedName name="IQ_EBITDA_EST" hidden="1">"c369"</definedName>
    <definedName name="IQ_EBITDA_EST_REUT" hidden="1">"c3640"</definedName>
    <definedName name="IQ_EBITDA_EXCL_SBC" hidden="1">"c3081"</definedName>
    <definedName name="IQ_EBITDA_GROWTH_1" hidden="1">"c156"</definedName>
    <definedName name="IQ_EBITDA_GROWTH_2" hidden="1">"c160"</definedName>
    <definedName name="IQ_EBITDA_HIGH_EST" hidden="1">"c370"</definedName>
    <definedName name="IQ_EBITDA_HIGH_EST_REUT" hidden="1">"c3642"</definedName>
    <definedName name="IQ_EBITDA_INT" hidden="1">"c373"</definedName>
    <definedName name="IQ_EBITDA_LOW_EST" hidden="1">"c371"</definedName>
    <definedName name="IQ_EBITDA_LOW_EST_REUT" hidden="1">"c3643"</definedName>
    <definedName name="IQ_EBITDA_MARGIN" hidden="1">"c372"</definedName>
    <definedName name="IQ_EBITDA_MEDIAN_EST_REUT" hidden="1">"c3641"</definedName>
    <definedName name="IQ_EBITDA_NO_EST" hidden="1">"c267"</definedName>
    <definedName name="IQ_EBITDA_NUM_EST" hidden="1">"c374"</definedName>
    <definedName name="IQ_EBITDA_NUM_EST_REUT" hidden="1">"c3644"</definedName>
    <definedName name="IQ_EBITDA_OVER_TOTAL_IE" hidden="1">"c373"</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EST_REUT" hidden="1">"c5453"</definedName>
    <definedName name="IQ_EPS_GW_DET_EST_REUT_CURRENCY_CURRENCY_REUT" hidden="1">"c12533"</definedName>
    <definedName name="IQ_EPS_GW_EST_REUT" hidden="1">"c5389"</definedName>
    <definedName name="IQ_EPS_GW_HIGH_EST_REUT" hidden="1">"c5391"</definedName>
    <definedName name="IQ_EPS_GW_LOW_EST_REUT" hidden="1">"c5392"</definedName>
    <definedName name="IQ_EPS_GW_MEDIAN_EST_REUT" hidden="1">"c5390"</definedName>
    <definedName name="IQ_EPS_GW_NUM_EST_REUT" hidden="1">"c5393"</definedName>
    <definedName name="IQ_EPS_GW_STDDEV_EST_REUT" hidden="1">"c5394"</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_EST" hidden="1">"c271"</definedName>
    <definedName name="IQ_EPS_NORM" hidden="1">"c1902"</definedName>
    <definedName name="IQ_EPS_NORM_EST_REUT" hidden="1">"c5326"</definedName>
    <definedName name="IQ_EPS_NORM_HIGH_EST_REUT" hidden="1">"c5328"</definedName>
    <definedName name="IQ_EPS_NORM_LOW_EST_REUT" hidden="1">"c5329"</definedName>
    <definedName name="IQ_EPS_NORM_MEDIAN_EST_REUT" hidden="1">"c5327"</definedName>
    <definedName name="IQ_EPS_NORM_NUM_EST_REUT" hidden="1">"c5330"</definedName>
    <definedName name="IQ_EPS_NORM_STDDEV_EST_REUT" hidden="1">"c5331"</definedName>
    <definedName name="IQ_EPS_NUM_EST" hidden="1">"c402"</definedName>
    <definedName name="IQ_EPS_NUM_EST_REUT" hidden="1">"c5451"</definedName>
    <definedName name="IQ_EPS_PRIMARY_EST" hidden="1">"c2226"</definedName>
    <definedName name="IQ_EPS_PRIMARY_HIGH_EST" hidden="1">"c2228"</definedName>
    <definedName name="IQ_EPS_PRIMARY_LOW_EST" hidden="1">"c2229"</definedName>
    <definedName name="IQ_EPS_PRIMARY_MEDIAN_EST" hidden="1">"c2227"</definedName>
    <definedName name="IQ_EPS_PRIMARY_NUM_EST" hidden="1">"c2230"</definedName>
    <definedName name="IQ_EPS_PRIMARY_STDDEV_EST" hidden="1">"c2231"</definedName>
    <definedName name="IQ_EPS_REPORTED_EST_REUT" hidden="1">"c5396"</definedName>
    <definedName name="IQ_EPS_REPORTED_HIGH_EST_REUT" hidden="1">"c5398"</definedName>
    <definedName name="IQ_EPS_REPORTED_LOW_EST_REUT" hidden="1">"c5399"</definedName>
    <definedName name="IQ_EPS_REPORTED_MEDIAN_EST_REUT" hidden="1">"c5397"</definedName>
    <definedName name="IQ_EPS_REPORTED_NUM_EST_REUT" hidden="1">"c5400"</definedName>
    <definedName name="IQ_EPS_REPORTED_STDDEV_EST_REUT" hidden="1">"c5401"</definedName>
    <definedName name="IQ_EPS_STDDEV_EST" hidden="1">"c403"</definedName>
    <definedName name="IQ_EPS_STDDEV_EST_REUT" hidden="1">"c5452"</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THOM" hidden="1">"c5153"</definedName>
    <definedName name="IQ_EST_ACT_EPS" hidden="1">"c1648"</definedName>
    <definedName name="IQ_EST_ACT_EPS_GW_REUT" hidden="1">"c5395"</definedName>
    <definedName name="IQ_EST_ACT_EPS_NORM_REUT" hidden="1">"c5332"</definedName>
    <definedName name="IQ_EST_ACT_EPS_PRIMARY" hidden="1">"c2232"</definedName>
    <definedName name="IQ_EST_ACT_EPS_REPORTED_REUT" hidden="1">"c5402"</definedName>
    <definedName name="IQ_EST_ACT_FFO_REUT" hidden="1">"c3843"</definedName>
    <definedName name="IQ_EST_ACT_FFO_THOM" hidden="1">"c4005"</definedName>
    <definedName name="IQ_EST_BV_DIFF_REUT" hidden="1">"c5433"</definedName>
    <definedName name="IQ_EST_BV_DIFF_THOM" hidden="1">"c5204"</definedName>
    <definedName name="IQ_EST_BV_SURPRISE_PERCENT_REUT" hidden="1">"c5434"</definedName>
    <definedName name="IQ_EST_BV_SURPRISE_PERCENT_THOM" hidden="1">"c5205"</definedName>
    <definedName name="IQ_EST_CURRENCY" hidden="1">"c2140"</definedName>
    <definedName name="IQ_EST_CURRENCY_REUT" hidden="1">"c5437"</definedName>
    <definedName name="IQ_EST_DATE" hidden="1">"c1634"</definedName>
    <definedName name="IQ_EST_DATE_REUT" hidden="1">"c5438"</definedName>
    <definedName name="IQ_EST_EPS_DIFF" hidden="1">"c1864"</definedName>
    <definedName name="IQ_EST_EPS_GROWTH_1YR" hidden="1">"c1636"</definedName>
    <definedName name="IQ_EST_EPS_GROWTH_1YR_REUT" hidden="1">"c3646"</definedName>
    <definedName name="IQ_EST_EPS_GROWTH_2YR" hidden="1">"c1637"</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REUT" hidden="1">"c3633"</definedName>
    <definedName name="IQ_EST_EPS_GROWTH_5YR_STDDEV" hidden="1">"c1660"</definedName>
    <definedName name="IQ_EST_EPS_GROWTH_Q_1YR" hidden="1">"c1641"</definedName>
    <definedName name="IQ_EST_EPS_GROWTH_Q_1YR_REUT" hidden="1">"c5410"</definedName>
    <definedName name="IQ_EST_EPS_GW_DIFF_REUT" hidden="1">"c5429"</definedName>
    <definedName name="IQ_EST_EPS_GW_SURPRISE_PERCENT_REUT" hidden="1">"c5430"</definedName>
    <definedName name="IQ_EST_EPS_NORM_DIFF_REUT" hidden="1">"c5411"</definedName>
    <definedName name="IQ_EST_EPS_NORM_SURPRISE_PERCENT_REUT" hidden="1">"c5412"</definedName>
    <definedName name="IQ_EST_EPS_REPORT_DIFF_REUT" hidden="1">"c5431"</definedName>
    <definedName name="IQ_EST_EPS_REPORT_SURPRISE_PERCENT_REUT" hidden="1">"c5432"</definedName>
    <definedName name="IQ_EST_EPS_SURPRISE" hidden="1">"c1635"</definedName>
    <definedName name="IQ_EST_FFO_DIFF_REUT" hidden="1">"c3890"</definedName>
    <definedName name="IQ_EST_FFO_DIFF_THOM" hidden="1">"c5186"</definedName>
    <definedName name="IQ_EST_FFO_SURPRISE_PERCENT_REUT" hidden="1">"c3891"</definedName>
    <definedName name="IQ_EST_FFO_SURPRISE_PERCENT_THOM" hidden="1">"c5187"</definedName>
    <definedName name="IQ_EST_NUM_BUY_CIQ" hidden="1">"c3700"</definedName>
    <definedName name="IQ_EST_NUM_BUY_REUT" hidden="1">"c3869"</definedName>
    <definedName name="IQ_EST_NUM_BUY_THOM" hidden="1">"c5165"</definedName>
    <definedName name="IQ_EST_NUM_HOLD_CIQ" hidden="1">"c3702"</definedName>
    <definedName name="IQ_EST_NUM_HOLD_REUT" hidden="1">"c3871"</definedName>
    <definedName name="IQ_EST_NUM_HOLD_THOM" hidden="1">"c5167"</definedName>
    <definedName name="IQ_EST_NUM_OUTPERFORM_CIQ" hidden="1">"c3701"</definedName>
    <definedName name="IQ_EST_NUM_OUTPERFORM_REUT" hidden="1">"c3870"</definedName>
    <definedName name="IQ_EST_NUM_OUTPERFORM_THOM" hidden="1">"c5166"</definedName>
    <definedName name="IQ_EST_NUM_SELL_CIQ" hidden="1">"c3704"</definedName>
    <definedName name="IQ_EST_NUM_SELL_REUT" hidden="1">"c3873"</definedName>
    <definedName name="IQ_EST_NUM_SELL_THOM" hidden="1">"c5169"</definedName>
    <definedName name="IQ_EST_NUM_UNDERPERFORM_CIQ" hidden="1">"c3703"</definedName>
    <definedName name="IQ_EST_NUM_UNDERPERFORM_REUT" hidden="1">"c3872"</definedName>
    <definedName name="IQ_EST_NUM_UNDERPERFORM_THOM" hidden="1">"c5168"</definedName>
    <definedName name="IQ_EST_REV_GROWTH_1YR" hidden="1">"c1638"</definedName>
    <definedName name="IQ_EST_REV_GROWTH_2YR" hidden="1">"c1639"</definedName>
    <definedName name="IQ_EST_REV_GROWTH_Q_1YR" hidden="1">"c1640"</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"c165"</definedName>
    <definedName name="IQ_EV_OVER_REVENUE_EST_1" hidden="1">"c166"</definedName>
    <definedName name="IQ_EXCHANGE" hidden="1">"c405"</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ENSE_CODE_" hidden="1">"ajsdasd"</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DJ_EST_CIQ" hidden="1">"c4959"</definedName>
    <definedName name="IQ_FFO_ADJ_HIGH_EST_CIQ" hidden="1">"c4962"</definedName>
    <definedName name="IQ_FFO_ADJ_LOW_EST_CIQ" hidden="1">"c4963"</definedName>
    <definedName name="IQ_FFO_ADJ_MEDIAN_EST_CIQ" hidden="1">"c4964"</definedName>
    <definedName name="IQ_FFO_ADJ_NUM_EST_CIQ" hidden="1">"c4965"</definedName>
    <definedName name="IQ_FFO_ADJ_STDDEV_EST_CIQ" hidden="1">"c4966"</definedName>
    <definedName name="IQ_FFO_EST" hidden="1">"c418"</definedName>
    <definedName name="IQ_FFO_EST_CIQ" hidden="1">"c3668"</definedName>
    <definedName name="IQ_FFO_EST_DET_EST" hidden="1">"c12059"</definedName>
    <definedName name="IQ_FFO_EST_DET_EST_CIQ" hidden="1">"c12121"</definedName>
    <definedName name="IQ_FFO_EST_DET_EST_CURRENCY" hidden="1">"c12466"</definedName>
    <definedName name="IQ_FFO_EST_DET_EST_CURRENCY_CIQ" hidden="1">"c12512"</definedName>
    <definedName name="IQ_FFO_EST_DET_EST_CURRENCY_REUT" hidden="1">"c12536"</definedName>
    <definedName name="IQ_FFO_EST_DET_EST_DATE" hidden="1">"c12212"</definedName>
    <definedName name="IQ_FFO_EST_DET_EST_DATE_CIQ" hidden="1">"c12267"</definedName>
    <definedName name="IQ_FFO_EST_DET_EST_DATE_REUT" hidden="1">"c12295"</definedName>
    <definedName name="IQ_FFO_EST_DET_EST_INCL" hidden="1">"c12349"</definedName>
    <definedName name="IQ_FFO_EST_DET_EST_INCL_CIQ" hidden="1">"c12395"</definedName>
    <definedName name="IQ_FFO_EST_DET_EST_INCL_REUT" hidden="1">"c12419"</definedName>
    <definedName name="IQ_FFO_EST_DET_EST_ORIGIN" hidden="1">"c12722"</definedName>
    <definedName name="IQ_FFO_EST_DET_EST_ORIGIN_CIQ" hidden="1">"c12720"</definedName>
    <definedName name="IQ_FFO_EST_DET_EST_ORIGIN_REUT" hidden="1">"c12724"</definedName>
    <definedName name="IQ_FFO_EST_DET_EST_REUT" hidden="1">"c12153"</definedName>
    <definedName name="IQ_FFO_EST_REUT" hidden="1">"c3837"</definedName>
    <definedName name="IQ_FFO_EST_THOM" hidden="1">"c3999"</definedName>
    <definedName name="IQ_FFO_HIGH_EST" hidden="1">"c419"</definedName>
    <definedName name="IQ_FFO_HIGH_EST_CIQ" hidden="1">"c3670"</definedName>
    <definedName name="IQ_FFO_HIGH_EST_REUT" hidden="1">"c3839"</definedName>
    <definedName name="IQ_FFO_HIGH_EST_THOM" hidden="1">"c4001"</definedName>
    <definedName name="IQ_FFO_LOW_EST" hidden="1">"c420"</definedName>
    <definedName name="IQ_FFO_LOW_EST_CIQ" hidden="1">"c3671"</definedName>
    <definedName name="IQ_FFO_LOW_EST_REUT" hidden="1">"c3840"</definedName>
    <definedName name="IQ_FFO_LOW_EST_THOM" hidden="1">"c4002"</definedName>
    <definedName name="IQ_FFO_MEDIAN_EST_CIQ" hidden="1">"c3669"</definedName>
    <definedName name="IQ_FFO_MEDIAN_EST_REUT" hidden="1">"c3838"</definedName>
    <definedName name="IQ_FFO_MEDIAN_EST_THOM" hidden="1">"c4000"</definedName>
    <definedName name="IQ_FFO_NO_EST" hidden="1">"c276"</definedName>
    <definedName name="IQ_FFO_NUM_EST" hidden="1">"c421"</definedName>
    <definedName name="IQ_FFO_NUM_EST_CIQ" hidden="1">"c3672"</definedName>
    <definedName name="IQ_FFO_NUM_EST_REUT" hidden="1">"c3841"</definedName>
    <definedName name="IQ_FFO_NUM_EST_THOM" hidden="1">"c4003"</definedName>
    <definedName name="IQ_FFO_PAYOUT_RATIO" hidden="1">"c3492"</definedName>
    <definedName name="IQ_FFO_STDDEV_EST" hidden="1">"c422"</definedName>
    <definedName name="IQ_FFO_STDDEV_EST_CIQ" hidden="1">"c3673"</definedName>
    <definedName name="IQ_FFO_STDDEV_EST_REUT" hidden="1">"c3842"</definedName>
    <definedName name="IQ_FFO_STDDEV_EST_THOM" hidden="1">"c4004"</definedName>
    <definedName name="IQ_FH">100000</definedName>
    <definedName name="IQ_FHLB_ADVANCES_FDIC" hidden="1">"c6366"</definedName>
    <definedName name="IQ_FHLB_DEBT" hidden="1">"c423"</definedName>
    <definedName name="IQ_FHLB_DUE_AFTER_FIVE" hidden="1">"c2086"</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I_12M_RETURN" hidden="1">"c25807"</definedName>
    <definedName name="IQ_FII_3M_RETURN" hidden="1">"c25808"</definedName>
    <definedName name="IQ_FII_6M_RETURN" hidden="1">"c25809"</definedName>
    <definedName name="IQ_FII_AVGBIDSPREAD" hidden="1">"c25820"</definedName>
    <definedName name="IQ_FII_CONVEX" hidden="1">"c25799"</definedName>
    <definedName name="IQ_FII_COUPON" hidden="1">"c25800"</definedName>
    <definedName name="IQ_FII_DAILY_RETURN" hidden="1">"c25810"</definedName>
    <definedName name="IQ_FII_DURTW" hidden="1">"c25802"</definedName>
    <definedName name="IQ_FII_EXCESS_RETURN" hidden="1">"c25819"</definedName>
    <definedName name="IQ_FII_INDEXPRICE" hidden="1">"c25806"</definedName>
    <definedName name="IQ_FII_MATURITY" hidden="1">"c25804"</definedName>
    <definedName name="IQ_FII_MODDUR" hidden="1">"c25801"</definedName>
    <definedName name="IQ_FII_MTD_RETURN_COUPON" hidden="1">"c25813"</definedName>
    <definedName name="IQ_FII_MTD_RETURN_CURRENCY" hidden="1">"c25814"</definedName>
    <definedName name="IQ_FII_MTD_RETURN_PAYDOWN" hidden="1">"c25815"</definedName>
    <definedName name="IQ_FII_MTD_RETURN_PRICE" hidden="1">"c25816"</definedName>
    <definedName name="IQ_FII_MTD_RETURN_TOTAL" hidden="1">"c25812"</definedName>
    <definedName name="IQ_FII_MV" hidden="1">"c25803"</definedName>
    <definedName name="IQ_FII_NUMISSUE" hidden="1">"c25805"</definedName>
    <definedName name="IQ_FII_OAS" hidden="1">"c25798"</definedName>
    <definedName name="IQ_FII_RETURN_INCEPTION" hidden="1">"c25811"</definedName>
    <definedName name="IQ_FII_YTD_RETURN" hidden="1">"c25817"</definedName>
    <definedName name="IQ_FII_YTW" hidden="1">"c25818"</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NOTES_PAY_TOTAL" hidden="1">"c5522"</definedName>
    <definedName name="IQ_FIN_DIV_REV" hidden="1">"c437"</definedName>
    <definedName name="IQ_FINANCING_CASH" hidden="1">"c893"</definedName>
    <definedName name="IQ_FINANCING_CASH_SUPPL" hidden="1">"c899"</definedName>
    <definedName name="IQ_FINISHED_INV" hidden="1">"c438"</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_REUT" hidden="1">"c6798"</definedName>
    <definedName name="IQ_FISCAL_Y" hidden="1">"c441"</definedName>
    <definedName name="IQ_FISCAL_Y_EST_REUT" hidden="1">"c6799"</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1000</definedName>
    <definedName name="IQ_FY_DATE" hidden="1">"IQ_FY_DATE"</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C_BNK" hidden="1">"c488"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INTAN" hidden="1">"c520"</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"c511"</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ELD_MATURITY_FDIC" hidden="1">"c6408"</definedName>
    <definedName name="IQ_HIGH_TARGET_PRICE_REUT" hidden="1">"c5317"</definedName>
    <definedName name="IQ_HIGHPRICE" hidden="1">"c545"</definedName>
    <definedName name="IQ_HOME_EQUITY_LOC_NET_CHARGE_OFFS_FDIC" hidden="1">"c6644"</definedName>
    <definedName name="IQ_HOME_EQUITY_LOC_TOTAL_CHARGE_OFFS_FDIC" hidden="1">"c6606"</definedName>
    <definedName name="IQ_HOME_EQUITY_LOC_TOTAL_RECOVERIES_FDIC" hidden="1">"c6625"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EX_PROVIDED_DIVIDEND" hidden="1">"c19252"</definedName>
    <definedName name="IQ_INDEXCONSTITUENT_CLOSEPRICE" hidden="1">"c19241"</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 hidden="1">"c1534"</definedName>
    <definedName name="IQ_INSIDER_3MTH_BOUGHT_PCT" hidden="1">"c1534"</definedName>
    <definedName name="IQ_INSIDER_3MTH_NET" hidden="1">"c1535"</definedName>
    <definedName name="IQ_INSIDER_3MTH_NET_PCT" hidden="1">"c1535"</definedName>
    <definedName name="IQ_INSIDER_3MTH_SOLD" hidden="1">"c1533"</definedName>
    <definedName name="IQ_INSIDER_3MTH_SOLD_PCT" hidden="1">"c1533"</definedName>
    <definedName name="IQ_INSIDER_6MTH_BOUGHT" hidden="1">"c1537"</definedName>
    <definedName name="IQ_INSIDER_6MTH_BOUGHT_PCT" hidden="1">"c1537"</definedName>
    <definedName name="IQ_INSIDER_6MTH_NET" hidden="1">"c1538"</definedName>
    <definedName name="IQ_INSIDER_6MTH_NET_PCT" hidden="1">"c1538"</definedName>
    <definedName name="IQ_INSIDER_6MTH_SOLD" hidden="1">"c1536"</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L_EPS_EST" hidden="1">"c24729"</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LT_DEBT" hidden="1">"c2086"</definedName>
    <definedName name="IQ_INTEREST_RATE_CONTRACTS_FDIC" hidden="1">"c6512"</definedName>
    <definedName name="IQ_INTEREST_RATE_EXPOSURES_FDIC" hidden="1">"c6662"</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D_GUARANTEED_US_FDIC" hidden="1">"c6404"</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"100"</definedName>
    <definedName name="IQ_LATESTQ" hidden="1">500</definedName>
    <definedName name="IQ_LATESTQFR" hidden="1">"50"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ISTING_CURRENCY" hidden="1">"c2127"</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_SENIOR_DEBT" hidden="1">"c702"</definedName>
    <definedName name="IQ_LT_SUB_DEBT" hidden="1">"c703"</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2000</definedName>
    <definedName name="IQ_LTM_DATE" hidden="1">"IQ_LTM_DATE"</definedName>
    <definedName name="IQ_LTM_REVENUE_OVER_EMPLOYEES" hidden="1">"c1304"</definedName>
    <definedName name="IQ_LTMMONTH" hidden="1">120000</definedName>
    <definedName name="IQ_MACHINERY" hidden="1">"c711"</definedName>
    <definedName name="IQ_MACRO_SURVEY_CONSUMER_SENTIMENT" hidden="1">"c20808"</definedName>
    <definedName name="IQ_MAINT_CAPEX" hidden="1">"c2947"</definedName>
    <definedName name="IQ_MAINT_CAPEX_ACT_OR_EST" hidden="1">"c4458"</definedName>
    <definedName name="IQ_MAINT_REPAIR" hidden="1">"c2087"</definedName>
    <definedName name="IQ_MARKET_CAP_LFCF" hidden="1">"c2209"</definedName>
    <definedName name="IQ_MARKETCAP" hidden="1">"c712"</definedName>
    <definedName name="IQ_MARKETING" hidden="1">"c2239"</definedName>
    <definedName name="IQ_MARKTCAP" hidden="1">"c258"</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NEY_MARKET_DEPOSIT_ACCOUNTS_FDIC" hidden="1">"c6553"</definedName>
    <definedName name="IQ_MONTH">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localSheetId="37" hidden="1">42418.5945138889</definedName>
    <definedName name="IQ_NAMES_REVISION_DATE_" localSheetId="59" hidden="1">42571.2669444444</definedName>
    <definedName name="IQ_NAMES_REVISION_DATE_" hidden="1">43497.373287037</definedName>
    <definedName name="IQ_NAMES_REVISION_DATE__1" hidden="1">41449.5435763889</definedName>
    <definedName name="IQ_NAV_ACT_OR_EST" hidden="1">"c2225"</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"c158"</definedName>
    <definedName name="IQ_NET_INC_GROWTH_2" hidden="1">"c162"</definedName>
    <definedName name="IQ_NET_INC_MARGIN" hidden="1">"c794"</definedName>
    <definedName name="IQ_NET_INCOME_FDIC" hidden="1">"c6587"</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FAS" hidden="1">"c795"</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6000</definedName>
    <definedName name="IQ_NUKE" hidden="1">"c836"</definedName>
    <definedName name="IQ_NUKE_CF" hidden="1">"c837"</definedName>
    <definedName name="IQ_NUKE_CONTR" hidden="1">"c838"</definedName>
    <definedName name="IQ_NUM_BRANCHES" hidden="1">"c2088"</definedName>
    <definedName name="IQ_NUM_OFFIC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CLASSB" hidden="1">"c1969"</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 hidden="1">"c1999"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"c362"</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CERCISED" hidden="1">"c2116"</definedName>
    <definedName name="IQ_OPTIONS_EXERCISED" hidden="1">"c2116"</definedName>
    <definedName name="IQ_OPTIONS_GRANTED" hidden="1">"c2673"</definedName>
    <definedName name="IQ_OPTIONS_ISSUED" hidden="1">"c857"</definedName>
    <definedName name="IQ_OPTIONS_OS" hidden="1">"c858"</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_BR" hidden="1">"c5566"</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UTSTANDING_FILING_DATE_TOTAL" hidden="1">"c2107"</definedName>
    <definedName name="IQ_OVER_FIFETEEN_YEAR_MORTGAGE_PASS_THROUGHS_FDIC" hidden="1">"c6416"</definedName>
    <definedName name="IQ_OVER_FIFTEEN_YEAR_FIXED_AND_FLOATING_RATE_FDIC" hidden="1">"c6424"</definedName>
    <definedName name="IQ_OVER_THREE_YEARS_FDIC" hidden="1">"c6418"</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FFO_12MONTHS" hidden="1">"c1828"</definedName>
    <definedName name="IQ_PERCENT_CHANGE_EST_FFO_12MONTHS_CIQ" hidden="1">"c3769"</definedName>
    <definedName name="IQ_PERCENT_CHANGE_EST_FFO_12MONTHS_REUT" hidden="1">"c3938"</definedName>
    <definedName name="IQ_PERCENT_CHANGE_EST_FFO_12MONTHS_THOM" hidden="1">"c5248"</definedName>
    <definedName name="IQ_PERCENT_CHANGE_EST_FFO_18MONTHS" hidden="1">"c1829"</definedName>
    <definedName name="IQ_PERCENT_CHANGE_EST_FFO_18MONTHS_CIQ" hidden="1">"c3770"</definedName>
    <definedName name="IQ_PERCENT_CHANGE_EST_FFO_18MONTHS_REUT" hidden="1">"c3939"</definedName>
    <definedName name="IQ_PERCENT_CHANGE_EST_FFO_18MONTHS_THOM" hidden="1">"c5249"</definedName>
    <definedName name="IQ_PERCENT_CHANGE_EST_FFO_3MONTHS" hidden="1">"c1825"</definedName>
    <definedName name="IQ_PERCENT_CHANGE_EST_FFO_3MONTHS_CIQ" hidden="1">"c3766"</definedName>
    <definedName name="IQ_PERCENT_CHANGE_EST_FFO_3MONTHS_REUT" hidden="1">"c3935"</definedName>
    <definedName name="IQ_PERCENT_CHANGE_EST_FFO_3MONTHS_THOM" hidden="1">"c5245"</definedName>
    <definedName name="IQ_PERCENT_CHANGE_EST_FFO_6MONTHS" hidden="1">"c1826"</definedName>
    <definedName name="IQ_PERCENT_CHANGE_EST_FFO_6MONTHS_CIQ" hidden="1">"c3767"</definedName>
    <definedName name="IQ_PERCENT_CHANGE_EST_FFO_6MONTHS_REUT" hidden="1">"c3936"</definedName>
    <definedName name="IQ_PERCENT_CHANGE_EST_FFO_6MONTHS_THOM" hidden="1">"c5246"</definedName>
    <definedName name="IQ_PERCENT_CHANGE_EST_FFO_9MONTHS" hidden="1">"c1827"</definedName>
    <definedName name="IQ_PERCENT_CHANGE_EST_FFO_9MONTHS_CIQ" hidden="1">"c3768"</definedName>
    <definedName name="IQ_PERCENT_CHANGE_EST_FFO_9MONTHS_REUT" hidden="1">"c3937"</definedName>
    <definedName name="IQ_PERCENT_CHANGE_EST_FFO_9MONTHS_THOM" hidden="1">"c5247"</definedName>
    <definedName name="IQ_PERCENT_CHANGE_EST_FFO_DAY" hidden="1">"c1822"</definedName>
    <definedName name="IQ_PERCENT_CHANGE_EST_FFO_DAY_CIQ" hidden="1">"c3764"</definedName>
    <definedName name="IQ_PERCENT_CHANGE_EST_FFO_DAY_REUT" hidden="1">"c3933"</definedName>
    <definedName name="IQ_PERCENT_CHANGE_EST_FFO_DAY_THOM" hidden="1">"c5243"</definedName>
    <definedName name="IQ_PERCENT_CHANGE_EST_FFO_MONTH" hidden="1">"c1824"</definedName>
    <definedName name="IQ_PERCENT_CHANGE_EST_FFO_MONTH_CIQ" hidden="1">"c3765"</definedName>
    <definedName name="IQ_PERCENT_CHANGE_EST_FFO_MONTH_REUT" hidden="1">"c3934"</definedName>
    <definedName name="IQ_PERCENT_CHANGE_EST_FFO_MONTH_THOM" hidden="1">"c5244"</definedName>
    <definedName name="IQ_PERCENT_CHANGE_EST_FFO_WEEK" hidden="1">"c1823"</definedName>
    <definedName name="IQ_PERCENT_CHANGE_EST_FFO_WEEK_CIQ" hidden="1">"c3795"</definedName>
    <definedName name="IQ_PERCENT_CHANGE_EST_FFO_WEEK_REUT" hidden="1">"c3964"</definedName>
    <definedName name="IQ_PERCENT_CHANGE_EST_FFO_WEEK_THOM" hidden="1">"c5274"</definedName>
    <definedName name="IQ_PERCENT_INSURED_FDIC" hidden="1">"c6374"</definedName>
    <definedName name="IQ_PERIODDATE" hidden="1">"c1034"</definedName>
    <definedName name="IQ_PERIODDATE_BS" hidden="1">"c1032"</definedName>
    <definedName name="IQ_PERIODDATE_CF" hidden="1">"c1033"</definedName>
    <definedName name="IQ_PERIODDATE_FDIC" hidden="1">"c13646"</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INC_10K" hidden="1">"IQ_PRETAX_INC_10K"</definedName>
    <definedName name="IQ_PRETAX_INC_10Q" hidden="1">"IQ_PRETAX_INC_10Q"</definedName>
    <definedName name="IQ_PRETAX_INC_10Q1" hidden="1">"IQ_PRETAX_INC_10Q1"</definedName>
    <definedName name="IQ_PRETAX_RETURN_ASSETS_FDIC" hidden="1">"c6731"</definedName>
    <definedName name="IQ_PRICE_OVER_BVPS" hidden="1">"c1026"</definedName>
    <definedName name="IQ_PRICE_OVER_EPS_EST" hidden="1">"c174"</definedName>
    <definedName name="IQ_PRICE_OVER_EPS_EST_1" hidden="1">"c175"</definedName>
    <definedName name="IQ_PRICE_OVER_LTM_EPS" hidden="1">"c1029"</definedName>
    <definedName name="IQ_PRICE_TARGET" hidden="1">"c82"</definedName>
    <definedName name="IQ_PRICE_TARGET_REUT" hidden="1">"c3631"</definedName>
    <definedName name="IQ_PRICEDATE" hidden="1">"c1069"</definedName>
    <definedName name="IQ_PRICEDATETIME" hidden="1">"IQ_PRICEDATETIME"</definedName>
    <definedName name="IQ_PRICING_DATE" hidden="1">"c1613"</definedName>
    <definedName name="IQ_PRIMARY_EPS_TYPE_THOM" hidden="1">"c5297"</definedName>
    <definedName name="IQ_PRIMARY_INDUSTRY" hidden="1">"c1070"</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DEEM_PREF_STOCK" hidden="1">"c1059"</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BANK" hidden="1">"c1114"</definedName>
    <definedName name="IQ_RETURN_ASSETS_BROK" hidden="1">"c1115"</definedName>
    <definedName name="IQ_RETURN_ASSETS_FDIC" hidden="1">"c6730"</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DIC" hidden="1">"c6732"</definedName>
    <definedName name="IQ_RETURN_EQUITY_FS" hidden="1">"c1121"</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EST" hidden="1">"c1126"</definedName>
    <definedName name="IQ_REVENUE_EST_REUT" hidden="1">"c3634"</definedName>
    <definedName name="IQ_REVENUE_GROWTH_1" hidden="1">"c155"</definedName>
    <definedName name="IQ_REVENUE_GROWTH_2" hidden="1">"c159"</definedName>
    <definedName name="IQ_REVENUE_HIGH_EST" hidden="1">"c1127"</definedName>
    <definedName name="IQ_REVENUE_HIGH_EST_REUT" hidden="1">"c3636"</definedName>
    <definedName name="IQ_REVENUE_LOW_EST" hidden="1">"c1128"</definedName>
    <definedName name="IQ_REVENUE_LOW_EST_REUT" hidden="1">"c3637"</definedName>
    <definedName name="IQ_REVENUE_MEDIAN_EST_REUT" hidden="1">"c3635"</definedName>
    <definedName name="IQ_REVENUE_NO_EST" hidden="1">"c263"</definedName>
    <definedName name="IQ_REVENUE_NUM_EST" hidden="1">"c1129"</definedName>
    <definedName name="IQ_REVENUE_NUM_EST_REUT" hidden="1">"c3638"</definedName>
    <definedName name="IQ_Revision_date_2" hidden="1">38784.4474652778</definedName>
    <definedName name="IQ_REVOLVING_SECURED_1_–4_NON_ACCRUAL_FFIEC" hidden="1">"c15565"</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OWN" hidden="1">"c1153"</definedName>
    <definedName name="IQ_SECURITY_RESELL" hidden="1">"c1154"</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_ISSUE_LC_ACTION" hidden="1">"c2644"</definedName>
    <definedName name="IQ_SP_ISSUE_LC_DATE" hidden="1">"c2643"</definedName>
    <definedName name="IQ_SP_ISSUE_LC_LT" hidden="1">"c2645"</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NDBY_LOC_FHLB_BANK_BEHALF_OFF_BS_FFIEC" hidden="1">"c15412"</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GS_FIN" hidden="1">"c2998"</definedName>
    <definedName name="IQ_STOCK_BASED_COGS_UTIL" hidden="1">"c2997"</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LASTCLOSE" hidden="1">"c1855"</definedName>
    <definedName name="IQ_TARGET_PRICE_NUM_REUT" hidden="1">"c5319"</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DUE" hidden="1">"c2509"</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R" hidden="1">"c5517"</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DA" hidden="1">"c2381"</definedName>
    <definedName name="IQ_TR_ACQ_FILING_CURRENCY" hidden="1">"c3033"</definedName>
    <definedName name="IQ_TR_ACQ_MCAP_1DAY" hidden="1">"c2345"</definedName>
    <definedName name="IQ_TR_ACQ_MIN_INT" hidden="1">"c2374"</definedName>
    <definedName name="IQ_TR_ACQ_NET_DEBT" hidden="1">"c2373"</definedName>
    <definedName name="IQ_TR_ACQ_NI" hidden="1">"c2378"</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ADVISORS" hidden="1">"c2387"</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ADVISORS" hidden="1">"c2388"</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BDEBT" hidden="1">"c2370"</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ADVISORS" hidden="1">"c2386"</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DA" hidden="1">"c2334"</definedName>
    <definedName name="IQ_TR_TARGET_FILING_CURRENCY" hidden="1">"c3034"</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 hidden="1">"c2930"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 hidden="1">"c2932"</definedName>
    <definedName name="IQ_US_GAAP_CL_ADJ" hidden="1">"c2927"</definedName>
    <definedName name="IQ_US_GAAP_COST_REV" hidden="1">"c2965"</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 hidden="1">"c2973"</definedName>
    <definedName name="IQ_US_GAAP_DO_ADJ" hidden="1">"c2959"</definedName>
    <definedName name="IQ_US_GAAP_EXTRA_ACC_ITEMS" hidden="1">"c2972"</definedName>
    <definedName name="IQ_US_GAAP_EXTRA_ACC_ITEMS_ADJ" hidden="1">"c2958"</definedName>
    <definedName name="IQ_US_GAAP_INC_TAX" hidden="1">"c2975"</definedName>
    <definedName name="IQ_US_GAAP_INC_TAX_ADJ" hidden="1">"c2961"</definedName>
    <definedName name="IQ_US_GAAP_INTEREST_EXP" hidden="1">"c2971"</definedName>
    <definedName name="IQ_US_GAAP_INTEREST_EXP_ADJ" hidden="1">"c2957"</definedName>
    <definedName name="IQ_US_GAAP_LIAB_LT" hidden="1">"c2933"</definedName>
    <definedName name="IQ_US_GAAP_LIAB_LT_ADJ" hidden="1">"c2928"</definedName>
    <definedName name="IQ_US_GAAP_LIAB_TOTAL_LIAB" hidden="1">"c2933"</definedName>
    <definedName name="IQ_US_GAAP_MINORITY_INTEREST_IS" hidden="1">"c2974"</definedName>
    <definedName name="IQ_US_GAAP_MINORITY_INTEREST_IS_ADJ" hidden="1">"c2960"</definedName>
    <definedName name="IQ_US_GAAP_NCA" hidden="1">"c2931"</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EXCL" hidden="1">"c2977"</definedName>
    <definedName name="IQ_US_GAAP_NI_AVAIL_INCL" hidden="1">"c2978"</definedName>
    <definedName name="IQ_US_GAAP_OTHER_ADJ_ADJ" hidden="1">"c2962"</definedName>
    <definedName name="IQ_US_GAAP_OTHER_NON_OPER" hidden="1">"c2969"</definedName>
    <definedName name="IQ_US_GAAP_OTHER_NON_OPER_ADJ" hidden="1">"c2955"</definedName>
    <definedName name="IQ_US_GAAP_OTHER_OPER" hidden="1">"c2968"</definedName>
    <definedName name="IQ_US_GAAP_OTHER_OPER_ADJ" hidden="1">"c2954"</definedName>
    <definedName name="IQ_US_GAAP_RD" hidden="1">"c2967"</definedName>
    <definedName name="IQ_US_GAAP_RD_ADJ" hidden="1">"c2953"</definedName>
    <definedName name="IQ_US_GAAP_SGA" hidden="1">"c2966"</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 hidden="1">"c2964"</definedName>
    <definedName name="IQ_US_GAAP_TOTAL_REV_ADJ" hidden="1">"c2950"</definedName>
    <definedName name="IQ_US_GAAP_TOTAL_UNUSUAL" hidden="1">"c2970"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"c2104"</definedName>
    <definedName name="IQ_YEARHIGH" hidden="1">"c1337"</definedName>
    <definedName name="IQ_YEARHIGH_DATE" hidden="1">"c2250"</definedName>
    <definedName name="IQ_YEARLOW" hidden="1">"c1338"</definedName>
    <definedName name="IQ_YEARLOW_DATE" hidden="1">"c2251"</definedName>
    <definedName name="IQ_YTD">3000</definedName>
    <definedName name="IQ_YTDMONTH" hidden="1">130000</definedName>
    <definedName name="IQ_Z_SCORE" hidden="1">"c1339"</definedName>
    <definedName name="IQRA1" hidden="1">"$A$2:$A$368"</definedName>
    <definedName name="IQRA22" hidden="1">"$A$23:$A$42"</definedName>
    <definedName name="IQRA5" hidden="1">"$A$6"</definedName>
    <definedName name="IQRA8" hidden="1">"$A$9:$A$260"</definedName>
    <definedName name="IQRAB22" hidden="1">"$AB$23:$AB$42"</definedName>
    <definedName name="IQRAE22" hidden="1">"$AE$23:$AE$42"</definedName>
    <definedName name="IQRAF16" hidden="1">"$AF$17:$AF$268"</definedName>
    <definedName name="IQRAF17" hidden="1">"$AF$18:$AF$269"</definedName>
    <definedName name="IQRAH22" hidden="1">"$AH$23:$AH$42"</definedName>
    <definedName name="IQRAK22" hidden="1">"$AK$23:$AK$42"</definedName>
    <definedName name="IQRAN22" hidden="1">"$AN$23:$AN$42"</definedName>
    <definedName name="IQRAQ22" hidden="1">"$AQ$23:$AQ$42"</definedName>
    <definedName name="IQRB14" hidden="1">"$B$15:$B$518"</definedName>
    <definedName name="IQRB16" hidden="1">"$B$17:$B$520"</definedName>
    <definedName name="IQRB17" hidden="1">"$B$18:$B$78"</definedName>
    <definedName name="IQRB18" hidden="1">"$B$19:$B$522"</definedName>
    <definedName name="IQRB8" hidden="1">"$B$9:$B$260"</definedName>
    <definedName name="IQRBB17" hidden="1">"$BB$18:$BB$1299"</definedName>
    <definedName name="IQRC14" hidden="1">"$C$15:$C$119"</definedName>
    <definedName name="IQRC5" hidden="1">"$C$6:$C$70"</definedName>
    <definedName name="IQRC8" hidden="1">"$C$9:$C$260"</definedName>
    <definedName name="IQRCapitalIQDATAJ8" hidden="1">'GPC Linked'!$N$10</definedName>
    <definedName name="IQRCapitalIQDATAK8" hidden="1">'GPC Linked'!$O$10</definedName>
    <definedName name="IQRCapitalIQDATAL8" hidden="1">'GPC Linked'!$P$10</definedName>
    <definedName name="IQRCapitalIQDATAM8" hidden="1">'GPC Linked'!$Q$10</definedName>
    <definedName name="IQRD14" hidden="1">"$D$15:$D$38"</definedName>
    <definedName name="IQRD22" hidden="1">"$D$23:$D$42"</definedName>
    <definedName name="IQRD5" hidden="1">"$D$6:$D$70"</definedName>
    <definedName name="IQRE5" hidden="1">"$E$6:$E$70"</definedName>
    <definedName name="IQRF3" hidden="1">"$F$4:$F$68"</definedName>
    <definedName name="IQRF5" hidden="1">"$F$6:$F$70"</definedName>
    <definedName name="IQRF8" hidden="1">"$F$9:$F$269"</definedName>
    <definedName name="IQRG22" hidden="1">"$G$23:$G$42"</definedName>
    <definedName name="IQRG3" hidden="1">"$G$4:$G$68"</definedName>
    <definedName name="IQRG41" hidden="1">"$G$42:$G$1300"</definedName>
    <definedName name="IQRG5" hidden="1">"$G$6:$G$70"</definedName>
    <definedName name="IQRHistoricMultiplesAR9" localSheetId="35" hidden="1">#REF!</definedName>
    <definedName name="IQRHistoricMultiplesAR9" localSheetId="4" hidden="1">#REF!</definedName>
    <definedName name="IQRHistoricMultiplesAR9" localSheetId="13" hidden="1">#REF!</definedName>
    <definedName name="IQRHistoricMultiplesAR9" localSheetId="64" hidden="1">#REF!</definedName>
    <definedName name="IQRHistoricMultiplesAR9" localSheetId="62" hidden="1">#REF!</definedName>
    <definedName name="IQRHistoricMultiplesAR9" localSheetId="73" hidden="1">#REF!</definedName>
    <definedName name="IQRHistoricMultiplesAR9" localSheetId="72" hidden="1">#REF!</definedName>
    <definedName name="IQRHistoricMultiplesAR9" localSheetId="29" hidden="1">#REF!</definedName>
    <definedName name="IQRHistoricMultiplesAR9" localSheetId="36" hidden="1">#REF!</definedName>
    <definedName name="IQRHistoricMultiplesAR9" localSheetId="30" hidden="1">#REF!</definedName>
    <definedName name="IQRHistoricMultiplesAR9" hidden="1">#REF!</definedName>
    <definedName name="IQRHistoricMultiplesAW9" localSheetId="35" hidden="1">#REF!</definedName>
    <definedName name="IQRHistoricMultiplesAW9" localSheetId="4" hidden="1">#REF!</definedName>
    <definedName name="IQRHistoricMultiplesAW9" localSheetId="13" hidden="1">#REF!</definedName>
    <definedName name="IQRHistoricMultiplesAW9" localSheetId="64" hidden="1">#REF!</definedName>
    <definedName name="IQRHistoricMultiplesAW9" localSheetId="62" hidden="1">#REF!</definedName>
    <definedName name="IQRHistoricMultiplesAW9" localSheetId="73" hidden="1">#REF!</definedName>
    <definedName name="IQRHistoricMultiplesAW9" localSheetId="72" hidden="1">#REF!</definedName>
    <definedName name="IQRHistoricMultiplesAW9" localSheetId="29" hidden="1">#REF!</definedName>
    <definedName name="IQRHistoricMultiplesAW9" localSheetId="36" hidden="1">#REF!</definedName>
    <definedName name="IQRHistoricMultiplesAW9" localSheetId="30" hidden="1">#REF!</definedName>
    <definedName name="IQRHistoricMultiplesAW9" hidden="1">#REF!</definedName>
    <definedName name="IQRHistoricMultiplesBB9" localSheetId="35" hidden="1">#REF!</definedName>
    <definedName name="IQRHistoricMultiplesBB9" localSheetId="4" hidden="1">#REF!</definedName>
    <definedName name="IQRHistoricMultiplesBB9" localSheetId="13" hidden="1">#REF!</definedName>
    <definedName name="IQRHistoricMultiplesBB9" localSheetId="64" hidden="1">#REF!</definedName>
    <definedName name="IQRHistoricMultiplesBB9" localSheetId="62" hidden="1">#REF!</definedName>
    <definedName name="IQRHistoricMultiplesBB9" localSheetId="73" hidden="1">#REF!</definedName>
    <definedName name="IQRHistoricMultiplesBB9" localSheetId="72" hidden="1">#REF!</definedName>
    <definedName name="IQRHistoricMultiplesBB9" localSheetId="29" hidden="1">#REF!</definedName>
    <definedName name="IQRHistoricMultiplesBB9" localSheetId="36" hidden="1">#REF!</definedName>
    <definedName name="IQRHistoricMultiplesBB9" localSheetId="30" hidden="1">#REF!</definedName>
    <definedName name="IQRHistoricMultiplesBB9" hidden="1">#REF!</definedName>
    <definedName name="IQRHistoricMultiplesBG9" localSheetId="35" hidden="1">#REF!</definedName>
    <definedName name="IQRHistoricMultiplesBG9" localSheetId="4" hidden="1">#REF!</definedName>
    <definedName name="IQRHistoricMultiplesBG9" localSheetId="13" hidden="1">#REF!</definedName>
    <definedName name="IQRHistoricMultiplesBG9" localSheetId="64" hidden="1">#REF!</definedName>
    <definedName name="IQRHistoricMultiplesBG9" localSheetId="62" hidden="1">#REF!</definedName>
    <definedName name="IQRHistoricMultiplesBG9" localSheetId="73" hidden="1">#REF!</definedName>
    <definedName name="IQRHistoricMultiplesBG9" localSheetId="72" hidden="1">#REF!</definedName>
    <definedName name="IQRHistoricMultiplesBG9" localSheetId="29" hidden="1">#REF!</definedName>
    <definedName name="IQRHistoricMultiplesBG9" localSheetId="36" hidden="1">#REF!</definedName>
    <definedName name="IQRHistoricMultiplesBG9" localSheetId="30" hidden="1">#REF!</definedName>
    <definedName name="IQRHistoricMultiplesBG9" hidden="1">#REF!</definedName>
    <definedName name="IQRHistoricMultiplesBL9" localSheetId="35" hidden="1">#REF!</definedName>
    <definedName name="IQRHistoricMultiplesBL9" localSheetId="4" hidden="1">#REF!</definedName>
    <definedName name="IQRHistoricMultiplesBL9" localSheetId="13" hidden="1">#REF!</definedName>
    <definedName name="IQRHistoricMultiplesBL9" localSheetId="64" hidden="1">#REF!</definedName>
    <definedName name="IQRHistoricMultiplesBL9" localSheetId="62" hidden="1">#REF!</definedName>
    <definedName name="IQRHistoricMultiplesBL9" localSheetId="73" hidden="1">#REF!</definedName>
    <definedName name="IQRHistoricMultiplesBL9" localSheetId="72" hidden="1">#REF!</definedName>
    <definedName name="IQRHistoricMultiplesBL9" localSheetId="29" hidden="1">#REF!</definedName>
    <definedName name="IQRHistoricMultiplesBL9" localSheetId="36" hidden="1">#REF!</definedName>
    <definedName name="IQRHistoricMultiplesBL9" localSheetId="30" hidden="1">#REF!</definedName>
    <definedName name="IQRHistoricMultiplesBL9" hidden="1">#REF!</definedName>
    <definedName name="IQRHistoricMultiplesBQ9" localSheetId="35" hidden="1">#REF!</definedName>
    <definedName name="IQRHistoricMultiplesBQ9" localSheetId="4" hidden="1">#REF!</definedName>
    <definedName name="IQRHistoricMultiplesBQ9" localSheetId="13" hidden="1">#REF!</definedName>
    <definedName name="IQRHistoricMultiplesBQ9" localSheetId="64" hidden="1">#REF!</definedName>
    <definedName name="IQRHistoricMultiplesBQ9" localSheetId="62" hidden="1">#REF!</definedName>
    <definedName name="IQRHistoricMultiplesBQ9" localSheetId="73" hidden="1">#REF!</definedName>
    <definedName name="IQRHistoricMultiplesBQ9" localSheetId="72" hidden="1">#REF!</definedName>
    <definedName name="IQRHistoricMultiplesBQ9" localSheetId="29" hidden="1">#REF!</definedName>
    <definedName name="IQRHistoricMultiplesBQ9" localSheetId="36" hidden="1">#REF!</definedName>
    <definedName name="IQRHistoricMultiplesBQ9" localSheetId="30" hidden="1">#REF!</definedName>
    <definedName name="IQRHistoricMultiplesBQ9" hidden="1">#REF!</definedName>
    <definedName name="IQRHistoricMultiplesBV9" localSheetId="35" hidden="1">#REF!</definedName>
    <definedName name="IQRHistoricMultiplesBV9" localSheetId="4" hidden="1">#REF!</definedName>
    <definedName name="IQRHistoricMultiplesBV9" localSheetId="13" hidden="1">#REF!</definedName>
    <definedName name="IQRHistoricMultiplesBV9" localSheetId="64" hidden="1">#REF!</definedName>
    <definedName name="IQRHistoricMultiplesBV9" localSheetId="62" hidden="1">#REF!</definedName>
    <definedName name="IQRHistoricMultiplesBV9" localSheetId="73" hidden="1">#REF!</definedName>
    <definedName name="IQRHistoricMultiplesBV9" localSheetId="72" hidden="1">#REF!</definedName>
    <definedName name="IQRHistoricMultiplesBV9" localSheetId="29" hidden="1">#REF!</definedName>
    <definedName name="IQRHistoricMultiplesBV9" localSheetId="36" hidden="1">#REF!</definedName>
    <definedName name="IQRHistoricMultiplesBV9" localSheetId="30" hidden="1">#REF!</definedName>
    <definedName name="IQRHistoricMultiplesBV9" hidden="1">#REF!</definedName>
    <definedName name="IQRHistoricMultiplesCA9" localSheetId="35" hidden="1">#REF!</definedName>
    <definedName name="IQRHistoricMultiplesCA9" localSheetId="4" hidden="1">#REF!</definedName>
    <definedName name="IQRHistoricMultiplesCA9" localSheetId="13" hidden="1">#REF!</definedName>
    <definedName name="IQRHistoricMultiplesCA9" localSheetId="64" hidden="1">#REF!</definedName>
    <definedName name="IQRHistoricMultiplesCA9" localSheetId="62" hidden="1">#REF!</definedName>
    <definedName name="IQRHistoricMultiplesCA9" localSheetId="73" hidden="1">#REF!</definedName>
    <definedName name="IQRHistoricMultiplesCA9" localSheetId="72" hidden="1">#REF!</definedName>
    <definedName name="IQRHistoricMultiplesCA9" localSheetId="29" hidden="1">#REF!</definedName>
    <definedName name="IQRHistoricMultiplesCA9" localSheetId="36" hidden="1">#REF!</definedName>
    <definedName name="IQRHistoricMultiplesCA9" localSheetId="30" hidden="1">#REF!</definedName>
    <definedName name="IQRHistoricMultiplesCA9" hidden="1">#REF!</definedName>
    <definedName name="IQRHistoricMultiplesCF9" localSheetId="35" hidden="1">#REF!</definedName>
    <definedName name="IQRHistoricMultiplesCF9" localSheetId="4" hidden="1">#REF!</definedName>
    <definedName name="IQRHistoricMultiplesCF9" localSheetId="13" hidden="1">#REF!</definedName>
    <definedName name="IQRHistoricMultiplesCF9" localSheetId="64" hidden="1">#REF!</definedName>
    <definedName name="IQRHistoricMultiplesCF9" localSheetId="62" hidden="1">#REF!</definedName>
    <definedName name="IQRHistoricMultiplesCF9" localSheetId="73" hidden="1">#REF!</definedName>
    <definedName name="IQRHistoricMultiplesCF9" localSheetId="72" hidden="1">#REF!</definedName>
    <definedName name="IQRHistoricMultiplesCF9" localSheetId="29" hidden="1">#REF!</definedName>
    <definedName name="IQRHistoricMultiplesCF9" localSheetId="36" hidden="1">#REF!</definedName>
    <definedName name="IQRHistoricMultiplesCF9" localSheetId="30" hidden="1">#REF!</definedName>
    <definedName name="IQRHistoricMultiplesCF9" hidden="1">#REF!</definedName>
    <definedName name="IQRHistoricMultiplesCK9" localSheetId="35" hidden="1">#REF!</definedName>
    <definedName name="IQRHistoricMultiplesCK9" localSheetId="4" hidden="1">#REF!</definedName>
    <definedName name="IQRHistoricMultiplesCK9" localSheetId="13" hidden="1">#REF!</definedName>
    <definedName name="IQRHistoricMultiplesCK9" localSheetId="64" hidden="1">#REF!</definedName>
    <definedName name="IQRHistoricMultiplesCK9" localSheetId="62" hidden="1">#REF!</definedName>
    <definedName name="IQRHistoricMultiplesCK9" localSheetId="73" hidden="1">#REF!</definedName>
    <definedName name="IQRHistoricMultiplesCK9" localSheetId="72" hidden="1">#REF!</definedName>
    <definedName name="IQRHistoricMultiplesCK9" localSheetId="29" hidden="1">#REF!</definedName>
    <definedName name="IQRHistoricMultiplesCK9" localSheetId="36" hidden="1">#REF!</definedName>
    <definedName name="IQRHistoricMultiplesCK9" localSheetId="30" hidden="1">#REF!</definedName>
    <definedName name="IQRHistoricMultiplesCK9" hidden="1">#REF!</definedName>
    <definedName name="IQRIPOAF12" localSheetId="35" hidden="1">#REF!</definedName>
    <definedName name="IQRIPOAF12" localSheetId="4" hidden="1">#REF!</definedName>
    <definedName name="IQRIPOAF12" localSheetId="13" hidden="1">#REF!</definedName>
    <definedName name="IQRIPOAF12" localSheetId="64" hidden="1">#REF!</definedName>
    <definedName name="IQRIPOAF12" localSheetId="62" hidden="1">#REF!</definedName>
    <definedName name="IQRIPOAF12" localSheetId="73" hidden="1">#REF!</definedName>
    <definedName name="IQRIPOAF12" localSheetId="72" hidden="1">#REF!</definedName>
    <definedName name="IQRIPOAF12" localSheetId="29" hidden="1">#REF!</definedName>
    <definedName name="IQRIPOAF12" localSheetId="36" hidden="1">#REF!</definedName>
    <definedName name="IQRIPOAF12" localSheetId="30" hidden="1">#REF!</definedName>
    <definedName name="IQRIPOAF12" hidden="1">#REF!</definedName>
    <definedName name="IQRIPOAF13" localSheetId="35" hidden="1">#REF!</definedName>
    <definedName name="IQRIPOAF13" localSheetId="4" hidden="1">#REF!</definedName>
    <definedName name="IQRIPOAF13" localSheetId="13" hidden="1">#REF!</definedName>
    <definedName name="IQRIPOAF13" localSheetId="64" hidden="1">#REF!</definedName>
    <definedName name="IQRIPOAF13" localSheetId="62" hidden="1">#REF!</definedName>
    <definedName name="IQRIPOAF13" localSheetId="73" hidden="1">#REF!</definedName>
    <definedName name="IQRIPOAF13" localSheetId="72" hidden="1">#REF!</definedName>
    <definedName name="IQRIPOAF13" localSheetId="29" hidden="1">#REF!</definedName>
    <definedName name="IQRIPOAF13" localSheetId="36" hidden="1">#REF!</definedName>
    <definedName name="IQRIPOAF13" localSheetId="30" hidden="1">#REF!</definedName>
    <definedName name="IQRIPOAF13" hidden="1">#REF!</definedName>
    <definedName name="IQRIPOAF14" localSheetId="35" hidden="1">[14]IPO!#REF!</definedName>
    <definedName name="IQRIPOAF14" localSheetId="4" hidden="1">[14]IPO!#REF!</definedName>
    <definedName name="IQRIPOAF14" localSheetId="13" hidden="1">[14]IPO!#REF!</definedName>
    <definedName name="IQRIPOAF14" localSheetId="64" hidden="1">[14]IPO!#REF!</definedName>
    <definedName name="IQRIPOAF14" localSheetId="62" hidden="1">[14]IPO!#REF!</definedName>
    <definedName name="IQRIPOAF14" localSheetId="73" hidden="1">[14]IPO!#REF!</definedName>
    <definedName name="IQRIPOAF14" localSheetId="72" hidden="1">[14]IPO!#REF!</definedName>
    <definedName name="IQRIPOAF14" localSheetId="29" hidden="1">[14]IPO!#REF!</definedName>
    <definedName name="IQRIPOAF14" localSheetId="36" hidden="1">[14]IPO!#REF!</definedName>
    <definedName name="IQRIPOAF14" localSheetId="30" hidden="1">[14]IPO!#REF!</definedName>
    <definedName name="IQRIPOAF14" hidden="1">[14]IPO!#REF!</definedName>
    <definedName name="IQRIPOAF15" localSheetId="35" hidden="1">#REF!</definedName>
    <definedName name="IQRIPOAF15" localSheetId="4" hidden="1">#REF!</definedName>
    <definedName name="IQRIPOAF15" localSheetId="13" hidden="1">#REF!</definedName>
    <definedName name="IQRIPOAF15" localSheetId="64" hidden="1">#REF!</definedName>
    <definedName name="IQRIPOAF15" localSheetId="62" hidden="1">#REF!</definedName>
    <definedName name="IQRIPOAF15" localSheetId="73" hidden="1">#REF!</definedName>
    <definedName name="IQRIPOAF15" localSheetId="72" hidden="1">#REF!</definedName>
    <definedName name="IQRIPOAF15" localSheetId="29" hidden="1">#REF!</definedName>
    <definedName name="IQRIPOAF15" localSheetId="36" hidden="1">#REF!</definedName>
    <definedName name="IQRIPOAF15" localSheetId="30" hidden="1">#REF!</definedName>
    <definedName name="IQRIPOAF15" hidden="1">#REF!</definedName>
    <definedName name="IQRIPOAF16" localSheetId="35" hidden="1">#REF!</definedName>
    <definedName name="IQRIPOAF16" localSheetId="4" hidden="1">#REF!</definedName>
    <definedName name="IQRIPOAF16" localSheetId="13" hidden="1">#REF!</definedName>
    <definedName name="IQRIPOAF16" localSheetId="64" hidden="1">#REF!</definedName>
    <definedName name="IQRIPOAF16" localSheetId="62" hidden="1">#REF!</definedName>
    <definedName name="IQRIPOAF16" localSheetId="73" hidden="1">#REF!</definedName>
    <definedName name="IQRIPOAF16" localSheetId="72" hidden="1">#REF!</definedName>
    <definedName name="IQRIPOAF16" localSheetId="29" hidden="1">#REF!</definedName>
    <definedName name="IQRIPOAF16" localSheetId="36" hidden="1">#REF!</definedName>
    <definedName name="IQRIPOAF16" localSheetId="30" hidden="1">#REF!</definedName>
    <definedName name="IQRIPOAF16" hidden="1">#REF!</definedName>
    <definedName name="IQRIPOAF17" localSheetId="35" hidden="1">#REF!</definedName>
    <definedName name="IQRIPOAF17" localSheetId="4" hidden="1">#REF!</definedName>
    <definedName name="IQRIPOAF17" localSheetId="13" hidden="1">#REF!</definedName>
    <definedName name="IQRIPOAF17" localSheetId="64" hidden="1">#REF!</definedName>
    <definedName name="IQRIPOAF17" localSheetId="62" hidden="1">#REF!</definedName>
    <definedName name="IQRIPOAF17" localSheetId="73" hidden="1">#REF!</definedName>
    <definedName name="IQRIPOAF17" localSheetId="72" hidden="1">#REF!</definedName>
    <definedName name="IQRIPOAF17" localSheetId="29" hidden="1">#REF!</definedName>
    <definedName name="IQRIPOAF17" localSheetId="36" hidden="1">#REF!</definedName>
    <definedName name="IQRIPOAF17" localSheetId="30" hidden="1">#REF!</definedName>
    <definedName name="IQRIPOAF17" hidden="1">#REF!</definedName>
    <definedName name="IQRIPOAF18" localSheetId="35" hidden="1">#REF!</definedName>
    <definedName name="IQRIPOAF18" localSheetId="4" hidden="1">#REF!</definedName>
    <definedName name="IQRIPOAF18" localSheetId="13" hidden="1">#REF!</definedName>
    <definedName name="IQRIPOAF18" localSheetId="64" hidden="1">#REF!</definedName>
    <definedName name="IQRIPOAF18" localSheetId="62" hidden="1">#REF!</definedName>
    <definedName name="IQRIPOAF18" localSheetId="73" hidden="1">#REF!</definedName>
    <definedName name="IQRIPOAF18" localSheetId="72" hidden="1">#REF!</definedName>
    <definedName name="IQRIPOAF18" localSheetId="29" hidden="1">#REF!</definedName>
    <definedName name="IQRIPOAF18" localSheetId="36" hidden="1">#REF!</definedName>
    <definedName name="IQRIPOAF18" localSheetId="30" hidden="1">#REF!</definedName>
    <definedName name="IQRIPOAF18" hidden="1">#REF!</definedName>
    <definedName name="IQRIPOAF19" localSheetId="35" hidden="1">#REF!</definedName>
    <definedName name="IQRIPOAF19" localSheetId="4" hidden="1">#REF!</definedName>
    <definedName name="IQRIPOAF19" localSheetId="13" hidden="1">#REF!</definedName>
    <definedName name="IQRIPOAF19" localSheetId="64" hidden="1">#REF!</definedName>
    <definedName name="IQRIPOAF19" localSheetId="62" hidden="1">#REF!</definedName>
    <definedName name="IQRIPOAF19" localSheetId="73" hidden="1">#REF!</definedName>
    <definedName name="IQRIPOAF19" localSheetId="72" hidden="1">#REF!</definedName>
    <definedName name="IQRIPOAF19" localSheetId="29" hidden="1">#REF!</definedName>
    <definedName name="IQRIPOAF19" localSheetId="36" hidden="1">#REF!</definedName>
    <definedName name="IQRIPOAF19" localSheetId="30" hidden="1">#REF!</definedName>
    <definedName name="IQRIPOAF19" hidden="1">#REF!</definedName>
    <definedName name="IQRIPOAF20" localSheetId="35" hidden="1">#REF!</definedName>
    <definedName name="IQRIPOAF20" localSheetId="4" hidden="1">#REF!</definedName>
    <definedName name="IQRIPOAF20" localSheetId="13" hidden="1">#REF!</definedName>
    <definedName name="IQRIPOAF20" localSheetId="64" hidden="1">#REF!</definedName>
    <definedName name="IQRIPOAF20" localSheetId="62" hidden="1">#REF!</definedName>
    <definedName name="IQRIPOAF20" localSheetId="73" hidden="1">#REF!</definedName>
    <definedName name="IQRIPOAF20" localSheetId="72" hidden="1">#REF!</definedName>
    <definedName name="IQRIPOAF20" localSheetId="29" hidden="1">#REF!</definedName>
    <definedName name="IQRIPOAF20" localSheetId="36" hidden="1">#REF!</definedName>
    <definedName name="IQRIPOAF20" localSheetId="30" hidden="1">#REF!</definedName>
    <definedName name="IQRIPOAF20" hidden="1">#REF!</definedName>
    <definedName name="IQRIPOAF21" localSheetId="35" hidden="1">#REF!</definedName>
    <definedName name="IQRIPOAF21" localSheetId="4" hidden="1">#REF!</definedName>
    <definedName name="IQRIPOAF21" localSheetId="13" hidden="1">#REF!</definedName>
    <definedName name="IQRIPOAF21" localSheetId="64" hidden="1">#REF!</definedName>
    <definedName name="IQRIPOAF21" localSheetId="62" hidden="1">#REF!</definedName>
    <definedName name="IQRIPOAF21" localSheetId="73" hidden="1">#REF!</definedName>
    <definedName name="IQRIPOAF21" localSheetId="72" hidden="1">#REF!</definedName>
    <definedName name="IQRIPOAF21" localSheetId="29" hidden="1">#REF!</definedName>
    <definedName name="IQRIPOAF21" localSheetId="36" hidden="1">#REF!</definedName>
    <definedName name="IQRIPOAF21" localSheetId="30" hidden="1">#REF!</definedName>
    <definedName name="IQRIPOAF21" hidden="1">#REF!</definedName>
    <definedName name="IQRIPOAF22" localSheetId="35" hidden="1">#REF!</definedName>
    <definedName name="IQRIPOAF22" localSheetId="4" hidden="1">#REF!</definedName>
    <definedName name="IQRIPOAF22" localSheetId="13" hidden="1">#REF!</definedName>
    <definedName name="IQRIPOAF22" localSheetId="64" hidden="1">#REF!</definedName>
    <definedName name="IQRIPOAF22" localSheetId="62" hidden="1">#REF!</definedName>
    <definedName name="IQRIPOAF22" localSheetId="73" hidden="1">#REF!</definedName>
    <definedName name="IQRIPOAF22" localSheetId="72" hidden="1">#REF!</definedName>
    <definedName name="IQRIPOAF22" localSheetId="29" hidden="1">#REF!</definedName>
    <definedName name="IQRIPOAF22" localSheetId="36" hidden="1">#REF!</definedName>
    <definedName name="IQRIPOAF22" localSheetId="30" hidden="1">#REF!</definedName>
    <definedName name="IQRIPOAF22" hidden="1">#REF!</definedName>
    <definedName name="IQRIPOAF23" localSheetId="35" hidden="1">#REF!</definedName>
    <definedName name="IQRIPOAF23" localSheetId="4" hidden="1">#REF!</definedName>
    <definedName name="IQRIPOAF23" localSheetId="13" hidden="1">#REF!</definedName>
    <definedName name="IQRIPOAF23" localSheetId="64" hidden="1">#REF!</definedName>
    <definedName name="IQRIPOAF23" localSheetId="62" hidden="1">#REF!</definedName>
    <definedName name="IQRIPOAF23" localSheetId="73" hidden="1">#REF!</definedName>
    <definedName name="IQRIPOAF23" localSheetId="72" hidden="1">#REF!</definedName>
    <definedName name="IQRIPOAF23" localSheetId="29" hidden="1">#REF!</definedName>
    <definedName name="IQRIPOAF23" localSheetId="36" hidden="1">#REF!</definedName>
    <definedName name="IQRIPOAF23" localSheetId="30" hidden="1">#REF!</definedName>
    <definedName name="IQRIPOAF23" hidden="1">#REF!</definedName>
    <definedName name="IQRIPOAF24" localSheetId="35" hidden="1">#REF!</definedName>
    <definedName name="IQRIPOAF24" localSheetId="4" hidden="1">#REF!</definedName>
    <definedName name="IQRIPOAF24" localSheetId="13" hidden="1">#REF!</definedName>
    <definedName name="IQRIPOAF24" localSheetId="64" hidden="1">#REF!</definedName>
    <definedName name="IQRIPOAF24" localSheetId="62" hidden="1">#REF!</definedName>
    <definedName name="IQRIPOAF24" localSheetId="73" hidden="1">#REF!</definedName>
    <definedName name="IQRIPOAF24" localSheetId="72" hidden="1">#REF!</definedName>
    <definedName name="IQRIPOAF24" localSheetId="29" hidden="1">#REF!</definedName>
    <definedName name="IQRIPOAF24" localSheetId="36" hidden="1">#REF!</definedName>
    <definedName name="IQRIPOAF24" localSheetId="30" hidden="1">#REF!</definedName>
    <definedName name="IQRIPOAF24" hidden="1">#REF!</definedName>
    <definedName name="IQRIPOAF25" localSheetId="35" hidden="1">[14]IPO!#REF!</definedName>
    <definedName name="IQRIPOAF25" localSheetId="4" hidden="1">[14]IPO!#REF!</definedName>
    <definedName name="IQRIPOAF25" localSheetId="13" hidden="1">[14]IPO!#REF!</definedName>
    <definedName name="IQRIPOAF25" localSheetId="64" hidden="1">[14]IPO!#REF!</definedName>
    <definedName name="IQRIPOAF25" localSheetId="62" hidden="1">[14]IPO!#REF!</definedName>
    <definedName name="IQRIPOAF25" localSheetId="73" hidden="1">[14]IPO!#REF!</definedName>
    <definedName name="IQRIPOAF25" localSheetId="72" hidden="1">[14]IPO!#REF!</definedName>
    <definedName name="IQRIPOAF25" localSheetId="29" hidden="1">[14]IPO!#REF!</definedName>
    <definedName name="IQRIPOAF25" localSheetId="36" hidden="1">[14]IPO!#REF!</definedName>
    <definedName name="IQRIPOAF25" localSheetId="30" hidden="1">[14]IPO!#REF!</definedName>
    <definedName name="IQRIPOAF25" hidden="1">[14]IPO!#REF!</definedName>
    <definedName name="IQRIPOAF26" localSheetId="35" hidden="1">#REF!</definedName>
    <definedName name="IQRIPOAF26" localSheetId="4" hidden="1">#REF!</definedName>
    <definedName name="IQRIPOAF26" localSheetId="13" hidden="1">#REF!</definedName>
    <definedName name="IQRIPOAF26" localSheetId="64" hidden="1">#REF!</definedName>
    <definedName name="IQRIPOAF26" localSheetId="62" hidden="1">#REF!</definedName>
    <definedName name="IQRIPOAF26" localSheetId="73" hidden="1">#REF!</definedName>
    <definedName name="IQRIPOAF26" localSheetId="72" hidden="1">#REF!</definedName>
    <definedName name="IQRIPOAF26" localSheetId="29" hidden="1">#REF!</definedName>
    <definedName name="IQRIPOAF26" localSheetId="36" hidden="1">#REF!</definedName>
    <definedName name="IQRIPOAF26" localSheetId="30" hidden="1">#REF!</definedName>
    <definedName name="IQRIPOAF26" hidden="1">#REF!</definedName>
    <definedName name="IQRIPOAF27" localSheetId="35" hidden="1">#REF!</definedName>
    <definedName name="IQRIPOAF27" localSheetId="4" hidden="1">#REF!</definedName>
    <definedName name="IQRIPOAF27" localSheetId="13" hidden="1">#REF!</definedName>
    <definedName name="IQRIPOAF27" localSheetId="64" hidden="1">#REF!</definedName>
    <definedName name="IQRIPOAF27" localSheetId="62" hidden="1">#REF!</definedName>
    <definedName name="IQRIPOAF27" localSheetId="73" hidden="1">#REF!</definedName>
    <definedName name="IQRIPOAF27" localSheetId="72" hidden="1">#REF!</definedName>
    <definedName name="IQRIPOAF27" localSheetId="29" hidden="1">#REF!</definedName>
    <definedName name="IQRIPOAF27" localSheetId="36" hidden="1">#REF!</definedName>
    <definedName name="IQRIPOAF27" localSheetId="30" hidden="1">#REF!</definedName>
    <definedName name="IQRIPOAF27" hidden="1">#REF!</definedName>
    <definedName name="IQRIPOAF28" localSheetId="35" hidden="1">#REF!</definedName>
    <definedName name="IQRIPOAF28" localSheetId="4" hidden="1">#REF!</definedName>
    <definedName name="IQRIPOAF28" localSheetId="13" hidden="1">#REF!</definedName>
    <definedName name="IQRIPOAF28" localSheetId="64" hidden="1">#REF!</definedName>
    <definedName name="IQRIPOAF28" localSheetId="62" hidden="1">#REF!</definedName>
    <definedName name="IQRIPOAF28" localSheetId="73" hidden="1">#REF!</definedName>
    <definedName name="IQRIPOAF28" localSheetId="72" hidden="1">#REF!</definedName>
    <definedName name="IQRIPOAF28" localSheetId="29" hidden="1">#REF!</definedName>
    <definedName name="IQRIPOAF28" localSheetId="36" hidden="1">#REF!</definedName>
    <definedName name="IQRIPOAF28" localSheetId="30" hidden="1">#REF!</definedName>
    <definedName name="IQRIPOAF28" hidden="1">#REF!</definedName>
    <definedName name="IQRIPOAF29" localSheetId="35" hidden="1">[14]IPO!#REF!</definedName>
    <definedName name="IQRIPOAF29" localSheetId="4" hidden="1">[14]IPO!#REF!</definedName>
    <definedName name="IQRIPOAF29" localSheetId="13" hidden="1">[14]IPO!#REF!</definedName>
    <definedName name="IQRIPOAF29" localSheetId="64" hidden="1">[14]IPO!#REF!</definedName>
    <definedName name="IQRIPOAF29" localSheetId="62" hidden="1">[14]IPO!#REF!</definedName>
    <definedName name="IQRIPOAF29" localSheetId="73" hidden="1">[14]IPO!#REF!</definedName>
    <definedName name="IQRIPOAF29" localSheetId="72" hidden="1">[14]IPO!#REF!</definedName>
    <definedName name="IQRIPOAF29" localSheetId="29" hidden="1">[14]IPO!#REF!</definedName>
    <definedName name="IQRIPOAF29" localSheetId="36" hidden="1">[14]IPO!#REF!</definedName>
    <definedName name="IQRIPOAF29" localSheetId="30" hidden="1">[14]IPO!#REF!</definedName>
    <definedName name="IQRIPOAF29" hidden="1">[14]IPO!#REF!</definedName>
    <definedName name="IQRJ22" hidden="1">"$J$23:$J$42"</definedName>
    <definedName name="IQRK9" hidden="1">"$K$10:$K$1268"</definedName>
    <definedName name="IQRL3" hidden="1">"$L$4:$L$55"</definedName>
    <definedName name="IQRM22" hidden="1">"$M$23:$M$42"</definedName>
    <definedName name="IQRM3" hidden="1">"$M$4:$M$55"</definedName>
    <definedName name="IQRN3" hidden="1">"$N$4:$N$67"</definedName>
    <definedName name="IQROptionValI16" localSheetId="35" hidden="1">'[15]Option Val.'!#REF!</definedName>
    <definedName name="IQROptionValI16" localSheetId="4" hidden="1">'[15]Option Val.'!#REF!</definedName>
    <definedName name="IQROptionValI16" localSheetId="13" hidden="1">'[15]Option Val.'!#REF!</definedName>
    <definedName name="IQROptionValI16" localSheetId="64" hidden="1">'[15]Option Val.'!#REF!</definedName>
    <definedName name="IQROptionValI16" localSheetId="36" hidden="1">'[15]Option Val.'!#REF!</definedName>
    <definedName name="IQROptionValI16" localSheetId="30" hidden="1">'[15]Option Val.'!#REF!</definedName>
    <definedName name="IQROptionValI16" hidden="1">'[15]Option Val.'!#REF!</definedName>
    <definedName name="IQRP22" hidden="1">"$P$23:$P$42"</definedName>
    <definedName name="IQRS22" hidden="1">"$S$23:$S$42"</definedName>
    <definedName name="IQRT22" hidden="1">"$T$23:$T$32"</definedName>
    <definedName name="IQRU14" hidden="1">"$U$15:$U$266"</definedName>
    <definedName name="IQRV22" hidden="1">"$V$23:$V$42"</definedName>
    <definedName name="IQRWACCCapIQBV10" localSheetId="35" hidden="1">#REF!</definedName>
    <definedName name="IQRWACCCapIQBV10" localSheetId="4" hidden="1">#REF!</definedName>
    <definedName name="IQRWACCCapIQBV10" localSheetId="13" hidden="1">#REF!</definedName>
    <definedName name="IQRWACCCapIQBV10" localSheetId="64" hidden="1">#REF!</definedName>
    <definedName name="IQRWACCCapIQBV10" localSheetId="36" hidden="1">#REF!</definedName>
    <definedName name="IQRWACCCapIQBV10" localSheetId="30" hidden="1">#REF!</definedName>
    <definedName name="IQRWACCCapIQBV10" hidden="1">#REF!</definedName>
    <definedName name="IQRWACCCapIQCD10" localSheetId="35" hidden="1">#REF!</definedName>
    <definedName name="IQRWACCCapIQCD10" localSheetId="4" hidden="1">#REF!</definedName>
    <definedName name="IQRWACCCapIQCD10" localSheetId="13" hidden="1">#REF!</definedName>
    <definedName name="IQRWACCCapIQCD10" localSheetId="64" hidden="1">#REF!</definedName>
    <definedName name="IQRWACCCapIQCD10" localSheetId="36" hidden="1">#REF!</definedName>
    <definedName name="IQRWACCCapIQCD10" localSheetId="30" hidden="1">#REF!</definedName>
    <definedName name="IQRWACCCapIQCD10" hidden="1">#REF!</definedName>
    <definedName name="IQRY22" hidden="1">"$Y$23:$Y$42"</definedName>
    <definedName name="IsColHidden" hidden="1">FALSE</definedName>
    <definedName name="IsLTMColHidden" hidden="1">FALSE</definedName>
    <definedName name="jjj" hidden="1">{#N/A,#N/A,FALSE,"Bakersfield PCs";#N/A,#N/A,FALSE,"Bremer PCs";#N/A,#N/A,FALSE,"Bakersfield Notebooks"}</definedName>
    <definedName name="jlklkjlk" hidden="1">{#N/A,#N/A,FALSE,"Bakersfield PCs";#N/A,#N/A,FALSE,"Bremer PCs";#N/A,#N/A,FALSE,"Bakersfield Notebooks"}</definedName>
    <definedName name="K2_WBEVMODE" hidden="1">-1</definedName>
    <definedName name="kin" localSheetId="35" hidden="1">#REF!</definedName>
    <definedName name="kin" localSheetId="4" hidden="1">#REF!</definedName>
    <definedName name="kin" localSheetId="13" hidden="1">#REF!</definedName>
    <definedName name="kin" localSheetId="64" hidden="1">#REF!</definedName>
    <definedName name="kin" localSheetId="62" hidden="1">#REF!</definedName>
    <definedName name="kin" localSheetId="73" hidden="1">#REF!</definedName>
    <definedName name="kin" localSheetId="72" hidden="1">#REF!</definedName>
    <definedName name="kin" localSheetId="29" hidden="1">#REF!</definedName>
    <definedName name="kin" localSheetId="36" hidden="1">#REF!</definedName>
    <definedName name="kin" localSheetId="30" hidden="1">#REF!</definedName>
    <definedName name="kin" hidden="1">#REF!</definedName>
    <definedName name="kl">#N/A</definedName>
    <definedName name="Last_Row">#N/A</definedName>
    <definedName name="Ledger_Code" hidden="1">" "</definedName>
    <definedName name="Ledger_Selection" hidden="1">" "</definedName>
    <definedName name="LicenseCOS">0.01</definedName>
    <definedName name="limcount" hidden="1">2</definedName>
    <definedName name="lin" localSheetId="35" hidden="1">#REF!</definedName>
    <definedName name="lin" localSheetId="4" hidden="1">#REF!</definedName>
    <definedName name="lin" localSheetId="13" hidden="1">#REF!</definedName>
    <definedName name="lin" localSheetId="64" hidden="1">#REF!</definedName>
    <definedName name="lin" localSheetId="62" hidden="1">#REF!</definedName>
    <definedName name="lin" localSheetId="73" hidden="1">#REF!</definedName>
    <definedName name="lin" localSheetId="72" hidden="1">#REF!</definedName>
    <definedName name="lin" localSheetId="29" hidden="1">#REF!</definedName>
    <definedName name="lin" localSheetId="36" hidden="1">#REF!</definedName>
    <definedName name="lin" localSheetId="30" hidden="1">#REF!</definedName>
    <definedName name="lin" hidden="1">#REF!</definedName>
    <definedName name="ListOffset" hidden="1">1</definedName>
    <definedName name="LOC">20000000</definedName>
    <definedName name="Maintenance">0.15</definedName>
    <definedName name="mb_inputLocation" localSheetId="35" hidden="1">#REF!</definedName>
    <definedName name="mb_inputLocation" localSheetId="4" hidden="1">#REF!</definedName>
    <definedName name="mb_inputLocation" localSheetId="13" hidden="1">#REF!</definedName>
    <definedName name="mb_inputLocation" localSheetId="64" hidden="1">#REF!</definedName>
    <definedName name="mb_inputLocation" localSheetId="62" hidden="1">#REF!</definedName>
    <definedName name="mb_inputLocation" localSheetId="73" hidden="1">#REF!</definedName>
    <definedName name="mb_inputLocation" localSheetId="72" hidden="1">#REF!</definedName>
    <definedName name="mb_inputLocation" localSheetId="29" hidden="1">#REF!</definedName>
    <definedName name="mb_inputLocation" localSheetId="36" hidden="1">#REF!</definedName>
    <definedName name="mb_inputLocation" localSheetId="30" hidden="1">#REF!</definedName>
    <definedName name="mb_inputLocation" hidden="1">#REF!</definedName>
    <definedName name="medmult" localSheetId="35" hidden="1">#REF!</definedName>
    <definedName name="medmult" localSheetId="4" hidden="1">#REF!</definedName>
    <definedName name="medmult" localSheetId="13" hidden="1">#REF!</definedName>
    <definedName name="medmult" localSheetId="64" hidden="1">#REF!</definedName>
    <definedName name="medmult" localSheetId="62" hidden="1">#REF!</definedName>
    <definedName name="medmult" localSheetId="73" hidden="1">#REF!</definedName>
    <definedName name="medmult" localSheetId="72" hidden="1">#REF!</definedName>
    <definedName name="medmult" localSheetId="29" hidden="1">#REF!</definedName>
    <definedName name="medmult" localSheetId="36" hidden="1">#REF!</definedName>
    <definedName name="medmult" localSheetId="30" hidden="1">#REF!</definedName>
    <definedName name="medmult" hidden="1">#REF!</definedName>
    <definedName name="Month_ID" hidden="1">" "</definedName>
    <definedName name="Name">'[8]Acct Recon'!$A$2</definedName>
    <definedName name="New" hidden="1">{#N/A,#N/A,FALSE,"Title Page";#N/A,#N/A,FALSE,"Conclusions";#N/A,#N/A,FALSE,"Assum.";#N/A,#N/A,FALSE,"Sun  DCF-WC-Dep";#N/A,#N/A,FALSE,"MarketValue";#N/A,#N/A,FALSE,"BalSheet";#N/A,#N/A,FALSE,"WACC";#N/A,#N/A,FALSE,"PC+ Info.";#N/A,#N/A,FALSE,"PC+Info_2"}</definedName>
    <definedName name="NewHire">8500</definedName>
    <definedName name="newJSECcustomer" hidden="1">{#N/A,#N/A,FALSE,"Title Page";#N/A,#N/A,FALSE,"Conclusions";#N/A,#N/A,FALSE,"Assum.";#N/A,#N/A,FALSE,"Sun  DCF-WC-Dep";#N/A,#N/A,FALSE,"MarketValue";#N/A,#N/A,FALSE,"BalSheet";#N/A,#N/A,FALSE,"WACC";#N/A,#N/A,FALSE,"PC+ Info.";#N/A,#N/A,FALSE,"PC+Info_2"}</definedName>
    <definedName name="NextLeft">!IV1</definedName>
    <definedName name="NextUp">!A65536</definedName>
    <definedName name="nn" hidden="1">{#N/A,#N/A,FALSE,"Bakersfield PCs";#N/A,#N/A,FALSE,"Bremer PCs";#N/A,#N/A,FALSE,"Bakersfield Notebooks"}</definedName>
    <definedName name="Number_of_Payments" localSheetId="35">MATCH(0.01,End_Bal,-1)+1</definedName>
    <definedName name="Number_of_Payments" localSheetId="4">MATCH(0.01,End_Bal,-1)+1</definedName>
    <definedName name="Number_of_Payments" localSheetId="13">MATCH(0.01,End_Bal,-1)+1</definedName>
    <definedName name="Number_of_Payments" localSheetId="64">MATCH(0.01,End_Bal,-1)+1</definedName>
    <definedName name="Number_of_Payments" localSheetId="36">MATCH(0.01,End_Bal,-1)+1</definedName>
    <definedName name="Number_of_Payments" localSheetId="30">MATCH(0.01,End_Bal,-1)+1</definedName>
    <definedName name="Number_of_Payments">MATCH(0.01,End_Bal,-1)+1</definedName>
    <definedName name="NvsAnswerCol">"[ZGL_DETMIKE.xls]Sheet1!$A$7:$A$25"</definedName>
    <definedName name="NvsASD">"V2005-03-15"</definedName>
    <definedName name="NvsAutoDrillOk">"VN"</definedName>
    <definedName name="NvsElapsedTime">0.00355324074189411</definedName>
    <definedName name="NvsEndTime">38461.5949421296</definedName>
    <definedName name="NvsInstLang">"VENG"</definedName>
    <definedName name="NvsInstSpec">"%"</definedName>
    <definedName name="NvsInstSpec1">","</definedName>
    <definedName name="NvsInstSpec2">","</definedName>
    <definedName name="NvsInstSpec3">","</definedName>
    <definedName name="NvsInstSpec4">","</definedName>
    <definedName name="NvsInstSpec5">","</definedName>
    <definedName name="NvsInstSpec6">","</definedName>
    <definedName name="NvsInstSpec7">","</definedName>
    <definedName name="NvsInstSpec8">","</definedName>
    <definedName name="NvsInstSpec9">","</definedName>
    <definedName name="NvsLayoutType">"M3"</definedName>
    <definedName name="NvsNplSpec">"%,X,RZT.ACCOUNT.,CZF.."</definedName>
    <definedName name="NvsPanelEffdt">"V1910-01-01"</definedName>
    <definedName name="NvsPanelSetid">"VWORET"</definedName>
    <definedName name="NvsReqBU">"VWOMRT"</definedName>
    <definedName name="NvsReqBUOnly">"VN"</definedName>
    <definedName name="NvsTransLed">"VN"</definedName>
    <definedName name="NvsTreeASD">"V2005-03-15"</definedName>
    <definedName name="NvsValTbl.ACCOUNT">"GL_ACCOUNT_TBL"</definedName>
    <definedName name="NvsValTbl.AFFILIATE">"AFFILIATE_VW"</definedName>
    <definedName name="NvsValTbl.BUSINESS_UNIT">"BUS_UNIT_TBL_GL"</definedName>
    <definedName name="NvsValTbl.DEPTID">"DEPARTMENT_TBL"</definedName>
    <definedName name="o" localSheetId="59" hidden="1">{#N/A,#N/A,FALSE,"New Depr Sch-150% DB";#N/A,#N/A,FALSE,"Cash Flows RLP";#N/A,#N/A,FALSE,"IRR";#N/A,#N/A,FALSE,"Proforma IS";#N/A,#N/A,FALSE,"Assumptions"}</definedName>
    <definedName name="o" hidden="1">{#N/A,#N/A,FALSE,"New Depr Sch-150% DB";#N/A,#N/A,FALSE,"Cash Flows RLP";#N/A,#N/A,FALSE,"IRR";#N/A,#N/A,FALSE,"Proforma IS";#N/A,#N/A,FALSE,"Assumptions"}</definedName>
    <definedName name="ok" hidden="1">{"Opsys",#N/A,FALSE,"NPV_OPsys";"NT",#N/A,FALSE,"NPV_NT";"DevP",#N/A,FALSE,"NPV_DevPdt";"Office",#N/A,FALSE,"NPV_Office"}</definedName>
    <definedName name="oooo" hidden="1">{#N/A,#N/A,FALSE,"Bakersfield PCs";#N/A,#N/A,FALSE,"Bremer PCs";#N/A,#N/A,FALSE,"Bakersfield Notebooks"}</definedName>
    <definedName name="Ownership" localSheetId="35" hidden="1">OFFSET([0]!Data.Top.Left,1,0)</definedName>
    <definedName name="Ownership" localSheetId="4" hidden="1">OFFSET([0]!Data.Top.Left,1,0)</definedName>
    <definedName name="Ownership" localSheetId="13" hidden="1">OFFSET([0]!Data.Top.Left,1,0)</definedName>
    <definedName name="Ownership" localSheetId="64" hidden="1">OFFSET([0]!Data.Top.Left,1,0)</definedName>
    <definedName name="Ownership" localSheetId="62" hidden="1">OFFSET([0]!Data.Top.Left,1,0)</definedName>
    <definedName name="Ownership" localSheetId="73" hidden="1">OFFSET([0]!Data.Top.Left,1,0)</definedName>
    <definedName name="Ownership" localSheetId="72" hidden="1">OFFSET([0]!Data.Top.Left,1,0)</definedName>
    <definedName name="Ownership" localSheetId="29" hidden="1">OFFSET([0]!Data.Top.Left,1,0)</definedName>
    <definedName name="Ownership" localSheetId="36" hidden="1">OFFSET([0]!Data.Top.Left,1,0)</definedName>
    <definedName name="Ownership" localSheetId="30" hidden="1">OFFSET([0]!Data.Top.Left,1,0)</definedName>
    <definedName name="Ownership" hidden="1">OFFSET([0]!Data.Top.Left,1,0)</definedName>
    <definedName name="Payment_Date" localSheetId="35">DATE(YEAR(Loan_Start),MONTH(Loan_Start)+Payment_Number,DAY(Loan_Start))</definedName>
    <definedName name="Payment_Date" localSheetId="4">DATE(YEAR(Loan_Start),MONTH(Loan_Start)+Payment_Number,DAY(Loan_Start))</definedName>
    <definedName name="Payment_Date" localSheetId="13">DATE(YEAR(Loan_Start),MONTH(Loan_Start)+Payment_Number,DAY(Loan_Start))</definedName>
    <definedName name="Payment_Date" localSheetId="64">DATE(YEAR(Loan_Start),MONTH(Loan_Start)+Payment_Number,DAY(Loan_Start))</definedName>
    <definedName name="Payment_Date" localSheetId="36">DATE(YEAR(Loan_Start),MONTH(Loan_Start)+Payment_Number,DAY(Loan_Start))</definedName>
    <definedName name="Payment_Date" localSheetId="30">DATE(YEAR(Loan_Start),MONTH(Loan_Start)+Payment_Number,DAY(Loan_Start))</definedName>
    <definedName name="Payment_Date">DATE(YEAR(Loan_Start),MONTH(Loan_Start)+Payment_Number,DAY(Loan_Start))</definedName>
    <definedName name="PCCnewcustomer" hidden="1">{#N/A,#N/A,FALSE,"Title Page";#N/A,#N/A,FALSE,"Conclusions";#N/A,#N/A,FALSE,"Assum.";#N/A,#N/A,FALSE,"Sun  DCF-WC-Dep";#N/A,#N/A,FALSE,"MarketValue";#N/A,#N/A,FALSE,"BalSheet";#N/A,#N/A,FALSE,"WACC";#N/A,#N/A,FALSE,"PC+ Info.";#N/A,#N/A,FALSE,"PC+Info_2"}</definedName>
    <definedName name="ppp" hidden="1">{#N/A,#N/A,FALSE,"Bakersfield PCs";#N/A,#N/A,FALSE,"Bremer PCs";#N/A,#N/A,FALSE,"Bakersfield Notebooks"}</definedName>
    <definedName name="PRASIMSCENARIOS">"early launch,late launch,"</definedName>
    <definedName name="_xlnm.Print_Area" localSheetId="10">'Allocation Method &gt;&gt;'!$A$1:$G$30</definedName>
    <definedName name="_xlnm.Print_Area" localSheetId="25">'Asset Vol- CVM'!$A$1:$Z$57</definedName>
    <definedName name="_xlnm.Print_Area" localSheetId="34">'Asset Vol_OPM'!$A$1:$Z$57</definedName>
    <definedName name="_xlnm.Print_Area" localSheetId="35">'Asset Vol_OPM DLOM'!$A$1:$Z$57</definedName>
    <definedName name="_xlnm.Print_Area" localSheetId="61">'Beta Calc'!$A$1:$S$48</definedName>
    <definedName name="_xlnm.Print_Area" localSheetId="19">'Cap Structure FP &gt;&gt;'!$A$1:$G$30</definedName>
    <definedName name="_xlnm.Print_Area" localSheetId="20">'Cap Table'!$A$1:$I$33</definedName>
    <definedName name="_xlnm.Print_Area" localSheetId="56">'Capital IQ Sheet-GPC'!$A$1:$BZ$75</definedName>
    <definedName name="_xlnm.Print_Area" localSheetId="57">'Capital IQ Sheet-STM'!$A$1:$AJ$69</definedName>
    <definedName name="_xlnm.Print_Area" localSheetId="4">Checklist!$A$1:$F$26</definedName>
    <definedName name="_xlnm.Print_Area" localSheetId="17">'Comp.1'!$A$1:$AA$53</definedName>
    <definedName name="_xlnm.Print_Area" localSheetId="69">'Comp.2'!$A$1:$X$50</definedName>
    <definedName name="_xlnm.Print_Area" localSheetId="75">'Comp.4'!$A$1:$R$51</definedName>
    <definedName name="_xlnm.Print_Area" localSheetId="77">'Comp.5'!$A$1:$X$48</definedName>
    <definedName name="_xlnm.Print_Area" localSheetId="18">'Comp.6'!$A$1:$E$23</definedName>
    <definedName name="_xlnm.Print_Area" localSheetId="38">'Comparative Sheet'!$A$1:$H$179</definedName>
    <definedName name="_xlnm.Print_Area" localSheetId="63">'Control Premium Summary'!$A$1:$N$41</definedName>
    <definedName name="_xlnm.Print_Area" localSheetId="11">CVM!$A$1:$G$50</definedName>
    <definedName name="_xlnm.Print_Area" localSheetId="68">'Discount Rate FP &gt;&gt;'!$A$1:$G$30</definedName>
    <definedName name="_xlnm.Print_Area" localSheetId="33">DLOM!$A$1:$G$68</definedName>
    <definedName name="_xlnm.Print_Area" localSheetId="24">'DLOM - CVM'!$A$1:$K$71</definedName>
    <definedName name="_xlnm.Print_Area" localSheetId="74">'DLOM Rest Stock'!$A$1:$K$21</definedName>
    <definedName name="_xlnm.Print_Area" localSheetId="21">'Econ Rights'!$A$1:$F$37</definedName>
    <definedName name="_xlnm.Print_Area" localSheetId="26">'Equity Vol'!$A$1:$L$51</definedName>
    <definedName name="_xlnm.Print_Area" localSheetId="13">Forecast!$A$1:$F$44</definedName>
    <definedName name="_xlnm.Print_Area" localSheetId="12">'FS &gt;&gt;'!$A$1:$G$30</definedName>
    <definedName name="_xlnm.Print_Area" localSheetId="16">'GCM FP &gt;&gt;'!$A$1:$G$30</definedName>
    <definedName name="_xlnm.Print_Area" localSheetId="58">'GPC Linked'!$A$1:$BZ$74</definedName>
    <definedName name="_xlnm.Print_Area" localSheetId="78">'GTM FP &gt;&gt;'!$A$1:$G$30</definedName>
    <definedName name="_xlnm.Print_Area" localSheetId="15">'Hist BS'!$A$1:$P$59</definedName>
    <definedName name="_xlnm.Print_Area" localSheetId="14">'Hist IS'!$A$1:$P$46</definedName>
    <definedName name="_xlnm.Print_Area" localSheetId="64">'IPO Data_BioPharma '!$A$1:$Q$157</definedName>
    <definedName name="_xlnm.Print_Area" localSheetId="62">'IPO Data_BioPharma_OPM'!$A$1:$Q$157</definedName>
    <definedName name="_xlnm.Print_Area" localSheetId="73">'IPO Data_Diagnostic'!$A$1:$Q$137</definedName>
    <definedName name="_xlnm.Print_Area" localSheetId="72">'IPO Data_Med Device'!$A$1:$Z$47</definedName>
    <definedName name="_xlnm.Print_Area" localSheetId="76">'Lack Voting'!$A$1:$G$48</definedName>
    <definedName name="_xlnm.Print_Area" localSheetId="71">'Licensing Deals'!$A$1:$L$144</definedName>
    <definedName name="_xlnm.Print_Area" localSheetId="37">'Market Trends since Prior Val'!$A$1:$AA$49</definedName>
    <definedName name="_xlnm.Print_Area" localSheetId="23">'Metrick Gross Value'!$A$1:$W$36</definedName>
    <definedName name="_xlnm.Print_Area" localSheetId="31">'OPM 1'!$A$1:$K$94</definedName>
    <definedName name="_xlnm.Print_Area" localSheetId="32">'OPM 2'!$A$1:$M$17</definedName>
    <definedName name="_xlnm.Print_Area" localSheetId="8">Outline!$A$1:$H$50</definedName>
    <definedName name="_xlnm.Print_Area" localSheetId="29">Outline_Workpapers!$A$1:$G$19</definedName>
    <definedName name="_xlnm.Print_Area" localSheetId="27">'Risk-Free Rates'!$A$1:$F$53</definedName>
    <definedName name="_xlnm.Print_Area" localSheetId="36">'Risk-Free Rates - OPM'!$A$1:$F$53</definedName>
    <definedName name="_xlnm.Print_Area" localSheetId="70">'RoR Stage of Dev'!$A$1:$I$30</definedName>
    <definedName name="_xlnm.Print_Area" localSheetId="59">'STM Linked'!$A$1:$AH$55</definedName>
    <definedName name="_xlnm.Print_Area" localSheetId="22">'Support FP &gt;&gt;'!$A$1:$G$30</definedName>
    <definedName name="_xlnm.Print_Area" localSheetId="7">Title!$A$1:$G$28</definedName>
    <definedName name="_xlnm.Print_Area" localSheetId="28">'Title_Workpapers &gt; &gt;'!$A$1:$G$28</definedName>
    <definedName name="_xlnm.Print_Area" localSheetId="79">Trans.1!$A$1:$AK$47</definedName>
    <definedName name="_xlnm.Print_Area" localSheetId="80">Trans.2!$A$1:$E$27</definedName>
    <definedName name="_xlnm.Print_Area" localSheetId="9">'Val Summ'!$A$1:$K$15</definedName>
    <definedName name="_xlnm.Print_Area" localSheetId="30">'Val Summ_OPM'!$A$1:$K$15</definedName>
    <definedName name="_xlnm.Print_Area" localSheetId="67">'WACC CAPM'!$A$1:$K$42</definedName>
    <definedName name="Print_Area_Reset" localSheetId="35">OFFSET(Full_Print,0,0,[0]!Last_Row)</definedName>
    <definedName name="Print_Area_Reset" localSheetId="4">OFFSET(Full_Print,0,0,[0]!Last_Row)</definedName>
    <definedName name="Print_Area_Reset" localSheetId="13">OFFSET(Full_Print,0,0,[0]!Last_Row)</definedName>
    <definedName name="Print_Area_Reset" localSheetId="64">OFFSET(Full_Print,0,0,[0]!Last_Row)</definedName>
    <definedName name="Print_Area_Reset" localSheetId="62">OFFSET(Full_Print,0,0,Last_Row)</definedName>
    <definedName name="Print_Area_Reset" localSheetId="73">OFFSET(Full_Print,0,0,Last_Row)</definedName>
    <definedName name="Print_Area_Reset" localSheetId="72">OFFSET(Full_Print,0,0,Last_Row)</definedName>
    <definedName name="Print_Area_Reset" localSheetId="29">OFFSET(Full_Print,0,0,Last_Row)</definedName>
    <definedName name="Print_Area_Reset" localSheetId="36">OFFSET(Full_Print,0,0,[0]!Last_Row)</definedName>
    <definedName name="Print_Area_Reset" localSheetId="30">OFFSET(Full_Print,0,0,[0]!Last_Row)</definedName>
    <definedName name="Print_Area_Reset">OFFSET(Full_Print,0,0,Last_Row)</definedName>
    <definedName name="_xlnm.Print_Titles" localSheetId="17">'Comp.1'!$A:$C,'Comp.1'!$1:$9</definedName>
    <definedName name="_xlnm.Print_Titles" localSheetId="69">'Comp.2'!$A:$C,'Comp.2'!$1:$9</definedName>
    <definedName name="_xlnm.Print_Titles" localSheetId="75">'Comp.4'!$A:$C,'Comp.4'!$1:$10</definedName>
    <definedName name="_xlnm.Print_Titles" localSheetId="77">'Comp.5'!$A:$C,'Comp.5'!$1:$5</definedName>
    <definedName name="_xlnm.Print_Titles" localSheetId="18">'Comp.6'!$1:$8</definedName>
    <definedName name="_xlnm.Print_Titles" localSheetId="38">'Comparative Sheet'!$1:$9</definedName>
    <definedName name="_xlnm.Print_Titles" localSheetId="63">'Control Premium Summary'!$1:$17</definedName>
    <definedName name="_xlnm.Print_Titles" localSheetId="64">'IPO Data_BioPharma '!$1:$10</definedName>
    <definedName name="_xlnm.Print_Titles" localSheetId="62">'IPO Data_BioPharma_OPM'!$1:$10</definedName>
    <definedName name="_xlnm.Print_Titles" localSheetId="73">'IPO Data_Diagnostic'!$1:$10</definedName>
    <definedName name="_xlnm.Print_Titles" localSheetId="72">'IPO Data_Med Device'!$1:$7</definedName>
    <definedName name="_xlnm.Print_Titles" localSheetId="50">IS_2015!$A:$F,IS_2015!$1:$1</definedName>
    <definedName name="_xlnm.Print_Titles" localSheetId="47">IS_2016!$A:$F,IS_2016!$1:$1</definedName>
    <definedName name="_xlnm.Print_Titles" localSheetId="44">IS_2017!$A:$F,IS_2017!$1:$1</definedName>
    <definedName name="_xlnm.Print_Titles" localSheetId="41">IS_2018!$A:$F,IS_2018!$1:$1</definedName>
    <definedName name="_xlnm.Print_Titles" localSheetId="71">'Licensing Deals'!$1:$7</definedName>
    <definedName name="_xlnm.Print_Titles" localSheetId="37">'Market Trends since Prior Val'!$A:$B,'Market Trends since Prior Val'!$1:$8</definedName>
    <definedName name="_xlnm.Print_Titles" localSheetId="31">'OPM 1'!$1:$16</definedName>
    <definedName name="_xlnm.Print_Titles" localSheetId="27">'Risk-Free Rates'!$1:$20</definedName>
    <definedName name="_xlnm.Print_Titles" localSheetId="36">'Risk-Free Rates - OPM'!$1:$20</definedName>
    <definedName name="_xlnm.Print_Titles" localSheetId="79">Trans.1!$A:$J,Trans.1!$1:$7</definedName>
    <definedName name="_xlnm.Print_Titles" localSheetId="80">Trans.2!$1:$7</definedName>
    <definedName name="q" hidden="1">{#N/A,#N/A,FALSE,"Bakersfield PCs";#N/A,#N/A,FALSE,"Bremer PCs";#N/A,#N/A,FALSE,"Bakersfield Notebooks"}</definedName>
    <definedName name="QB_COLUMN_29" localSheetId="50" hidden="1">IS_2015!$G$1</definedName>
    <definedName name="QB_COLUMN_29" localSheetId="47" hidden="1">IS_2016!$G$1</definedName>
    <definedName name="QB_COLUMN_29" localSheetId="44" hidden="1">IS_2017!$G$1</definedName>
    <definedName name="QB_COLUMN_29" localSheetId="41" hidden="1">IS_2018!$G$1</definedName>
    <definedName name="QB_DATA_0" localSheetId="50" hidden="1">IS_2015!$4:$4,IS_2015!$8:$8,IS_2015!$9:$9,IS_2015!$10:$10,IS_2015!$11:$11,IS_2015!$12:$12,IS_2015!$14:$14,IS_2015!$15:$15,IS_2015!$16:$16,IS_2015!$18:$18,IS_2015!$19:$19,IS_2015!$20:$20,IS_2015!$21:$21,IS_2015!$22:$22,IS_2015!$23:$23,IS_2015!$24:$24</definedName>
    <definedName name="QB_DATA_0" localSheetId="47" hidden="1">IS_2016!$4:$4,IS_2016!$8:$8,IS_2016!$9:$9,IS_2016!$10:$10,IS_2016!$11:$11,IS_2016!$12:$12,IS_2016!$14:$14,IS_2016!$15:$15,IS_2016!$16:$16,IS_2016!$18:$18,IS_2016!$19:$19,IS_2016!$20:$20,IS_2016!$21:$21,IS_2016!$22:$22,IS_2016!$23:$23,IS_2016!$24:$24</definedName>
    <definedName name="QB_DATA_0" localSheetId="44" hidden="1">IS_2017!$4:$4,IS_2017!$8:$8,IS_2017!$9:$9,IS_2017!$10:$10,IS_2017!$11:$11,IS_2017!$12:$12,IS_2017!$14:$14,IS_2017!$15:$15,IS_2017!$16:$16,IS_2017!$18:$18,IS_2017!$19:$19,IS_2017!$20:$20,IS_2017!$21:$21,IS_2017!$22:$22,IS_2017!$23:$23,IS_2017!$24:$24</definedName>
    <definedName name="QB_DATA_0" localSheetId="41" hidden="1">IS_2018!$5:$5,IS_2018!$10:$10,IS_2018!$12:$12,IS_2018!$13:$13,IS_2018!$14:$14,IS_2018!$15:$15,IS_2018!$17:$17,IS_2018!$18:$18,IS_2018!$19:$19,IS_2018!$22:$22,IS_2018!$23:$23,IS_2018!$24:$24,IS_2018!$25:$25,IS_2018!$26:$26,IS_2018!$27:$27,IS_2018!$28:$28</definedName>
    <definedName name="QB_DATA_1" localSheetId="50" hidden="1">IS_2015!$26:$26,IS_2015!$27:$27,IS_2015!$29:$29,IS_2015!$30:$30,IS_2015!$31:$31,IS_2015!$32:$32,IS_2015!$34:$34,IS_2015!$35:$35,IS_2015!$36:$36,IS_2015!$42:$42</definedName>
    <definedName name="QB_DATA_1" localSheetId="47" hidden="1">IS_2016!$26:$26,IS_2016!$28:$28,IS_2016!$30:$30,IS_2016!$31:$31,IS_2016!$32:$32,IS_2016!$33:$33,IS_2016!$35:$35,IS_2016!$36:$36,IS_2016!$37:$37,IS_2016!$43:$43</definedName>
    <definedName name="QB_DATA_1" localSheetId="44" hidden="1">IS_2017!$26:$26,IS_2017!$28:$28,IS_2017!$32:$32,IS_2017!$33:$33,IS_2017!$34:$34,IS_2017!$35:$35,IS_2017!$37:$37,IS_2017!$38:$38,IS_2017!$40:$40,IS_2017!$46:$46</definedName>
    <definedName name="QB_DATA_1" localSheetId="41" hidden="1">IS_2018!$30:$30,IS_2018!$32:$32,IS_2018!$36:$36,IS_2018!$37:$37,IS_2018!$38:$38,IS_2018!$39:$39,IS_2018!$41:$41,IS_2018!$42:$42,IS_2018!$44:$44,IS_2018!$50:$50</definedName>
    <definedName name="QB_FORMULA_0" localSheetId="50" hidden="1">IS_2015!$G$5,IS_2015!$G$6,IS_2015!$G$17,IS_2015!$G$28,IS_2015!$G$37,IS_2015!$G$38,IS_2015!$G$39,IS_2015!$G$43,IS_2015!$G$44,IS_2015!$G$45</definedName>
    <definedName name="QB_FORMULA_0" localSheetId="47" hidden="1">IS_2016!$G$5,IS_2016!$G$6,IS_2016!$G$17,IS_2016!$G$29,IS_2016!$G$38,IS_2016!$G$39,IS_2016!$G$41,IS_2016!$G$46,IS_2016!$G$52,IS_2016!$G$48</definedName>
    <definedName name="QB_FORMULA_0" localSheetId="44" hidden="1">IS_2017!$G$5,IS_2017!$G$6,IS_2017!$G$17,IS_2017!$G$30,IS_2017!$G$41,IS_2017!$G$42,IS_2017!$G$44,IS_2017!$G$49,IS_2017!$G$55,IS_2017!$G$51</definedName>
    <definedName name="QB_FORMULA_0" localSheetId="41" hidden="1">IS_2018!$G$6,IS_2018!$G$7,IS_2018!$G$20,IS_2018!$G$34,IS_2018!$G$45,IS_2018!$G$46,IS_2018!$G$48,IS_2018!$G$53,IS_2018!$G$59,IS_2018!$G$55</definedName>
    <definedName name="QB_ROW_18240" localSheetId="50" hidden="1">IS_2015!$E$8</definedName>
    <definedName name="QB_ROW_18240" localSheetId="47" hidden="1">IS_2016!$E$8</definedName>
    <definedName name="QB_ROW_18240" localSheetId="44" hidden="1">IS_2017!$E$8</definedName>
    <definedName name="QB_ROW_18240" localSheetId="41" hidden="1">IS_2018!$E$10</definedName>
    <definedName name="QB_ROW_18301" localSheetId="50" hidden="1">IS_2015!$A$45</definedName>
    <definedName name="QB_ROW_18301" localSheetId="47" hidden="1">IS_2016!$A$52</definedName>
    <definedName name="QB_ROW_18301" localSheetId="44" hidden="1">IS_2017!$A$55</definedName>
    <definedName name="QB_ROW_18301" localSheetId="41" hidden="1">IS_2018!$A$59</definedName>
    <definedName name="QB_ROW_19011" localSheetId="50" hidden="1">IS_2015!$B$2</definedName>
    <definedName name="QB_ROW_19011" localSheetId="47" hidden="1">IS_2016!$B$2</definedName>
    <definedName name="QB_ROW_19011" localSheetId="44" hidden="1">IS_2017!$B$2</definedName>
    <definedName name="QB_ROW_19011" localSheetId="41" hidden="1">IS_2018!$B$2</definedName>
    <definedName name="QB_ROW_19311" localSheetId="50" hidden="1">IS_2015!$B$39</definedName>
    <definedName name="QB_ROW_19311" localSheetId="47" hidden="1">IS_2016!$B$46</definedName>
    <definedName name="QB_ROW_19311" localSheetId="44" hidden="1">IS_2017!$B$49</definedName>
    <definedName name="QB_ROW_19311" localSheetId="41" hidden="1">IS_2018!$B$53</definedName>
    <definedName name="QB_ROW_20031" localSheetId="50" hidden="1">IS_2015!$D$3</definedName>
    <definedName name="QB_ROW_20031" localSheetId="47" hidden="1">IS_2016!$D$3</definedName>
    <definedName name="QB_ROW_20031" localSheetId="44" hidden="1">IS_2017!$D$3</definedName>
    <definedName name="QB_ROW_20031" localSheetId="41" hidden="1">IS_2018!$D$3</definedName>
    <definedName name="QB_ROW_20331" localSheetId="50" hidden="1">IS_2015!$D$5</definedName>
    <definedName name="QB_ROW_20331" localSheetId="47" hidden="1">IS_2016!$D$5</definedName>
    <definedName name="QB_ROW_20331" localSheetId="44" hidden="1">IS_2017!$D$5</definedName>
    <definedName name="QB_ROW_20331" localSheetId="41" hidden="1">IS_2018!$D$6</definedName>
    <definedName name="QB_ROW_21031" localSheetId="50" hidden="1">IS_2015!$D$7</definedName>
    <definedName name="QB_ROW_21031" localSheetId="47" hidden="1">IS_2016!$D$7</definedName>
    <definedName name="QB_ROW_21031" localSheetId="44" hidden="1">IS_2017!$D$7</definedName>
    <definedName name="QB_ROW_21031" localSheetId="41" hidden="1">IS_2018!$D$8</definedName>
    <definedName name="QB_ROW_21331" localSheetId="50" hidden="1">IS_2015!$D$38</definedName>
    <definedName name="QB_ROW_21331" localSheetId="47" hidden="1">IS_2016!$D$45</definedName>
    <definedName name="QB_ROW_21331" localSheetId="44" hidden="1">IS_2017!$D$48</definedName>
    <definedName name="QB_ROW_21331" localSheetId="41" hidden="1">IS_2018!$D$52</definedName>
    <definedName name="QB_ROW_22011" localSheetId="50" hidden="1">IS_2015!$B$40</definedName>
    <definedName name="QB_ROW_22011" localSheetId="47" hidden="1">IS_2016!$B$47</definedName>
    <definedName name="QB_ROW_22011" localSheetId="44" hidden="1">IS_2017!$B$50</definedName>
    <definedName name="QB_ROW_22011" localSheetId="41" hidden="1">IS_2018!$B$54</definedName>
    <definedName name="QB_ROW_22311" localSheetId="50" hidden="1">IS_2015!$B$44</definedName>
    <definedName name="QB_ROW_22311" localSheetId="47" hidden="1">IS_2016!$B$51</definedName>
    <definedName name="QB_ROW_22311" localSheetId="44" hidden="1">IS_2017!$B$54</definedName>
    <definedName name="QB_ROW_22311" localSheetId="41" hidden="1">IS_2018!$B$58</definedName>
    <definedName name="QB_ROW_24021" localSheetId="50" hidden="1">IS_2015!$C$41</definedName>
    <definedName name="QB_ROW_24021" localSheetId="47" hidden="1">IS_2016!$C$48</definedName>
    <definedName name="QB_ROW_24021" localSheetId="44" hidden="1">IS_2017!$C$51</definedName>
    <definedName name="QB_ROW_24021" localSheetId="41" hidden="1">IS_2018!$C$55</definedName>
    <definedName name="QB_ROW_24321" localSheetId="50" hidden="1">IS_2015!$C$43</definedName>
    <definedName name="QB_ROW_24321" localSheetId="47" hidden="1">IS_2016!$C$50</definedName>
    <definedName name="QB_ROW_24321" localSheetId="44" hidden="1">IS_2017!$C$53</definedName>
    <definedName name="QB_ROW_24321" localSheetId="41" hidden="1">IS_2018!$C$57</definedName>
    <definedName name="QB_ROW_25240" localSheetId="50" hidden="1">IS_2015!$E$10</definedName>
    <definedName name="QB_ROW_25240" localSheetId="47" hidden="1">IS_2016!$E$10</definedName>
    <definedName name="QB_ROW_25240" localSheetId="44" hidden="1">IS_2017!$E$10</definedName>
    <definedName name="QB_ROW_25240" localSheetId="41" hidden="1">IS_2018!$E$13</definedName>
    <definedName name="QB_ROW_26240" localSheetId="50" hidden="1">IS_2015!$E$11</definedName>
    <definedName name="QB_ROW_26240" localSheetId="47" hidden="1">IS_2016!$E$11</definedName>
    <definedName name="QB_ROW_26240" localSheetId="44" hidden="1">IS_2017!$E$11</definedName>
    <definedName name="QB_ROW_26240" localSheetId="41" hidden="1">IS_2018!$E$14</definedName>
    <definedName name="QB_ROW_27040" localSheetId="50" hidden="1">IS_2015!$E$13</definedName>
    <definedName name="QB_ROW_27040" localSheetId="47" hidden="1">IS_2016!$E$13</definedName>
    <definedName name="QB_ROW_27040" localSheetId="44" hidden="1">IS_2017!$E$13</definedName>
    <definedName name="QB_ROW_27040" localSheetId="41" hidden="1">IS_2018!$E$16</definedName>
    <definedName name="QB_ROW_27250" localSheetId="50" hidden="1">IS_2015!$F$16</definedName>
    <definedName name="QB_ROW_27250" localSheetId="47" hidden="1">IS_2016!$F$16</definedName>
    <definedName name="QB_ROW_27250" localSheetId="44" hidden="1">IS_2017!$F$16</definedName>
    <definedName name="QB_ROW_27250" localSheetId="41" hidden="1">IS_2018!$F$19</definedName>
    <definedName name="QB_ROW_27340" localSheetId="50" hidden="1">IS_2015!$E$17</definedName>
    <definedName name="QB_ROW_27340" localSheetId="47" hidden="1">IS_2016!$E$17</definedName>
    <definedName name="QB_ROW_27340" localSheetId="44" hidden="1">IS_2017!$E$17</definedName>
    <definedName name="QB_ROW_27340" localSheetId="41" hidden="1">IS_2018!$E$20</definedName>
    <definedName name="QB_ROW_30250" localSheetId="50" hidden="1">IS_2015!$F$14</definedName>
    <definedName name="QB_ROW_30250" localSheetId="47" hidden="1">IS_2016!$F$14</definedName>
    <definedName name="QB_ROW_30250" localSheetId="44" hidden="1">IS_2017!$F$14</definedName>
    <definedName name="QB_ROW_30250" localSheetId="41" hidden="1">IS_2018!$F$17</definedName>
    <definedName name="QB_ROW_31250" localSheetId="50" hidden="1">IS_2015!$F$15</definedName>
    <definedName name="QB_ROW_31250" localSheetId="47" hidden="1">IS_2016!$F$15</definedName>
    <definedName name="QB_ROW_31250" localSheetId="44" hidden="1">IS_2017!$F$15</definedName>
    <definedName name="QB_ROW_31250" localSheetId="41" hidden="1">IS_2018!$F$18</definedName>
    <definedName name="QB_ROW_32240" localSheetId="50" hidden="1">IS_2015!$E$18</definedName>
    <definedName name="QB_ROW_32240" localSheetId="47" hidden="1">IS_2016!$E$18</definedName>
    <definedName name="QB_ROW_32240" localSheetId="44" hidden="1">IS_2017!$E$18</definedName>
    <definedName name="QB_ROW_32240" localSheetId="41" hidden="1">IS_2018!$E$22</definedName>
    <definedName name="QB_ROW_36040" localSheetId="50" hidden="1">IS_2015!$E$25</definedName>
    <definedName name="QB_ROW_36040" localSheetId="47" hidden="1">IS_2016!$E$27</definedName>
    <definedName name="QB_ROW_36040" localSheetId="44" hidden="1">IS_2017!$E$27</definedName>
    <definedName name="QB_ROW_36040" localSheetId="41" hidden="1">IS_2018!$E$31</definedName>
    <definedName name="QB_ROW_36340" localSheetId="50" hidden="1">IS_2015!$E$28</definedName>
    <definedName name="QB_ROW_36340" localSheetId="47" hidden="1">IS_2016!$E$30</definedName>
    <definedName name="QB_ROW_36340" localSheetId="44" hidden="1">IS_2017!$E$32</definedName>
    <definedName name="QB_ROW_36340" localSheetId="41" hidden="1">IS_2018!$E$36</definedName>
    <definedName name="QB_ROW_37250" localSheetId="50" hidden="1">IS_2015!$F$27</definedName>
    <definedName name="QB_ROW_37250" localSheetId="47" hidden="1">IS_2016!$F$29</definedName>
    <definedName name="QB_ROW_37250" localSheetId="44" hidden="1">IS_2017!$F$29</definedName>
    <definedName name="QB_ROW_37250" localSheetId="41" hidden="1">IS_2018!$F$33</definedName>
    <definedName name="QB_ROW_38250" localSheetId="50" hidden="1">IS_2015!$F$26</definedName>
    <definedName name="QB_ROW_38250" localSheetId="47" hidden="1">IS_2016!$F$28</definedName>
    <definedName name="QB_ROW_38250" localSheetId="44" hidden="1">IS_2017!$F$28</definedName>
    <definedName name="QB_ROW_38250" localSheetId="41" hidden="1">IS_2018!$F$32</definedName>
    <definedName name="QB_ROW_40340" localSheetId="50" hidden="1">IS_2015!$E$30</definedName>
    <definedName name="QB_ROW_40340" localSheetId="47" hidden="1">IS_2016!$E$32</definedName>
    <definedName name="QB_ROW_40340" localSheetId="44" hidden="1">IS_2017!$E$34</definedName>
    <definedName name="QB_ROW_40340" localSheetId="41" hidden="1">IS_2018!$E$38</definedName>
    <definedName name="QB_ROW_44240" localSheetId="50" hidden="1">IS_2015!$E$21</definedName>
    <definedName name="QB_ROW_44240" localSheetId="47" hidden="1">IS_2016!$E$22</definedName>
    <definedName name="QB_ROW_44240" localSheetId="44" hidden="1">IS_2017!$E$22</definedName>
    <definedName name="QB_ROW_44240" localSheetId="41" hidden="1">IS_2018!$E$26</definedName>
    <definedName name="QB_ROW_45240" localSheetId="50" hidden="1">IS_2015!$E$32</definedName>
    <definedName name="QB_ROW_45240" localSheetId="47" hidden="1">IS_2016!$E$38</definedName>
    <definedName name="QB_ROW_45240" localSheetId="44" hidden="1">IS_2017!$E$41</definedName>
    <definedName name="QB_ROW_45240" localSheetId="41" hidden="1">IS_2018!$E$45</definedName>
    <definedName name="QB_ROW_46040" localSheetId="50" hidden="1">IS_2015!$E$33</definedName>
    <definedName name="QB_ROW_46040" localSheetId="47" hidden="1">IS_2016!$E$40</definedName>
    <definedName name="QB_ROW_46040" localSheetId="44" hidden="1">IS_2017!$E$43</definedName>
    <definedName name="QB_ROW_46040" localSheetId="41" hidden="1">IS_2018!$E$47</definedName>
    <definedName name="QB_ROW_46250" localSheetId="50" hidden="1">IS_2015!$F$36</definedName>
    <definedName name="QB_ROW_46250" localSheetId="47" hidden="1">IS_2016!$F$43</definedName>
    <definedName name="QB_ROW_46250" localSheetId="44" hidden="1">IS_2017!$F$46</definedName>
    <definedName name="QB_ROW_46250" localSheetId="41" hidden="1">IS_2018!$F$50</definedName>
    <definedName name="QB_ROW_46340" localSheetId="50" hidden="1">IS_2015!$E$37</definedName>
    <definedName name="QB_ROW_46340" localSheetId="47" hidden="1">IS_2016!$E$44</definedName>
    <definedName name="QB_ROW_46340" localSheetId="44" hidden="1">IS_2017!$E$47</definedName>
    <definedName name="QB_ROW_46340" localSheetId="41" hidden="1">IS_2018!$E$51</definedName>
    <definedName name="QB_ROW_48250" localSheetId="50" hidden="1">IS_2015!$F$34</definedName>
    <definedName name="QB_ROW_48250" localSheetId="47" hidden="1">IS_2016!$F$41</definedName>
    <definedName name="QB_ROW_48250" localSheetId="44" hidden="1">IS_2017!$F$44</definedName>
    <definedName name="QB_ROW_48250" localSheetId="41" hidden="1">IS_2018!$F$48</definedName>
    <definedName name="QB_ROW_49250" localSheetId="50" hidden="1">IS_2015!$F$35</definedName>
    <definedName name="QB_ROW_49250" localSheetId="47" hidden="1">IS_2016!$F$42</definedName>
    <definedName name="QB_ROW_49250" localSheetId="44" hidden="1">IS_2017!$F$45</definedName>
    <definedName name="QB_ROW_49250" localSheetId="41" hidden="1">IS_2018!$F$49</definedName>
    <definedName name="QB_ROW_55230" localSheetId="50" hidden="1">IS_2015!$D$42</definedName>
    <definedName name="QB_ROW_55230" localSheetId="47" hidden="1">IS_2016!$D$49</definedName>
    <definedName name="QB_ROW_55230" localSheetId="44" hidden="1">IS_2017!$D$52</definedName>
    <definedName name="QB_ROW_55230" localSheetId="41" hidden="1">IS_2018!$D$56</definedName>
    <definedName name="QB_ROW_56240" localSheetId="50" hidden="1">IS_2015!$E$22</definedName>
    <definedName name="QB_ROW_56240" localSheetId="47" hidden="1">IS_2016!$E$23</definedName>
    <definedName name="QB_ROW_56240" localSheetId="44" hidden="1">IS_2017!$E$23</definedName>
    <definedName name="QB_ROW_56240" localSheetId="41" hidden="1">IS_2018!$E$27</definedName>
    <definedName name="QB_ROW_6240" localSheetId="50" hidden="1">IS_2015!$E$4</definedName>
    <definedName name="QB_ROW_6240" localSheetId="47" hidden="1">IS_2016!$E$4</definedName>
    <definedName name="QB_ROW_6240" localSheetId="44" hidden="1">IS_2017!$E$4</definedName>
    <definedName name="QB_ROW_6240" localSheetId="41" hidden="1">IS_2018!$E$5</definedName>
    <definedName name="QB_ROW_64240" localSheetId="50" hidden="1">IS_2015!$E$20</definedName>
    <definedName name="QB_ROW_64240" localSheetId="47" hidden="1">IS_2016!$E$21</definedName>
    <definedName name="QB_ROW_64240" localSheetId="44" hidden="1">IS_2017!$E$21</definedName>
    <definedName name="QB_ROW_64240" localSheetId="41" hidden="1">IS_2018!$E$25</definedName>
    <definedName name="QB_ROW_65240" localSheetId="50" hidden="1">IS_2015!$E$29</definedName>
    <definedName name="QB_ROW_65240" localSheetId="47" hidden="1">IS_2016!$E$31</definedName>
    <definedName name="QB_ROW_65240" localSheetId="44" hidden="1">IS_2017!$E$33</definedName>
    <definedName name="QB_ROW_65240" localSheetId="41" hidden="1">IS_2018!$E$37</definedName>
    <definedName name="QB_ROW_66240" localSheetId="50" hidden="1">IS_2015!$E$24</definedName>
    <definedName name="QB_ROW_66240" localSheetId="47" hidden="1">IS_2016!$E$25</definedName>
    <definedName name="QB_ROW_66240" localSheetId="44" hidden="1">IS_2017!$E$25</definedName>
    <definedName name="QB_ROW_66240" localSheetId="41" hidden="1">IS_2018!$E$29</definedName>
    <definedName name="QB_ROW_68240" localSheetId="50" hidden="1">IS_2015!$E$9</definedName>
    <definedName name="QB_ROW_68240" localSheetId="47" hidden="1">IS_2016!$E$9</definedName>
    <definedName name="QB_ROW_68240" localSheetId="44" hidden="1">IS_2017!$E$9</definedName>
    <definedName name="QB_ROW_68240" localSheetId="41" hidden="1">IS_2018!$E$12</definedName>
    <definedName name="QB_ROW_71240" localSheetId="50" hidden="1">IS_2015!$E$31</definedName>
    <definedName name="QB_ROW_71240" localSheetId="47" hidden="1">IS_2016!$E$37</definedName>
    <definedName name="QB_ROW_71240" localSheetId="44" hidden="1">IS_2017!$E$40</definedName>
    <definedName name="QB_ROW_71240" localSheetId="41" hidden="1">IS_2018!$E$44</definedName>
    <definedName name="QB_ROW_73240" localSheetId="50" hidden="1">IS_2015!$E$23</definedName>
    <definedName name="QB_ROW_73240" localSheetId="47" hidden="1">IS_2016!$E$24</definedName>
    <definedName name="QB_ROW_73240" localSheetId="44" hidden="1">IS_2017!$E$24</definedName>
    <definedName name="QB_ROW_73240" localSheetId="41" hidden="1">IS_2018!$E$28</definedName>
    <definedName name="QB_ROW_74240" localSheetId="50" hidden="1">IS_2015!$E$12</definedName>
    <definedName name="QB_ROW_74240" localSheetId="47" hidden="1">IS_2016!$E$12</definedName>
    <definedName name="QB_ROW_74240" localSheetId="44" hidden="1">IS_2017!$E$12</definedName>
    <definedName name="QB_ROW_74240" localSheetId="41" hidden="1">IS_2018!$E$15</definedName>
    <definedName name="QB_ROW_79240" localSheetId="50" hidden="1">IS_2015!$E$19</definedName>
    <definedName name="QB_ROW_79240" localSheetId="47" hidden="1">IS_2016!$E$20</definedName>
    <definedName name="QB_ROW_79240" localSheetId="44" hidden="1">IS_2017!$E$20</definedName>
    <definedName name="QB_ROW_79240" localSheetId="41" hidden="1">IS_2018!$E$24</definedName>
    <definedName name="QB_ROW_86321" localSheetId="50" hidden="1">IS_2015!$C$6</definedName>
    <definedName name="QB_ROW_86321" localSheetId="47" hidden="1">IS_2016!$C$6</definedName>
    <definedName name="QB_ROW_86321" localSheetId="44" hidden="1">IS_2017!$C$6</definedName>
    <definedName name="QB_ROW_86321" localSheetId="41" hidden="1">IS_2018!$C$7</definedName>
    <definedName name="QBCANSUPPORTUPDATE" localSheetId="50">TRUE</definedName>
    <definedName name="QBCANSUPPORTUPDATE" localSheetId="47">TRUE</definedName>
    <definedName name="QBCANSUPPORTUPDATE" localSheetId="44">TRUE</definedName>
    <definedName name="QBCANSUPPORTUPDATE" localSheetId="41">TRUE</definedName>
    <definedName name="QBENDDATE" localSheetId="50">20151231</definedName>
    <definedName name="QBENDDATE" localSheetId="47">20151231</definedName>
    <definedName name="QBENDDATE" localSheetId="44">20151231</definedName>
    <definedName name="QBENDDATE" localSheetId="41">20151231</definedName>
    <definedName name="QBHEADERSONSCREEN" localSheetId="50">FALSE</definedName>
    <definedName name="QBHEADERSONSCREEN" localSheetId="47">FALSE</definedName>
    <definedName name="QBHEADERSONSCREEN" localSheetId="44">FALSE</definedName>
    <definedName name="QBHEADERSONSCREEN" localSheetId="41">FALSE</definedName>
    <definedName name="QBMETADATASIZE" localSheetId="50">5802</definedName>
    <definedName name="QBMETADATASIZE" localSheetId="47">5802</definedName>
    <definedName name="QBMETADATASIZE" localSheetId="44">5802</definedName>
    <definedName name="QBMETADATASIZE" localSheetId="41">5802</definedName>
    <definedName name="QBPRESERVECOLOR" localSheetId="50">TRUE</definedName>
    <definedName name="QBPRESERVECOLOR" localSheetId="47">TRUE</definedName>
    <definedName name="QBPRESERVECOLOR" localSheetId="44">TRUE</definedName>
    <definedName name="QBPRESERVECOLOR" localSheetId="41">TRUE</definedName>
    <definedName name="QBPRESERVEFONT" localSheetId="50">TRUE</definedName>
    <definedName name="QBPRESERVEFONT" localSheetId="47">TRUE</definedName>
    <definedName name="QBPRESERVEFONT" localSheetId="44">TRUE</definedName>
    <definedName name="QBPRESERVEFONT" localSheetId="41">TRUE</definedName>
    <definedName name="QBPRESERVEROWHEIGHT" localSheetId="50">TRUE</definedName>
    <definedName name="QBPRESERVEROWHEIGHT" localSheetId="47">TRUE</definedName>
    <definedName name="QBPRESERVEROWHEIGHT" localSheetId="44">TRUE</definedName>
    <definedName name="QBPRESERVEROWHEIGHT" localSheetId="41">TRUE</definedName>
    <definedName name="QBPRESERVESPACE" localSheetId="50">TRUE</definedName>
    <definedName name="QBPRESERVESPACE" localSheetId="47">TRUE</definedName>
    <definedName name="QBPRESERVESPACE" localSheetId="44">TRUE</definedName>
    <definedName name="QBPRESERVESPACE" localSheetId="41">TRUE</definedName>
    <definedName name="QBREPORTCOLAXIS" localSheetId="50">0</definedName>
    <definedName name="QBREPORTCOLAXIS" localSheetId="47">0</definedName>
    <definedName name="QBREPORTCOLAXIS" localSheetId="44">0</definedName>
    <definedName name="QBREPORTCOLAXIS" localSheetId="41">0</definedName>
    <definedName name="QBREPORTCOMPANYID" localSheetId="50">"9a54cb7337ad46799a93763f0575ff4b"</definedName>
    <definedName name="QBREPORTCOMPANYID" localSheetId="47">"9a54cb7337ad46799a93763f0575ff4b"</definedName>
    <definedName name="QBREPORTCOMPANYID" localSheetId="44">"9a54cb7337ad46799a93763f0575ff4b"</definedName>
    <definedName name="QBREPORTCOMPANYID" localSheetId="41">"9a54cb7337ad46799a93763f0575ff4b"</definedName>
    <definedName name="QBREPORTCOMPARECOL_ANNUALBUDGET" localSheetId="50">FALSE</definedName>
    <definedName name="QBREPORTCOMPARECOL_ANNUALBUDGET" localSheetId="47">FALSE</definedName>
    <definedName name="QBREPORTCOMPARECOL_ANNUALBUDGET" localSheetId="44">FALSE</definedName>
    <definedName name="QBREPORTCOMPARECOL_ANNUALBUDGET" localSheetId="41">FALSE</definedName>
    <definedName name="QBREPORTCOMPARECOL_AVGCOGS" localSheetId="50">FALSE</definedName>
    <definedName name="QBREPORTCOMPARECOL_AVGCOGS" localSheetId="47">FALSE</definedName>
    <definedName name="QBREPORTCOMPARECOL_AVGCOGS" localSheetId="44">FALSE</definedName>
    <definedName name="QBREPORTCOMPARECOL_AVGCOGS" localSheetId="41">FALSE</definedName>
    <definedName name="QBREPORTCOMPARECOL_AVGPRICE" localSheetId="50">FALSE</definedName>
    <definedName name="QBREPORTCOMPARECOL_AVGPRICE" localSheetId="47">FALSE</definedName>
    <definedName name="QBREPORTCOMPARECOL_AVGPRICE" localSheetId="44">FALSE</definedName>
    <definedName name="QBREPORTCOMPARECOL_AVGPRICE" localSheetId="41">FALSE</definedName>
    <definedName name="QBREPORTCOMPARECOL_BUDDIFF" localSheetId="50">FALSE</definedName>
    <definedName name="QBREPORTCOMPARECOL_BUDDIFF" localSheetId="47">FALSE</definedName>
    <definedName name="QBREPORTCOMPARECOL_BUDDIFF" localSheetId="44">FALSE</definedName>
    <definedName name="QBREPORTCOMPARECOL_BUDDIFF" localSheetId="41">FALSE</definedName>
    <definedName name="QBREPORTCOMPARECOL_BUDGET" localSheetId="50">FALSE</definedName>
    <definedName name="QBREPORTCOMPARECOL_BUDGET" localSheetId="47">FALSE</definedName>
    <definedName name="QBREPORTCOMPARECOL_BUDGET" localSheetId="44">FALSE</definedName>
    <definedName name="QBREPORTCOMPARECOL_BUDGET" localSheetId="41">FALSE</definedName>
    <definedName name="QBREPORTCOMPARECOL_BUDPCT" localSheetId="50">FALSE</definedName>
    <definedName name="QBREPORTCOMPARECOL_BUDPCT" localSheetId="47">FALSE</definedName>
    <definedName name="QBREPORTCOMPARECOL_BUDPCT" localSheetId="44">FALSE</definedName>
    <definedName name="QBREPORTCOMPARECOL_BUDPCT" localSheetId="41">FALSE</definedName>
    <definedName name="QBREPORTCOMPARECOL_COGS" localSheetId="50">FALSE</definedName>
    <definedName name="QBREPORTCOMPARECOL_COGS" localSheetId="47">FALSE</definedName>
    <definedName name="QBREPORTCOMPARECOL_COGS" localSheetId="44">FALSE</definedName>
    <definedName name="QBREPORTCOMPARECOL_COGS" localSheetId="41">FALSE</definedName>
    <definedName name="QBREPORTCOMPARECOL_EXCLUDEAMOUNT" localSheetId="50">FALSE</definedName>
    <definedName name="QBREPORTCOMPARECOL_EXCLUDEAMOUNT" localSheetId="47">FALSE</definedName>
    <definedName name="QBREPORTCOMPARECOL_EXCLUDEAMOUNT" localSheetId="44">FALSE</definedName>
    <definedName name="QBREPORTCOMPARECOL_EXCLUDEAMOUNT" localSheetId="41">FALSE</definedName>
    <definedName name="QBREPORTCOMPARECOL_EXCLUDECURPERIOD" localSheetId="50">FALSE</definedName>
    <definedName name="QBREPORTCOMPARECOL_EXCLUDECURPERIOD" localSheetId="47">FALSE</definedName>
    <definedName name="QBREPORTCOMPARECOL_EXCLUDECURPERIOD" localSheetId="44">FALSE</definedName>
    <definedName name="QBREPORTCOMPARECOL_EXCLUDECURPERIOD" localSheetId="41">FALSE</definedName>
    <definedName name="QBREPORTCOMPARECOL_FORECAST" localSheetId="50">FALSE</definedName>
    <definedName name="QBREPORTCOMPARECOL_FORECAST" localSheetId="47">FALSE</definedName>
    <definedName name="QBREPORTCOMPARECOL_FORECAST" localSheetId="44">FALSE</definedName>
    <definedName name="QBREPORTCOMPARECOL_FORECAST" localSheetId="41">FALSE</definedName>
    <definedName name="QBREPORTCOMPARECOL_GROSSMARGIN" localSheetId="50">FALSE</definedName>
    <definedName name="QBREPORTCOMPARECOL_GROSSMARGIN" localSheetId="47">FALSE</definedName>
    <definedName name="QBREPORTCOMPARECOL_GROSSMARGIN" localSheetId="44">FALSE</definedName>
    <definedName name="QBREPORTCOMPARECOL_GROSSMARGIN" localSheetId="41">FALSE</definedName>
    <definedName name="QBREPORTCOMPARECOL_GROSSMARGINPCT" localSheetId="50">FALSE</definedName>
    <definedName name="QBREPORTCOMPARECOL_GROSSMARGINPCT" localSheetId="47">FALSE</definedName>
    <definedName name="QBREPORTCOMPARECOL_GROSSMARGINPCT" localSheetId="44">FALSE</definedName>
    <definedName name="QBREPORTCOMPARECOL_GROSSMARGINPCT" localSheetId="41">FALSE</definedName>
    <definedName name="QBREPORTCOMPARECOL_HOURS" localSheetId="50">FALSE</definedName>
    <definedName name="QBREPORTCOMPARECOL_HOURS" localSheetId="47">FALSE</definedName>
    <definedName name="QBREPORTCOMPARECOL_HOURS" localSheetId="44">FALSE</definedName>
    <definedName name="QBREPORTCOMPARECOL_HOURS" localSheetId="41">FALSE</definedName>
    <definedName name="QBREPORTCOMPARECOL_PCTCOL" localSheetId="50">FALSE</definedName>
    <definedName name="QBREPORTCOMPARECOL_PCTCOL" localSheetId="47">FALSE</definedName>
    <definedName name="QBREPORTCOMPARECOL_PCTCOL" localSheetId="44">FALSE</definedName>
    <definedName name="QBREPORTCOMPARECOL_PCTCOL" localSheetId="41">FALSE</definedName>
    <definedName name="QBREPORTCOMPARECOL_PCTEXPENSE" localSheetId="50">FALSE</definedName>
    <definedName name="QBREPORTCOMPARECOL_PCTEXPENSE" localSheetId="47">FALSE</definedName>
    <definedName name="QBREPORTCOMPARECOL_PCTEXPENSE" localSheetId="44">FALSE</definedName>
    <definedName name="QBREPORTCOMPARECOL_PCTEXPENSE" localSheetId="41">FALSE</definedName>
    <definedName name="QBREPORTCOMPARECOL_PCTINCOME" localSheetId="50">FALSE</definedName>
    <definedName name="QBREPORTCOMPARECOL_PCTINCOME" localSheetId="47">FALSE</definedName>
    <definedName name="QBREPORTCOMPARECOL_PCTINCOME" localSheetId="44">FALSE</definedName>
    <definedName name="QBREPORTCOMPARECOL_PCTINCOME" localSheetId="41">FALSE</definedName>
    <definedName name="QBREPORTCOMPARECOL_PCTOFSALES" localSheetId="50">FALSE</definedName>
    <definedName name="QBREPORTCOMPARECOL_PCTOFSALES" localSheetId="47">FALSE</definedName>
    <definedName name="QBREPORTCOMPARECOL_PCTOFSALES" localSheetId="44">FALSE</definedName>
    <definedName name="QBREPORTCOMPARECOL_PCTOFSALES" localSheetId="41">FALSE</definedName>
    <definedName name="QBREPORTCOMPARECOL_PCTROW" localSheetId="50">FALSE</definedName>
    <definedName name="QBREPORTCOMPARECOL_PCTROW" localSheetId="47">FALSE</definedName>
    <definedName name="QBREPORTCOMPARECOL_PCTROW" localSheetId="44">FALSE</definedName>
    <definedName name="QBREPORTCOMPARECOL_PCTROW" localSheetId="41">FALSE</definedName>
    <definedName name="QBREPORTCOMPARECOL_PPDIFF" localSheetId="50">FALSE</definedName>
    <definedName name="QBREPORTCOMPARECOL_PPDIFF" localSheetId="47">FALSE</definedName>
    <definedName name="QBREPORTCOMPARECOL_PPDIFF" localSheetId="44">FALSE</definedName>
    <definedName name="QBREPORTCOMPARECOL_PPDIFF" localSheetId="41">FALSE</definedName>
    <definedName name="QBREPORTCOMPARECOL_PPPCT" localSheetId="50">FALSE</definedName>
    <definedName name="QBREPORTCOMPARECOL_PPPCT" localSheetId="47">FALSE</definedName>
    <definedName name="QBREPORTCOMPARECOL_PPPCT" localSheetId="44">FALSE</definedName>
    <definedName name="QBREPORTCOMPARECOL_PPPCT" localSheetId="41">FALSE</definedName>
    <definedName name="QBREPORTCOMPARECOL_PREVPERIOD" localSheetId="50">FALSE</definedName>
    <definedName name="QBREPORTCOMPARECOL_PREVPERIOD" localSheetId="47">FALSE</definedName>
    <definedName name="QBREPORTCOMPARECOL_PREVPERIOD" localSheetId="44">FALSE</definedName>
    <definedName name="QBREPORTCOMPARECOL_PREVPERIOD" localSheetId="41">FALSE</definedName>
    <definedName name="QBREPORTCOMPARECOL_PREVYEAR" localSheetId="50">FALSE</definedName>
    <definedName name="QBREPORTCOMPARECOL_PREVYEAR" localSheetId="47">FALSE</definedName>
    <definedName name="QBREPORTCOMPARECOL_PREVYEAR" localSheetId="44">FALSE</definedName>
    <definedName name="QBREPORTCOMPARECOL_PREVYEAR" localSheetId="41">FALSE</definedName>
    <definedName name="QBREPORTCOMPARECOL_PYDIFF" localSheetId="50">FALSE</definedName>
    <definedName name="QBREPORTCOMPARECOL_PYDIFF" localSheetId="47">FALSE</definedName>
    <definedName name="QBREPORTCOMPARECOL_PYDIFF" localSheetId="44">FALSE</definedName>
    <definedName name="QBREPORTCOMPARECOL_PYDIFF" localSheetId="41">FALSE</definedName>
    <definedName name="QBREPORTCOMPARECOL_PYPCT" localSheetId="50">FALSE</definedName>
    <definedName name="QBREPORTCOMPARECOL_PYPCT" localSheetId="47">FALSE</definedName>
    <definedName name="QBREPORTCOMPARECOL_PYPCT" localSheetId="44">FALSE</definedName>
    <definedName name="QBREPORTCOMPARECOL_PYPCT" localSheetId="41">FALSE</definedName>
    <definedName name="QBREPORTCOMPARECOL_QTY" localSheetId="50">FALSE</definedName>
    <definedName name="QBREPORTCOMPARECOL_QTY" localSheetId="47">FALSE</definedName>
    <definedName name="QBREPORTCOMPARECOL_QTY" localSheetId="44">FALSE</definedName>
    <definedName name="QBREPORTCOMPARECOL_QTY" localSheetId="41">FALSE</definedName>
    <definedName name="QBREPORTCOMPARECOL_RATE" localSheetId="50">FALSE</definedName>
    <definedName name="QBREPORTCOMPARECOL_RATE" localSheetId="47">FALSE</definedName>
    <definedName name="QBREPORTCOMPARECOL_RATE" localSheetId="44">FALSE</definedName>
    <definedName name="QBREPORTCOMPARECOL_RATE" localSheetId="41">FALSE</definedName>
    <definedName name="QBREPORTCOMPARECOL_TRIPBILLEDMILES" localSheetId="50">FALSE</definedName>
    <definedName name="QBREPORTCOMPARECOL_TRIPBILLEDMILES" localSheetId="47">FALSE</definedName>
    <definedName name="QBREPORTCOMPARECOL_TRIPBILLEDMILES" localSheetId="44">FALSE</definedName>
    <definedName name="QBREPORTCOMPARECOL_TRIPBILLEDMILES" localSheetId="41">FALSE</definedName>
    <definedName name="QBREPORTCOMPARECOL_TRIPBILLINGAMOUNT" localSheetId="50">FALSE</definedName>
    <definedName name="QBREPORTCOMPARECOL_TRIPBILLINGAMOUNT" localSheetId="47">FALSE</definedName>
    <definedName name="QBREPORTCOMPARECOL_TRIPBILLINGAMOUNT" localSheetId="44">FALSE</definedName>
    <definedName name="QBREPORTCOMPARECOL_TRIPBILLINGAMOUNT" localSheetId="41">FALSE</definedName>
    <definedName name="QBREPORTCOMPARECOL_TRIPMILES" localSheetId="50">FALSE</definedName>
    <definedName name="QBREPORTCOMPARECOL_TRIPMILES" localSheetId="47">FALSE</definedName>
    <definedName name="QBREPORTCOMPARECOL_TRIPMILES" localSheetId="44">FALSE</definedName>
    <definedName name="QBREPORTCOMPARECOL_TRIPMILES" localSheetId="41">FALSE</definedName>
    <definedName name="QBREPORTCOMPARECOL_TRIPNOTBILLABLEMILES" localSheetId="50">FALSE</definedName>
    <definedName name="QBREPORTCOMPARECOL_TRIPNOTBILLABLEMILES" localSheetId="47">FALSE</definedName>
    <definedName name="QBREPORTCOMPARECOL_TRIPNOTBILLABLEMILES" localSheetId="44">FALSE</definedName>
    <definedName name="QBREPORTCOMPARECOL_TRIPNOTBILLABLEMILES" localSheetId="41">FALSE</definedName>
    <definedName name="QBREPORTCOMPARECOL_TRIPTAXDEDUCTIBLEAMOUNT" localSheetId="50">FALSE</definedName>
    <definedName name="QBREPORTCOMPARECOL_TRIPTAXDEDUCTIBLEAMOUNT" localSheetId="47">FALSE</definedName>
    <definedName name="QBREPORTCOMPARECOL_TRIPTAXDEDUCTIBLEAMOUNT" localSheetId="44">FALSE</definedName>
    <definedName name="QBREPORTCOMPARECOL_TRIPTAXDEDUCTIBLEAMOUNT" localSheetId="41">FALSE</definedName>
    <definedName name="QBREPORTCOMPARECOL_TRIPUNBILLEDMILES" localSheetId="50">FALSE</definedName>
    <definedName name="QBREPORTCOMPARECOL_TRIPUNBILLEDMILES" localSheetId="47">FALSE</definedName>
    <definedName name="QBREPORTCOMPARECOL_TRIPUNBILLEDMILES" localSheetId="44">FALSE</definedName>
    <definedName name="QBREPORTCOMPARECOL_TRIPUNBILLEDMILES" localSheetId="41">FALSE</definedName>
    <definedName name="QBREPORTCOMPARECOL_YTD" localSheetId="50">FALSE</definedName>
    <definedName name="QBREPORTCOMPARECOL_YTD" localSheetId="47">FALSE</definedName>
    <definedName name="QBREPORTCOMPARECOL_YTD" localSheetId="44">FALSE</definedName>
    <definedName name="QBREPORTCOMPARECOL_YTD" localSheetId="41">FALSE</definedName>
    <definedName name="QBREPORTCOMPARECOL_YTDBUDGET" localSheetId="50">FALSE</definedName>
    <definedName name="QBREPORTCOMPARECOL_YTDBUDGET" localSheetId="47">FALSE</definedName>
    <definedName name="QBREPORTCOMPARECOL_YTDBUDGET" localSheetId="44">FALSE</definedName>
    <definedName name="QBREPORTCOMPARECOL_YTDBUDGET" localSheetId="41">FALSE</definedName>
    <definedName name="QBREPORTCOMPARECOL_YTDPCT" localSheetId="50">FALSE</definedName>
    <definedName name="QBREPORTCOMPARECOL_YTDPCT" localSheetId="47">FALSE</definedName>
    <definedName name="QBREPORTCOMPARECOL_YTDPCT" localSheetId="44">FALSE</definedName>
    <definedName name="QBREPORTCOMPARECOL_YTDPCT" localSheetId="41">FALSE</definedName>
    <definedName name="QBREPORTROWAXIS" localSheetId="50">11</definedName>
    <definedName name="QBREPORTROWAXIS" localSheetId="47">11</definedName>
    <definedName name="QBREPORTROWAXIS" localSheetId="44">11</definedName>
    <definedName name="QBREPORTROWAXIS" localSheetId="41">11</definedName>
    <definedName name="QBREPORTSUBCOLAXIS" localSheetId="50">0</definedName>
    <definedName name="QBREPORTSUBCOLAXIS" localSheetId="47">0</definedName>
    <definedName name="QBREPORTSUBCOLAXIS" localSheetId="44">0</definedName>
    <definedName name="QBREPORTSUBCOLAXIS" localSheetId="41">0</definedName>
    <definedName name="QBREPORTTYPE" localSheetId="50">0</definedName>
    <definedName name="QBREPORTTYPE" localSheetId="47">0</definedName>
    <definedName name="QBREPORTTYPE" localSheetId="44">0</definedName>
    <definedName name="QBREPORTTYPE" localSheetId="41">0</definedName>
    <definedName name="QBROWHEADERS" localSheetId="50">6</definedName>
    <definedName name="QBROWHEADERS" localSheetId="47">6</definedName>
    <definedName name="QBROWHEADERS" localSheetId="44">6</definedName>
    <definedName name="QBROWHEADERS" localSheetId="41">6</definedName>
    <definedName name="QBSTARTDATE" localSheetId="50">20150101</definedName>
    <definedName name="QBSTARTDATE" localSheetId="47">20150101</definedName>
    <definedName name="QBSTARTDATE" localSheetId="44">20150101</definedName>
    <definedName name="QBSTARTDATE" localSheetId="41">20150101</definedName>
    <definedName name="rarte" hidden="1">{#N/A,#N/A,FALSE,"Bakersfield PCs";#N/A,#N/A,FALSE,"Bremer PCs";#N/A,#N/A,FALSE,"Bakersfield Notebooks"}</definedName>
    <definedName name="Raw_Score">[16]Settings!$B:$B</definedName>
    <definedName name="reality" hidden="1">{#N/A,#N/A,FALSE,"Title Page";#N/A,#N/A,FALSE,"Conclusions";#N/A,#N/A,FALSE,"Assum.";#N/A,#N/A,FALSE,"Sun  DCF-WC-Dep";#N/A,#N/A,FALSE,"MarketValue";#N/A,#N/A,FALSE,"BalSheet";#N/A,#N/A,FALSE,"WACC";#N/A,#N/A,FALSE,"PC+ Info.";#N/A,#N/A,FALSE,"PC+Info_2"}</definedName>
    <definedName name="Recruiting">0.1</definedName>
    <definedName name="regmult" localSheetId="35" hidden="1">#REF!</definedName>
    <definedName name="regmult" localSheetId="4" hidden="1">#REF!</definedName>
    <definedName name="regmult" localSheetId="13" hidden="1">#REF!</definedName>
    <definedName name="regmult" localSheetId="64" hidden="1">#REF!</definedName>
    <definedName name="regmult" localSheetId="62" hidden="1">#REF!</definedName>
    <definedName name="regmult" localSheetId="73" hidden="1">#REF!</definedName>
    <definedName name="regmult" localSheetId="72" hidden="1">#REF!</definedName>
    <definedName name="regmult" localSheetId="29" hidden="1">#REF!</definedName>
    <definedName name="regmult" localSheetId="36" hidden="1">#REF!</definedName>
    <definedName name="regmult" localSheetId="30" hidden="1">#REF!</definedName>
    <definedName name="regmult" hidden="1">#REF!</definedName>
    <definedName name="relativevalue2" hidden="1">{#N/A,#N/A,FALSE,"Bakersfield PCs";#N/A,#N/A,FALSE,"Bremer PCs";#N/A,#N/A,FALSE,"Bakersfield Notebooks"}</definedName>
    <definedName name="relativevalue3" hidden="1">{#N/A,#N/A,FALSE,"Bakersfield PCs";#N/A,#N/A,FALSE,"Bremer PCs";#N/A,#N/A,FALSE,"Bakersfield Notebooks"}</definedName>
    <definedName name="REPDATA">[17]SUBS!$B$10:$V$70</definedName>
    <definedName name="Report_Divisor" hidden="1">1000</definedName>
    <definedName name="Report_Divisor_000" hidden="1">1000000</definedName>
    <definedName name="Report_ID" hidden="1">"AL"</definedName>
    <definedName name="ReportGroup" hidden="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2</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r" hidden="1">{#N/A,#N/A,FALSE,"Bakersfield PCs";#N/A,#N/A,FALSE,"Bremer PCs";#N/A,#N/A,FALSE,"Bakersfield Notebooks"}</definedName>
    <definedName name="Sales_Rep">'[13]Revenue Assumptions and Summary'!$T$24:$T$25</definedName>
    <definedName name="SAPBEXrevision" hidden="1">1</definedName>
    <definedName name="SAPBEXsysID" hidden="1">"PBL"</definedName>
    <definedName name="SAPBEXwbID" hidden="1">"3JWXP1JGVR0V27DB0INATEIH7"</definedName>
    <definedName name="SAPFuncF4Help" localSheetId="35" hidden="1">Main.SAPF4Help()</definedName>
    <definedName name="SAPFuncF4Help" localSheetId="4" hidden="1">Main.SAPF4Help()</definedName>
    <definedName name="SAPFuncF4Help" localSheetId="13" hidden="1">Main.SAPF4Help()</definedName>
    <definedName name="SAPFuncF4Help" localSheetId="64" hidden="1">Main.SAPF4Help()</definedName>
    <definedName name="SAPFuncF4Help" localSheetId="62" hidden="1">Main.SAPF4Help()</definedName>
    <definedName name="SAPFuncF4Help" localSheetId="73" hidden="1">Main.SAPF4Help()</definedName>
    <definedName name="SAPFuncF4Help" localSheetId="72" hidden="1">Main.SAPF4Help()</definedName>
    <definedName name="SAPFuncF4Help" localSheetId="29" hidden="1">Main.SAPF4Help()</definedName>
    <definedName name="SAPFuncF4Help" localSheetId="36" hidden="1">Main.SAPF4Help()</definedName>
    <definedName name="SAPFuncF4Help" localSheetId="30" hidden="1">Main.SAPF4Help()</definedName>
    <definedName name="SAPFuncF4Help" hidden="1">Main.SAPF4Help()</definedName>
    <definedName name="sdf" hidden="1">{#N/A,"A",FALSE,"DCF"}</definedName>
    <definedName name="sencount" hidden="1">2</definedName>
    <definedName name="Sheeet1" hidden="1">{#N/A,#N/A,FALSE,"Summary";#N/A,#N/A,FALSE,"Proforma";#N/A,#N/A,FALSE,"Tx"}</definedName>
    <definedName name="sheet" hidden="1">{#N/A,#N/A,FALSE,"Summary";#N/A,#N/A,FALSE,"Proforma";#N/A,#N/A,FALSE,"Tx"}</definedName>
    <definedName name="sheet1" hidden="1">{#N/A,#N/A,FALSE,"Summary";#N/A,#N/A,FALSE,"Proforma";#N/A,#N/A,FALSE,"Tx"}</definedName>
    <definedName name="solver_adj" localSheetId="32" hidden="1">'OPM 2'!$P$7</definedName>
    <definedName name="solver_cvg" localSheetId="32" hidden="1">0.0001</definedName>
    <definedName name="solver_drv" localSheetId="32" hidden="1">1</definedName>
    <definedName name="solver_eng" localSheetId="32" hidden="1">1</definedName>
    <definedName name="solver_est" localSheetId="32" hidden="1">1</definedName>
    <definedName name="solver_itr" localSheetId="32" hidden="1">2147483647</definedName>
    <definedName name="solver_lin" hidden="1">0</definedName>
    <definedName name="solver_mip" localSheetId="32" hidden="1">2147483647</definedName>
    <definedName name="solver_mni" localSheetId="32" hidden="1">30</definedName>
    <definedName name="solver_mrt" localSheetId="32" hidden="1">0.075</definedName>
    <definedName name="solver_msl" localSheetId="32" hidden="1">2</definedName>
    <definedName name="solver_neg" localSheetId="32" hidden="1">1</definedName>
    <definedName name="solver_nod" localSheetId="32" hidden="1">2147483647</definedName>
    <definedName name="solver_num" localSheetId="32" hidden="1">0</definedName>
    <definedName name="solver_num" hidden="1">0</definedName>
    <definedName name="solver_nwt" localSheetId="32" hidden="1">1</definedName>
    <definedName name="solver_opt" localSheetId="32" hidden="1">'OPM 2'!$P$6</definedName>
    <definedName name="solver_pre" localSheetId="32" hidden="1">0.000001</definedName>
    <definedName name="solver_rbv" localSheetId="32" hidden="1">1</definedName>
    <definedName name="solver_rlx" localSheetId="32" hidden="1">2</definedName>
    <definedName name="solver_rsd" localSheetId="32" hidden="1">0</definedName>
    <definedName name="solver_scl" localSheetId="32" hidden="1">1</definedName>
    <definedName name="solver_sho" localSheetId="32" hidden="1">2</definedName>
    <definedName name="solver_ssz" localSheetId="32" hidden="1">100</definedName>
    <definedName name="solver_tim" localSheetId="32" hidden="1">2147483647</definedName>
    <definedName name="solver_tol" localSheetId="32" hidden="1">0.01</definedName>
    <definedName name="solver_typ" localSheetId="32" hidden="1">3</definedName>
    <definedName name="solver_typ" hidden="1">3</definedName>
    <definedName name="solver_val" localSheetId="32" hidden="1">0</definedName>
    <definedName name="solver_val" hidden="1">0</definedName>
    <definedName name="solver_ver" localSheetId="32" hidden="1">3</definedName>
    <definedName name="Ss" hidden="1">{#N/A,#N/A,FALSE,"Model";#N/A,#N/A,FALSE,"Gen Pts &amp; Rts 2000";#N/A,#N/A,FALSE,"AcqsAss";#N/A,#N/A,FALSE,"Acqs &amp; De Novos"}</definedName>
    <definedName name="steve" hidden="1">{#N/A,#N/A,FALSE,"Bakersfield PCs";#N/A,#N/A,FALSE,"Bremer PCs";#N/A,#N/A,FALSE,"Bakersfield Notebooks"}</definedName>
    <definedName name="steve2" hidden="1">{#N/A,#N/A,FALSE,"Bakersfield PCs";#N/A,#N/A,FALSE,"Bremer PCs";#N/A,#N/A,FALSE,"Bakersfield Notebooks"}</definedName>
    <definedName name="suckit" localSheetId="35" hidden="1">#REF!</definedName>
    <definedName name="suckit" localSheetId="4" hidden="1">#REF!</definedName>
    <definedName name="suckit" localSheetId="13" hidden="1">#REF!</definedName>
    <definedName name="suckit" localSheetId="64" hidden="1">#REF!</definedName>
    <definedName name="suckit" localSheetId="62" hidden="1">#REF!</definedName>
    <definedName name="suckit" localSheetId="73" hidden="1">#REF!</definedName>
    <definedName name="suckit" localSheetId="72" hidden="1">#REF!</definedName>
    <definedName name="suckit" localSheetId="29" hidden="1">#REF!</definedName>
    <definedName name="suckit" localSheetId="36" hidden="1">#REF!</definedName>
    <definedName name="suckit" localSheetId="30" hidden="1">#REF!</definedName>
    <definedName name="suckit" hidden="1">#REF!</definedName>
    <definedName name="t" hidden="1">{"bs",#N/A,FALSE,"SCF"}</definedName>
    <definedName name="TableName">"Dummy"</definedName>
    <definedName name="Taxes">0.085</definedName>
    <definedName name="tejhre" hidden="1">{#N/A,#N/A,FALSE,"Bakersfield PCs";#N/A,#N/A,FALSE,"Bremer PCs";#N/A,#N/A,FALSE,"Bakersfield Notebooks"}</definedName>
    <definedName name="temp" hidden="1">{#N/A,#N/A,FALSE,"Bakersfield PCs";#N/A,#N/A,FALSE,"Bremer PCs";#N/A,#N/A,FALSE,"Bakersfield Notebooks"}</definedName>
    <definedName name="test" hidden="1">{#N/A,#N/A,TRUE,"Tax";#N/A,#N/A,TRUE,"Structure";#N/A,#N/A,TRUE,"Accounting";#N/A,#N/A,TRUE,"Equipment"}</definedName>
    <definedName name="TM1REBUILDOPTION">0</definedName>
    <definedName name="Toggle_DB_Location" hidden="1">2</definedName>
    <definedName name="Toggle_Freeze_View" hidden="1">0</definedName>
    <definedName name="Total_Payment" localSheetId="35">Scheduled_Payment+Extra_Payment</definedName>
    <definedName name="Total_Payment" localSheetId="64">Scheduled_Payment+Extra_Payment</definedName>
    <definedName name="Total_Payment" localSheetId="36">Scheduled_Payment+Extra_Payment</definedName>
    <definedName name="Total_Payment" localSheetId="30">Scheduled_Payment+Extra_Payment</definedName>
    <definedName name="Total_Payment">Scheduled_Payment+Extra_Payment</definedName>
    <definedName name="totcap" localSheetId="35" hidden="1">#REF!,#REF!,#REF!,#REF!</definedName>
    <definedName name="totcap" localSheetId="4" hidden="1">#REF!,#REF!,#REF!,#REF!</definedName>
    <definedName name="totcap" localSheetId="13" hidden="1">#REF!,#REF!,#REF!,#REF!</definedName>
    <definedName name="totcap" localSheetId="64" hidden="1">#REF!,#REF!,#REF!,#REF!</definedName>
    <definedName name="totcap" localSheetId="62" hidden="1">#REF!,#REF!,#REF!,#REF!</definedName>
    <definedName name="totcap" localSheetId="73" hidden="1">#REF!,#REF!,#REF!,#REF!</definedName>
    <definedName name="totcap" localSheetId="72" hidden="1">#REF!,#REF!,#REF!,#REF!</definedName>
    <definedName name="totcap" localSheetId="29" hidden="1">#REF!,#REF!,#REF!,#REF!</definedName>
    <definedName name="totcap" localSheetId="36" hidden="1">#REF!,#REF!,#REF!,#REF!</definedName>
    <definedName name="totcap" localSheetId="30" hidden="1">#REF!,#REF!,#REF!,#REF!</definedName>
    <definedName name="totcap" hidden="1">#REF!,#REF!,#REF!,#REF!</definedName>
    <definedName name="Values_Entered" localSheetId="35">IF(Loan_Amount*Interest_Rate*Loan_Years*Loan_Start&gt;0,1,0)</definedName>
    <definedName name="Values_Entered" localSheetId="4">IF(Loan_Amount*Interest_Rate*Loan_Years*Loan_Start&gt;0,1,0)</definedName>
    <definedName name="Values_Entered" localSheetId="13">IF(Loan_Amount*Interest_Rate*Loan_Years*Loan_Start&gt;0,1,0)</definedName>
    <definedName name="Values_Entered" localSheetId="64">IF(Loan_Amount*Interest_Rate*Loan_Years*Loan_Start&gt;0,1,0)</definedName>
    <definedName name="Values_Entered" localSheetId="36">IF(Loan_Amount*Interest_Rate*Loan_Years*Loan_Start&gt;0,1,0)</definedName>
    <definedName name="Values_Entered" localSheetId="30">IF(Loan_Amount*Interest_Rate*Loan_Years*Loan_Start&gt;0,1,0)</definedName>
    <definedName name="Values_Entered">IF(Loan_Amount*Interest_Rate*Loan_Years*Loan_Start&gt;0,1,0)</definedName>
    <definedName name="Version_Nbr" hidden="1">1</definedName>
    <definedName name="Weighting">[16]Settings!$A:$A</definedName>
    <definedName name="willie" hidden="1">{#N/A,#N/A,FALSE,"Bakersfield PCs";#N/A,#N/A,FALSE,"Bremer PCs";#N/A,#N/A,FALSE,"Bakersfield Notebooks"}</definedName>
    <definedName name="wrn.All._.Sites." hidden="1">{#N/A,#N/A,FALSE,"Bakersfield PCs";#N/A,#N/A,FALSE,"Bremer PCs";#N/A,#N/A,FALSE,"Bakersfield Notebooks"}</definedName>
    <definedName name="wrn.BAC" hidden="1">{#N/A,#N/A,TRUE,"Tax";#N/A,#N/A,TRUE,"Structure";#N/A,#N/A,TRUE,"Accounting";#N/A,#N/A,TRUE,"Equipment"}</definedName>
    <definedName name="wrn.balance._.sheet." hidden="1">{"bs",#N/A,FALSE,"SCF"}</definedName>
    <definedName name="wrn.Basic._.Report." localSheetId="59" hidden="1">{#N/A,#N/A,FALSE,"New Depr Sch-150% DB";#N/A,#N/A,FALSE,"Cash Flows RLP";#N/A,#N/A,FALSE,"IRR";#N/A,#N/A,FALSE,"Proforma IS";#N/A,#N/A,FALSE,"Assumptions"}</definedName>
    <definedName name="wrn.Basic._.Report." hidden="1">{#N/A,#N/A,FALSE,"New Depr Sch-150% DB";#N/A,#N/A,FALSE,"Cash Flows RLP";#N/A,#N/A,FALSE,"IRR";#N/A,#N/A,FALSE,"Proforma IS";#N/A,#N/A,FALSE,"Assumptions"}</definedName>
    <definedName name="wrn.BoeingAircraftChecklist." hidden="1">{#N/A,#N/A,TRUE,"Tax";#N/A,#N/A,TRUE,"Structure";#N/A,#N/A,TRUE,"Accounting";#N/A,#N/A,TRUE,"Equipment"}</definedName>
    <definedName name="wrn.brisbane." hidden="1">{#N/A,#N/A,FALSE,"LOAN";#N/A,#N/A,FALSE,"linereclass";#N/A,#N/A,FALSE,"softdraw"}</definedName>
    <definedName name="wrn.clientcopy." localSheetId="59"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omplete._.Report." localSheetId="59" hidden="1">{#N/A,#N/A,FALSE,"Assumptions";#N/A,#N/A,FALSE,"Proforma IS";#N/A,#N/A,FALSE,"Cash Flows RLP";#N/A,#N/A,FALSE,"IRR";#N/A,#N/A,FALSE,"New Depr Sch-150% DB";#N/A,#N/A,FALSE,"Comments"}</definedName>
    <definedName name="wrn.Complete._.Report." hidden="1">{#N/A,#N/A,FALSE,"Assumptions";#N/A,#N/A,FALSE,"Proforma IS";#N/A,#N/A,FALSE,"Cash Flows RLP";#N/A,#N/A,FALSE,"IRR";#N/A,#N/A,FALSE,"New Depr Sch-150% DB";#N/A,#N/A,FALSE,"Comments"}</definedName>
    <definedName name="wrn.contributory._.asset._.charges." hidden="1">{"contributory1",#N/A,FALSE,"Contributory Assets Detail";"contributory2",#N/A,FALSE,"Contributory Assets Detail"}</definedName>
    <definedName name="wrn.Customer_base." hidden="1">{"customer base",#N/A,FALSE,"customer_base";"customer base perf estimates",#N/A,FALSE,"customer_base"}</definedName>
    <definedName name="wrn.DCF." hidden="1">{#N/A,#N/A,FALSE,"DCF Cov";#N/A,#N/A,FALSE,"dcf"}</definedName>
    <definedName name="wrn.documentation." hidden="1">{"documentation1",#N/A,FALSE,"Documentation";"documentation2",#N/A,FALSE,"Documentation"}</definedName>
    <definedName name="wrn.ESPP." hidden="1">{#N/A,#N/A,FALSE,"REPORT"}</definedName>
    <definedName name="wrn.exhibits." hidden="1">{#N/A,#N/A,FALSE,"IS";#N/A,#N/A,FALSE,"BS";#N/A,#N/A,FALSE,"RMA";#N/A,#N/A,FALSE,"INCOME";#N/A,#N/A,FALSE,"DCF";#N/A,#N/A,FALSE,"MARKET"}</definedName>
    <definedName name="wrn.Fcst._.by._.Mon." hidden="1">{"Fcst by Mon Full",#N/A,FALSE,"Tot PalmPalm";"Fcst by Mon Full",#N/A,FALSE,"Tot Device";"Fcst by Mon Full",#N/A,FALSE,"Platform";"Fcst by Mon Full",#N/A,FALSE,"Palm.Net";"Fcst by Mon Full",#N/A,FALSE,"Elim"}</definedName>
    <definedName name="wrn.Fcst._.by._.Qtr." hidden="1">{"Fcst by Qtr Full",#N/A,FALSE,"Tot PalmPalm";"Fcst by Qtr Full",#N/A,FALSE,"Tot Device";"Fcst by Qtr Full",#N/A,FALSE,"Platform";"Fcst by Qtr Full",#N/A,FALSE,"Palm.Net";"Fcst by Qtr Full",#N/A,FALSE,"Elim"}</definedName>
    <definedName name="wrn.File."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copy." localSheetId="59"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ull._.Model." hidden="1">{#N/A,#N/A,FALSE,"Cov";#N/A,#N/A,FALSE,"sum";#N/A,#N/A,FALSE,"baladj";#N/A,#N/A,FALSE,"bs";#N/A,#N/A,FALSE,"is";#N/A,#N/A,FALSE,"pis";#N/A,#N/A,FALSE,"pis";#N/A,#N/A,FALSE,"cf";#N/A,#N/A,FALSE,"balhist";#N/A,#N/A,FALSE,"wc";#N/A,#N/A,FALSE,"ltd";#N/A,#N/A,FALSE,"cover";#N/A,#N/A,FALSE,"fa";#N/A,#N/A,FALSE,"tax";#N/A,#N/A,FALSE,"irr";#N/A,#N/A,FALSE,"in";#N/A,#N/A,FALSE,"DCF Cov";#N/A,#N/A,FALSE,"dcf"}</definedName>
    <definedName name="wrn.Full._.Print."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ACQ." hidden="1">{#N/A,#N/A,FALSE,"Summary";#N/A,#N/A,FALSE,"Proforma";#N/A,#N/A,FALSE,"Tx"}</definedName>
    <definedName name="wrn.LBO." hidden="1">{#N/A,#N/A,FALSE,"Cov";#N/A,#N/A,FALSE,"sum";#N/A,#N/A,FALSE,"baladj";#N/A,#N/A,FALSE,"bs";#N/A,#N/A,FALSE,"is";#N/A,#N/A,FALSE,"pis";#N/A,#N/A,FALSE,"cf";#N/A,#N/A,FALSE,"balhist";#N/A,#N/A,FALSE,"wc";#N/A,#N/A,FALSE,"ltd";#N/A,#N/A,FALSE,"cover";#N/A,#N/A,FALSE,"fa";#N/A,#N/A,FALSE,"tax";#N/A,#N/A,FALSE,"irr";#N/A,#N/A,FALSE,"in"}</definedName>
    <definedName name="wrn.northpoint." hidden="1">{#N/A,#N/A,FALSE,"softdraw";#N/A,#N/A,FALSE,"linereclass";"northpint loan",#N/A,FALSE,"LOAN"}</definedName>
    <definedName name="wrn.Olk._.by._.Qtr." hidden="1">{"Olk by Qtr Full",#N/A,FALSE,"Tot PalmPalm";"Olk by Qtr Full",#N/A,FALSE,"Tot Device";"Olk by Qtr Full",#N/A,FALSE,"Platform";"Olk by Qtr Full",#N/A,FALSE,"Palm.Net";"Olk by Qtr Full",#N/A,FALSE,"Elim"}</definedName>
    <definedName name="wrn.OUTPUT." hidden="1">{"DCF","UPSIDE CASE",FALSE,"Sheet1";"DCF","BASE CASE",FALSE,"Sheet1";"DCF","DOWNSIDE CASE",FALSE,"Sheet1"}</definedName>
    <definedName name="wrn.PaperPanel." hidden="1">{#N/A,#N/A,FALSE,"Control"}</definedName>
    <definedName name="wrn.partial._.Print."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NERSHIP." hidden="1">{#N/A,#N/A,FALSE,"Ptnr Cash Flow";#N/A,#N/A,FALSE,"Pship Summary";#N/A,#N/A,FALSE,"Pship Proforma";#N/A,#N/A,FALSE,"Tx"}</definedName>
    <definedName name="wrn.print." localSheetId="59" hidden="1">{#N/A,#N/A,FALSE,"Japan 2003";#N/A,#N/A,FALSE,"Sheet2"}</definedName>
    <definedName name="wrn.print." hidden="1">{#N/A,#N/A,FALSE,"Japan 2003";#N/A,#N/A,FALSE,"Sheet2"}</definedName>
    <definedName name="wrn.print._.all._.sheets."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Disk."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graphs." hidden="1">{"cap_structure",#N/A,FALSE,"Graph-Mkt Cap";"price",#N/A,FALSE,"Graph-Price";"ebit",#N/A,FALSE,"Graph-EBITDA";"ebitda",#N/A,FALSE,"Graph-EBITDA"}</definedName>
    <definedName name="wrn.print._.raw._.data._.entry." hidden="1">{"inputs raw data",#N/A,TRUE,"INPUT"}</definedName>
    <definedName name="wrn.print._.summary._.sheets." hidden="1">{"summary1",#N/A,TRUE,"Comps";"summary2",#N/A,TRUE,"Comps";"summary3",#N/A,TRUE,"Comps"}</definedName>
    <definedName name="wrn.PrintSelected." hidden="1">{"ModelPage1",#N/A,TRUE,"Model";"ModelSum_Debt",#N/A,TRUE,"Model"}</definedName>
    <definedName name="wrn.Relevant." hidden="1">{#N/A,#N/A,FALSE,"Title Page";#N/A,#N/A,FALSE,"Conclusions";#N/A,#N/A,FALSE,"Assum.";#N/A,#N/A,FALSE,"Sun  DCF-WC-Dep";#N/A,#N/A,FALSE,"MarketValue";#N/A,#N/A,FALSE,"BalSheet";#N/A,#N/A,FALSE,"WACC";#N/A,#N/A,FALSE,"PC+ Info.";#N/A,#N/A,FALSE,"PC+Info_2"}</definedName>
    <definedName name="wrn.Relevant1." hidden="1">{#N/A,#N/A,FALSE,"Title Page";#N/A,#N/A,FALSE,"Conclusions";#N/A,#N/A,FALSE,"Assum.";#N/A,#N/A,FALSE,"Sun  DCF-WC-Dep";#N/A,#N/A,FALSE,"MarketValue";#N/A,#N/A,FALSE,"BalSheet";#N/A,#N/A,FALSE,"WACC";#N/A,#N/A,FALSE,"PC+ Info.";#N/A,#N/A,FALSE,"PC+Info_2"}</definedName>
    <definedName name="wrn.rep." hidden="1">{#N/A,#N/A,FALSE,"Exh. 5A";#N/A,#N/A,FALSE,"Exh. 6"}</definedName>
    <definedName name="wrn.REPORT."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venue._.detail." hidden="1">{"revenue detail 1",#N/A,FALSE,"Revenue Detail";"revenue detail 2",#N/A,FALSE,"Revenue Detail";"revenue detail 3",#N/A,FALSE,"Revenue Detail";"revenue detail 4",#N/A,FALSE,"Revenue Detail"}</definedName>
    <definedName name="wrn.Revs." hidden="1">{"Base_rev",#N/A,FALSE,"Proj_IS_Base";"Projrev",#N/A,FALSE,"Proj_IS_wOTLC";"Delta",#N/A,FALSE,"Delta Rev_PV"}</definedName>
    <definedName name="wrn.Riverwood_comp_model." hidden="1">{#N/A,#N/A,FALSE,"Che-Ga";#N/A,#N/A,FALSE,"Iv-Sm";#N/A,#N/A,FALSE,"So-We";#N/A,#N/A,FALSE,"Me-Po";#N/A,#N/A,FALSE,"Be-Bo";#N/A,#N/A,FALSE,"Cha-Ki";#N/A,#N/A,FALSE,"In";#N/A,#N/A,FALSE,"Schedule 23";#N/A,#N/A,FALSE,"Schedule 22";#N/A,#N/A,FALSE,"WACC"}</definedName>
    <definedName name="wrn.ROUGH." hidden="1">{#N/A,#N/A,FALSE,"ROA";#N/A,#N/A,FALSE,"ROI";#N/A,#N/A,FALSE,"EBIT";#N/A,#N/A,FALSE,"MULT X"}</definedName>
    <definedName name="wrn.rptexhibits." hidden="1">{#N/A,#N/A,FALSE,"BS";#N/A,#N/A,FALSE,"IS";#N/A,#N/A,FALSE,"RMA ";#N/A,#N/A,FALSE,"ADJ IS";#N/A,#N/A,FALSE,"DCF"}</definedName>
    <definedName name="wrn.subs." hidden="1">{#N/A,#N/A,FALSE,"Comp - War";#N/A,#N/A,FALSE,"Comp - War"}</definedName>
    <definedName name="wrn.sum." hidden="1">{"Opsys",#N/A,FALSE,"NPV_OPsys";"NT",#N/A,FALSE,"NPV_NT";"DevP",#N/A,FALSE,"NPV_DevPdt";"Office",#N/A,FALSE,"NPV_Office"}</definedName>
    <definedName name="wrn.summary._.schedules." hidden="1">{"summary1",#N/A,FALSE,"Summary of Values";"summary2",#N/A,FALSE,"Summary of Values"}</definedName>
    <definedName name="wrn.technology." hidden="1">{"developed valuation",#N/A,FALSE,"Valuation Analysis";"developed income statement",#N/A,FALSE,"Abbreviated Income Statement";"inprocess valuation",#N/A,FALSE,"Valuation Analysis";"inprocess income statement",#N/A,FALSE,"Abbreviated Income Statement"}</definedName>
    <definedName name="wrn.Three._.Month._.I.S." hidden="1">{"Landscape Detail IS",#N/A,FALSE,"Three Months Ended 8.31.96";"Portrait Summary IS",#N/A,FALSE,"Three Months Ended 8.31.96"}</definedName>
    <definedName name="wrn.trademark._.and._.trade._.name." hidden="1">{"trademark1",#N/A,FALSE,"Trademark(s) and Trade Name(s)"}</definedName>
    <definedName name="wrn.wara." hidden="1">{"weighted average returns",#N/A,FALSE,"WACC and WARA"}</definedName>
    <definedName name="wrn.Whole._.Model." hidden="1">{#N/A,#N/A,FALSE,"Model";#N/A,#N/A,FALSE,"Gen Pts &amp; Rts 2000";#N/A,#N/A,FALSE,"AcqsAss";#N/A,#N/A,FALSE,"Acqs &amp; De Novos"}</definedName>
    <definedName name="wrn.work._.paper._.shcedules." hidden="1">{"summary1",#N/A,FALSE,"Summary of Values";"summary2",#N/A,FALSE,"Summary of Values";"weighted average returns",#N/A,FALSE,"WACC and WARA";"fixed asset detail",#N/A,FALSE,"Fixed Asset Detail"}</definedName>
    <definedName name="wvu.inputs._.raw._.data." hidden="1">{TRUE,TRUE,-1.25,-15.5,604.5,369,FALSE,FALSE,TRUE,TRUE,0,1,83,1,38,4,5,4,TRUE,TRUE,3,TRUE,1,TRUE,75,"Swvu.inputs._.raw._.data.","ACwvu.inputs._.raw._.data.",#N/A,FALSE,FALSE,0.5,0.5,0.5,0.5,2,"&amp;F","&amp;A&amp;RPage &amp;P",FALSE,FALSE,FALSE,FALSE,1,60,#N/A,#N/A,"=R1C61:R53C89","=C1:C5",#N/A,#N/A,FALSE,FALSE,FALSE,1,600,600,FALSE,FALSE,TRUE,TRUE,TRUE}</definedName>
    <definedName name="wvu.summary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w" hidden="1">{#N/A,#N/A,FALSE,"Bakersfield PCs";#N/A,#N/A,FALSE,"Bremer PCs";#N/A,#N/A,FALSE,"Bakersfield Notebooks"}</definedName>
    <definedName name="ww.Rele" hidden="1">{#N/A,#N/A,FALSE,"Title Page";#N/A,#N/A,FALSE,"Conclusions";#N/A,#N/A,FALSE,"Assum.";#N/A,#N/A,FALSE,"Sun  DCF-WC-Dep";#N/A,#N/A,FALSE,"MarketValue";#N/A,#N/A,FALSE,"BalSheet";#N/A,#N/A,FALSE,"WACC";#N/A,#N/A,FALSE,"PC+ Info.";#N/A,#N/A,FALSE,"PC+Info_2"}</definedName>
    <definedName name="www" hidden="1">{#N/A,#N/A,FALSE,"Bakersfield PCs";#N/A,#N/A,FALSE,"Bremer PCs";#N/A,#N/A,FALSE,"Bakersfield Notebooks"}</definedName>
    <definedName name="x" hidden="1">{"contributory1",#N/A,FALSE,"Contributory Assets Detail";"contributory2",#N/A,FALSE,"Contributory Assets Detail"}</definedName>
    <definedName name="XRefColumnsCount" hidden="1">4</definedName>
    <definedName name="XRefCopyRangeCount" hidden="1">2</definedName>
    <definedName name="XRefPasteRangeCount" hidden="1">11</definedName>
    <definedName name="xxs" hidden="1">{#N/A,#N/A,TRUE,"Tax";#N/A,#N/A,TRUE,"Structure";#N/A,#N/A,TRUE,"Accounting";#N/A,#N/A,TRUE,"Equipment"}</definedName>
    <definedName name="xxx"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x" localSheetId="35" hidden="1">#REF!</definedName>
    <definedName name="xxxx" localSheetId="4" hidden="1">#REF!</definedName>
    <definedName name="xxxx" localSheetId="13" hidden="1">#REF!</definedName>
    <definedName name="xxxx" localSheetId="64" hidden="1">#REF!</definedName>
    <definedName name="xxxx" localSheetId="62" hidden="1">#REF!</definedName>
    <definedName name="xxxx" localSheetId="73" hidden="1">#REF!</definedName>
    <definedName name="xxxx" localSheetId="72" hidden="1">#REF!</definedName>
    <definedName name="xxxx" localSheetId="29" hidden="1">#REF!</definedName>
    <definedName name="xxxx" localSheetId="36" hidden="1">#REF!</definedName>
    <definedName name="xxxx" localSheetId="30" hidden="1">#REF!</definedName>
    <definedName name="xxxx" hidden="1">#REF!</definedName>
    <definedName name="yale" hidden="1">{"Opsys",#N/A,FALSE,"NPV_OPsys";"NT",#N/A,FALSE,"NPV_NT";"DevP",#N/A,FALSE,"NPV_DevPdt";"Office",#N/A,FALSE,"NPV_Office"}</definedName>
    <definedName name="Year_ID" hidden="1">" "</definedName>
    <definedName name="yyy" hidden="1">{#N/A,#N/A,FALSE,"Bakersfield PCs";#N/A,#N/A,FALSE,"Bremer PCs";#N/A,#N/A,FALSE,"Bakersfield Notebooks"}</definedName>
    <definedName name="yyyy" hidden="1">{#N/A,#N/A,FALSE,"Bakersfield PCs";#N/A,#N/A,FALSE,"Bremer PCs";#N/A,#N/A,FALSE,"Bakersfield Notebooks"}</definedName>
    <definedName name="yyyyw" hidden="1">{#N/A,#N/A,FALSE,"Bakersfield PCs";#N/A,#N/A,FALSE,"Bremer PCs";#N/A,#N/A,FALSE,"Bakersfield Notebooks"}</definedName>
    <definedName name="zzz.com" hidden="1">{#N/A,#N/A,FALSE,"Title Page";#N/A,#N/A,FALSE,"Conclusions";#N/A,#N/A,FALSE,"Assum.";#N/A,#N/A,FALSE,"Sun  DCF-WC-Dep";#N/A,#N/A,FALSE,"MarketValue";#N/A,#N/A,FALSE,"BalSheet";#N/A,#N/A,FALSE,"WACC";#N/A,#N/A,FALSE,"PC+ Info.";#N/A,#N/A,FALSE,"PC+Info_2"}</definedName>
  </definedNames>
  <calcPr calcId="179017"/>
</workbook>
</file>

<file path=xl/calcChain.xml><?xml version="1.0" encoding="utf-8"?>
<calcChain xmlns="http://schemas.openxmlformats.org/spreadsheetml/2006/main">
  <c r="G17" i="8" l="1"/>
  <c r="F17" i="8"/>
  <c r="E17" i="8"/>
  <c r="A46" i="10"/>
  <c r="W7" i="41"/>
  <c r="J19" i="39"/>
  <c r="G22" i="10" l="1"/>
  <c r="G21" i="10"/>
  <c r="G20" i="10" s="1"/>
  <c r="F22" i="10"/>
  <c r="F20" i="10" s="1"/>
  <c r="E23" i="10"/>
  <c r="E22" i="10"/>
  <c r="E20" i="10" l="1"/>
  <c r="B2" i="59"/>
  <c r="D8" i="59"/>
  <c r="D9" i="59"/>
  <c r="D10" i="59"/>
  <c r="D11" i="59"/>
  <c r="D12" i="59"/>
  <c r="D13" i="59"/>
  <c r="D14" i="59"/>
  <c r="D15" i="59"/>
  <c r="D16" i="59"/>
  <c r="D17" i="59"/>
  <c r="D18" i="59"/>
  <c r="D19" i="59"/>
  <c r="D20" i="59"/>
  <c r="D21" i="59"/>
  <c r="D22" i="59"/>
  <c r="D23" i="59"/>
  <c r="D24" i="59"/>
  <c r="D25" i="59"/>
  <c r="B2" i="57"/>
  <c r="AM3" i="57"/>
  <c r="L7" i="57"/>
  <c r="AO3" i="57" s="1"/>
  <c r="AQ3" i="57"/>
  <c r="AM4" i="57"/>
  <c r="AO4" i="57"/>
  <c r="AQ4" i="57"/>
  <c r="AM5" i="57"/>
  <c r="AO5" i="57"/>
  <c r="AQ5" i="57"/>
  <c r="M7" i="57"/>
  <c r="N7" i="57"/>
  <c r="O7" i="57"/>
  <c r="B9" i="57"/>
  <c r="C9" i="57"/>
  <c r="D9" i="57"/>
  <c r="B8" i="59" s="1"/>
  <c r="E9" i="57"/>
  <c r="F9" i="57"/>
  <c r="G9" i="57"/>
  <c r="L9" i="57"/>
  <c r="M9" i="57"/>
  <c r="N9" i="57"/>
  <c r="O9" i="57"/>
  <c r="Q9" i="57"/>
  <c r="R9" i="57"/>
  <c r="S9" i="57"/>
  <c r="X9" i="57"/>
  <c r="Y9" i="57"/>
  <c r="AA9" i="57"/>
  <c r="AB9" i="57"/>
  <c r="AC9" i="57"/>
  <c r="AG9" i="57"/>
  <c r="AI9" i="57"/>
  <c r="AJ9" i="57"/>
  <c r="B10" i="57"/>
  <c r="C10" i="57"/>
  <c r="D10" i="57"/>
  <c r="B9" i="59" s="1"/>
  <c r="E10" i="57"/>
  <c r="F10" i="57"/>
  <c r="G10" i="57"/>
  <c r="L10" i="57"/>
  <c r="M10" i="57"/>
  <c r="N10" i="57"/>
  <c r="O10" i="57"/>
  <c r="Q10" i="57"/>
  <c r="R10" i="57"/>
  <c r="S10" i="57"/>
  <c r="W10" i="57"/>
  <c r="X10" i="57"/>
  <c r="Y10" i="57"/>
  <c r="AA10" i="57"/>
  <c r="AB10" i="57"/>
  <c r="AF10" i="57" s="1"/>
  <c r="AC10" i="57"/>
  <c r="AG10" i="57"/>
  <c r="AI10" i="57"/>
  <c r="AJ10" i="57"/>
  <c r="B11" i="57"/>
  <c r="C11" i="57"/>
  <c r="D11" i="57"/>
  <c r="B10" i="59" s="1"/>
  <c r="E11" i="57"/>
  <c r="F11" i="57"/>
  <c r="G11" i="57"/>
  <c r="L11" i="57"/>
  <c r="M11" i="57"/>
  <c r="N11" i="57"/>
  <c r="O11" i="57"/>
  <c r="Q11" i="57"/>
  <c r="R11" i="57"/>
  <c r="S11" i="57"/>
  <c r="X11" i="57"/>
  <c r="Y11" i="57"/>
  <c r="AA11" i="57"/>
  <c r="AA44" i="57" s="1"/>
  <c r="AB11" i="57"/>
  <c r="AC11" i="57"/>
  <c r="AG11" i="57"/>
  <c r="AI11" i="57"/>
  <c r="AJ11" i="57"/>
  <c r="B12" i="57"/>
  <c r="C12" i="57"/>
  <c r="D12" i="57"/>
  <c r="B11" i="59" s="1"/>
  <c r="E12" i="57"/>
  <c r="F12" i="57"/>
  <c r="G12" i="57"/>
  <c r="L12" i="57"/>
  <c r="W12" i="57" s="1"/>
  <c r="M12" i="57"/>
  <c r="N12" i="57"/>
  <c r="O12" i="57"/>
  <c r="Q12" i="57"/>
  <c r="R12" i="57"/>
  <c r="S12" i="57"/>
  <c r="X12" i="57"/>
  <c r="Y12" i="57"/>
  <c r="AA12" i="57"/>
  <c r="AB12" i="57"/>
  <c r="AC12" i="57"/>
  <c r="AG12" i="57"/>
  <c r="AI12" i="57"/>
  <c r="AJ12" i="57"/>
  <c r="B13" i="57"/>
  <c r="C13" i="57"/>
  <c r="D13" i="57"/>
  <c r="B12" i="59" s="1"/>
  <c r="E13" i="57"/>
  <c r="F13" i="57"/>
  <c r="G13" i="57"/>
  <c r="L13" i="57"/>
  <c r="M13" i="57"/>
  <c r="N13" i="57"/>
  <c r="O13" i="57"/>
  <c r="Q13" i="57"/>
  <c r="R13" i="57"/>
  <c r="S13" i="57"/>
  <c r="X13" i="57"/>
  <c r="Y13" i="57"/>
  <c r="AA13" i="57"/>
  <c r="AB13" i="57"/>
  <c r="AC13" i="57"/>
  <c r="AG13" i="57"/>
  <c r="AI13" i="57"/>
  <c r="AJ13" i="57"/>
  <c r="B14" i="57"/>
  <c r="C14" i="57"/>
  <c r="D14" i="57"/>
  <c r="B13" i="59" s="1"/>
  <c r="E14" i="57"/>
  <c r="F14" i="57"/>
  <c r="G14" i="57"/>
  <c r="L14" i="57"/>
  <c r="W14" i="57" s="1"/>
  <c r="M14" i="57"/>
  <c r="N14" i="57"/>
  <c r="O14" i="57"/>
  <c r="Q14" i="57"/>
  <c r="R14" i="57"/>
  <c r="S14" i="57"/>
  <c r="X14" i="57"/>
  <c r="Y14" i="57"/>
  <c r="AA14" i="57"/>
  <c r="AB14" i="57"/>
  <c r="AC14" i="57"/>
  <c r="AG14" i="57"/>
  <c r="AI14" i="57"/>
  <c r="AJ14" i="57"/>
  <c r="B15" i="57"/>
  <c r="C15" i="57"/>
  <c r="D15" i="57"/>
  <c r="B14" i="59" s="1"/>
  <c r="E15" i="57"/>
  <c r="F15" i="57"/>
  <c r="G15" i="57"/>
  <c r="L15" i="57"/>
  <c r="M15" i="57"/>
  <c r="N15" i="57"/>
  <c r="O15" i="57"/>
  <c r="Q15" i="57"/>
  <c r="R15" i="57"/>
  <c r="S15" i="57"/>
  <c r="X15" i="57"/>
  <c r="Y15" i="57"/>
  <c r="AA15" i="57"/>
  <c r="AB15" i="57"/>
  <c r="AC15" i="57"/>
  <c r="AG15" i="57"/>
  <c r="AI15" i="57"/>
  <c r="AJ15" i="57"/>
  <c r="B16" i="57"/>
  <c r="C16" i="57"/>
  <c r="D16" i="57"/>
  <c r="B15" i="59" s="1"/>
  <c r="E16" i="57"/>
  <c r="F16" i="57"/>
  <c r="G16" i="57"/>
  <c r="L16" i="57"/>
  <c r="W16" i="57" s="1"/>
  <c r="M16" i="57"/>
  <c r="N16" i="57"/>
  <c r="O16" i="57"/>
  <c r="Q16" i="57"/>
  <c r="R16" i="57"/>
  <c r="S16" i="57"/>
  <c r="X16" i="57"/>
  <c r="Y16" i="57"/>
  <c r="AA16" i="57"/>
  <c r="AB16" i="57"/>
  <c r="AC16" i="57"/>
  <c r="AG16" i="57"/>
  <c r="AI16" i="57"/>
  <c r="AJ16" i="57"/>
  <c r="B17" i="57"/>
  <c r="C17" i="57"/>
  <c r="D17" i="57"/>
  <c r="B16" i="59" s="1"/>
  <c r="E17" i="57"/>
  <c r="F17" i="57"/>
  <c r="G17" i="57"/>
  <c r="L17" i="57"/>
  <c r="M17" i="57"/>
  <c r="N17" i="57"/>
  <c r="O17" i="57"/>
  <c r="Q17" i="57"/>
  <c r="R17" i="57"/>
  <c r="S17" i="57"/>
  <c r="X17" i="57"/>
  <c r="Y17" i="57"/>
  <c r="AA17" i="57"/>
  <c r="AB17" i="57"/>
  <c r="AC17" i="57"/>
  <c r="AG17" i="57"/>
  <c r="AI17" i="57"/>
  <c r="AJ17" i="57"/>
  <c r="B18" i="57"/>
  <c r="C18" i="57"/>
  <c r="D18" i="57"/>
  <c r="B17" i="59" s="1"/>
  <c r="E18" i="57"/>
  <c r="F18" i="57"/>
  <c r="G18" i="57"/>
  <c r="L18" i="57"/>
  <c r="M18" i="57"/>
  <c r="N18" i="57"/>
  <c r="O18" i="57"/>
  <c r="Q18" i="57"/>
  <c r="R18" i="57"/>
  <c r="S18" i="57"/>
  <c r="W18" i="57"/>
  <c r="X18" i="57"/>
  <c r="Y18" i="57"/>
  <c r="AA18" i="57"/>
  <c r="AB18" i="57"/>
  <c r="AF18" i="57" s="1"/>
  <c r="AC18" i="57"/>
  <c r="AG18" i="57"/>
  <c r="AI18" i="57"/>
  <c r="AJ18" i="57"/>
  <c r="B19" i="57"/>
  <c r="C19" i="57"/>
  <c r="D19" i="57"/>
  <c r="B18" i="59" s="1"/>
  <c r="E19" i="57"/>
  <c r="F19" i="57"/>
  <c r="G19" i="57"/>
  <c r="L19" i="57"/>
  <c r="M19" i="57"/>
  <c r="N19" i="57"/>
  <c r="O19" i="57"/>
  <c r="Q19" i="57"/>
  <c r="R19" i="57"/>
  <c r="S19" i="57"/>
  <c r="X19" i="57"/>
  <c r="Y19" i="57"/>
  <c r="AA19" i="57"/>
  <c r="AB19" i="57"/>
  <c r="AC19" i="57"/>
  <c r="AG19" i="57"/>
  <c r="AI19" i="57"/>
  <c r="AJ19" i="57"/>
  <c r="B20" i="57"/>
  <c r="C20" i="57"/>
  <c r="D20" i="57"/>
  <c r="B19" i="59" s="1"/>
  <c r="E20" i="57"/>
  <c r="F20" i="57"/>
  <c r="G20" i="57"/>
  <c r="L20" i="57"/>
  <c r="W20" i="57" s="1"/>
  <c r="M20" i="57"/>
  <c r="N20" i="57"/>
  <c r="O20" i="57"/>
  <c r="Q20" i="57"/>
  <c r="R20" i="57"/>
  <c r="S20" i="57"/>
  <c r="X20" i="57"/>
  <c r="X42" i="57" s="1"/>
  <c r="Y20" i="57"/>
  <c r="AA20" i="57"/>
  <c r="AB20" i="57"/>
  <c r="AC20" i="57"/>
  <c r="AC45" i="57" s="1"/>
  <c r="AG20" i="57"/>
  <c r="AI20" i="57"/>
  <c r="AJ20" i="57"/>
  <c r="B21" i="57"/>
  <c r="C21" i="57"/>
  <c r="D21" i="57"/>
  <c r="B20" i="59" s="1"/>
  <c r="E21" i="57"/>
  <c r="F21" i="57"/>
  <c r="G21" i="57"/>
  <c r="L21" i="57"/>
  <c r="M21" i="57"/>
  <c r="N21" i="57"/>
  <c r="O21" i="57"/>
  <c r="Q21" i="57"/>
  <c r="R21" i="57"/>
  <c r="S21" i="57"/>
  <c r="S45" i="57" s="1"/>
  <c r="X21" i="57"/>
  <c r="Y21" i="57"/>
  <c r="AA21" i="57"/>
  <c r="AB21" i="57"/>
  <c r="AC21" i="57"/>
  <c r="AG21" i="57"/>
  <c r="AI21" i="57"/>
  <c r="AJ21" i="57"/>
  <c r="B22" i="57"/>
  <c r="C22" i="57"/>
  <c r="D22" i="57"/>
  <c r="B21" i="59" s="1"/>
  <c r="E22" i="57"/>
  <c r="F22" i="57"/>
  <c r="G22" i="57"/>
  <c r="L22" i="57"/>
  <c r="W22" i="57" s="1"/>
  <c r="M22" i="57"/>
  <c r="N22" i="57"/>
  <c r="O22" i="57"/>
  <c r="Q22" i="57"/>
  <c r="R22" i="57"/>
  <c r="S22" i="57"/>
  <c r="X22" i="57"/>
  <c r="Y22" i="57"/>
  <c r="AA22" i="57"/>
  <c r="AB22" i="57"/>
  <c r="AC22" i="57"/>
  <c r="AG22" i="57"/>
  <c r="AI22" i="57"/>
  <c r="AJ22" i="57"/>
  <c r="B23" i="57"/>
  <c r="C23" i="57"/>
  <c r="D23" i="57"/>
  <c r="B22" i="59" s="1"/>
  <c r="E23" i="57"/>
  <c r="F23" i="57"/>
  <c r="G23" i="57"/>
  <c r="L23" i="57"/>
  <c r="M23" i="57"/>
  <c r="N23" i="57"/>
  <c r="O23" i="57"/>
  <c r="Q23" i="57"/>
  <c r="R23" i="57"/>
  <c r="S23" i="57"/>
  <c r="X23" i="57"/>
  <c r="Y23" i="57"/>
  <c r="AA23" i="57"/>
  <c r="AB23" i="57"/>
  <c r="AC23" i="57"/>
  <c r="AG23" i="57"/>
  <c r="AI23" i="57"/>
  <c r="AJ23" i="57"/>
  <c r="B24" i="57"/>
  <c r="C24" i="57"/>
  <c r="D24" i="57"/>
  <c r="B23" i="59" s="1"/>
  <c r="E24" i="57"/>
  <c r="F24" i="57"/>
  <c r="G24" i="57"/>
  <c r="L24" i="57"/>
  <c r="W24" i="57" s="1"/>
  <c r="M24" i="57"/>
  <c r="N24" i="57"/>
  <c r="O24" i="57"/>
  <c r="Q24" i="57"/>
  <c r="R24" i="57"/>
  <c r="S24" i="57"/>
  <c r="X24" i="57"/>
  <c r="Y24" i="57"/>
  <c r="AA24" i="57"/>
  <c r="AB24" i="57"/>
  <c r="AC24" i="57"/>
  <c r="AG24" i="57"/>
  <c r="AI24" i="57"/>
  <c r="AJ24" i="57"/>
  <c r="B25" i="57"/>
  <c r="C25" i="57"/>
  <c r="D25" i="57"/>
  <c r="B24" i="59" s="1"/>
  <c r="E25" i="57"/>
  <c r="F25" i="57"/>
  <c r="G25" i="57"/>
  <c r="L25" i="57"/>
  <c r="M25" i="57"/>
  <c r="N25" i="57"/>
  <c r="O25" i="57"/>
  <c r="Q25" i="57"/>
  <c r="R25" i="57"/>
  <c r="S25" i="57"/>
  <c r="X25" i="57"/>
  <c r="Y25" i="57"/>
  <c r="AA25" i="57"/>
  <c r="AB25" i="57"/>
  <c r="AC25" i="57"/>
  <c r="AG25" i="57"/>
  <c r="AI25" i="57"/>
  <c r="AJ25" i="57"/>
  <c r="B26" i="57"/>
  <c r="C26" i="57"/>
  <c r="D26" i="57"/>
  <c r="B25" i="59" s="1"/>
  <c r="E26" i="57"/>
  <c r="F26" i="57"/>
  <c r="G26" i="57"/>
  <c r="L26" i="57"/>
  <c r="M26" i="57"/>
  <c r="N26" i="57"/>
  <c r="O26" i="57"/>
  <c r="Q26" i="57"/>
  <c r="R26" i="57"/>
  <c r="S26" i="57"/>
  <c r="W26" i="57"/>
  <c r="X26" i="57"/>
  <c r="Y26" i="57"/>
  <c r="AA26" i="57"/>
  <c r="AB26" i="57"/>
  <c r="AF26" i="57" s="1"/>
  <c r="AC26" i="57"/>
  <c r="AG26" i="57"/>
  <c r="AI26" i="57"/>
  <c r="AJ26" i="57"/>
  <c r="AA40" i="57"/>
  <c r="N42" i="57"/>
  <c r="Y43" i="57"/>
  <c r="M45" i="57"/>
  <c r="B2" i="53"/>
  <c r="AA3" i="53"/>
  <c r="K4" i="53"/>
  <c r="W4" i="53"/>
  <c r="AA4" i="53"/>
  <c r="AA5" i="53"/>
  <c r="D10" i="53"/>
  <c r="E10" i="53"/>
  <c r="F10" i="53"/>
  <c r="G10" i="53"/>
  <c r="G46" i="53" s="1"/>
  <c r="I10" i="53"/>
  <c r="J10" i="53"/>
  <c r="K10" i="53"/>
  <c r="Q10" i="53"/>
  <c r="R10" i="53"/>
  <c r="S10" i="53"/>
  <c r="D11" i="53"/>
  <c r="E11" i="53"/>
  <c r="F11" i="53"/>
  <c r="G11" i="53"/>
  <c r="I11" i="53"/>
  <c r="J11" i="53"/>
  <c r="J45" i="53" s="1"/>
  <c r="K11" i="53"/>
  <c r="Q11" i="53"/>
  <c r="R11" i="53"/>
  <c r="S11" i="53"/>
  <c r="D12" i="53"/>
  <c r="E12" i="53"/>
  <c r="F12" i="53"/>
  <c r="G12" i="53"/>
  <c r="I12" i="53"/>
  <c r="J12" i="53"/>
  <c r="K12" i="53"/>
  <c r="Q12" i="53"/>
  <c r="R12" i="53"/>
  <c r="S12" i="53"/>
  <c r="D13" i="53"/>
  <c r="E13" i="53"/>
  <c r="F13" i="53"/>
  <c r="G13" i="53"/>
  <c r="I13" i="53"/>
  <c r="J13" i="53"/>
  <c r="K13" i="53"/>
  <c r="Q13" i="53"/>
  <c r="R13" i="53"/>
  <c r="S13" i="53"/>
  <c r="D14" i="53"/>
  <c r="E14" i="53"/>
  <c r="F14" i="53"/>
  <c r="G14" i="53"/>
  <c r="I14" i="53"/>
  <c r="J14" i="53"/>
  <c r="K14" i="53"/>
  <c r="Q14" i="53"/>
  <c r="R14" i="53"/>
  <c r="S14" i="53"/>
  <c r="D15" i="53"/>
  <c r="E15" i="53"/>
  <c r="F15" i="53"/>
  <c r="G15" i="53"/>
  <c r="I15" i="53"/>
  <c r="J15" i="53"/>
  <c r="K15" i="53"/>
  <c r="Q15" i="53"/>
  <c r="R15" i="53"/>
  <c r="S15" i="53"/>
  <c r="D16" i="53"/>
  <c r="E16" i="53"/>
  <c r="F16" i="53"/>
  <c r="G16" i="53"/>
  <c r="I16" i="53"/>
  <c r="J16" i="53"/>
  <c r="K16" i="53"/>
  <c r="Q16" i="53"/>
  <c r="R16" i="53"/>
  <c r="S16" i="53"/>
  <c r="D17" i="53"/>
  <c r="E17" i="53"/>
  <c r="F17" i="53"/>
  <c r="G17" i="53"/>
  <c r="I17" i="53"/>
  <c r="J17" i="53"/>
  <c r="K17" i="53"/>
  <c r="Q17" i="53"/>
  <c r="R17" i="53"/>
  <c r="S17" i="53"/>
  <c r="D18" i="53"/>
  <c r="E18" i="53"/>
  <c r="F18" i="53"/>
  <c r="G18" i="53"/>
  <c r="I18" i="53"/>
  <c r="J18" i="53"/>
  <c r="K18" i="53"/>
  <c r="Q18" i="53"/>
  <c r="R18" i="53"/>
  <c r="S18" i="53"/>
  <c r="D19" i="53"/>
  <c r="E19" i="53"/>
  <c r="F19" i="53"/>
  <c r="G19" i="53"/>
  <c r="I19" i="53"/>
  <c r="J19" i="53"/>
  <c r="K19" i="53"/>
  <c r="Q19" i="53"/>
  <c r="R19" i="53"/>
  <c r="S19" i="53"/>
  <c r="D20" i="53"/>
  <c r="E20" i="53"/>
  <c r="F20" i="53"/>
  <c r="G20" i="53"/>
  <c r="I20" i="53"/>
  <c r="J20" i="53"/>
  <c r="K20" i="53"/>
  <c r="Q20" i="53"/>
  <c r="R20" i="53"/>
  <c r="S20" i="53"/>
  <c r="D21" i="53"/>
  <c r="E21" i="53"/>
  <c r="F21" i="53"/>
  <c r="G21" i="53"/>
  <c r="I21" i="53"/>
  <c r="J21" i="53"/>
  <c r="K21" i="53"/>
  <c r="Q21" i="53"/>
  <c r="R21" i="53"/>
  <c r="S21" i="53"/>
  <c r="D22" i="53"/>
  <c r="D41" i="53" s="1"/>
  <c r="E22" i="53"/>
  <c r="F22" i="53"/>
  <c r="G22" i="53"/>
  <c r="I22" i="53"/>
  <c r="I41" i="53" s="1"/>
  <c r="J22" i="53"/>
  <c r="K22" i="53"/>
  <c r="Q22" i="53"/>
  <c r="R22" i="53"/>
  <c r="S22" i="53"/>
  <c r="D43" i="53"/>
  <c r="B2" i="2"/>
  <c r="F21" i="2"/>
  <c r="F22" i="2"/>
  <c r="F24" i="2"/>
  <c r="F25" i="2"/>
  <c r="F43" i="2"/>
  <c r="F44" i="2"/>
  <c r="B2" i="173"/>
  <c r="AP2" i="173"/>
  <c r="J9" i="173" s="1"/>
  <c r="Q4" i="173"/>
  <c r="L9" i="173"/>
  <c r="Z12" i="173" s="1"/>
  <c r="M9" i="173"/>
  <c r="AA12" i="173" s="1"/>
  <c r="N9" i="173"/>
  <c r="AB12" i="173" s="1"/>
  <c r="S12" i="173"/>
  <c r="T12" i="173"/>
  <c r="U12" i="173"/>
  <c r="S13" i="173"/>
  <c r="T13" i="173"/>
  <c r="U13" i="173"/>
  <c r="W13" i="173"/>
  <c r="X13" i="173"/>
  <c r="Z13" i="173"/>
  <c r="AA13" i="173"/>
  <c r="AB13" i="173"/>
  <c r="AD13" i="173"/>
  <c r="AE13" i="173"/>
  <c r="S14" i="173"/>
  <c r="T14" i="173"/>
  <c r="U14" i="173"/>
  <c r="W14" i="173"/>
  <c r="X14" i="173"/>
  <c r="Z14" i="173"/>
  <c r="AA14" i="173"/>
  <c r="AB14" i="173"/>
  <c r="AD14" i="173"/>
  <c r="AE14" i="173"/>
  <c r="S15" i="173"/>
  <c r="T15" i="173"/>
  <c r="U15" i="173"/>
  <c r="W15" i="173"/>
  <c r="X15" i="173"/>
  <c r="Z15" i="173"/>
  <c r="AA15" i="173"/>
  <c r="AB15" i="173"/>
  <c r="AD15" i="173"/>
  <c r="AE15" i="173"/>
  <c r="S16" i="173"/>
  <c r="T16" i="173"/>
  <c r="U16" i="173"/>
  <c r="W16" i="173"/>
  <c r="X16" i="173"/>
  <c r="Z16" i="173"/>
  <c r="AA16" i="173"/>
  <c r="AB16" i="173"/>
  <c r="AD16" i="173"/>
  <c r="AE16" i="173"/>
  <c r="S17" i="173"/>
  <c r="T17" i="173"/>
  <c r="U17" i="173"/>
  <c r="W17" i="173"/>
  <c r="X17" i="173"/>
  <c r="Z17" i="173"/>
  <c r="AA17" i="173"/>
  <c r="AB17" i="173"/>
  <c r="AD17" i="173"/>
  <c r="AE17" i="173"/>
  <c r="S18" i="173"/>
  <c r="T18" i="173"/>
  <c r="U18" i="173"/>
  <c r="W18" i="173"/>
  <c r="X18" i="173"/>
  <c r="Z18" i="173"/>
  <c r="AA18" i="173"/>
  <c r="AB18" i="173"/>
  <c r="AD18" i="173"/>
  <c r="AE18" i="173"/>
  <c r="S19" i="173"/>
  <c r="T19" i="173"/>
  <c r="U19" i="173"/>
  <c r="W19" i="173"/>
  <c r="X19" i="173"/>
  <c r="Z19" i="173"/>
  <c r="AA19" i="173"/>
  <c r="AB19" i="173"/>
  <c r="AD19" i="173"/>
  <c r="AE19" i="173"/>
  <c r="S20" i="173"/>
  <c r="T20" i="173"/>
  <c r="U20" i="173"/>
  <c r="W20" i="173"/>
  <c r="X20" i="173"/>
  <c r="Z20" i="173"/>
  <c r="AA20" i="173"/>
  <c r="AB20" i="173"/>
  <c r="AD20" i="173"/>
  <c r="AE20" i="173"/>
  <c r="S21" i="173"/>
  <c r="T21" i="173"/>
  <c r="U21" i="173"/>
  <c r="W21" i="173"/>
  <c r="X21" i="173"/>
  <c r="Z21" i="173"/>
  <c r="AA21" i="173"/>
  <c r="AB21" i="173"/>
  <c r="AD21" i="173"/>
  <c r="AE21" i="173"/>
  <c r="S22" i="173"/>
  <c r="T22" i="173"/>
  <c r="U22" i="173"/>
  <c r="W22" i="173"/>
  <c r="X22" i="173"/>
  <c r="Z22" i="173"/>
  <c r="AA22" i="173"/>
  <c r="AB22" i="173"/>
  <c r="AD22" i="173"/>
  <c r="AE22" i="173"/>
  <c r="S23" i="173"/>
  <c r="T23" i="173"/>
  <c r="U23" i="173"/>
  <c r="W23" i="173"/>
  <c r="X23" i="173"/>
  <c r="Z23" i="173"/>
  <c r="AA23" i="173"/>
  <c r="AB23" i="173"/>
  <c r="AD23" i="173"/>
  <c r="AE23" i="173"/>
  <c r="S24" i="173"/>
  <c r="T24" i="173"/>
  <c r="U24" i="173"/>
  <c r="W24" i="173"/>
  <c r="X24" i="173"/>
  <c r="Z24" i="173"/>
  <c r="AA24" i="173"/>
  <c r="AB24" i="173"/>
  <c r="AD24" i="173"/>
  <c r="AE24" i="173"/>
  <c r="S25" i="173"/>
  <c r="T25" i="173"/>
  <c r="U25" i="173"/>
  <c r="W25" i="173"/>
  <c r="X25" i="173"/>
  <c r="Z25" i="173"/>
  <c r="AA25" i="173"/>
  <c r="AB25" i="173"/>
  <c r="AD25" i="173"/>
  <c r="AE25" i="173"/>
  <c r="B26" i="173"/>
  <c r="AG26" i="173"/>
  <c r="C26" i="173" s="1"/>
  <c r="S26" i="173"/>
  <c r="T26" i="173"/>
  <c r="U26" i="173"/>
  <c r="W26" i="173"/>
  <c r="X26" i="173"/>
  <c r="Z26" i="173"/>
  <c r="AA26" i="173"/>
  <c r="AB26" i="173"/>
  <c r="AD26" i="173"/>
  <c r="AE26" i="173"/>
  <c r="AH26" i="173"/>
  <c r="AI26" i="173"/>
  <c r="AJ26" i="173"/>
  <c r="AM26" i="173"/>
  <c r="AQ26" i="173"/>
  <c r="B27" i="173"/>
  <c r="AG27" i="173"/>
  <c r="C27" i="173"/>
  <c r="S27" i="173"/>
  <c r="T27" i="173"/>
  <c r="U27" i="173"/>
  <c r="W27" i="173"/>
  <c r="X27" i="173"/>
  <c r="Z27" i="173"/>
  <c r="AA27" i="173"/>
  <c r="AB27" i="173"/>
  <c r="AD27" i="173"/>
  <c r="AE27" i="173"/>
  <c r="AH27" i="173"/>
  <c r="AI27" i="173"/>
  <c r="AJ27" i="173"/>
  <c r="AM27" i="173"/>
  <c r="AQ27" i="173"/>
  <c r="B28" i="173"/>
  <c r="AG28" i="173"/>
  <c r="C28" i="173"/>
  <c r="S28" i="173"/>
  <c r="T28" i="173"/>
  <c r="U28" i="173"/>
  <c r="W28" i="173"/>
  <c r="X28" i="173"/>
  <c r="Z28" i="173"/>
  <c r="AA28" i="173"/>
  <c r="AB28" i="173"/>
  <c r="AD28" i="173"/>
  <c r="AE28" i="173"/>
  <c r="AH28" i="173"/>
  <c r="AI28" i="173"/>
  <c r="AJ28" i="173"/>
  <c r="AM28" i="173"/>
  <c r="AQ28" i="173"/>
  <c r="B29" i="173"/>
  <c r="AG29" i="173"/>
  <c r="C29" i="173" s="1"/>
  <c r="S29" i="173"/>
  <c r="T29" i="173"/>
  <c r="U29" i="173"/>
  <c r="W29" i="173"/>
  <c r="X29" i="173"/>
  <c r="Z29" i="173"/>
  <c r="AA29" i="173"/>
  <c r="AB29" i="173"/>
  <c r="AD29" i="173"/>
  <c r="AE29" i="173"/>
  <c r="AH29" i="173"/>
  <c r="AK29" i="173" s="1"/>
  <c r="AI29" i="173"/>
  <c r="AJ29" i="173"/>
  <c r="AM29" i="173"/>
  <c r="AQ29" i="173"/>
  <c r="B30" i="173"/>
  <c r="AG30" i="173"/>
  <c r="C30" i="173" s="1"/>
  <c r="S30" i="173"/>
  <c r="T30" i="173"/>
  <c r="U30" i="173"/>
  <c r="W30" i="173"/>
  <c r="X30" i="173"/>
  <c r="Z30" i="173"/>
  <c r="AA30" i="173"/>
  <c r="AB30" i="173"/>
  <c r="AD30" i="173"/>
  <c r="AE30" i="173"/>
  <c r="AH30" i="173"/>
  <c r="AI30" i="173"/>
  <c r="AJ30" i="173"/>
  <c r="AM30" i="173"/>
  <c r="AQ30" i="173"/>
  <c r="B31" i="173"/>
  <c r="AG31" i="173"/>
  <c r="C31" i="173" s="1"/>
  <c r="S31" i="173"/>
  <c r="T31" i="173"/>
  <c r="U31" i="173"/>
  <c r="W31" i="173"/>
  <c r="X31" i="173"/>
  <c r="Z31" i="173"/>
  <c r="AA31" i="173"/>
  <c r="AB31" i="173"/>
  <c r="AD31" i="173"/>
  <c r="AE31" i="173"/>
  <c r="AH31" i="173"/>
  <c r="AK31" i="173" s="1"/>
  <c r="AI31" i="173"/>
  <c r="AJ31" i="173"/>
  <c r="AM31" i="173"/>
  <c r="AQ31" i="173"/>
  <c r="B32" i="173"/>
  <c r="AG32" i="173"/>
  <c r="C32" i="173" s="1"/>
  <c r="S32" i="173"/>
  <c r="T32" i="173"/>
  <c r="U32" i="173"/>
  <c r="W32" i="173"/>
  <c r="X32" i="173"/>
  <c r="Z32" i="173"/>
  <c r="AA32" i="173"/>
  <c r="AB32" i="173"/>
  <c r="AD32" i="173"/>
  <c r="AE32" i="173"/>
  <c r="AH32" i="173"/>
  <c r="AI32" i="173"/>
  <c r="AJ32" i="173"/>
  <c r="AK32" i="173" s="1"/>
  <c r="AM32" i="173"/>
  <c r="AQ32" i="173"/>
  <c r="B33" i="173"/>
  <c r="AG33" i="173"/>
  <c r="C33" i="173" s="1"/>
  <c r="S33" i="173"/>
  <c r="T33" i="173"/>
  <c r="U33" i="173"/>
  <c r="W33" i="173"/>
  <c r="X33" i="173"/>
  <c r="Z33" i="173"/>
  <c r="AA33" i="173"/>
  <c r="AB33" i="173"/>
  <c r="AD33" i="173"/>
  <c r="AE33" i="173"/>
  <c r="AH33" i="173"/>
  <c r="AI33" i="173"/>
  <c r="AK33" i="173" s="1"/>
  <c r="AJ33" i="173"/>
  <c r="AM33" i="173"/>
  <c r="AQ33" i="173"/>
  <c r="B34" i="173"/>
  <c r="AG34" i="173"/>
  <c r="C34" i="173" s="1"/>
  <c r="S34" i="173"/>
  <c r="T34" i="173"/>
  <c r="U34" i="173"/>
  <c r="W34" i="173"/>
  <c r="X34" i="173"/>
  <c r="Z34" i="173"/>
  <c r="AA34" i="173"/>
  <c r="AB34" i="173"/>
  <c r="AD34" i="173"/>
  <c r="AE34" i="173"/>
  <c r="AH34" i="173"/>
  <c r="AI34" i="173"/>
  <c r="AJ34" i="173"/>
  <c r="AM34" i="173"/>
  <c r="AQ34" i="173"/>
  <c r="B35" i="173"/>
  <c r="AG35" i="173"/>
  <c r="C35" i="173"/>
  <c r="S35" i="173"/>
  <c r="T35" i="173"/>
  <c r="U35" i="173"/>
  <c r="W35" i="173"/>
  <c r="X35" i="173"/>
  <c r="Z35" i="173"/>
  <c r="AA35" i="173"/>
  <c r="AB35" i="173"/>
  <c r="AD35" i="173"/>
  <c r="AE35" i="173"/>
  <c r="AH35" i="173"/>
  <c r="AI35" i="173"/>
  <c r="AL35" i="173" s="1"/>
  <c r="AN35" i="173" s="1"/>
  <c r="AJ35" i="173"/>
  <c r="AM35" i="173"/>
  <c r="AQ35" i="173"/>
  <c r="B36" i="173"/>
  <c r="AG36" i="173"/>
  <c r="C36" i="173" s="1"/>
  <c r="S36" i="173"/>
  <c r="T36" i="173"/>
  <c r="U36" i="173"/>
  <c r="W36" i="173"/>
  <c r="X36" i="173"/>
  <c r="Z36" i="173"/>
  <c r="AA36" i="173"/>
  <c r="AB36" i="173"/>
  <c r="AD36" i="173"/>
  <c r="AE36" i="173"/>
  <c r="AH36" i="173"/>
  <c r="AI36" i="173"/>
  <c r="AJ36" i="173"/>
  <c r="AM36" i="173"/>
  <c r="AQ36" i="173"/>
  <c r="B37" i="173"/>
  <c r="AG37" i="173"/>
  <c r="C37" i="173" s="1"/>
  <c r="S37" i="173"/>
  <c r="T37" i="173"/>
  <c r="U37" i="173"/>
  <c r="W37" i="173"/>
  <c r="X37" i="173"/>
  <c r="Z37" i="173"/>
  <c r="AA37" i="173"/>
  <c r="AB37" i="173"/>
  <c r="AD37" i="173"/>
  <c r="AE37" i="173"/>
  <c r="AH37" i="173"/>
  <c r="AI37" i="173"/>
  <c r="AJ37" i="173"/>
  <c r="AK37" i="173"/>
  <c r="AM37" i="173"/>
  <c r="AQ37" i="173"/>
  <c r="B38" i="173"/>
  <c r="AG38" i="173"/>
  <c r="C38" i="173" s="1"/>
  <c r="S38" i="173"/>
  <c r="T38" i="173"/>
  <c r="U38" i="173"/>
  <c r="W38" i="173"/>
  <c r="X38" i="173"/>
  <c r="Z38" i="173"/>
  <c r="AA38" i="173"/>
  <c r="AB38" i="173"/>
  <c r="AD38" i="173"/>
  <c r="AE38" i="173"/>
  <c r="AH38" i="173"/>
  <c r="AI38" i="173"/>
  <c r="AJ38" i="173"/>
  <c r="AM38" i="173"/>
  <c r="AQ38" i="173"/>
  <c r="B39" i="173"/>
  <c r="AG39" i="173"/>
  <c r="C39" i="173"/>
  <c r="S39" i="173"/>
  <c r="T39" i="173"/>
  <c r="U39" i="173"/>
  <c r="W39" i="173"/>
  <c r="X39" i="173"/>
  <c r="Z39" i="173"/>
  <c r="AA39" i="173"/>
  <c r="AB39" i="173"/>
  <c r="AD39" i="173"/>
  <c r="AE39" i="173"/>
  <c r="AH39" i="173"/>
  <c r="AI39" i="173"/>
  <c r="AJ39" i="173"/>
  <c r="AM39" i="173"/>
  <c r="AQ39" i="173"/>
  <c r="B40" i="173"/>
  <c r="AG40" i="173"/>
  <c r="C40" i="173" s="1"/>
  <c r="S40" i="173"/>
  <c r="T40" i="173"/>
  <c r="U40" i="173"/>
  <c r="W40" i="173"/>
  <c r="X40" i="173"/>
  <c r="Z40" i="173"/>
  <c r="AA40" i="173"/>
  <c r="AB40" i="173"/>
  <c r="AD40" i="173"/>
  <c r="AE40" i="173"/>
  <c r="AH40" i="173"/>
  <c r="AI40" i="173"/>
  <c r="AJ40" i="173"/>
  <c r="AK40" i="173" s="1"/>
  <c r="AM40" i="173"/>
  <c r="AQ40" i="173"/>
  <c r="B41" i="173"/>
  <c r="AG41" i="173"/>
  <c r="C41" i="173" s="1"/>
  <c r="S41" i="173"/>
  <c r="T41" i="173"/>
  <c r="U41" i="173"/>
  <c r="W41" i="173"/>
  <c r="X41" i="173"/>
  <c r="Z41" i="173"/>
  <c r="AA41" i="173"/>
  <c r="AB41" i="173"/>
  <c r="AD41" i="173"/>
  <c r="AE41" i="173"/>
  <c r="AH41" i="173"/>
  <c r="AI41" i="173"/>
  <c r="AK41" i="173" s="1"/>
  <c r="AJ41" i="173"/>
  <c r="AM41" i="173"/>
  <c r="AQ41" i="173"/>
  <c r="B42" i="173"/>
  <c r="AG42" i="173"/>
  <c r="C42" i="173" s="1"/>
  <c r="S42" i="173"/>
  <c r="T42" i="173"/>
  <c r="U42" i="173"/>
  <c r="W42" i="173"/>
  <c r="X42" i="173"/>
  <c r="Z42" i="173"/>
  <c r="AA42" i="173"/>
  <c r="AB42" i="173"/>
  <c r="AD42" i="173"/>
  <c r="AE42" i="173"/>
  <c r="AH42" i="173"/>
  <c r="AI42" i="173"/>
  <c r="AJ42" i="173"/>
  <c r="AM42" i="173"/>
  <c r="AQ42" i="173"/>
  <c r="B2" i="5"/>
  <c r="B2" i="235"/>
  <c r="P4" i="235"/>
  <c r="K11" i="235"/>
  <c r="N11" i="235" s="1"/>
  <c r="R11" i="235"/>
  <c r="K12" i="235"/>
  <c r="N12" i="235" s="1"/>
  <c r="R12" i="235"/>
  <c r="R133" i="235" s="1"/>
  <c r="K13" i="235"/>
  <c r="N13" i="235"/>
  <c r="P13" i="235" s="1"/>
  <c r="R13" i="235"/>
  <c r="K14" i="235"/>
  <c r="N14" i="235" s="1"/>
  <c r="R14" i="235"/>
  <c r="K15" i="235"/>
  <c r="N15" i="235" s="1"/>
  <c r="P15" i="235" s="1"/>
  <c r="R15" i="235"/>
  <c r="K16" i="235"/>
  <c r="N16" i="235" s="1"/>
  <c r="R16" i="235"/>
  <c r="K17" i="235"/>
  <c r="N17" i="235" s="1"/>
  <c r="P17" i="235" s="1"/>
  <c r="R17" i="235"/>
  <c r="K18" i="235"/>
  <c r="N18" i="235" s="1"/>
  <c r="R18" i="235"/>
  <c r="K19" i="235"/>
  <c r="N19" i="235" s="1"/>
  <c r="P19" i="235" s="1"/>
  <c r="R19" i="235"/>
  <c r="K23" i="235"/>
  <c r="N23" i="235" s="1"/>
  <c r="O23" i="235"/>
  <c r="S23" i="235"/>
  <c r="K24" i="235"/>
  <c r="N24" i="235" s="1"/>
  <c r="O24" i="235"/>
  <c r="S24" i="235"/>
  <c r="K25" i="235"/>
  <c r="N25" i="235" s="1"/>
  <c r="O25" i="235"/>
  <c r="S25" i="235"/>
  <c r="K26" i="235"/>
  <c r="N26" i="235" s="1"/>
  <c r="O26" i="235"/>
  <c r="S26" i="235"/>
  <c r="K27" i="235"/>
  <c r="N27" i="235" s="1"/>
  <c r="O27" i="235"/>
  <c r="S27" i="235"/>
  <c r="K28" i="235"/>
  <c r="N28" i="235" s="1"/>
  <c r="O28" i="235"/>
  <c r="S28" i="235"/>
  <c r="K29" i="235"/>
  <c r="N29" i="235" s="1"/>
  <c r="O29" i="235"/>
  <c r="S29" i="235"/>
  <c r="K30" i="235"/>
  <c r="N30" i="235" s="1"/>
  <c r="O30" i="235"/>
  <c r="S30" i="235"/>
  <c r="K31" i="235"/>
  <c r="N31" i="235" s="1"/>
  <c r="O31" i="235"/>
  <c r="S31" i="235"/>
  <c r="K32" i="235"/>
  <c r="N32" i="235" s="1"/>
  <c r="O32" i="235"/>
  <c r="S32" i="235"/>
  <c r="K33" i="235"/>
  <c r="N33" i="235" s="1"/>
  <c r="O33" i="235"/>
  <c r="S33" i="235"/>
  <c r="K34" i="235"/>
  <c r="N34" i="235" s="1"/>
  <c r="O34" i="235"/>
  <c r="S34" i="235"/>
  <c r="K35" i="235"/>
  <c r="N35" i="235" s="1"/>
  <c r="O35" i="235"/>
  <c r="S35" i="235"/>
  <c r="K36" i="235"/>
  <c r="N36" i="235" s="1"/>
  <c r="O36" i="235"/>
  <c r="S36" i="235"/>
  <c r="K37" i="235"/>
  <c r="N37" i="235" s="1"/>
  <c r="O37" i="235"/>
  <c r="S37" i="235"/>
  <c r="K38" i="235"/>
  <c r="N38" i="235" s="1"/>
  <c r="O38" i="235"/>
  <c r="S38" i="235"/>
  <c r="K39" i="235"/>
  <c r="N39" i="235" s="1"/>
  <c r="O39" i="235"/>
  <c r="S39" i="235"/>
  <c r="R41" i="235"/>
  <c r="R42" i="235"/>
  <c r="R43" i="235"/>
  <c r="R44" i="235"/>
  <c r="R45" i="235"/>
  <c r="R46" i="235"/>
  <c r="M49" i="235"/>
  <c r="K49" i="235" s="1"/>
  <c r="N49" i="235" s="1"/>
  <c r="L49" i="235"/>
  <c r="O49" i="235"/>
  <c r="S49" i="235"/>
  <c r="M50" i="235"/>
  <c r="L50" i="235"/>
  <c r="S50" i="235"/>
  <c r="K51" i="235"/>
  <c r="N51" i="235" s="1"/>
  <c r="O51" i="235"/>
  <c r="S51" i="235"/>
  <c r="K52" i="235"/>
  <c r="N52" i="235" s="1"/>
  <c r="O52" i="235"/>
  <c r="S52" i="235"/>
  <c r="K53" i="235"/>
  <c r="N53" i="235" s="1"/>
  <c r="O53" i="235"/>
  <c r="S53" i="235"/>
  <c r="K54" i="235"/>
  <c r="N54" i="235" s="1"/>
  <c r="O54" i="235"/>
  <c r="S54" i="235"/>
  <c r="K55" i="235"/>
  <c r="N55" i="235" s="1"/>
  <c r="O55" i="235"/>
  <c r="S55" i="235"/>
  <c r="K56" i="235"/>
  <c r="N56" i="235" s="1"/>
  <c r="O56" i="235"/>
  <c r="S56" i="235"/>
  <c r="K57" i="235"/>
  <c r="N57" i="235" s="1"/>
  <c r="O57" i="235"/>
  <c r="S57" i="235"/>
  <c r="K58" i="235"/>
  <c r="N58" i="235" s="1"/>
  <c r="O58" i="235"/>
  <c r="S58" i="235"/>
  <c r="K59" i="235"/>
  <c r="N59" i="235" s="1"/>
  <c r="O59" i="235"/>
  <c r="S59" i="235"/>
  <c r="K60" i="235"/>
  <c r="N60" i="235" s="1"/>
  <c r="P60" i="235" s="1"/>
  <c r="O60" i="235"/>
  <c r="S60" i="235"/>
  <c r="K61" i="235"/>
  <c r="N61" i="235" s="1"/>
  <c r="O61" i="235"/>
  <c r="S61" i="235"/>
  <c r="K62" i="235"/>
  <c r="N62" i="235" s="1"/>
  <c r="O62" i="235"/>
  <c r="S62" i="235"/>
  <c r="K63" i="235"/>
  <c r="N63" i="235" s="1"/>
  <c r="O63" i="235"/>
  <c r="S63" i="235"/>
  <c r="K64" i="235"/>
  <c r="N64" i="235" s="1"/>
  <c r="P64" i="235" s="1"/>
  <c r="O64" i="235"/>
  <c r="S64" i="235"/>
  <c r="K65" i="235"/>
  <c r="N65" i="235" s="1"/>
  <c r="O65" i="235"/>
  <c r="S65" i="235"/>
  <c r="K66" i="235"/>
  <c r="N66" i="235" s="1"/>
  <c r="O66" i="235"/>
  <c r="S66" i="235"/>
  <c r="K67" i="235"/>
  <c r="N67" i="235" s="1"/>
  <c r="O67" i="235"/>
  <c r="S67" i="235"/>
  <c r="O68" i="235"/>
  <c r="S68" i="235"/>
  <c r="K69" i="235"/>
  <c r="N69" i="235" s="1"/>
  <c r="O69" i="235"/>
  <c r="S69" i="235"/>
  <c r="K70" i="235"/>
  <c r="N70" i="235" s="1"/>
  <c r="O70" i="235"/>
  <c r="S70" i="235"/>
  <c r="R72" i="235"/>
  <c r="R73" i="235"/>
  <c r="R74" i="235"/>
  <c r="R75" i="235"/>
  <c r="R76" i="235"/>
  <c r="R77" i="235"/>
  <c r="M80" i="235"/>
  <c r="K80" i="235" s="1"/>
  <c r="N80" i="235" s="1"/>
  <c r="L80" i="235"/>
  <c r="O80" i="235"/>
  <c r="S80" i="235"/>
  <c r="AM80" i="235"/>
  <c r="AN80" i="235"/>
  <c r="AP80" i="235"/>
  <c r="AR80" i="235"/>
  <c r="AT80" i="235"/>
  <c r="AX80" i="235"/>
  <c r="AY80" i="235"/>
  <c r="BB80" i="235"/>
  <c r="K81" i="235"/>
  <c r="N81" i="235" s="1"/>
  <c r="W81" i="235" s="1"/>
  <c r="O81" i="235"/>
  <c r="S81" i="235"/>
  <c r="K82" i="235"/>
  <c r="N82" i="235" s="1"/>
  <c r="O82" i="235"/>
  <c r="S82" i="235"/>
  <c r="K83" i="235"/>
  <c r="N83" i="235" s="1"/>
  <c r="W83" i="235" s="1"/>
  <c r="O83" i="235"/>
  <c r="S83" i="235"/>
  <c r="K84" i="235"/>
  <c r="N84" i="235" s="1"/>
  <c r="O84" i="235"/>
  <c r="S84" i="235"/>
  <c r="K85" i="235"/>
  <c r="N85" i="235" s="1"/>
  <c r="W85" i="235" s="1"/>
  <c r="O85" i="235"/>
  <c r="S85" i="235"/>
  <c r="K86" i="235"/>
  <c r="N86" i="235" s="1"/>
  <c r="O86" i="235"/>
  <c r="S86" i="235"/>
  <c r="K87" i="235"/>
  <c r="N87" i="235" s="1"/>
  <c r="W87" i="235" s="1"/>
  <c r="O87" i="235"/>
  <c r="S87" i="235"/>
  <c r="K88" i="235"/>
  <c r="N88" i="235" s="1"/>
  <c r="O88" i="235"/>
  <c r="S88" i="235"/>
  <c r="K89" i="235"/>
  <c r="N89" i="235" s="1"/>
  <c r="W89" i="235" s="1"/>
  <c r="O89" i="235"/>
  <c r="S89" i="235"/>
  <c r="K90" i="235"/>
  <c r="N90" i="235" s="1"/>
  <c r="O90" i="235"/>
  <c r="S90" i="235"/>
  <c r="K91" i="235"/>
  <c r="N91" i="235" s="1"/>
  <c r="W91" i="235" s="1"/>
  <c r="O91" i="235"/>
  <c r="S91" i="235"/>
  <c r="K92" i="235"/>
  <c r="N92" i="235" s="1"/>
  <c r="O92" i="235"/>
  <c r="S92" i="235"/>
  <c r="K93" i="235"/>
  <c r="N93" i="235" s="1"/>
  <c r="W93" i="235" s="1"/>
  <c r="O93" i="235"/>
  <c r="S93" i="235"/>
  <c r="K94" i="235"/>
  <c r="N94" i="235" s="1"/>
  <c r="O94" i="235"/>
  <c r="S94" i="235"/>
  <c r="K95" i="235"/>
  <c r="N95" i="235" s="1"/>
  <c r="W95" i="235" s="1"/>
  <c r="O95" i="235"/>
  <c r="S95" i="235"/>
  <c r="K96" i="235"/>
  <c r="N96" i="235" s="1"/>
  <c r="O96" i="235"/>
  <c r="S96" i="235"/>
  <c r="K97" i="235"/>
  <c r="N97" i="235" s="1"/>
  <c r="W97" i="235" s="1"/>
  <c r="O97" i="235"/>
  <c r="S97" i="235"/>
  <c r="K98" i="235"/>
  <c r="N98" i="235" s="1"/>
  <c r="O98" i="235"/>
  <c r="S98" i="235"/>
  <c r="O99" i="235"/>
  <c r="S99" i="235"/>
  <c r="R101" i="235"/>
  <c r="R102" i="235"/>
  <c r="R103" i="235"/>
  <c r="R104" i="235"/>
  <c r="R105" i="235"/>
  <c r="R106" i="235"/>
  <c r="K109" i="235"/>
  <c r="N109" i="235" s="1"/>
  <c r="O109" i="235"/>
  <c r="K110" i="235"/>
  <c r="N110" i="235" s="1"/>
  <c r="W110" i="235" s="1"/>
  <c r="O110" i="235"/>
  <c r="S110" i="235"/>
  <c r="M111" i="235"/>
  <c r="L111" i="235"/>
  <c r="K111" i="235"/>
  <c r="N111" i="235" s="1"/>
  <c r="O111" i="235"/>
  <c r="K112" i="235"/>
  <c r="N112" i="235" s="1"/>
  <c r="O112" i="235"/>
  <c r="S112" i="235"/>
  <c r="K113" i="235"/>
  <c r="N113" i="235" s="1"/>
  <c r="P113" i="235" s="1"/>
  <c r="O113" i="235"/>
  <c r="S113" i="235"/>
  <c r="K114" i="235"/>
  <c r="N114" i="235"/>
  <c r="O114" i="235"/>
  <c r="S114" i="235"/>
  <c r="K115" i="235"/>
  <c r="N115" i="235"/>
  <c r="O115" i="235"/>
  <c r="S115" i="235"/>
  <c r="K116" i="235"/>
  <c r="N116" i="235" s="1"/>
  <c r="O116" i="235"/>
  <c r="S116" i="235"/>
  <c r="K117" i="235"/>
  <c r="N117" i="235" s="1"/>
  <c r="O117" i="235"/>
  <c r="S117" i="235"/>
  <c r="K118" i="235"/>
  <c r="N118" i="235" s="1"/>
  <c r="W118" i="235" s="1"/>
  <c r="O118" i="235"/>
  <c r="S118" i="235"/>
  <c r="K119" i="235"/>
  <c r="N119" i="235" s="1"/>
  <c r="O119" i="235"/>
  <c r="S119" i="235"/>
  <c r="K120" i="235"/>
  <c r="N120" i="235" s="1"/>
  <c r="O120" i="235"/>
  <c r="P120" i="235" s="1"/>
  <c r="S120" i="235"/>
  <c r="R122" i="235"/>
  <c r="R123" i="235"/>
  <c r="R124" i="235"/>
  <c r="R125" i="235"/>
  <c r="R126" i="235"/>
  <c r="R127" i="235"/>
  <c r="B2" i="234"/>
  <c r="O4" i="234"/>
  <c r="J12" i="234"/>
  <c r="M12" i="234" s="1"/>
  <c r="X12" i="234"/>
  <c r="Y12" i="234"/>
  <c r="AA12" i="234"/>
  <c r="AC12" i="234"/>
  <c r="AH12" i="234"/>
  <c r="AK12" i="234" s="1"/>
  <c r="J13" i="234"/>
  <c r="M13" i="234"/>
  <c r="O13" i="234" s="1"/>
  <c r="X13" i="234"/>
  <c r="Y13" i="234"/>
  <c r="AA13" i="234"/>
  <c r="AC13" i="234"/>
  <c r="AH13" i="234"/>
  <c r="AK13" i="234" s="1"/>
  <c r="AL13" i="234"/>
  <c r="J14" i="234"/>
  <c r="M14" i="234" s="1"/>
  <c r="O14" i="234" s="1"/>
  <c r="S14" i="234" s="1"/>
  <c r="X14" i="234"/>
  <c r="Y14" i="234"/>
  <c r="AA14" i="234"/>
  <c r="AC14" i="234"/>
  <c r="AH14" i="234"/>
  <c r="AK14" i="234" s="1"/>
  <c r="J15" i="234"/>
  <c r="M15" i="234" s="1"/>
  <c r="O15" i="234" s="1"/>
  <c r="X15" i="234"/>
  <c r="Y15" i="234"/>
  <c r="AA15" i="234"/>
  <c r="AC15" i="234"/>
  <c r="AH15" i="234"/>
  <c r="K16" i="234"/>
  <c r="J16" i="234" s="1"/>
  <c r="M16" i="234" s="1"/>
  <c r="O16" i="234" s="1"/>
  <c r="X16" i="234"/>
  <c r="Y16" i="234"/>
  <c r="AA16" i="234"/>
  <c r="AC16" i="234"/>
  <c r="AH16" i="234"/>
  <c r="J17" i="234"/>
  <c r="M17" i="234" s="1"/>
  <c r="O17" i="234" s="1"/>
  <c r="S17" i="234" s="1"/>
  <c r="X17" i="234"/>
  <c r="Y17" i="234"/>
  <c r="AA17" i="234"/>
  <c r="AC17" i="234"/>
  <c r="AH17" i="234"/>
  <c r="J18" i="234"/>
  <c r="M18" i="234" s="1"/>
  <c r="O18" i="234" s="1"/>
  <c r="X18" i="234"/>
  <c r="Y18" i="234"/>
  <c r="AA18" i="234"/>
  <c r="AC18" i="234"/>
  <c r="AH18" i="234"/>
  <c r="J19" i="234"/>
  <c r="M19" i="234" s="1"/>
  <c r="O19" i="234" s="1"/>
  <c r="S19" i="234" s="1"/>
  <c r="X19" i="234"/>
  <c r="Y19" i="234"/>
  <c r="AC19" i="234"/>
  <c r="AH19" i="234"/>
  <c r="AK19" i="234" s="1"/>
  <c r="J20" i="234"/>
  <c r="M20" i="234"/>
  <c r="O20" i="234" s="1"/>
  <c r="X20" i="234"/>
  <c r="Y20" i="234"/>
  <c r="AA20" i="234"/>
  <c r="AC20" i="234"/>
  <c r="AH20" i="234"/>
  <c r="AL20" i="234" s="1"/>
  <c r="AK20" i="234"/>
  <c r="J21" i="234"/>
  <c r="X21" i="234"/>
  <c r="Y21" i="234"/>
  <c r="AC21" i="234"/>
  <c r="AH21" i="234"/>
  <c r="AK21" i="234" s="1"/>
  <c r="AL21" i="234"/>
  <c r="J22" i="234"/>
  <c r="M22" i="234" s="1"/>
  <c r="O22" i="234" s="1"/>
  <c r="S22" i="234" s="1"/>
  <c r="U22" i="234"/>
  <c r="V22" i="234"/>
  <c r="X22" i="234"/>
  <c r="Y22" i="234"/>
  <c r="AH22" i="234"/>
  <c r="J23" i="234"/>
  <c r="M23" i="234" s="1"/>
  <c r="O23" i="234" s="1"/>
  <c r="X23" i="234"/>
  <c r="Y23" i="234"/>
  <c r="AC23" i="234"/>
  <c r="AH23" i="234"/>
  <c r="AK23" i="234" s="1"/>
  <c r="J24" i="234"/>
  <c r="M24" i="234" s="1"/>
  <c r="O24" i="234" s="1"/>
  <c r="T24" i="234" s="1"/>
  <c r="X24" i="234"/>
  <c r="Y24" i="234"/>
  <c r="AA24" i="234"/>
  <c r="AC24" i="234"/>
  <c r="AH24" i="234"/>
  <c r="J25" i="234"/>
  <c r="M25" i="234" s="1"/>
  <c r="O25" i="234" s="1"/>
  <c r="X25" i="234"/>
  <c r="Y25" i="234"/>
  <c r="AA25" i="234"/>
  <c r="AC25" i="234"/>
  <c r="AH25" i="234"/>
  <c r="AK25" i="234" s="1"/>
  <c r="J26" i="234"/>
  <c r="AA26" i="234" s="1"/>
  <c r="M26" i="234"/>
  <c r="O26" i="234" s="1"/>
  <c r="X26" i="234"/>
  <c r="Y26" i="234"/>
  <c r="AC26" i="234"/>
  <c r="AH26" i="234"/>
  <c r="J27" i="234"/>
  <c r="M27" i="234" s="1"/>
  <c r="O27" i="234" s="1"/>
  <c r="X27" i="234"/>
  <c r="Y27" i="234"/>
  <c r="AC27" i="234"/>
  <c r="AH27" i="234"/>
  <c r="AK27" i="234" s="1"/>
  <c r="J28" i="234"/>
  <c r="M28" i="234" s="1"/>
  <c r="O28" i="234" s="1"/>
  <c r="T28" i="234" s="1"/>
  <c r="X28" i="234"/>
  <c r="Y28" i="234"/>
  <c r="AC28" i="234"/>
  <c r="AH28" i="234"/>
  <c r="AK28" i="234" s="1"/>
  <c r="AL28" i="234"/>
  <c r="J29" i="234"/>
  <c r="M29" i="234" s="1"/>
  <c r="O29" i="234" s="1"/>
  <c r="U29" i="234"/>
  <c r="V29" i="234"/>
  <c r="X29" i="234"/>
  <c r="Y29" i="234"/>
  <c r="AH29" i="234"/>
  <c r="AK29" i="234" s="1"/>
  <c r="AL29" i="234"/>
  <c r="J30" i="234"/>
  <c r="M30" i="234" s="1"/>
  <c r="O30" i="234" s="1"/>
  <c r="X30" i="234"/>
  <c r="Y30" i="234"/>
  <c r="AA30" i="234"/>
  <c r="AC30" i="234"/>
  <c r="AH30" i="234"/>
  <c r="AK30" i="234" s="1"/>
  <c r="J31" i="234"/>
  <c r="AA31" i="234" s="1"/>
  <c r="M31" i="234"/>
  <c r="O31" i="234" s="1"/>
  <c r="X31" i="234"/>
  <c r="Y31" i="234"/>
  <c r="AC31" i="234"/>
  <c r="AH31" i="234"/>
  <c r="J32" i="234"/>
  <c r="M32" i="234" s="1"/>
  <c r="O32" i="234" s="1"/>
  <c r="X32" i="234"/>
  <c r="Y32" i="234"/>
  <c r="AC32" i="234"/>
  <c r="AH32" i="234"/>
  <c r="AK32" i="234" s="1"/>
  <c r="J33" i="234"/>
  <c r="M33" i="234" s="1"/>
  <c r="O33" i="234" s="1"/>
  <c r="T33" i="234" s="1"/>
  <c r="X33" i="234"/>
  <c r="Y33" i="234"/>
  <c r="AA33" i="234"/>
  <c r="AC33" i="234"/>
  <c r="AH33" i="234"/>
  <c r="J34" i="234"/>
  <c r="M34" i="234" s="1"/>
  <c r="O34" i="234" s="1"/>
  <c r="X34" i="234"/>
  <c r="Y34" i="234"/>
  <c r="AA34" i="234"/>
  <c r="AC34" i="234"/>
  <c r="AH34" i="234"/>
  <c r="AK34" i="234" s="1"/>
  <c r="J35" i="234"/>
  <c r="M35" i="234"/>
  <c r="O35" i="234" s="1"/>
  <c r="U35" i="234"/>
  <c r="V35" i="234"/>
  <c r="X35" i="234"/>
  <c r="Y35" i="234"/>
  <c r="AH35" i="234"/>
  <c r="AK35" i="234" s="1"/>
  <c r="AL35" i="234"/>
  <c r="J36" i="234"/>
  <c r="M36" i="234" s="1"/>
  <c r="O36" i="234" s="1"/>
  <c r="S36" i="234" s="1"/>
  <c r="U36" i="234"/>
  <c r="V36" i="234"/>
  <c r="X36" i="234"/>
  <c r="Y36" i="234"/>
  <c r="AH36" i="234"/>
  <c r="AK36" i="234" s="1"/>
  <c r="J37" i="234"/>
  <c r="AA37" i="234" s="1"/>
  <c r="M37" i="234"/>
  <c r="O37" i="234" s="1"/>
  <c r="X37" i="234"/>
  <c r="Y37" i="234"/>
  <c r="AC37" i="234"/>
  <c r="AH37" i="234"/>
  <c r="J38" i="234"/>
  <c r="M38" i="234" s="1"/>
  <c r="O38" i="234" s="1"/>
  <c r="X38" i="234"/>
  <c r="Y38" i="234"/>
  <c r="AC38" i="234"/>
  <c r="AH38" i="234"/>
  <c r="AK38" i="234" s="1"/>
  <c r="J39" i="234"/>
  <c r="M39" i="234" s="1"/>
  <c r="O39" i="234" s="1"/>
  <c r="T39" i="234" s="1"/>
  <c r="X39" i="234"/>
  <c r="Y39" i="234"/>
  <c r="AA39" i="234"/>
  <c r="AC39" i="234"/>
  <c r="AH39" i="234"/>
  <c r="J40" i="234"/>
  <c r="M40" i="234" s="1"/>
  <c r="O40" i="234" s="1"/>
  <c r="X40" i="234"/>
  <c r="Y40" i="234"/>
  <c r="AA40" i="234"/>
  <c r="AC40" i="234"/>
  <c r="AH40" i="234"/>
  <c r="AK40" i="234" s="1"/>
  <c r="P42" i="234"/>
  <c r="Q42" i="234"/>
  <c r="W42" i="234"/>
  <c r="P43" i="234"/>
  <c r="Q43" i="234"/>
  <c r="W43" i="234"/>
  <c r="P44" i="234"/>
  <c r="Q44" i="234"/>
  <c r="W44" i="234"/>
  <c r="P45" i="234"/>
  <c r="Q45" i="234"/>
  <c r="W45" i="234"/>
  <c r="P46" i="234"/>
  <c r="Q46" i="234"/>
  <c r="W46" i="234"/>
  <c r="P47" i="234"/>
  <c r="Q47" i="234"/>
  <c r="W47" i="234"/>
  <c r="B2" i="217"/>
  <c r="K4" i="217"/>
  <c r="K9" i="217"/>
  <c r="K10" i="217"/>
  <c r="K11" i="217"/>
  <c r="K12" i="217"/>
  <c r="K13" i="217"/>
  <c r="K14" i="217"/>
  <c r="K15" i="217"/>
  <c r="K16" i="217"/>
  <c r="K17" i="217"/>
  <c r="K18" i="217"/>
  <c r="K19" i="217"/>
  <c r="K20" i="217"/>
  <c r="K21" i="217"/>
  <c r="K22" i="217"/>
  <c r="K23" i="217"/>
  <c r="K24" i="217"/>
  <c r="K25" i="217"/>
  <c r="K26" i="217"/>
  <c r="K27" i="217"/>
  <c r="K28" i="217"/>
  <c r="K29" i="217"/>
  <c r="K30" i="217"/>
  <c r="K31" i="217"/>
  <c r="K32" i="217"/>
  <c r="K33" i="217"/>
  <c r="K34" i="217"/>
  <c r="K35" i="217"/>
  <c r="K36" i="217"/>
  <c r="K37" i="217"/>
  <c r="K38" i="217"/>
  <c r="K39" i="217"/>
  <c r="K40" i="217"/>
  <c r="K41" i="217"/>
  <c r="K42" i="217"/>
  <c r="K43" i="217"/>
  <c r="K44" i="217"/>
  <c r="K45" i="217"/>
  <c r="K48" i="217"/>
  <c r="K49" i="217"/>
  <c r="K50" i="217"/>
  <c r="K51" i="217"/>
  <c r="K52" i="217"/>
  <c r="K53" i="217"/>
  <c r="K54" i="217"/>
  <c r="K55" i="217"/>
  <c r="K56" i="217"/>
  <c r="K57" i="217"/>
  <c r="K58" i="217"/>
  <c r="K59" i="217"/>
  <c r="K62" i="217"/>
  <c r="K63" i="217"/>
  <c r="K64" i="217"/>
  <c r="K65" i="217"/>
  <c r="K66" i="217"/>
  <c r="K67" i="217"/>
  <c r="K68" i="217"/>
  <c r="K69" i="217"/>
  <c r="K70" i="217"/>
  <c r="K71" i="217"/>
  <c r="K72" i="217"/>
  <c r="K73" i="217"/>
  <c r="K74" i="217"/>
  <c r="K75" i="217"/>
  <c r="K76" i="217"/>
  <c r="K77" i="217"/>
  <c r="K78" i="217"/>
  <c r="K79" i="217"/>
  <c r="K80" i="217"/>
  <c r="K81" i="217"/>
  <c r="K82" i="217"/>
  <c r="K83" i="217"/>
  <c r="K84" i="217"/>
  <c r="K85" i="217"/>
  <c r="K86" i="217"/>
  <c r="K87" i="217"/>
  <c r="K88" i="217"/>
  <c r="K89" i="217"/>
  <c r="K90" i="217"/>
  <c r="K93" i="217"/>
  <c r="K94" i="217"/>
  <c r="K95" i="217"/>
  <c r="K96" i="217"/>
  <c r="K97" i="217"/>
  <c r="K98" i="217"/>
  <c r="K99" i="217"/>
  <c r="K100" i="217"/>
  <c r="K101" i="217"/>
  <c r="K102" i="217"/>
  <c r="K103" i="217"/>
  <c r="K104" i="217"/>
  <c r="K105" i="217"/>
  <c r="K106" i="217"/>
  <c r="K107" i="217"/>
  <c r="K108" i="217"/>
  <c r="K109" i="217"/>
  <c r="K110" i="217"/>
  <c r="K111" i="217"/>
  <c r="H114" i="217"/>
  <c r="K115" i="217"/>
  <c r="K116" i="217"/>
  <c r="K117" i="217"/>
  <c r="K118" i="217"/>
  <c r="K119" i="217"/>
  <c r="K120" i="217"/>
  <c r="K121" i="217"/>
  <c r="K124" i="217"/>
  <c r="K125" i="217"/>
  <c r="K126" i="217"/>
  <c r="K127" i="217"/>
  <c r="K128" i="217"/>
  <c r="K129" i="217"/>
  <c r="K130" i="217"/>
  <c r="K131" i="217"/>
  <c r="K132" i="217"/>
  <c r="K133" i="217"/>
  <c r="K134" i="217"/>
  <c r="K135" i="217"/>
  <c r="K136" i="217"/>
  <c r="K137" i="217"/>
  <c r="I139" i="217"/>
  <c r="I140" i="217"/>
  <c r="I141" i="217"/>
  <c r="H142" i="217"/>
  <c r="I142" i="217"/>
  <c r="I143" i="217"/>
  <c r="I144" i="217"/>
  <c r="B2" i="38"/>
  <c r="B2" i="172"/>
  <c r="Y2" i="172"/>
  <c r="AA2" i="172"/>
  <c r="AI2" i="172"/>
  <c r="Y3" i="172"/>
  <c r="AA3" i="172"/>
  <c r="W4" i="172"/>
  <c r="K8" i="172"/>
  <c r="Y4" i="172" s="1"/>
  <c r="AA4" i="172"/>
  <c r="O8" i="172"/>
  <c r="P8" i="172"/>
  <c r="Q8" i="172"/>
  <c r="U8" i="172"/>
  <c r="E12" i="172"/>
  <c r="F12" i="172"/>
  <c r="G12" i="172"/>
  <c r="I12" i="172"/>
  <c r="J12" i="172"/>
  <c r="K12" i="172"/>
  <c r="L12" i="172"/>
  <c r="M12" i="172"/>
  <c r="E13" i="172"/>
  <c r="F13" i="172"/>
  <c r="G13" i="172"/>
  <c r="I13" i="172"/>
  <c r="J13" i="172"/>
  <c r="K13" i="172"/>
  <c r="L13" i="172"/>
  <c r="M13" i="172"/>
  <c r="E14" i="172"/>
  <c r="F14" i="172"/>
  <c r="G14" i="172"/>
  <c r="I14" i="172"/>
  <c r="J14" i="172"/>
  <c r="K14" i="172"/>
  <c r="L14" i="172"/>
  <c r="M14" i="172"/>
  <c r="E15" i="172"/>
  <c r="F15" i="172"/>
  <c r="G15" i="172"/>
  <c r="I15" i="172"/>
  <c r="J15" i="172"/>
  <c r="K15" i="172"/>
  <c r="L15" i="172"/>
  <c r="M15" i="172"/>
  <c r="E16" i="172"/>
  <c r="F16" i="172"/>
  <c r="G16" i="172"/>
  <c r="I16" i="172"/>
  <c r="J16" i="172"/>
  <c r="K16" i="172"/>
  <c r="L16" i="172"/>
  <c r="M16" i="172"/>
  <c r="E17" i="172"/>
  <c r="F17" i="172"/>
  <c r="G17" i="172"/>
  <c r="I17" i="172"/>
  <c r="J17" i="172"/>
  <c r="K17" i="172"/>
  <c r="L17" i="172"/>
  <c r="M17" i="172"/>
  <c r="E18" i="172"/>
  <c r="F18" i="172"/>
  <c r="G18" i="172"/>
  <c r="I18" i="172"/>
  <c r="J18" i="172"/>
  <c r="K18" i="172"/>
  <c r="L18" i="172"/>
  <c r="M18" i="172"/>
  <c r="E19" i="172"/>
  <c r="F19" i="172"/>
  <c r="G19" i="172"/>
  <c r="I19" i="172"/>
  <c r="J19" i="172"/>
  <c r="K19" i="172"/>
  <c r="L19" i="172"/>
  <c r="M19" i="172"/>
  <c r="E20" i="172"/>
  <c r="F20" i="172"/>
  <c r="G20" i="172"/>
  <c r="I20" i="172"/>
  <c r="J20" i="172"/>
  <c r="K20" i="172"/>
  <c r="L20" i="172"/>
  <c r="M20" i="172"/>
  <c r="E21" i="172"/>
  <c r="F21" i="172"/>
  <c r="G21" i="172"/>
  <c r="I21" i="172"/>
  <c r="J21" i="172"/>
  <c r="K21" i="172"/>
  <c r="L21" i="172"/>
  <c r="M21" i="172"/>
  <c r="E22" i="172"/>
  <c r="F22" i="172"/>
  <c r="G22" i="172"/>
  <c r="I22" i="172"/>
  <c r="J22" i="172"/>
  <c r="K22" i="172"/>
  <c r="L22" i="172"/>
  <c r="M22" i="172"/>
  <c r="E23" i="172"/>
  <c r="F23" i="172"/>
  <c r="G23" i="172"/>
  <c r="I23" i="172"/>
  <c r="J23" i="172"/>
  <c r="K23" i="172"/>
  <c r="L23" i="172"/>
  <c r="M23" i="172"/>
  <c r="E24" i="172"/>
  <c r="F24" i="172"/>
  <c r="G24" i="172"/>
  <c r="I24" i="172"/>
  <c r="J24" i="172"/>
  <c r="K24" i="172"/>
  <c r="L24" i="172"/>
  <c r="M24" i="172"/>
  <c r="B25" i="172"/>
  <c r="C25" i="172"/>
  <c r="E25" i="172"/>
  <c r="F25" i="172"/>
  <c r="G25" i="172"/>
  <c r="I25" i="172"/>
  <c r="J25" i="172"/>
  <c r="K25" i="172"/>
  <c r="U25" i="172" s="1"/>
  <c r="L25" i="172"/>
  <c r="M25" i="172"/>
  <c r="W25" i="172"/>
  <c r="Y25" i="172"/>
  <c r="Z25" i="172"/>
  <c r="AA25" i="172"/>
  <c r="AB25" i="172"/>
  <c r="AE25" i="172"/>
  <c r="AI25" i="172"/>
  <c r="B26" i="172"/>
  <c r="C26" i="172"/>
  <c r="P26" i="172" s="1"/>
  <c r="E26" i="172"/>
  <c r="F26" i="172"/>
  <c r="G26" i="172"/>
  <c r="I26" i="172"/>
  <c r="J26" i="172"/>
  <c r="K26" i="172"/>
  <c r="L26" i="172"/>
  <c r="M26" i="172"/>
  <c r="Y26" i="172"/>
  <c r="Z26" i="172"/>
  <c r="AA26" i="172"/>
  <c r="AB26" i="172"/>
  <c r="AE26" i="172"/>
  <c r="AI26" i="172"/>
  <c r="B27" i="172"/>
  <c r="C27" i="172"/>
  <c r="E27" i="172"/>
  <c r="F27" i="172"/>
  <c r="G27" i="172"/>
  <c r="I27" i="172"/>
  <c r="J27" i="172"/>
  <c r="K27" i="172"/>
  <c r="L27" i="172"/>
  <c r="M27" i="172"/>
  <c r="Y27" i="172"/>
  <c r="Z27" i="172"/>
  <c r="AA27" i="172"/>
  <c r="AB27" i="172"/>
  <c r="AE27" i="172"/>
  <c r="AI27" i="172"/>
  <c r="B28" i="172"/>
  <c r="C28" i="172"/>
  <c r="E28" i="172"/>
  <c r="F28" i="172"/>
  <c r="G28" i="172"/>
  <c r="I28" i="172"/>
  <c r="J28" i="172"/>
  <c r="K28" i="172"/>
  <c r="L28" i="172"/>
  <c r="L43" i="172" s="1"/>
  <c r="M28" i="172"/>
  <c r="W28" i="172"/>
  <c r="Y28" i="172"/>
  <c r="Z28" i="172"/>
  <c r="AA28" i="172"/>
  <c r="AB28" i="172"/>
  <c r="AE28" i="172"/>
  <c r="AI28" i="172"/>
  <c r="B29" i="172"/>
  <c r="C29" i="172"/>
  <c r="W29" i="172" s="1"/>
  <c r="E29" i="172"/>
  <c r="F29" i="172"/>
  <c r="G29" i="172"/>
  <c r="I29" i="172"/>
  <c r="J29" i="172"/>
  <c r="K29" i="172"/>
  <c r="U29" i="172" s="1"/>
  <c r="L29" i="172"/>
  <c r="M29" i="172"/>
  <c r="Y29" i="172"/>
  <c r="Z29" i="172"/>
  <c r="AA29" i="172"/>
  <c r="AB29" i="172"/>
  <c r="AE29" i="172"/>
  <c r="AI29" i="172"/>
  <c r="B30" i="172"/>
  <c r="C30" i="172"/>
  <c r="E30" i="172"/>
  <c r="F30" i="172"/>
  <c r="G30" i="172"/>
  <c r="I30" i="172"/>
  <c r="J30" i="172"/>
  <c r="K30" i="172"/>
  <c r="L30" i="172"/>
  <c r="M30" i="172"/>
  <c r="S30" i="172"/>
  <c r="Y30" i="172"/>
  <c r="Z30" i="172"/>
  <c r="AA30" i="172"/>
  <c r="AB30" i="172"/>
  <c r="AE30" i="172"/>
  <c r="AI30" i="172"/>
  <c r="B31" i="172"/>
  <c r="C31" i="172"/>
  <c r="E31" i="172"/>
  <c r="F31" i="172"/>
  <c r="G31" i="172"/>
  <c r="I31" i="172"/>
  <c r="J31" i="172"/>
  <c r="K31" i="172"/>
  <c r="L31" i="172"/>
  <c r="M31" i="172"/>
  <c r="Y31" i="172"/>
  <c r="Z31" i="172"/>
  <c r="AA31" i="172"/>
  <c r="AB31" i="172"/>
  <c r="AE31" i="172"/>
  <c r="AI31" i="172"/>
  <c r="B32" i="172"/>
  <c r="C32" i="172"/>
  <c r="E32" i="172"/>
  <c r="F32" i="172"/>
  <c r="G32" i="172"/>
  <c r="I32" i="172"/>
  <c r="J32" i="172"/>
  <c r="K32" i="172"/>
  <c r="L32" i="172"/>
  <c r="M32" i="172"/>
  <c r="W32" i="172"/>
  <c r="Y32" i="172"/>
  <c r="Z32" i="172"/>
  <c r="AA32" i="172"/>
  <c r="AB32" i="172"/>
  <c r="AD32" i="172" s="1"/>
  <c r="AF32" i="172" s="1"/>
  <c r="AE32" i="172"/>
  <c r="AI32" i="172"/>
  <c r="B33" i="172"/>
  <c r="C33" i="172"/>
  <c r="W33" i="172" s="1"/>
  <c r="E33" i="172"/>
  <c r="F33" i="172"/>
  <c r="G33" i="172"/>
  <c r="I33" i="172"/>
  <c r="J33" i="172"/>
  <c r="K33" i="172"/>
  <c r="L33" i="172"/>
  <c r="M33" i="172"/>
  <c r="Y33" i="172"/>
  <c r="Z33" i="172"/>
  <c r="AA33" i="172"/>
  <c r="AB33" i="172"/>
  <c r="AE33" i="172"/>
  <c r="AI33" i="172"/>
  <c r="B34" i="172"/>
  <c r="C34" i="172"/>
  <c r="S34" i="172" s="1"/>
  <c r="E34" i="172"/>
  <c r="F34" i="172"/>
  <c r="G34" i="172"/>
  <c r="I34" i="172"/>
  <c r="J34" i="172"/>
  <c r="K34" i="172"/>
  <c r="L34" i="172"/>
  <c r="M34" i="172"/>
  <c r="Y34" i="172"/>
  <c r="Z34" i="172"/>
  <c r="AA34" i="172"/>
  <c r="AB34" i="172"/>
  <c r="AE34" i="172"/>
  <c r="AI34" i="172"/>
  <c r="B35" i="172"/>
  <c r="C35" i="172"/>
  <c r="E35" i="172"/>
  <c r="F35" i="172"/>
  <c r="G35" i="172"/>
  <c r="I35" i="172"/>
  <c r="J35" i="172"/>
  <c r="K35" i="172"/>
  <c r="L35" i="172"/>
  <c r="M35" i="172"/>
  <c r="Y35" i="172"/>
  <c r="Z35" i="172"/>
  <c r="AA35" i="172"/>
  <c r="AB35" i="172"/>
  <c r="AE35" i="172"/>
  <c r="AI35" i="172"/>
  <c r="B36" i="172"/>
  <c r="C36" i="172"/>
  <c r="E36" i="172"/>
  <c r="F36" i="172"/>
  <c r="G36" i="172"/>
  <c r="I36" i="172"/>
  <c r="J36" i="172"/>
  <c r="K36" i="172"/>
  <c r="L36" i="172"/>
  <c r="M36" i="172"/>
  <c r="W36" i="172"/>
  <c r="Y36" i="172"/>
  <c r="Z36" i="172"/>
  <c r="AA36" i="172"/>
  <c r="AB36" i="172"/>
  <c r="AD36" i="172" s="1"/>
  <c r="AF36" i="172" s="1"/>
  <c r="AE36" i="172"/>
  <c r="AI36" i="172"/>
  <c r="B37" i="172"/>
  <c r="C37" i="172"/>
  <c r="E37" i="172"/>
  <c r="F37" i="172"/>
  <c r="G37" i="172"/>
  <c r="I37" i="172"/>
  <c r="J37" i="172"/>
  <c r="K37" i="172"/>
  <c r="L37" i="172"/>
  <c r="M37" i="172"/>
  <c r="Y37" i="172"/>
  <c r="Z37" i="172"/>
  <c r="AA37" i="172"/>
  <c r="AB37" i="172"/>
  <c r="AE37" i="172"/>
  <c r="AI37" i="172"/>
  <c r="B38" i="172"/>
  <c r="C38" i="172"/>
  <c r="P38" i="172" s="1"/>
  <c r="E38" i="172"/>
  <c r="F38" i="172"/>
  <c r="G38" i="172"/>
  <c r="I38" i="172"/>
  <c r="J38" i="172"/>
  <c r="K38" i="172"/>
  <c r="L38" i="172"/>
  <c r="M38" i="172"/>
  <c r="Y38" i="172"/>
  <c r="Z38" i="172"/>
  <c r="AA38" i="172"/>
  <c r="AB38" i="172"/>
  <c r="AE38" i="172"/>
  <c r="AI38" i="172"/>
  <c r="B39" i="172"/>
  <c r="C39" i="172"/>
  <c r="E39" i="172"/>
  <c r="F39" i="172"/>
  <c r="G39" i="172"/>
  <c r="I39" i="172"/>
  <c r="J39" i="172"/>
  <c r="K39" i="172"/>
  <c r="L39" i="172"/>
  <c r="M39" i="172"/>
  <c r="Y39" i="172"/>
  <c r="Z39" i="172"/>
  <c r="AA39" i="172"/>
  <c r="AB39" i="172"/>
  <c r="AE39" i="172"/>
  <c r="AI39" i="172"/>
  <c r="B40" i="172"/>
  <c r="C40" i="172"/>
  <c r="E40" i="172"/>
  <c r="F40" i="172"/>
  <c r="G40" i="172"/>
  <c r="I40" i="172"/>
  <c r="J40" i="172"/>
  <c r="K40" i="172"/>
  <c r="L40" i="172"/>
  <c r="M40" i="172"/>
  <c r="W40" i="172"/>
  <c r="Y40" i="172"/>
  <c r="Z40" i="172"/>
  <c r="AA40" i="172"/>
  <c r="AB40" i="172"/>
  <c r="AE40" i="172"/>
  <c r="AI40" i="172"/>
  <c r="B41" i="172"/>
  <c r="C41" i="172"/>
  <c r="E41" i="172"/>
  <c r="F41" i="172"/>
  <c r="P41" i="172" s="1"/>
  <c r="G41" i="172"/>
  <c r="I41" i="172"/>
  <c r="J41" i="172"/>
  <c r="K41" i="172"/>
  <c r="U41" i="172" s="1"/>
  <c r="L41" i="172"/>
  <c r="M41" i="172"/>
  <c r="W41" i="172"/>
  <c r="Y41" i="172"/>
  <c r="Z41" i="172"/>
  <c r="AA41" i="172"/>
  <c r="AB41" i="172"/>
  <c r="AE41" i="172"/>
  <c r="AI41" i="172"/>
  <c r="B2" i="39"/>
  <c r="M7" i="39"/>
  <c r="M18" i="39"/>
  <c r="H18" i="39" s="1"/>
  <c r="H19" i="39"/>
  <c r="H27" i="39"/>
  <c r="H31" i="39"/>
  <c r="B8" i="88"/>
  <c r="B9" i="88" s="1"/>
  <c r="B10" i="88" s="1"/>
  <c r="B11" i="88" s="1"/>
  <c r="B12" i="88" s="1"/>
  <c r="B13" i="88" s="1"/>
  <c r="B14" i="88" s="1"/>
  <c r="B15" i="88" s="1"/>
  <c r="B16" i="88" s="1"/>
  <c r="B17" i="88" s="1"/>
  <c r="B18" i="88" s="1"/>
  <c r="B19" i="88" s="1"/>
  <c r="B20" i="88" s="1"/>
  <c r="B21" i="88" s="1"/>
  <c r="B22" i="88" s="1"/>
  <c r="B2" i="294"/>
  <c r="P4" i="294"/>
  <c r="K13" i="294"/>
  <c r="N13" i="294" s="1"/>
  <c r="O13" i="294"/>
  <c r="S13" i="294"/>
  <c r="T13" i="294" s="1"/>
  <c r="K14" i="294"/>
  <c r="N14" i="294" s="1"/>
  <c r="O14" i="294"/>
  <c r="S14" i="294"/>
  <c r="K15" i="294"/>
  <c r="N15" i="294" s="1"/>
  <c r="O15" i="294"/>
  <c r="S15" i="294"/>
  <c r="T15" i="294" s="1"/>
  <c r="K16" i="294"/>
  <c r="N16" i="294" s="1"/>
  <c r="O16" i="294"/>
  <c r="S16" i="294"/>
  <c r="T16" i="294" s="1"/>
  <c r="K17" i="294"/>
  <c r="N17" i="294" s="1"/>
  <c r="O17" i="294"/>
  <c r="S17" i="294"/>
  <c r="T17" i="294" s="1"/>
  <c r="K18" i="294"/>
  <c r="N18" i="294" s="1"/>
  <c r="O18" i="294"/>
  <c r="S18" i="294"/>
  <c r="T18" i="294" s="1"/>
  <c r="K19" i="294"/>
  <c r="N19" i="294" s="1"/>
  <c r="O19" i="294"/>
  <c r="S19" i="294"/>
  <c r="T19" i="294" s="1"/>
  <c r="K20" i="294"/>
  <c r="N20" i="294" s="1"/>
  <c r="O20" i="294"/>
  <c r="S20" i="294"/>
  <c r="T20" i="294" s="1"/>
  <c r="K21" i="294"/>
  <c r="N21" i="294" s="1"/>
  <c r="O21" i="294"/>
  <c r="S21" i="294"/>
  <c r="T21" i="294" s="1"/>
  <c r="K22" i="294"/>
  <c r="N22" i="294" s="1"/>
  <c r="O22" i="294"/>
  <c r="S22" i="294"/>
  <c r="T22" i="294" s="1"/>
  <c r="K23" i="294"/>
  <c r="N23" i="294" s="1"/>
  <c r="O23" i="294"/>
  <c r="S23" i="294"/>
  <c r="T23" i="294" s="1"/>
  <c r="K24" i="294"/>
  <c r="N24" i="294" s="1"/>
  <c r="O24" i="294"/>
  <c r="S24" i="294"/>
  <c r="T24" i="294" s="1"/>
  <c r="K25" i="294"/>
  <c r="N25" i="294" s="1"/>
  <c r="O25" i="294"/>
  <c r="S25" i="294"/>
  <c r="T25" i="294" s="1"/>
  <c r="K26" i="294"/>
  <c r="N26" i="294" s="1"/>
  <c r="O26" i="294"/>
  <c r="S26" i="294"/>
  <c r="T26" i="294" s="1"/>
  <c r="K27" i="294"/>
  <c r="N27" i="294" s="1"/>
  <c r="O27" i="294"/>
  <c r="S27" i="294"/>
  <c r="T27" i="294" s="1"/>
  <c r="K28" i="294"/>
  <c r="N28" i="294" s="1"/>
  <c r="O28" i="294"/>
  <c r="S28" i="294"/>
  <c r="T28" i="294" s="1"/>
  <c r="K38" i="294"/>
  <c r="N38" i="294" s="1"/>
  <c r="O38" i="294"/>
  <c r="S38" i="294"/>
  <c r="T38" i="294" s="1"/>
  <c r="K39" i="294"/>
  <c r="N39" i="294" s="1"/>
  <c r="O39" i="294"/>
  <c r="S39" i="294"/>
  <c r="K40" i="294"/>
  <c r="N40" i="294" s="1"/>
  <c r="O40" i="294"/>
  <c r="S40" i="294"/>
  <c r="T40" i="294" s="1"/>
  <c r="K41" i="294"/>
  <c r="N41" i="294" s="1"/>
  <c r="O41" i="294"/>
  <c r="S41" i="294"/>
  <c r="T41" i="294" s="1"/>
  <c r="K42" i="294"/>
  <c r="N42" i="294" s="1"/>
  <c r="O42" i="294"/>
  <c r="S42" i="294"/>
  <c r="T42" i="294" s="1"/>
  <c r="K43" i="294"/>
  <c r="N43" i="294" s="1"/>
  <c r="O43" i="294"/>
  <c r="S43" i="294"/>
  <c r="T43" i="294" s="1"/>
  <c r="K44" i="294"/>
  <c r="N44" i="294" s="1"/>
  <c r="O44" i="294"/>
  <c r="S44" i="294"/>
  <c r="T44" i="294" s="1"/>
  <c r="K45" i="294"/>
  <c r="N45" i="294" s="1"/>
  <c r="X45" i="294" s="1"/>
  <c r="O45" i="294"/>
  <c r="P45" i="294"/>
  <c r="S45" i="294"/>
  <c r="T45" i="294" s="1"/>
  <c r="M46" i="294"/>
  <c r="L46" i="294"/>
  <c r="S46" i="294"/>
  <c r="M47" i="294"/>
  <c r="L47" i="294"/>
  <c r="S47" i="294"/>
  <c r="K48" i="294"/>
  <c r="N48" i="294" s="1"/>
  <c r="O48" i="294"/>
  <c r="S48" i="294"/>
  <c r="T48" i="294" s="1"/>
  <c r="K49" i="294"/>
  <c r="N49" i="294" s="1"/>
  <c r="O49" i="294"/>
  <c r="S49" i="294"/>
  <c r="T49" i="294" s="1"/>
  <c r="K50" i="294"/>
  <c r="N50" i="294"/>
  <c r="O50" i="294"/>
  <c r="S50" i="294"/>
  <c r="T50" i="294" s="1"/>
  <c r="K51" i="294"/>
  <c r="N51" i="294"/>
  <c r="O51" i="294"/>
  <c r="S51" i="294"/>
  <c r="T51" i="294" s="1"/>
  <c r="K52" i="294"/>
  <c r="N52" i="294" s="1"/>
  <c r="O52" i="294"/>
  <c r="S52" i="294"/>
  <c r="T52" i="294"/>
  <c r="K53" i="294"/>
  <c r="N53" i="294"/>
  <c r="O53" i="294"/>
  <c r="S53" i="294"/>
  <c r="T53" i="294" s="1"/>
  <c r="K54" i="294"/>
  <c r="N54" i="294" s="1"/>
  <c r="O54" i="294"/>
  <c r="S54" i="294"/>
  <c r="T54" i="294"/>
  <c r="K55" i="294"/>
  <c r="N55" i="294"/>
  <c r="O55" i="294"/>
  <c r="S55" i="294"/>
  <c r="T55" i="294" s="1"/>
  <c r="K56" i="294"/>
  <c r="N56" i="294" s="1"/>
  <c r="O56" i="294"/>
  <c r="S56" i="294"/>
  <c r="T56" i="294"/>
  <c r="K57" i="294"/>
  <c r="N57" i="294"/>
  <c r="O57" i="294"/>
  <c r="S57" i="294"/>
  <c r="T57" i="294" s="1"/>
  <c r="K58" i="294"/>
  <c r="N58" i="294" s="1"/>
  <c r="O58" i="294"/>
  <c r="S58" i="294"/>
  <c r="T58" i="294"/>
  <c r="K59" i="294"/>
  <c r="N59" i="294"/>
  <c r="O59" i="294"/>
  <c r="S59" i="294"/>
  <c r="T59" i="294" s="1"/>
  <c r="K60" i="294"/>
  <c r="N60" i="294" s="1"/>
  <c r="O60" i="294"/>
  <c r="S60" i="294"/>
  <c r="T60" i="294"/>
  <c r="K61" i="294"/>
  <c r="N61" i="294"/>
  <c r="O61" i="294"/>
  <c r="S61" i="294"/>
  <c r="T61" i="294" s="1"/>
  <c r="K62" i="294"/>
  <c r="N62" i="294" s="1"/>
  <c r="O62" i="294"/>
  <c r="S62" i="294"/>
  <c r="T62" i="294"/>
  <c r="K63" i="294"/>
  <c r="N63" i="294"/>
  <c r="O63" i="294"/>
  <c r="S63" i="294"/>
  <c r="T63" i="294" s="1"/>
  <c r="K64" i="294"/>
  <c r="N64" i="294" s="1"/>
  <c r="O64" i="294"/>
  <c r="S64" i="294"/>
  <c r="T64" i="294"/>
  <c r="K65" i="294"/>
  <c r="N65" i="294"/>
  <c r="O65" i="294"/>
  <c r="S65" i="294"/>
  <c r="T65" i="294" s="1"/>
  <c r="K66" i="294"/>
  <c r="N66" i="294" s="1"/>
  <c r="O66" i="294"/>
  <c r="S66" i="294"/>
  <c r="T66" i="294"/>
  <c r="K67" i="294"/>
  <c r="N67" i="294"/>
  <c r="O67" i="294"/>
  <c r="S67" i="294"/>
  <c r="T67" i="294" s="1"/>
  <c r="K77" i="294"/>
  <c r="N77" i="294" s="1"/>
  <c r="X77" i="294" s="1"/>
  <c r="O77" i="294"/>
  <c r="S77" i="294"/>
  <c r="T77" i="294"/>
  <c r="K78" i="294"/>
  <c r="N78" i="294" s="1"/>
  <c r="X78" i="294" s="1"/>
  <c r="O78" i="294"/>
  <c r="P78" i="294"/>
  <c r="S78" i="294"/>
  <c r="T78" i="294" s="1"/>
  <c r="K79" i="294"/>
  <c r="N79" i="294" s="1"/>
  <c r="O79" i="294"/>
  <c r="S79" i="294"/>
  <c r="K80" i="294"/>
  <c r="N80" i="294"/>
  <c r="O80" i="294"/>
  <c r="S80" i="294"/>
  <c r="T80" i="294" s="1"/>
  <c r="K81" i="294"/>
  <c r="N81" i="294" s="1"/>
  <c r="O81" i="294"/>
  <c r="S81" i="294"/>
  <c r="T81" i="294"/>
  <c r="K82" i="294"/>
  <c r="N82" i="294" s="1"/>
  <c r="O82" i="294"/>
  <c r="S82" i="294"/>
  <c r="T82" i="294" s="1"/>
  <c r="K83" i="294"/>
  <c r="N83" i="294" s="1"/>
  <c r="O83" i="294"/>
  <c r="S83" i="294"/>
  <c r="T83" i="294" s="1"/>
  <c r="K84" i="294"/>
  <c r="N84" i="294"/>
  <c r="O84" i="294"/>
  <c r="S84" i="294"/>
  <c r="T84" i="294" s="1"/>
  <c r="K85" i="294"/>
  <c r="N85" i="294" s="1"/>
  <c r="O85" i="294"/>
  <c r="P85" i="294" s="1"/>
  <c r="S85" i="294"/>
  <c r="T85" i="294"/>
  <c r="K86" i="294"/>
  <c r="N86" i="294" s="1"/>
  <c r="X86" i="294" s="1"/>
  <c r="O86" i="294"/>
  <c r="P86" i="294"/>
  <c r="AF86" i="294" s="1"/>
  <c r="S86" i="294"/>
  <c r="T86" i="294" s="1"/>
  <c r="K87" i="294"/>
  <c r="N87" i="294" s="1"/>
  <c r="O87" i="294"/>
  <c r="S87" i="294"/>
  <c r="T87" i="294" s="1"/>
  <c r="K88" i="294"/>
  <c r="N88" i="294" s="1"/>
  <c r="O88" i="294"/>
  <c r="S88" i="294"/>
  <c r="T88" i="294" s="1"/>
  <c r="K89" i="294"/>
  <c r="N89" i="294" s="1"/>
  <c r="O89" i="294"/>
  <c r="S89" i="294"/>
  <c r="T89" i="294" s="1"/>
  <c r="K90" i="294"/>
  <c r="N90" i="294" s="1"/>
  <c r="O90" i="294"/>
  <c r="S90" i="294"/>
  <c r="T90" i="294" s="1"/>
  <c r="M91" i="294"/>
  <c r="L91" i="294"/>
  <c r="O91" i="294" s="1"/>
  <c r="S91" i="294"/>
  <c r="T91" i="294" s="1"/>
  <c r="AU91" i="294"/>
  <c r="AV91" i="294"/>
  <c r="AX91" i="294"/>
  <c r="AZ91" i="294"/>
  <c r="BB91" i="294"/>
  <c r="BF91" i="294"/>
  <c r="BG91" i="294"/>
  <c r="BJ91" i="294"/>
  <c r="K92" i="294"/>
  <c r="N92" i="294"/>
  <c r="O92" i="294"/>
  <c r="S92" i="294"/>
  <c r="T92" i="294" s="1"/>
  <c r="X92" i="294"/>
  <c r="AA92" i="294" s="1"/>
  <c r="K93" i="294"/>
  <c r="N93" i="294"/>
  <c r="O93" i="294"/>
  <c r="S93" i="294"/>
  <c r="T93" i="294" s="1"/>
  <c r="K94" i="294"/>
  <c r="N94" i="294" s="1"/>
  <c r="O94" i="294"/>
  <c r="P94" i="294" s="1"/>
  <c r="S94" i="294"/>
  <c r="T94" i="294"/>
  <c r="K95" i="294"/>
  <c r="N95" i="294" s="1"/>
  <c r="O95" i="294"/>
  <c r="P95" i="294" s="1"/>
  <c r="S95" i="294"/>
  <c r="T95" i="294"/>
  <c r="K96" i="294"/>
  <c r="N96" i="294"/>
  <c r="X96" i="294" s="1"/>
  <c r="AA96" i="294" s="1"/>
  <c r="O96" i="294"/>
  <c r="S96" i="294"/>
  <c r="T96" i="294" s="1"/>
  <c r="K97" i="294"/>
  <c r="N97" i="294"/>
  <c r="O97" i="294"/>
  <c r="S97" i="294"/>
  <c r="T97" i="294" s="1"/>
  <c r="K98" i="294"/>
  <c r="N98" i="294" s="1"/>
  <c r="X98" i="294" s="1"/>
  <c r="AA98" i="294" s="1"/>
  <c r="O98" i="294"/>
  <c r="S98" i="294"/>
  <c r="T98" i="294"/>
  <c r="K99" i="294"/>
  <c r="N99" i="294" s="1"/>
  <c r="O99" i="294"/>
  <c r="S99" i="294"/>
  <c r="T99" i="294"/>
  <c r="K100" i="294"/>
  <c r="N100" i="294"/>
  <c r="O100" i="294"/>
  <c r="S100" i="294"/>
  <c r="T100" i="294" s="1"/>
  <c r="X100" i="294"/>
  <c r="AA100" i="294" s="1"/>
  <c r="K101" i="294"/>
  <c r="N101" i="294"/>
  <c r="O101" i="294"/>
  <c r="P101" i="294" s="1"/>
  <c r="S101" i="294"/>
  <c r="T101" i="294" s="1"/>
  <c r="K102" i="294"/>
  <c r="N102" i="294"/>
  <c r="O102" i="294"/>
  <c r="P102" i="294" s="1"/>
  <c r="S102" i="294"/>
  <c r="T102" i="294" s="1"/>
  <c r="K103" i="294"/>
  <c r="N103" i="294" s="1"/>
  <c r="O103" i="294"/>
  <c r="S103" i="294"/>
  <c r="T103" i="294"/>
  <c r="K104" i="294"/>
  <c r="N104" i="294" s="1"/>
  <c r="X104" i="294" s="1"/>
  <c r="AA104" i="294" s="1"/>
  <c r="O104" i="294"/>
  <c r="S104" i="294"/>
  <c r="T104" i="294" s="1"/>
  <c r="K105" i="294"/>
  <c r="N105" i="294"/>
  <c r="O105" i="294"/>
  <c r="S105" i="294"/>
  <c r="T105" i="294"/>
  <c r="K106" i="294"/>
  <c r="N106" i="294" s="1"/>
  <c r="X106" i="294" s="1"/>
  <c r="AA106" i="294" s="1"/>
  <c r="O106" i="294"/>
  <c r="S106" i="294"/>
  <c r="T106" i="294"/>
  <c r="K107" i="294"/>
  <c r="N107" i="294" s="1"/>
  <c r="O107" i="294"/>
  <c r="S107" i="294"/>
  <c r="T107" i="294" s="1"/>
  <c r="K108" i="294"/>
  <c r="N108" i="294"/>
  <c r="X108" i="294" s="1"/>
  <c r="AA108" i="294" s="1"/>
  <c r="O108" i="294"/>
  <c r="S108" i="294"/>
  <c r="T108" i="294"/>
  <c r="K109" i="294"/>
  <c r="N109" i="294" s="1"/>
  <c r="O109" i="294"/>
  <c r="S109" i="294"/>
  <c r="T109" i="294" s="1"/>
  <c r="K110" i="294"/>
  <c r="N110" i="294"/>
  <c r="O110" i="294"/>
  <c r="P110" i="294" s="1"/>
  <c r="S110" i="294"/>
  <c r="T110" i="294" s="1"/>
  <c r="K111" i="294"/>
  <c r="N111" i="294" s="1"/>
  <c r="O111" i="294"/>
  <c r="S111" i="294"/>
  <c r="T111" i="294"/>
  <c r="K112" i="294"/>
  <c r="N112" i="294" s="1"/>
  <c r="X112" i="294" s="1"/>
  <c r="AA112" i="294" s="1"/>
  <c r="O112" i="294"/>
  <c r="S112" i="294"/>
  <c r="T112" i="294" s="1"/>
  <c r="K122" i="294"/>
  <c r="N122" i="294" s="1"/>
  <c r="P122" i="294" s="1"/>
  <c r="O122" i="294"/>
  <c r="S122" i="294"/>
  <c r="K123" i="294"/>
  <c r="N123" i="294" s="1"/>
  <c r="O123" i="294"/>
  <c r="S123" i="294"/>
  <c r="T123" i="294" s="1"/>
  <c r="K124" i="294"/>
  <c r="N124" i="294" s="1"/>
  <c r="P124" i="294" s="1"/>
  <c r="O124" i="294"/>
  <c r="S124" i="294"/>
  <c r="T124" i="294" s="1"/>
  <c r="K125" i="294"/>
  <c r="N125" i="294" s="1"/>
  <c r="O125" i="294"/>
  <c r="S125" i="294"/>
  <c r="T125" i="294" s="1"/>
  <c r="K126" i="294"/>
  <c r="N126" i="294" s="1"/>
  <c r="O126" i="294"/>
  <c r="S126" i="294"/>
  <c r="T126" i="294" s="1"/>
  <c r="K127" i="294"/>
  <c r="N127" i="294" s="1"/>
  <c r="O127" i="294"/>
  <c r="P127" i="294" s="1"/>
  <c r="S127" i="294"/>
  <c r="T127" i="294" s="1"/>
  <c r="K128" i="294"/>
  <c r="N128" i="294" s="1"/>
  <c r="O128" i="294"/>
  <c r="S128" i="294"/>
  <c r="T128" i="294" s="1"/>
  <c r="K129" i="294"/>
  <c r="N129" i="294"/>
  <c r="O129" i="294"/>
  <c r="S129" i="294"/>
  <c r="T129" i="294" s="1"/>
  <c r="K130" i="294"/>
  <c r="N130" i="294"/>
  <c r="O130" i="294"/>
  <c r="S130" i="294"/>
  <c r="T130" i="294"/>
  <c r="M131" i="294"/>
  <c r="L131" i="294"/>
  <c r="S131" i="294"/>
  <c r="K132" i="294"/>
  <c r="N132" i="294"/>
  <c r="O132" i="294"/>
  <c r="S132" i="294"/>
  <c r="T132" i="294"/>
  <c r="K133" i="294"/>
  <c r="N133" i="294" s="1"/>
  <c r="O133" i="294"/>
  <c r="S133" i="294"/>
  <c r="T133" i="294"/>
  <c r="K134" i="294"/>
  <c r="N134" i="294" s="1"/>
  <c r="O134" i="294"/>
  <c r="S134" i="294"/>
  <c r="T134" i="294" s="1"/>
  <c r="K135" i="294"/>
  <c r="N135" i="294" s="1"/>
  <c r="O135" i="294"/>
  <c r="S135" i="294"/>
  <c r="T135" i="294" s="1"/>
  <c r="K136" i="294"/>
  <c r="N136" i="294"/>
  <c r="O136" i="294"/>
  <c r="S136" i="294"/>
  <c r="T136" i="294"/>
  <c r="K137" i="294"/>
  <c r="N137" i="294" s="1"/>
  <c r="O137" i="294"/>
  <c r="S137" i="294"/>
  <c r="T137" i="294"/>
  <c r="AD137" i="294"/>
  <c r="AE137" i="294"/>
  <c r="K138" i="294"/>
  <c r="N138" i="294" s="1"/>
  <c r="O138" i="294"/>
  <c r="S138" i="294"/>
  <c r="T138" i="294" s="1"/>
  <c r="K139" i="294"/>
  <c r="N139" i="294" s="1"/>
  <c r="O139" i="294"/>
  <c r="S139" i="294"/>
  <c r="T139" i="294" s="1"/>
  <c r="K140" i="294"/>
  <c r="N140" i="294" s="1"/>
  <c r="O140" i="294"/>
  <c r="S140" i="294"/>
  <c r="T140" i="294" s="1"/>
  <c r="B2" i="189"/>
  <c r="P18" i="189"/>
  <c r="L18" i="189" s="1"/>
  <c r="P19" i="189"/>
  <c r="L19" i="189" s="1"/>
  <c r="P20" i="189"/>
  <c r="L20" i="189" s="1"/>
  <c r="P21" i="189"/>
  <c r="L21" i="189" s="1"/>
  <c r="P22" i="189"/>
  <c r="L22" i="189" s="1"/>
  <c r="P23" i="189"/>
  <c r="L23" i="189" s="1"/>
  <c r="P24" i="189"/>
  <c r="L24" i="189" s="1"/>
  <c r="P25" i="189"/>
  <c r="L25" i="189" s="1"/>
  <c r="P26" i="189"/>
  <c r="L26" i="189" s="1"/>
  <c r="P27" i="189"/>
  <c r="L27" i="189" s="1"/>
  <c r="P28" i="189"/>
  <c r="L28" i="189" s="1"/>
  <c r="P29" i="189"/>
  <c r="L29" i="189" s="1"/>
  <c r="P30" i="189"/>
  <c r="L30" i="189" s="1"/>
  <c r="P31" i="189"/>
  <c r="L31" i="189" s="1"/>
  <c r="P32" i="189"/>
  <c r="L32" i="189" s="1"/>
  <c r="P33" i="189"/>
  <c r="L33" i="189" s="1"/>
  <c r="P34" i="189"/>
  <c r="L34" i="189" s="1"/>
  <c r="P35" i="189"/>
  <c r="L35" i="189" s="1"/>
  <c r="Q18" i="189"/>
  <c r="M18" i="189"/>
  <c r="Q19" i="189"/>
  <c r="M19" i="189" s="1"/>
  <c r="Q20" i="189"/>
  <c r="M20" i="189" s="1"/>
  <c r="Q21" i="189"/>
  <c r="M21" i="189" s="1"/>
  <c r="Q22" i="189"/>
  <c r="M22" i="189" s="1"/>
  <c r="Q23" i="189"/>
  <c r="M23" i="189" s="1"/>
  <c r="Q24" i="189"/>
  <c r="M24" i="189" s="1"/>
  <c r="Q25" i="189"/>
  <c r="M25" i="189" s="1"/>
  <c r="Q26" i="189"/>
  <c r="M26" i="189"/>
  <c r="Q27" i="189"/>
  <c r="M27" i="189" s="1"/>
  <c r="Q28" i="189"/>
  <c r="M28" i="189" s="1"/>
  <c r="Q29" i="189"/>
  <c r="M29" i="189" s="1"/>
  <c r="Q30" i="189"/>
  <c r="M30" i="189" s="1"/>
  <c r="Q31" i="189"/>
  <c r="M31" i="189" s="1"/>
  <c r="Q32" i="189"/>
  <c r="M32" i="189" s="1"/>
  <c r="Q33" i="189"/>
  <c r="M33" i="189" s="1"/>
  <c r="Q34" i="189"/>
  <c r="M34" i="189"/>
  <c r="Q35" i="189"/>
  <c r="M35" i="189" s="1"/>
  <c r="B18" i="189"/>
  <c r="C18" i="189"/>
  <c r="E18" i="189"/>
  <c r="B19" i="189"/>
  <c r="C19" i="189"/>
  <c r="E19" i="189"/>
  <c r="B20" i="189"/>
  <c r="C20" i="189"/>
  <c r="E20" i="189"/>
  <c r="B21" i="189"/>
  <c r="C21" i="189"/>
  <c r="E21" i="189"/>
  <c r="B22" i="189"/>
  <c r="C22" i="189"/>
  <c r="E22" i="189"/>
  <c r="B23" i="189"/>
  <c r="C23" i="189"/>
  <c r="E23" i="189"/>
  <c r="B24" i="189"/>
  <c r="C24" i="189"/>
  <c r="E24" i="189"/>
  <c r="B25" i="189"/>
  <c r="C25" i="189"/>
  <c r="E25" i="189"/>
  <c r="B26" i="189"/>
  <c r="C26" i="189"/>
  <c r="E26" i="189"/>
  <c r="B27" i="189"/>
  <c r="C27" i="189"/>
  <c r="E27" i="189"/>
  <c r="B28" i="189"/>
  <c r="C28" i="189"/>
  <c r="E28" i="189"/>
  <c r="B29" i="189"/>
  <c r="C29" i="189"/>
  <c r="E29" i="189"/>
  <c r="B30" i="189"/>
  <c r="C30" i="189"/>
  <c r="E30" i="189"/>
  <c r="B31" i="189"/>
  <c r="C31" i="189"/>
  <c r="E31" i="189"/>
  <c r="B32" i="189"/>
  <c r="C32" i="189"/>
  <c r="E32" i="189"/>
  <c r="B33" i="189"/>
  <c r="C33" i="189"/>
  <c r="E33" i="189"/>
  <c r="B34" i="189"/>
  <c r="C34" i="189"/>
  <c r="E34" i="189"/>
  <c r="B35" i="189"/>
  <c r="C35" i="189"/>
  <c r="E35" i="189"/>
  <c r="I38" i="189"/>
  <c r="A41" i="189"/>
  <c r="B2" i="233"/>
  <c r="P4" i="233"/>
  <c r="K13" i="233"/>
  <c r="N13" i="233" s="1"/>
  <c r="P13" i="233" s="1"/>
  <c r="O13" i="233"/>
  <c r="S13" i="233"/>
  <c r="T13" i="233" s="1"/>
  <c r="K14" i="233"/>
  <c r="N14" i="233" s="1"/>
  <c r="X14" i="233" s="1"/>
  <c r="AA14" i="233" s="1"/>
  <c r="O14" i="233"/>
  <c r="S14" i="233"/>
  <c r="T14" i="233" s="1"/>
  <c r="K15" i="233"/>
  <c r="N15" i="233" s="1"/>
  <c r="O15" i="233"/>
  <c r="S15" i="233"/>
  <c r="T15" i="233" s="1"/>
  <c r="K16" i="233"/>
  <c r="N16" i="233" s="1"/>
  <c r="O16" i="233"/>
  <c r="P16" i="233"/>
  <c r="S16" i="233"/>
  <c r="T16" i="233" s="1"/>
  <c r="K17" i="233"/>
  <c r="N17" i="233" s="1"/>
  <c r="X17" i="233" s="1"/>
  <c r="AA17" i="233" s="1"/>
  <c r="O17" i="233"/>
  <c r="P17" i="233"/>
  <c r="AF17" i="233" s="1"/>
  <c r="S17" i="233"/>
  <c r="T17" i="233" s="1"/>
  <c r="K18" i="233"/>
  <c r="N18" i="233" s="1"/>
  <c r="X18" i="233" s="1"/>
  <c r="AA18" i="233" s="1"/>
  <c r="O18" i="233"/>
  <c r="S18" i="233"/>
  <c r="T18" i="233" s="1"/>
  <c r="K19" i="233"/>
  <c r="N19" i="233" s="1"/>
  <c r="X19" i="233" s="1"/>
  <c r="AA19" i="233" s="1"/>
  <c r="O19" i="233"/>
  <c r="S19" i="233"/>
  <c r="T19" i="233" s="1"/>
  <c r="K20" i="233"/>
  <c r="N20" i="233" s="1"/>
  <c r="X20" i="233" s="1"/>
  <c r="AA20" i="233" s="1"/>
  <c r="O20" i="233"/>
  <c r="S20" i="233"/>
  <c r="T20" i="233" s="1"/>
  <c r="K21" i="233"/>
  <c r="N21" i="233" s="1"/>
  <c r="X21" i="233" s="1"/>
  <c r="AA21" i="233" s="1"/>
  <c r="O21" i="233"/>
  <c r="S21" i="233"/>
  <c r="T21" i="233" s="1"/>
  <c r="K22" i="233"/>
  <c r="N22" i="233" s="1"/>
  <c r="X22" i="233" s="1"/>
  <c r="AA22" i="233" s="1"/>
  <c r="O22" i="233"/>
  <c r="S22" i="233"/>
  <c r="T22" i="233" s="1"/>
  <c r="K23" i="233"/>
  <c r="N23" i="233" s="1"/>
  <c r="O23" i="233"/>
  <c r="S23" i="233"/>
  <c r="T23" i="233" s="1"/>
  <c r="K24" i="233"/>
  <c r="N24" i="233" s="1"/>
  <c r="X24" i="233" s="1"/>
  <c r="AA24" i="233" s="1"/>
  <c r="O24" i="233"/>
  <c r="P24" i="233"/>
  <c r="AF24" i="233" s="1"/>
  <c r="S24" i="233"/>
  <c r="T24" i="233" s="1"/>
  <c r="K25" i="233"/>
  <c r="N25" i="233" s="1"/>
  <c r="X25" i="233" s="1"/>
  <c r="AA25" i="233" s="1"/>
  <c r="O25" i="233"/>
  <c r="P25" i="233"/>
  <c r="AF25" i="233" s="1"/>
  <c r="S25" i="233"/>
  <c r="T25" i="233" s="1"/>
  <c r="K26" i="233"/>
  <c r="N26" i="233" s="1"/>
  <c r="X26" i="233" s="1"/>
  <c r="AA26" i="233" s="1"/>
  <c r="O26" i="233"/>
  <c r="S26" i="233"/>
  <c r="T26" i="233" s="1"/>
  <c r="K27" i="233"/>
  <c r="N27" i="233" s="1"/>
  <c r="X27" i="233" s="1"/>
  <c r="AA27" i="233" s="1"/>
  <c r="O27" i="233"/>
  <c r="S27" i="233"/>
  <c r="T27" i="233" s="1"/>
  <c r="K28" i="233"/>
  <c r="N28" i="233" s="1"/>
  <c r="X28" i="233" s="1"/>
  <c r="AA28" i="233" s="1"/>
  <c r="O28" i="233"/>
  <c r="S28" i="233"/>
  <c r="T28" i="233" s="1"/>
  <c r="S31" i="233"/>
  <c r="K38" i="233"/>
  <c r="N38" i="233" s="1"/>
  <c r="O38" i="233"/>
  <c r="P38" i="233" s="1"/>
  <c r="S38" i="233"/>
  <c r="T38" i="233" s="1"/>
  <c r="K39" i="233"/>
  <c r="N39" i="233" s="1"/>
  <c r="O39" i="233"/>
  <c r="S39" i="233"/>
  <c r="K40" i="233"/>
  <c r="N40" i="233" s="1"/>
  <c r="O40" i="233"/>
  <c r="S40" i="233"/>
  <c r="T40" i="233" s="1"/>
  <c r="K41" i="233"/>
  <c r="N41" i="233"/>
  <c r="O41" i="233"/>
  <c r="S41" i="233"/>
  <c r="T41" i="233" s="1"/>
  <c r="K42" i="233"/>
  <c r="N42" i="233" s="1"/>
  <c r="X42" i="233" s="1"/>
  <c r="O42" i="233"/>
  <c r="S42" i="233"/>
  <c r="T42" i="233" s="1"/>
  <c r="K43" i="233"/>
  <c r="N43" i="233" s="1"/>
  <c r="O43" i="233"/>
  <c r="S43" i="233"/>
  <c r="T43" i="233" s="1"/>
  <c r="K44" i="233"/>
  <c r="N44" i="233" s="1"/>
  <c r="O44" i="233"/>
  <c r="S44" i="233"/>
  <c r="T44" i="233" s="1"/>
  <c r="K45" i="233"/>
  <c r="N45" i="233" s="1"/>
  <c r="O45" i="233"/>
  <c r="S45" i="233"/>
  <c r="T45" i="233" s="1"/>
  <c r="M46" i="233"/>
  <c r="K46" i="233" s="1"/>
  <c r="N46" i="233" s="1"/>
  <c r="L46" i="233"/>
  <c r="O46" i="233" s="1"/>
  <c r="S46" i="233"/>
  <c r="M47" i="233"/>
  <c r="K47" i="233" s="1"/>
  <c r="N47" i="233" s="1"/>
  <c r="L47" i="233"/>
  <c r="O47" i="233" s="1"/>
  <c r="S47" i="233"/>
  <c r="T47" i="233" s="1"/>
  <c r="K48" i="233"/>
  <c r="N48" i="233" s="1"/>
  <c r="O48" i="233"/>
  <c r="S48" i="233"/>
  <c r="T48" i="233" s="1"/>
  <c r="K49" i="233"/>
  <c r="N49" i="233" s="1"/>
  <c r="O49" i="233"/>
  <c r="S49" i="233"/>
  <c r="T49" i="233" s="1"/>
  <c r="K50" i="233"/>
  <c r="N50" i="233" s="1"/>
  <c r="O50" i="233"/>
  <c r="S50" i="233"/>
  <c r="T50" i="233" s="1"/>
  <c r="K51" i="233"/>
  <c r="N51" i="233" s="1"/>
  <c r="O51" i="233"/>
  <c r="S51" i="233"/>
  <c r="T51" i="233" s="1"/>
  <c r="K52" i="233"/>
  <c r="N52" i="233" s="1"/>
  <c r="O52" i="233"/>
  <c r="S52" i="233"/>
  <c r="T52" i="233" s="1"/>
  <c r="K53" i="233"/>
  <c r="N53" i="233" s="1"/>
  <c r="O53" i="233"/>
  <c r="S53" i="233"/>
  <c r="T53" i="233" s="1"/>
  <c r="K54" i="233"/>
  <c r="N54" i="233" s="1"/>
  <c r="O54" i="233"/>
  <c r="S54" i="233"/>
  <c r="T54" i="233" s="1"/>
  <c r="K55" i="233"/>
  <c r="N55" i="233" s="1"/>
  <c r="O55" i="233"/>
  <c r="S55" i="233"/>
  <c r="T55" i="233" s="1"/>
  <c r="K56" i="233"/>
  <c r="N56" i="233" s="1"/>
  <c r="O56" i="233"/>
  <c r="S56" i="233"/>
  <c r="T56" i="233" s="1"/>
  <c r="K57" i="233"/>
  <c r="N57" i="233" s="1"/>
  <c r="O57" i="233"/>
  <c r="S57" i="233"/>
  <c r="T57" i="233" s="1"/>
  <c r="K58" i="233"/>
  <c r="N58" i="233" s="1"/>
  <c r="O58" i="233"/>
  <c r="S58" i="233"/>
  <c r="T58" i="233" s="1"/>
  <c r="K59" i="233"/>
  <c r="N59" i="233" s="1"/>
  <c r="O59" i="233"/>
  <c r="S59" i="233"/>
  <c r="T59" i="233" s="1"/>
  <c r="K60" i="233"/>
  <c r="N60" i="233" s="1"/>
  <c r="O60" i="233"/>
  <c r="S60" i="233"/>
  <c r="T60" i="233" s="1"/>
  <c r="K61" i="233"/>
  <c r="N61" i="233" s="1"/>
  <c r="O61" i="233"/>
  <c r="S61" i="233"/>
  <c r="T61" i="233" s="1"/>
  <c r="K62" i="233"/>
  <c r="N62" i="233" s="1"/>
  <c r="O62" i="233"/>
  <c r="S62" i="233"/>
  <c r="T62" i="233" s="1"/>
  <c r="K63" i="233"/>
  <c r="N63" i="233" s="1"/>
  <c r="O63" i="233"/>
  <c r="S63" i="233"/>
  <c r="T63" i="233" s="1"/>
  <c r="K64" i="233"/>
  <c r="N64" i="233" s="1"/>
  <c r="O64" i="233"/>
  <c r="S64" i="233"/>
  <c r="T64" i="233" s="1"/>
  <c r="K65" i="233"/>
  <c r="N65" i="233" s="1"/>
  <c r="O65" i="233"/>
  <c r="S65" i="233"/>
  <c r="T65" i="233" s="1"/>
  <c r="K66" i="233"/>
  <c r="N66" i="233" s="1"/>
  <c r="O66" i="233"/>
  <c r="S66" i="233"/>
  <c r="T66" i="233" s="1"/>
  <c r="K67" i="233"/>
  <c r="N67" i="233" s="1"/>
  <c r="O67" i="233"/>
  <c r="S67" i="233"/>
  <c r="T67" i="233" s="1"/>
  <c r="K77" i="233"/>
  <c r="N77" i="233" s="1"/>
  <c r="O77" i="233"/>
  <c r="S77" i="233"/>
  <c r="K78" i="233"/>
  <c r="N78" i="233" s="1"/>
  <c r="O78" i="233"/>
  <c r="S78" i="233"/>
  <c r="T78" i="233" s="1"/>
  <c r="K79" i="233"/>
  <c r="N79" i="233" s="1"/>
  <c r="O79" i="233"/>
  <c r="S79" i="233"/>
  <c r="T79" i="233" s="1"/>
  <c r="K80" i="233"/>
  <c r="N80" i="233" s="1"/>
  <c r="O80" i="233"/>
  <c r="S80" i="233"/>
  <c r="T80" i="233" s="1"/>
  <c r="K81" i="233"/>
  <c r="N81" i="233" s="1"/>
  <c r="O81" i="233"/>
  <c r="S81" i="233"/>
  <c r="T81" i="233" s="1"/>
  <c r="K82" i="233"/>
  <c r="N82" i="233" s="1"/>
  <c r="O82" i="233"/>
  <c r="S82" i="233"/>
  <c r="T82" i="233" s="1"/>
  <c r="K83" i="233"/>
  <c r="N83" i="233" s="1"/>
  <c r="O83" i="233"/>
  <c r="S83" i="233"/>
  <c r="T83" i="233" s="1"/>
  <c r="K84" i="233"/>
  <c r="N84" i="233" s="1"/>
  <c r="O84" i="233"/>
  <c r="S84" i="233"/>
  <c r="T84" i="233" s="1"/>
  <c r="K85" i="233"/>
  <c r="N85" i="233" s="1"/>
  <c r="O85" i="233"/>
  <c r="S85" i="233"/>
  <c r="T85" i="233" s="1"/>
  <c r="K86" i="233"/>
  <c r="N86" i="233" s="1"/>
  <c r="O86" i="233"/>
  <c r="S86" i="233"/>
  <c r="T86" i="233" s="1"/>
  <c r="K87" i="233"/>
  <c r="N87" i="233" s="1"/>
  <c r="O87" i="233"/>
  <c r="S87" i="233"/>
  <c r="T87" i="233" s="1"/>
  <c r="K88" i="233"/>
  <c r="N88" i="233" s="1"/>
  <c r="O88" i="233"/>
  <c r="S88" i="233"/>
  <c r="T88" i="233" s="1"/>
  <c r="K89" i="233"/>
  <c r="N89" i="233" s="1"/>
  <c r="O89" i="233"/>
  <c r="S89" i="233"/>
  <c r="T89" i="233" s="1"/>
  <c r="K90" i="233"/>
  <c r="N90" i="233" s="1"/>
  <c r="O90" i="233"/>
  <c r="S90" i="233"/>
  <c r="T90" i="233" s="1"/>
  <c r="M91" i="233"/>
  <c r="L91" i="233"/>
  <c r="K91" i="233" s="1"/>
  <c r="N91" i="233" s="1"/>
  <c r="S91" i="233"/>
  <c r="T91" i="233" s="1"/>
  <c r="AU91" i="233"/>
  <c r="AV91" i="233"/>
  <c r="AX91" i="233"/>
  <c r="AZ91" i="233"/>
  <c r="BB91" i="233"/>
  <c r="BD91" i="233"/>
  <c r="BF91" i="233"/>
  <c r="BG91" i="233"/>
  <c r="BJ91" i="233"/>
  <c r="K92" i="233"/>
  <c r="N92" i="233" s="1"/>
  <c r="O92" i="233"/>
  <c r="S92" i="233"/>
  <c r="T92" i="233" s="1"/>
  <c r="K93" i="233"/>
  <c r="N93" i="233" s="1"/>
  <c r="O93" i="233"/>
  <c r="S93" i="233"/>
  <c r="T93" i="233" s="1"/>
  <c r="K94" i="233"/>
  <c r="N94" i="233" s="1"/>
  <c r="O94" i="233"/>
  <c r="S94" i="233"/>
  <c r="T94" i="233" s="1"/>
  <c r="K95" i="233"/>
  <c r="N95" i="233" s="1"/>
  <c r="O95" i="233"/>
  <c r="S95" i="233"/>
  <c r="T95" i="233" s="1"/>
  <c r="K96" i="233"/>
  <c r="N96" i="233" s="1"/>
  <c r="O96" i="233"/>
  <c r="S96" i="233"/>
  <c r="T96" i="233" s="1"/>
  <c r="K97" i="233"/>
  <c r="N97" i="233" s="1"/>
  <c r="O97" i="233"/>
  <c r="S97" i="233"/>
  <c r="T97" i="233" s="1"/>
  <c r="K98" i="233"/>
  <c r="N98" i="233" s="1"/>
  <c r="O98" i="233"/>
  <c r="S98" i="233"/>
  <c r="T98" i="233" s="1"/>
  <c r="K99" i="233"/>
  <c r="N99" i="233" s="1"/>
  <c r="O99" i="233"/>
  <c r="S99" i="233"/>
  <c r="T99" i="233" s="1"/>
  <c r="K100" i="233"/>
  <c r="N100" i="233" s="1"/>
  <c r="O100" i="233"/>
  <c r="S100" i="233"/>
  <c r="T100" i="233" s="1"/>
  <c r="K101" i="233"/>
  <c r="N101" i="233" s="1"/>
  <c r="O101" i="233"/>
  <c r="S101" i="233"/>
  <c r="T101" i="233" s="1"/>
  <c r="K102" i="233"/>
  <c r="N102" i="233" s="1"/>
  <c r="O102" i="233"/>
  <c r="S102" i="233"/>
  <c r="T102" i="233" s="1"/>
  <c r="K103" i="233"/>
  <c r="N103" i="233" s="1"/>
  <c r="O103" i="233"/>
  <c r="S103" i="233"/>
  <c r="T103" i="233" s="1"/>
  <c r="K104" i="233"/>
  <c r="N104" i="233" s="1"/>
  <c r="O104" i="233"/>
  <c r="S104" i="233"/>
  <c r="T104" i="233" s="1"/>
  <c r="K105" i="233"/>
  <c r="N105" i="233" s="1"/>
  <c r="O105" i="233"/>
  <c r="S105" i="233"/>
  <c r="T105" i="233" s="1"/>
  <c r="K106" i="233"/>
  <c r="N106" i="233" s="1"/>
  <c r="O106" i="233"/>
  <c r="S106" i="233"/>
  <c r="T106" i="233" s="1"/>
  <c r="K107" i="233"/>
  <c r="N107" i="233" s="1"/>
  <c r="O107" i="233"/>
  <c r="S107" i="233"/>
  <c r="T107" i="233" s="1"/>
  <c r="K108" i="233"/>
  <c r="N108" i="233" s="1"/>
  <c r="O108" i="233"/>
  <c r="S108" i="233"/>
  <c r="T108" i="233" s="1"/>
  <c r="K109" i="233"/>
  <c r="N109" i="233" s="1"/>
  <c r="O109" i="233"/>
  <c r="S109" i="233"/>
  <c r="T109" i="233" s="1"/>
  <c r="K110" i="233"/>
  <c r="N110" i="233" s="1"/>
  <c r="O110" i="233"/>
  <c r="S110" i="233"/>
  <c r="T110" i="233" s="1"/>
  <c r="K111" i="233"/>
  <c r="N111" i="233" s="1"/>
  <c r="O111" i="233"/>
  <c r="S111" i="233"/>
  <c r="T111" i="233" s="1"/>
  <c r="K112" i="233"/>
  <c r="N112" i="233" s="1"/>
  <c r="O112" i="233"/>
  <c r="S112" i="233"/>
  <c r="T112" i="233" s="1"/>
  <c r="K122" i="233"/>
  <c r="N122" i="233" s="1"/>
  <c r="O122" i="233"/>
  <c r="S122" i="233"/>
  <c r="T122" i="233" s="1"/>
  <c r="K123" i="233"/>
  <c r="N123" i="233"/>
  <c r="O123" i="233"/>
  <c r="P123" i="233" s="1"/>
  <c r="S123" i="233"/>
  <c r="T123" i="233" s="1"/>
  <c r="K124" i="233"/>
  <c r="N124" i="233" s="1"/>
  <c r="O124" i="233"/>
  <c r="S124" i="233"/>
  <c r="T124" i="233" s="1"/>
  <c r="K125" i="233"/>
  <c r="N125" i="233"/>
  <c r="O125" i="233"/>
  <c r="S125" i="233"/>
  <c r="T125" i="233" s="1"/>
  <c r="K126" i="233"/>
  <c r="N126" i="233"/>
  <c r="O126" i="233"/>
  <c r="S126" i="233"/>
  <c r="T126" i="233"/>
  <c r="K127" i="233"/>
  <c r="N127" i="233" s="1"/>
  <c r="O127" i="233"/>
  <c r="S127" i="233"/>
  <c r="T127" i="233" s="1"/>
  <c r="K128" i="233"/>
  <c r="N128" i="233"/>
  <c r="O128" i="233"/>
  <c r="S128" i="233"/>
  <c r="T128" i="233"/>
  <c r="K129" i="233"/>
  <c r="N129" i="233" s="1"/>
  <c r="O129" i="233"/>
  <c r="S129" i="233"/>
  <c r="K130" i="233"/>
  <c r="N130" i="233" s="1"/>
  <c r="O130" i="233"/>
  <c r="S130" i="233"/>
  <c r="T130" i="233" s="1"/>
  <c r="M131" i="233"/>
  <c r="L131" i="233"/>
  <c r="O131" i="233" s="1"/>
  <c r="S131" i="233"/>
  <c r="K132" i="233"/>
  <c r="N132" i="233" s="1"/>
  <c r="O132" i="233"/>
  <c r="S132" i="233"/>
  <c r="T132" i="233" s="1"/>
  <c r="K133" i="233"/>
  <c r="N133" i="233" s="1"/>
  <c r="O133" i="233"/>
  <c r="S133" i="233"/>
  <c r="T133" i="233" s="1"/>
  <c r="K134" i="233"/>
  <c r="N134" i="233" s="1"/>
  <c r="O134" i="233"/>
  <c r="S134" i="233"/>
  <c r="T134" i="233" s="1"/>
  <c r="K135" i="233"/>
  <c r="N135" i="233" s="1"/>
  <c r="O135" i="233"/>
  <c r="S135" i="233"/>
  <c r="T135" i="233" s="1"/>
  <c r="K136" i="233"/>
  <c r="N136" i="233" s="1"/>
  <c r="O136" i="233"/>
  <c r="S136" i="233"/>
  <c r="T136" i="233" s="1"/>
  <c r="K137" i="233"/>
  <c r="N137" i="233" s="1"/>
  <c r="O137" i="233"/>
  <c r="S137" i="233"/>
  <c r="T137" i="233" s="1"/>
  <c r="AD137" i="233"/>
  <c r="AE137" i="233"/>
  <c r="K138" i="233"/>
  <c r="N138" i="233" s="1"/>
  <c r="X138" i="233" s="1"/>
  <c r="AA138" i="233" s="1"/>
  <c r="O138" i="233"/>
  <c r="S138" i="233"/>
  <c r="T138" i="233" s="1"/>
  <c r="K139" i="233"/>
  <c r="N139" i="233" s="1"/>
  <c r="X139" i="233" s="1"/>
  <c r="AA139" i="233" s="1"/>
  <c r="O139" i="233"/>
  <c r="S139" i="233"/>
  <c r="T139" i="233" s="1"/>
  <c r="K140" i="233"/>
  <c r="N140" i="233" s="1"/>
  <c r="O140" i="233"/>
  <c r="P140" i="233" s="1"/>
  <c r="S140" i="233"/>
  <c r="T140" i="233" s="1"/>
  <c r="B2" i="41"/>
  <c r="Z3" i="41"/>
  <c r="R4" i="41"/>
  <c r="Z4" i="41"/>
  <c r="Z5" i="41"/>
  <c r="W10" i="41"/>
  <c r="H10" i="41"/>
  <c r="L10" i="41"/>
  <c r="M10" i="41"/>
  <c r="K10" i="41"/>
  <c r="P10" i="41" s="1"/>
  <c r="N10" i="41"/>
  <c r="Q10" i="41"/>
  <c r="Z10" i="41"/>
  <c r="H11" i="41"/>
  <c r="L11" i="41"/>
  <c r="L43" i="41" s="1"/>
  <c r="M11" i="41"/>
  <c r="K11" i="41"/>
  <c r="N11" i="41"/>
  <c r="P11" i="41" s="1"/>
  <c r="R11" i="41" s="1"/>
  <c r="Q11" i="41"/>
  <c r="Q45" i="41" s="1"/>
  <c r="Z11" i="41"/>
  <c r="H12" i="41"/>
  <c r="L12" i="41"/>
  <c r="M12" i="41"/>
  <c r="K12" i="41"/>
  <c r="N12" i="41"/>
  <c r="O12" i="41"/>
  <c r="Q12" i="41"/>
  <c r="Z12" i="41"/>
  <c r="H13" i="41"/>
  <c r="L13" i="41"/>
  <c r="O13" i="41" s="1"/>
  <c r="M13" i="41"/>
  <c r="K13" i="41"/>
  <c r="N13" i="41"/>
  <c r="Q13" i="41"/>
  <c r="Z13" i="41"/>
  <c r="H14" i="41"/>
  <c r="L14" i="41"/>
  <c r="M14" i="41"/>
  <c r="K14" i="41"/>
  <c r="N14" i="41"/>
  <c r="Q14" i="41"/>
  <c r="Z14" i="41"/>
  <c r="H15" i="41"/>
  <c r="L15" i="41"/>
  <c r="M15" i="41"/>
  <c r="K15" i="41"/>
  <c r="P15" i="41" s="1"/>
  <c r="N15" i="41"/>
  <c r="O15" i="41" s="1"/>
  <c r="Q15" i="41"/>
  <c r="Z15" i="41"/>
  <c r="H16" i="41"/>
  <c r="L16" i="41"/>
  <c r="M16" i="41"/>
  <c r="K16" i="41"/>
  <c r="N16" i="41"/>
  <c r="P16" i="41" s="1"/>
  <c r="R16" i="41" s="1"/>
  <c r="AA16" i="41" s="1"/>
  <c r="Q16" i="41"/>
  <c r="Z16" i="41"/>
  <c r="H17" i="41"/>
  <c r="L17" i="41"/>
  <c r="M17" i="41"/>
  <c r="K17" i="41"/>
  <c r="N17" i="41"/>
  <c r="Q17" i="41"/>
  <c r="Z17" i="41"/>
  <c r="H18" i="41"/>
  <c r="L18" i="41"/>
  <c r="O18" i="41" s="1"/>
  <c r="M18" i="41"/>
  <c r="K18" i="41"/>
  <c r="N18" i="41"/>
  <c r="Q18" i="41"/>
  <c r="Z18" i="41"/>
  <c r="H19" i="41"/>
  <c r="L19" i="41"/>
  <c r="M19" i="41"/>
  <c r="K19" i="41"/>
  <c r="N19" i="41"/>
  <c r="Q19" i="41"/>
  <c r="Z19" i="41"/>
  <c r="H20" i="41"/>
  <c r="L20" i="41"/>
  <c r="M20" i="41"/>
  <c r="K20" i="41"/>
  <c r="N20" i="41"/>
  <c r="Q20" i="41"/>
  <c r="Z20" i="41"/>
  <c r="H21" i="41"/>
  <c r="L21" i="41"/>
  <c r="M21" i="41"/>
  <c r="K21" i="41"/>
  <c r="P21" i="41" s="1"/>
  <c r="R21" i="41" s="1"/>
  <c r="N21" i="41"/>
  <c r="Q21" i="41"/>
  <c r="Z21" i="41"/>
  <c r="H22" i="41"/>
  <c r="L22" i="41"/>
  <c r="M22" i="41"/>
  <c r="K22" i="41"/>
  <c r="N22" i="41"/>
  <c r="Q22" i="41"/>
  <c r="Z22" i="41"/>
  <c r="E58" i="41"/>
  <c r="AJ2" i="214"/>
  <c r="AI10" i="214"/>
  <c r="AI11" i="214"/>
  <c r="AI12" i="214"/>
  <c r="AI13" i="214"/>
  <c r="AI14" i="214"/>
  <c r="AI15" i="214"/>
  <c r="AI16" i="214"/>
  <c r="AI17" i="214"/>
  <c r="AI18" i="214"/>
  <c r="AI19" i="214"/>
  <c r="AI20" i="214"/>
  <c r="AI21" i="214"/>
  <c r="AI22" i="214"/>
  <c r="AI23" i="214"/>
  <c r="AI24" i="214"/>
  <c r="AI25" i="214"/>
  <c r="AI26" i="214"/>
  <c r="AI27" i="214"/>
  <c r="AI28" i="214"/>
  <c r="AI29" i="214"/>
  <c r="AI30" i="214"/>
  <c r="AI31" i="214"/>
  <c r="AI32" i="214"/>
  <c r="AI33" i="214"/>
  <c r="AI34" i="214"/>
  <c r="AI35" i="214"/>
  <c r="AI36" i="214"/>
  <c r="AI37" i="214"/>
  <c r="AI38" i="214"/>
  <c r="AI39" i="214"/>
  <c r="AI40" i="214"/>
  <c r="B1" i="213"/>
  <c r="L2" i="213" s="1"/>
  <c r="B2" i="213"/>
  <c r="B3" i="213"/>
  <c r="S11" i="213" s="1"/>
  <c r="L3" i="213"/>
  <c r="B4" i="213"/>
  <c r="L4" i="213"/>
  <c r="B5" i="213"/>
  <c r="U11" i="213" s="1"/>
  <c r="L5" i="213"/>
  <c r="B6" i="213"/>
  <c r="V11" i="213" s="1"/>
  <c r="L6" i="213"/>
  <c r="B7" i="213"/>
  <c r="W11" i="213" s="1"/>
  <c r="B8" i="213"/>
  <c r="A10" i="213"/>
  <c r="AX10" i="213"/>
  <c r="BC10" i="213" s="1"/>
  <c r="AY10" i="213"/>
  <c r="BD10" i="213" s="1"/>
  <c r="R11" i="213"/>
  <c r="T11" i="213"/>
  <c r="BS11" i="213"/>
  <c r="BT11" i="213"/>
  <c r="BU11" i="213"/>
  <c r="BV11" i="213"/>
  <c r="BW11" i="213"/>
  <c r="BX11" i="213"/>
  <c r="BY11" i="213"/>
  <c r="BZ11" i="213"/>
  <c r="B13" i="213"/>
  <c r="S37" i="172" l="1"/>
  <c r="M46" i="234"/>
  <c r="E45" i="53"/>
  <c r="Q45" i="53"/>
  <c r="Q43" i="53"/>
  <c r="Q46" i="53"/>
  <c r="Q41" i="53"/>
  <c r="R43" i="57"/>
  <c r="R42" i="57"/>
  <c r="R41" i="57"/>
  <c r="R45" i="57"/>
  <c r="M40" i="57"/>
  <c r="M44" i="57"/>
  <c r="M43" i="57"/>
  <c r="M42" i="57"/>
  <c r="O42" i="57"/>
  <c r="O41" i="57"/>
  <c r="O45" i="57"/>
  <c r="O40" i="57"/>
  <c r="O44" i="57"/>
  <c r="Y42" i="57"/>
  <c r="Y41" i="57"/>
  <c r="Y45" i="57"/>
  <c r="Y40" i="57"/>
  <c r="Y44" i="57"/>
  <c r="O21" i="41"/>
  <c r="O20" i="41"/>
  <c r="P18" i="41"/>
  <c r="R18" i="41" s="1"/>
  <c r="AA18" i="41" s="1"/>
  <c r="O14" i="41"/>
  <c r="P13" i="41"/>
  <c r="X140" i="233"/>
  <c r="AA140" i="233" s="1"/>
  <c r="P124" i="233"/>
  <c r="T46" i="233"/>
  <c r="X38" i="233"/>
  <c r="X23" i="233"/>
  <c r="AA23" i="233" s="1"/>
  <c r="X15" i="233"/>
  <c r="AA15" i="233" s="1"/>
  <c r="X127" i="294"/>
  <c r="AF127" i="294" s="1"/>
  <c r="X110" i="294"/>
  <c r="AA110" i="294" s="1"/>
  <c r="P109" i="294"/>
  <c r="P104" i="294"/>
  <c r="X102" i="294"/>
  <c r="AA102" i="294" s="1"/>
  <c r="X94" i="294"/>
  <c r="AA94" i="294" s="1"/>
  <c r="X85" i="294"/>
  <c r="P77" i="294"/>
  <c r="U77" i="294" s="1"/>
  <c r="S41" i="172"/>
  <c r="AD40" i="172"/>
  <c r="AF40" i="172" s="1"/>
  <c r="U38" i="172"/>
  <c r="U33" i="172"/>
  <c r="P30" i="172"/>
  <c r="AC27" i="172"/>
  <c r="AD27" i="172"/>
  <c r="AF27" i="172" s="1"/>
  <c r="S25" i="172"/>
  <c r="K114" i="217"/>
  <c r="H144" i="217"/>
  <c r="H140" i="217"/>
  <c r="AK39" i="234"/>
  <c r="AL39" i="234"/>
  <c r="AA19" i="234"/>
  <c r="AK16" i="234"/>
  <c r="AL16" i="234"/>
  <c r="Q42" i="53"/>
  <c r="O43" i="57"/>
  <c r="AC41" i="57"/>
  <c r="R40" i="57"/>
  <c r="S40" i="57"/>
  <c r="S44" i="57"/>
  <c r="S43" i="57"/>
  <c r="S42" i="57"/>
  <c r="N41" i="57"/>
  <c r="N45" i="57"/>
  <c r="N40" i="57"/>
  <c r="N44" i="57"/>
  <c r="N43" i="57"/>
  <c r="AC40" i="57"/>
  <c r="AC44" i="57"/>
  <c r="AC43" i="57"/>
  <c r="AC42" i="57"/>
  <c r="X41" i="57"/>
  <c r="X45" i="57"/>
  <c r="X40" i="57"/>
  <c r="X44" i="57"/>
  <c r="X43" i="57"/>
  <c r="S45" i="53"/>
  <c r="G45" i="53"/>
  <c r="AA43" i="57"/>
  <c r="AA42" i="57"/>
  <c r="AA41" i="57"/>
  <c r="AA45" i="57"/>
  <c r="AJ42" i="57"/>
  <c r="AJ41" i="57"/>
  <c r="AJ45" i="57"/>
  <c r="AJ40" i="57"/>
  <c r="AJ44" i="57"/>
  <c r="AG41" i="57"/>
  <c r="AG45" i="57"/>
  <c r="AG40" i="57"/>
  <c r="AG44" i="57"/>
  <c r="AG43" i="57"/>
  <c r="O22" i="41"/>
  <c r="P20" i="41"/>
  <c r="O17" i="41"/>
  <c r="Q43" i="41"/>
  <c r="Q41" i="41"/>
  <c r="U140" i="233"/>
  <c r="K131" i="233"/>
  <c r="N131" i="233" s="1"/>
  <c r="S114" i="233"/>
  <c r="U38" i="233"/>
  <c r="S35" i="233"/>
  <c r="P28" i="233"/>
  <c r="AF28" i="233" s="1"/>
  <c r="P21" i="233"/>
  <c r="AF21" i="233" s="1"/>
  <c r="P20" i="233"/>
  <c r="AF20" i="233" s="1"/>
  <c r="X16" i="233"/>
  <c r="T131" i="294"/>
  <c r="U127" i="294"/>
  <c r="P111" i="294"/>
  <c r="P106" i="294"/>
  <c r="U106" i="294" s="1"/>
  <c r="P103" i="294"/>
  <c r="P81" i="294"/>
  <c r="T46" i="294"/>
  <c r="S38" i="172"/>
  <c r="U37" i="172"/>
  <c r="P37" i="172"/>
  <c r="P34" i="172"/>
  <c r="AC31" i="172"/>
  <c r="AD31" i="172"/>
  <c r="AF31" i="172" s="1"/>
  <c r="S29" i="172"/>
  <c r="AD28" i="172"/>
  <c r="AF28" i="172" s="1"/>
  <c r="U26" i="172"/>
  <c r="AK33" i="234"/>
  <c r="AL33" i="234"/>
  <c r="M21" i="234"/>
  <c r="O21" i="234" s="1"/>
  <c r="S21" i="234" s="1"/>
  <c r="AA21" i="234"/>
  <c r="AA42" i="234" s="1"/>
  <c r="S44" i="53"/>
  <c r="J46" i="53"/>
  <c r="E46" i="53"/>
  <c r="R44" i="57"/>
  <c r="AG42" i="57"/>
  <c r="S41" i="57"/>
  <c r="P107" i="294"/>
  <c r="U107" i="294" s="1"/>
  <c r="S30" i="294"/>
  <c r="AC39" i="172"/>
  <c r="AD39" i="172"/>
  <c r="AF39" i="172" s="1"/>
  <c r="AK24" i="234"/>
  <c r="AL24" i="234"/>
  <c r="N42" i="41"/>
  <c r="P22" i="41"/>
  <c r="O19" i="41"/>
  <c r="O16" i="41"/>
  <c r="O11" i="41"/>
  <c r="N41" i="41"/>
  <c r="P126" i="233"/>
  <c r="U126" i="233" s="1"/>
  <c r="P41" i="233"/>
  <c r="S33" i="233"/>
  <c r="U24" i="233"/>
  <c r="U16" i="233"/>
  <c r="K131" i="294"/>
  <c r="N131" i="294" s="1"/>
  <c r="P108" i="294"/>
  <c r="P105" i="294"/>
  <c r="P99" i="294"/>
  <c r="U99" i="294" s="1"/>
  <c r="P98" i="294"/>
  <c r="W37" i="172"/>
  <c r="AC35" i="172"/>
  <c r="AD35" i="172"/>
  <c r="AF35" i="172" s="1"/>
  <c r="S33" i="172"/>
  <c r="S26" i="172"/>
  <c r="AA28" i="234"/>
  <c r="AK17" i="234"/>
  <c r="AL17" i="234"/>
  <c r="X46" i="234"/>
  <c r="Q44" i="53"/>
  <c r="AJ43" i="57"/>
  <c r="M41" i="57"/>
  <c r="P100" i="294"/>
  <c r="P97" i="294"/>
  <c r="P92" i="294"/>
  <c r="U78" i="294"/>
  <c r="T47" i="294"/>
  <c r="O36" i="172"/>
  <c r="O28" i="172"/>
  <c r="AL14" i="234"/>
  <c r="O12" i="234"/>
  <c r="S12" i="234" s="1"/>
  <c r="P115" i="235"/>
  <c r="W96" i="235"/>
  <c r="W92" i="235"/>
  <c r="W88" i="235"/>
  <c r="W84" i="235"/>
  <c r="K50" i="235"/>
  <c r="N50" i="235" s="1"/>
  <c r="R131" i="235"/>
  <c r="AK38" i="173"/>
  <c r="AK26" i="173"/>
  <c r="S46" i="53"/>
  <c r="S43" i="53"/>
  <c r="AF20" i="57"/>
  <c r="AF12" i="57"/>
  <c r="AK36" i="173"/>
  <c r="AK30" i="173"/>
  <c r="S41" i="53"/>
  <c r="AF22" i="57"/>
  <c r="AF14" i="57"/>
  <c r="P96" i="294"/>
  <c r="P93" i="294"/>
  <c r="U86" i="294"/>
  <c r="X82" i="294"/>
  <c r="K46" i="294"/>
  <c r="N46" i="294" s="1"/>
  <c r="X44" i="294"/>
  <c r="AA44" i="294" s="1"/>
  <c r="O40" i="172"/>
  <c r="J47" i="172"/>
  <c r="E45" i="172"/>
  <c r="O32" i="172"/>
  <c r="W113" i="235"/>
  <c r="X113" i="235" s="1"/>
  <c r="W98" i="235"/>
  <c r="W94" i="235"/>
  <c r="W90" i="235"/>
  <c r="W86" i="235"/>
  <c r="W82" i="235"/>
  <c r="P67" i="235"/>
  <c r="P63" i="235"/>
  <c r="P59" i="235"/>
  <c r="AK42" i="173"/>
  <c r="AK34" i="173"/>
  <c r="AL31" i="173"/>
  <c r="AN31" i="173" s="1"/>
  <c r="AK28" i="173"/>
  <c r="AF24" i="57"/>
  <c r="AF16" i="57"/>
  <c r="H21" i="39"/>
  <c r="D9" i="39" s="1"/>
  <c r="T129" i="233"/>
  <c r="S145" i="233"/>
  <c r="X87" i="233"/>
  <c r="P87" i="233"/>
  <c r="AF87" i="233" s="1"/>
  <c r="L45" i="41"/>
  <c r="R10" i="41"/>
  <c r="X89" i="233"/>
  <c r="P89" i="233"/>
  <c r="X88" i="233"/>
  <c r="P88" i="233"/>
  <c r="X43" i="233"/>
  <c r="P43" i="233"/>
  <c r="T39" i="233"/>
  <c r="S73" i="233"/>
  <c r="X137" i="294"/>
  <c r="P137" i="294"/>
  <c r="X133" i="294"/>
  <c r="AA133" i="294" s="1"/>
  <c r="P133" i="294"/>
  <c r="AF133" i="294" s="1"/>
  <c r="T122" i="294"/>
  <c r="U122" i="294" s="1"/>
  <c r="S142" i="294"/>
  <c r="S144" i="294"/>
  <c r="S146" i="294"/>
  <c r="X111" i="294"/>
  <c r="X109" i="294"/>
  <c r="AA109" i="294" s="1"/>
  <c r="X107" i="294"/>
  <c r="AA107" i="294" s="1"/>
  <c r="X105" i="294"/>
  <c r="AA105" i="294" s="1"/>
  <c r="X103" i="294"/>
  <c r="AA103" i="294" s="1"/>
  <c r="X101" i="294"/>
  <c r="AA101" i="294" s="1"/>
  <c r="X99" i="294"/>
  <c r="AA99" i="294" s="1"/>
  <c r="X97" i="294"/>
  <c r="AA97" i="294" s="1"/>
  <c r="X95" i="294"/>
  <c r="X93" i="294"/>
  <c r="AA93" i="294" s="1"/>
  <c r="X84" i="294"/>
  <c r="P84" i="294"/>
  <c r="X83" i="294"/>
  <c r="P83" i="294"/>
  <c r="T79" i="294"/>
  <c r="S115" i="294"/>
  <c r="S119" i="294"/>
  <c r="X64" i="294"/>
  <c r="AA64" i="294" s="1"/>
  <c r="P64" i="294"/>
  <c r="X60" i="294"/>
  <c r="AA60" i="294" s="1"/>
  <c r="P60" i="294"/>
  <c r="X56" i="294"/>
  <c r="AA56" i="294" s="1"/>
  <c r="P56" i="294"/>
  <c r="AF56" i="294" s="1"/>
  <c r="X52" i="294"/>
  <c r="AA52" i="294" s="1"/>
  <c r="AE52" i="294" s="1"/>
  <c r="P52" i="294"/>
  <c r="AC30" i="172"/>
  <c r="AD30" i="172"/>
  <c r="AF30" i="172" s="1"/>
  <c r="U28" i="234"/>
  <c r="V28" i="234"/>
  <c r="AK15" i="234"/>
  <c r="AL15" i="234"/>
  <c r="P14" i="41"/>
  <c r="R14" i="41" s="1"/>
  <c r="AA14" i="41" s="1"/>
  <c r="T77" i="233"/>
  <c r="S116" i="233"/>
  <c r="S118" i="233"/>
  <c r="AF109" i="294"/>
  <c r="AF93" i="294"/>
  <c r="X61" i="294"/>
  <c r="AA61" i="294" s="1"/>
  <c r="P61" i="294"/>
  <c r="U61" i="294" s="1"/>
  <c r="X53" i="294"/>
  <c r="AA53" i="294" s="1"/>
  <c r="P53" i="294"/>
  <c r="U53" i="294" s="1"/>
  <c r="U49" i="294"/>
  <c r="T39" i="294"/>
  <c r="S74" i="294"/>
  <c r="S70" i="294"/>
  <c r="N44" i="41"/>
  <c r="R15" i="41"/>
  <c r="P12" i="41"/>
  <c r="R12" i="41" s="1"/>
  <c r="P139" i="233"/>
  <c r="AF139" i="233" s="1"/>
  <c r="U138" i="233"/>
  <c r="T131" i="233"/>
  <c r="X128" i="233"/>
  <c r="P128" i="233"/>
  <c r="AF128" i="233" s="1"/>
  <c r="U89" i="233"/>
  <c r="X41" i="233"/>
  <c r="P27" i="233"/>
  <c r="AF27" i="233" s="1"/>
  <c r="P23" i="233"/>
  <c r="AF23" i="233" s="1"/>
  <c r="P19" i="233"/>
  <c r="AF19" i="233" s="1"/>
  <c r="P15" i="233"/>
  <c r="N30" i="233"/>
  <c r="X13" i="233"/>
  <c r="N31" i="233"/>
  <c r="N33" i="233"/>
  <c r="N35" i="233"/>
  <c r="G9" i="189"/>
  <c r="U137" i="294"/>
  <c r="X136" i="294"/>
  <c r="AA136" i="294" s="1"/>
  <c r="P136" i="294"/>
  <c r="U136" i="294" s="1"/>
  <c r="X132" i="294"/>
  <c r="AA132" i="294" s="1"/>
  <c r="AE132" i="294" s="1"/>
  <c r="P132" i="294"/>
  <c r="X130" i="294"/>
  <c r="AA130" i="294" s="1"/>
  <c r="P130" i="294"/>
  <c r="AF130" i="294" s="1"/>
  <c r="U124" i="294"/>
  <c r="P112" i="294"/>
  <c r="AF112" i="294" s="1"/>
  <c r="AF110" i="294"/>
  <c r="AF108" i="294"/>
  <c r="AF106" i="294"/>
  <c r="AF102" i="294"/>
  <c r="AF100" i="294"/>
  <c r="AF98" i="294"/>
  <c r="AF96" i="294"/>
  <c r="AF94" i="294"/>
  <c r="U84" i="294"/>
  <c r="X81" i="294"/>
  <c r="S72" i="294"/>
  <c r="X67" i="294"/>
  <c r="AA67" i="294" s="1"/>
  <c r="P67" i="294"/>
  <c r="U64" i="294"/>
  <c r="X63" i="294"/>
  <c r="AA63" i="294" s="1"/>
  <c r="P63" i="294"/>
  <c r="X59" i="294"/>
  <c r="AA59" i="294" s="1"/>
  <c r="P59" i="294"/>
  <c r="AF59" i="294" s="1"/>
  <c r="U56" i="294"/>
  <c r="X55" i="294"/>
  <c r="AA55" i="294" s="1"/>
  <c r="P55" i="294"/>
  <c r="U52" i="294"/>
  <c r="X51" i="294"/>
  <c r="AA51" i="294" s="1"/>
  <c r="P51" i="294"/>
  <c r="X49" i="294"/>
  <c r="AA49" i="294" s="1"/>
  <c r="P49" i="294"/>
  <c r="AF49" i="294" s="1"/>
  <c r="X48" i="294"/>
  <c r="AA48" i="294" s="1"/>
  <c r="AE48" i="294" s="1"/>
  <c r="P48" i="294"/>
  <c r="K46" i="172"/>
  <c r="O39" i="172"/>
  <c r="P39" i="172"/>
  <c r="S39" i="172"/>
  <c r="W39" i="172"/>
  <c r="X90" i="233"/>
  <c r="AA90" i="233" s="1"/>
  <c r="P90" i="233"/>
  <c r="X134" i="294"/>
  <c r="AA134" i="294" s="1"/>
  <c r="P134" i="294"/>
  <c r="AF134" i="294" s="1"/>
  <c r="AF101" i="294"/>
  <c r="X65" i="294"/>
  <c r="AA65" i="294" s="1"/>
  <c r="P65" i="294"/>
  <c r="AF65" i="294" s="1"/>
  <c r="X57" i="294"/>
  <c r="AA57" i="294" s="1"/>
  <c r="P57" i="294"/>
  <c r="N46" i="41"/>
  <c r="L41" i="41"/>
  <c r="R22" i="41"/>
  <c r="AA22" i="41" s="1"/>
  <c r="AA21" i="41"/>
  <c r="P19" i="41"/>
  <c r="R19" i="41" s="1"/>
  <c r="AA19" i="41" s="1"/>
  <c r="P17" i="41"/>
  <c r="R17" i="41" s="1"/>
  <c r="M41" i="41"/>
  <c r="M43" i="41"/>
  <c r="M45" i="41"/>
  <c r="M42" i="41"/>
  <c r="M44" i="41"/>
  <c r="M46" i="41"/>
  <c r="Q42" i="41"/>
  <c r="Q44" i="41"/>
  <c r="Q46" i="41"/>
  <c r="S143" i="233"/>
  <c r="P138" i="233"/>
  <c r="AF138" i="233" s="1"/>
  <c r="U128" i="233"/>
  <c r="X125" i="233"/>
  <c r="P125" i="233"/>
  <c r="U125" i="233" s="1"/>
  <c r="U88" i="233"/>
  <c r="S71" i="233"/>
  <c r="U43" i="233"/>
  <c r="P42" i="233"/>
  <c r="U42" i="233" s="1"/>
  <c r="X40" i="233"/>
  <c r="P40" i="233"/>
  <c r="U40" i="233" s="1"/>
  <c r="X39" i="233"/>
  <c r="P39" i="233"/>
  <c r="P26" i="233"/>
  <c r="AF26" i="233" s="1"/>
  <c r="U25" i="233"/>
  <c r="P22" i="233"/>
  <c r="AF22" i="233" s="1"/>
  <c r="U21" i="233"/>
  <c r="P18" i="233"/>
  <c r="AF18" i="233" s="1"/>
  <c r="U17" i="233"/>
  <c r="P14" i="233"/>
  <c r="U13" i="233"/>
  <c r="X135" i="294"/>
  <c r="AA135" i="294" s="1"/>
  <c r="P135" i="294"/>
  <c r="U132" i="294"/>
  <c r="X129" i="294"/>
  <c r="AA129" i="294" s="1"/>
  <c r="P129" i="294"/>
  <c r="BD91" i="294"/>
  <c r="K91" i="294"/>
  <c r="N91" i="294" s="1"/>
  <c r="U83" i="294"/>
  <c r="P82" i="294"/>
  <c r="U82" i="294" s="1"/>
  <c r="X80" i="294"/>
  <c r="P80" i="294"/>
  <c r="U80" i="294" s="1"/>
  <c r="X79" i="294"/>
  <c r="P79" i="294"/>
  <c r="U67" i="294"/>
  <c r="X66" i="294"/>
  <c r="AA66" i="294" s="1"/>
  <c r="P66" i="294"/>
  <c r="AF66" i="294" s="1"/>
  <c r="U63" i="294"/>
  <c r="X62" i="294"/>
  <c r="AA62" i="294" s="1"/>
  <c r="P62" i="294"/>
  <c r="U62" i="294" s="1"/>
  <c r="U59" i="294"/>
  <c r="X58" i="294"/>
  <c r="AA58" i="294" s="1"/>
  <c r="AE58" i="294" s="1"/>
  <c r="P58" i="294"/>
  <c r="U55" i="294"/>
  <c r="X54" i="294"/>
  <c r="AA54" i="294" s="1"/>
  <c r="P54" i="294"/>
  <c r="U54" i="294" s="1"/>
  <c r="U51" i="294"/>
  <c r="F44" i="172"/>
  <c r="P25" i="172"/>
  <c r="F48" i="172"/>
  <c r="F46" i="172"/>
  <c r="M46" i="172"/>
  <c r="M44" i="172"/>
  <c r="M48" i="172"/>
  <c r="I48" i="172"/>
  <c r="I46" i="172"/>
  <c r="I44" i="172"/>
  <c r="AA17" i="41"/>
  <c r="AA12" i="41"/>
  <c r="O10" i="41"/>
  <c r="U123" i="233"/>
  <c r="S69" i="233"/>
  <c r="U41" i="233"/>
  <c r="U111" i="294"/>
  <c r="U110" i="294"/>
  <c r="U109" i="294"/>
  <c r="U108" i="294"/>
  <c r="U105" i="294"/>
  <c r="U103" i="294"/>
  <c r="U102" i="294"/>
  <c r="U101" i="294"/>
  <c r="U100" i="294"/>
  <c r="U98" i="294"/>
  <c r="U97" i="294"/>
  <c r="U96" i="294"/>
  <c r="U95" i="294"/>
  <c r="U94" i="294"/>
  <c r="U93" i="294"/>
  <c r="U85" i="294"/>
  <c r="U81" i="294"/>
  <c r="X50" i="294"/>
  <c r="AA50" i="294" s="1"/>
  <c r="P50" i="294"/>
  <c r="AF50" i="294" s="1"/>
  <c r="P44" i="294"/>
  <c r="AF44" i="294" s="1"/>
  <c r="AC34" i="172"/>
  <c r="AD34" i="172"/>
  <c r="AF34" i="172" s="1"/>
  <c r="F43" i="172"/>
  <c r="P29" i="172"/>
  <c r="L46" i="172"/>
  <c r="L47" i="172"/>
  <c r="G46" i="172"/>
  <c r="O27" i="172"/>
  <c r="P27" i="172"/>
  <c r="S27" i="172"/>
  <c r="W27" i="172"/>
  <c r="T120" i="235"/>
  <c r="N123" i="235"/>
  <c r="P99" i="235"/>
  <c r="W99" i="235"/>
  <c r="X99" i="235" s="1"/>
  <c r="P68" i="235"/>
  <c r="W68" i="235"/>
  <c r="L46" i="41"/>
  <c r="N45" i="41"/>
  <c r="L44" i="41"/>
  <c r="N43" i="41"/>
  <c r="L42" i="41"/>
  <c r="AA15" i="41"/>
  <c r="S147" i="233"/>
  <c r="S34" i="233"/>
  <c r="S32" i="233"/>
  <c r="S30" i="233"/>
  <c r="P126" i="294"/>
  <c r="S117" i="294"/>
  <c r="K47" i="294"/>
  <c r="N47" i="294" s="1"/>
  <c r="S32" i="294"/>
  <c r="T14" i="294"/>
  <c r="S34" i="294"/>
  <c r="G48" i="172"/>
  <c r="AC38" i="172"/>
  <c r="AD38" i="172"/>
  <c r="AF38" i="172" s="1"/>
  <c r="F47" i="172"/>
  <c r="P33" i="172"/>
  <c r="M45" i="172"/>
  <c r="I45" i="172"/>
  <c r="O31" i="172"/>
  <c r="P31" i="172"/>
  <c r="S31" i="172"/>
  <c r="W31" i="172"/>
  <c r="J44" i="172"/>
  <c r="J45" i="172"/>
  <c r="E44" i="172"/>
  <c r="U45" i="294"/>
  <c r="O35" i="172"/>
  <c r="P35" i="172"/>
  <c r="S35" i="172"/>
  <c r="W35" i="172"/>
  <c r="AC26" i="172"/>
  <c r="AD26" i="172"/>
  <c r="AF26" i="172" s="1"/>
  <c r="L44" i="172"/>
  <c r="G44" i="172"/>
  <c r="E47" i="172"/>
  <c r="J46" i="172"/>
  <c r="E46" i="172"/>
  <c r="J48" i="172"/>
  <c r="E48" i="172"/>
  <c r="J43" i="172"/>
  <c r="E43" i="172"/>
  <c r="L48" i="172"/>
  <c r="AC41" i="172"/>
  <c r="S40" i="172"/>
  <c r="U40" i="172"/>
  <c r="O38" i="172"/>
  <c r="AC37" i="172"/>
  <c r="S36" i="172"/>
  <c r="U36" i="172"/>
  <c r="M47" i="172"/>
  <c r="O34" i="172"/>
  <c r="AC33" i="172"/>
  <c r="S32" i="172"/>
  <c r="U32" i="172"/>
  <c r="M43" i="172"/>
  <c r="O30" i="172"/>
  <c r="AC29" i="172"/>
  <c r="S28" i="172"/>
  <c r="U28" i="172"/>
  <c r="O26" i="172"/>
  <c r="AC25" i="172"/>
  <c r="G43" i="172"/>
  <c r="AK37" i="234"/>
  <c r="AL37" i="234"/>
  <c r="S37" i="234"/>
  <c r="R37" i="234"/>
  <c r="T37" i="234"/>
  <c r="AK31" i="234"/>
  <c r="AL31" i="234"/>
  <c r="S31" i="234"/>
  <c r="R31" i="234"/>
  <c r="T31" i="234"/>
  <c r="S28" i="234"/>
  <c r="R28" i="234"/>
  <c r="X45" i="234"/>
  <c r="AK22" i="234"/>
  <c r="AL22" i="234"/>
  <c r="S20" i="234"/>
  <c r="T20" i="234"/>
  <c r="U20" i="234" s="1"/>
  <c r="S15" i="234"/>
  <c r="T15" i="234"/>
  <c r="U15" i="234" s="1"/>
  <c r="X43" i="234"/>
  <c r="W119" i="235"/>
  <c r="P119" i="235"/>
  <c r="W117" i="235"/>
  <c r="P117" i="235"/>
  <c r="W116" i="235"/>
  <c r="P116" i="235"/>
  <c r="X116" i="235" s="1"/>
  <c r="W114" i="235"/>
  <c r="P114" i="235"/>
  <c r="AK35" i="173"/>
  <c r="AE19" i="57"/>
  <c r="U19" i="57"/>
  <c r="W19" i="57"/>
  <c r="AE11" i="57"/>
  <c r="U11" i="57"/>
  <c r="W11" i="57"/>
  <c r="AI45" i="57"/>
  <c r="AI43" i="57"/>
  <c r="AI41" i="57"/>
  <c r="L45" i="172"/>
  <c r="AD41" i="172"/>
  <c r="AF41" i="172" s="1"/>
  <c r="O41" i="172"/>
  <c r="AC40" i="172"/>
  <c r="P40" i="172"/>
  <c r="U39" i="172"/>
  <c r="W38" i="172"/>
  <c r="AD37" i="172"/>
  <c r="AF37" i="172" s="1"/>
  <c r="O37" i="172"/>
  <c r="AC36" i="172"/>
  <c r="P36" i="172"/>
  <c r="U35" i="172"/>
  <c r="W34" i="172"/>
  <c r="AD33" i="172"/>
  <c r="AF33" i="172" s="1"/>
  <c r="I47" i="172"/>
  <c r="O33" i="172"/>
  <c r="AC32" i="172"/>
  <c r="P32" i="172"/>
  <c r="F45" i="172"/>
  <c r="W30" i="172"/>
  <c r="AD29" i="172"/>
  <c r="AF29" i="172" s="1"/>
  <c r="I43" i="172"/>
  <c r="O29" i="172"/>
  <c r="AC28" i="172"/>
  <c r="P28" i="172"/>
  <c r="U27" i="172"/>
  <c r="W26" i="172"/>
  <c r="AD25" i="172"/>
  <c r="AF25" i="172" s="1"/>
  <c r="O25" i="172"/>
  <c r="K44" i="172"/>
  <c r="U39" i="234"/>
  <c r="V39" i="234"/>
  <c r="U33" i="234"/>
  <c r="V33" i="234"/>
  <c r="U24" i="234"/>
  <c r="V24" i="234"/>
  <c r="AK18" i="234"/>
  <c r="AL18" i="234"/>
  <c r="S16" i="234"/>
  <c r="T16" i="234"/>
  <c r="Y47" i="234"/>
  <c r="Y42" i="234"/>
  <c r="Y45" i="234"/>
  <c r="R135" i="235"/>
  <c r="W112" i="235"/>
  <c r="P112" i="235"/>
  <c r="X112" i="235" s="1"/>
  <c r="N105" i="235"/>
  <c r="N103" i="235"/>
  <c r="N101" i="235"/>
  <c r="W69" i="235"/>
  <c r="N72" i="235"/>
  <c r="AL39" i="173"/>
  <c r="AN39" i="173" s="1"/>
  <c r="AK39" i="173"/>
  <c r="AL27" i="173"/>
  <c r="AN27" i="173" s="1"/>
  <c r="AK27" i="173"/>
  <c r="S39" i="234"/>
  <c r="R39" i="234"/>
  <c r="S35" i="234"/>
  <c r="R35" i="234"/>
  <c r="S33" i="234"/>
  <c r="R33" i="234"/>
  <c r="AK26" i="234"/>
  <c r="AL26" i="234"/>
  <c r="S26" i="234"/>
  <c r="R26" i="234"/>
  <c r="T26" i="234"/>
  <c r="S24" i="234"/>
  <c r="R24" i="234"/>
  <c r="S18" i="234"/>
  <c r="T18" i="234"/>
  <c r="U18" i="234" s="1"/>
  <c r="S13" i="234"/>
  <c r="T13" i="234"/>
  <c r="U13" i="234" s="1"/>
  <c r="P118" i="235"/>
  <c r="X118" i="235" s="1"/>
  <c r="T115" i="235"/>
  <c r="T113" i="235"/>
  <c r="W70" i="235"/>
  <c r="P11" i="235"/>
  <c r="N133" i="235"/>
  <c r="N131" i="235"/>
  <c r="N135" i="235"/>
  <c r="Y44" i="234"/>
  <c r="AA22" i="234"/>
  <c r="W120" i="235"/>
  <c r="X120" i="235" s="1"/>
  <c r="W115" i="235"/>
  <c r="X115" i="235" s="1"/>
  <c r="AV80" i="235"/>
  <c r="T67" i="235"/>
  <c r="P65" i="235"/>
  <c r="T63" i="235"/>
  <c r="P61" i="235"/>
  <c r="T61" i="235" s="1"/>
  <c r="T59" i="235"/>
  <c r="P57" i="235"/>
  <c r="R130" i="235"/>
  <c r="AL40" i="173"/>
  <c r="AN40" i="173" s="1"/>
  <c r="AL36" i="173"/>
  <c r="AN36" i="173" s="1"/>
  <c r="AL32" i="173"/>
  <c r="AN32" i="173" s="1"/>
  <c r="AL28" i="173"/>
  <c r="AN28" i="173" s="1"/>
  <c r="AE21" i="57"/>
  <c r="U21" i="57"/>
  <c r="W21" i="57"/>
  <c r="AE13" i="57"/>
  <c r="U13" i="57"/>
  <c r="W13" i="57"/>
  <c r="X44" i="234"/>
  <c r="X47" i="234"/>
  <c r="AA38" i="234"/>
  <c r="AA32" i="234"/>
  <c r="AA27" i="234"/>
  <c r="AA23" i="234"/>
  <c r="AL19" i="234"/>
  <c r="AL12" i="234"/>
  <c r="P66" i="235"/>
  <c r="T66" i="235" s="1"/>
  <c r="T64" i="235"/>
  <c r="P62" i="235"/>
  <c r="T62" i="235" s="1"/>
  <c r="T60" i="235"/>
  <c r="P58" i="235"/>
  <c r="T58" i="235" s="1"/>
  <c r="AL41" i="173"/>
  <c r="AN41" i="173" s="1"/>
  <c r="AL37" i="173"/>
  <c r="AN37" i="173" s="1"/>
  <c r="AL33" i="173"/>
  <c r="AN33" i="173" s="1"/>
  <c r="AL29" i="173"/>
  <c r="AN29" i="173" s="1"/>
  <c r="AE23" i="57"/>
  <c r="U23" i="57"/>
  <c r="W23" i="57"/>
  <c r="AE15" i="57"/>
  <c r="U15" i="57"/>
  <c r="W15" i="57"/>
  <c r="Y46" i="234"/>
  <c r="W111" i="235"/>
  <c r="T99" i="235"/>
  <c r="T65" i="235"/>
  <c r="T57" i="235"/>
  <c r="AL42" i="173"/>
  <c r="AN42" i="173" s="1"/>
  <c r="AL38" i="173"/>
  <c r="AN38" i="173" s="1"/>
  <c r="AL34" i="173"/>
  <c r="AN34" i="173" s="1"/>
  <c r="AL30" i="173"/>
  <c r="AN30" i="173" s="1"/>
  <c r="AL26" i="173"/>
  <c r="AN26" i="173" s="1"/>
  <c r="K44" i="53"/>
  <c r="K46" i="53"/>
  <c r="K42" i="53"/>
  <c r="K41" i="53"/>
  <c r="K43" i="53"/>
  <c r="K45" i="53"/>
  <c r="F42" i="53"/>
  <c r="F43" i="53"/>
  <c r="F46" i="53"/>
  <c r="F41" i="53"/>
  <c r="F44" i="53"/>
  <c r="F45" i="53"/>
  <c r="R45" i="53"/>
  <c r="R44" i="53"/>
  <c r="R46" i="53"/>
  <c r="I45" i="53"/>
  <c r="I43" i="53"/>
  <c r="I46" i="53"/>
  <c r="I44" i="53"/>
  <c r="D45" i="53"/>
  <c r="D44" i="53"/>
  <c r="D46" i="53"/>
  <c r="AE25" i="57"/>
  <c r="U25" i="57"/>
  <c r="W25" i="57"/>
  <c r="AE17" i="57"/>
  <c r="U17" i="57"/>
  <c r="W17" i="57"/>
  <c r="Q40" i="57"/>
  <c r="Q42" i="57"/>
  <c r="Q44" i="57"/>
  <c r="Q41" i="57"/>
  <c r="Q43" i="57"/>
  <c r="Q45" i="57"/>
  <c r="AE9" i="57"/>
  <c r="L40" i="57"/>
  <c r="L42" i="57"/>
  <c r="L44" i="57"/>
  <c r="U9" i="57"/>
  <c r="L41" i="57"/>
  <c r="L43" i="57"/>
  <c r="L45" i="57"/>
  <c r="W9" i="57"/>
  <c r="AF25" i="57"/>
  <c r="AF23" i="57"/>
  <c r="AF21" i="57"/>
  <c r="AF19" i="57"/>
  <c r="AF17" i="57"/>
  <c r="AF15" i="57"/>
  <c r="AF13" i="57"/>
  <c r="AF11" i="57"/>
  <c r="AF9" i="57"/>
  <c r="AB40" i="57"/>
  <c r="AB42" i="57"/>
  <c r="AB44" i="57"/>
  <c r="AB41" i="57"/>
  <c r="AB43" i="57"/>
  <c r="AB45" i="57"/>
  <c r="AE26" i="57"/>
  <c r="U26" i="57"/>
  <c r="AE24" i="57"/>
  <c r="U24" i="57"/>
  <c r="AE22" i="57"/>
  <c r="U22" i="57"/>
  <c r="AE20" i="57"/>
  <c r="U20" i="57"/>
  <c r="AE18" i="57"/>
  <c r="U18" i="57"/>
  <c r="AE16" i="57"/>
  <c r="U16" i="57"/>
  <c r="AE14" i="57"/>
  <c r="U14" i="57"/>
  <c r="AE12" i="57"/>
  <c r="U12" i="57"/>
  <c r="AE10" i="57"/>
  <c r="U10" i="57"/>
  <c r="AI40" i="57"/>
  <c r="AI42" i="57"/>
  <c r="AI44" i="57"/>
  <c r="V26" i="57"/>
  <c r="V25" i="57"/>
  <c r="V24" i="57"/>
  <c r="V23" i="57"/>
  <c r="V22" i="57"/>
  <c r="V21" i="57"/>
  <c r="V20" i="57"/>
  <c r="V19" i="57"/>
  <c r="V18" i="57"/>
  <c r="V17" i="57"/>
  <c r="V16" i="57"/>
  <c r="V15" i="57"/>
  <c r="V14" i="57"/>
  <c r="V13" i="57"/>
  <c r="V12" i="57"/>
  <c r="V11" i="57"/>
  <c r="V10" i="57"/>
  <c r="V9" i="57"/>
  <c r="K47" i="172"/>
  <c r="K45" i="172"/>
  <c r="K43" i="172"/>
  <c r="K48" i="172"/>
  <c r="U34" i="172"/>
  <c r="U31" i="172"/>
  <c r="U30" i="172"/>
  <c r="G47" i="172"/>
  <c r="G45" i="172"/>
  <c r="AA11" i="41"/>
  <c r="P131" i="233"/>
  <c r="X131" i="233"/>
  <c r="AA131" i="233" s="1"/>
  <c r="P129" i="233"/>
  <c r="X129" i="233"/>
  <c r="AA129" i="233" s="1"/>
  <c r="P127" i="233"/>
  <c r="U127" i="233" s="1"/>
  <c r="X127" i="233"/>
  <c r="P107" i="233"/>
  <c r="U107" i="233" s="1"/>
  <c r="X107" i="233"/>
  <c r="AA107" i="233" s="1"/>
  <c r="P105" i="233"/>
  <c r="X105" i="233"/>
  <c r="AA105" i="233" s="1"/>
  <c r="P101" i="233"/>
  <c r="X101" i="233"/>
  <c r="AA101" i="233" s="1"/>
  <c r="P99" i="233"/>
  <c r="X99" i="233"/>
  <c r="AA99" i="233" s="1"/>
  <c r="P97" i="233"/>
  <c r="X97" i="233"/>
  <c r="AA97" i="233" s="1"/>
  <c r="P85" i="233"/>
  <c r="U85" i="233" s="1"/>
  <c r="X85" i="233"/>
  <c r="P81" i="233"/>
  <c r="U81" i="233" s="1"/>
  <c r="X81" i="233"/>
  <c r="P79" i="233"/>
  <c r="X79" i="233"/>
  <c r="P77" i="233"/>
  <c r="X77" i="233"/>
  <c r="N115" i="233"/>
  <c r="N117" i="233"/>
  <c r="N119" i="233"/>
  <c r="N114" i="233"/>
  <c r="N116" i="233"/>
  <c r="N118" i="233"/>
  <c r="P65" i="233"/>
  <c r="X65" i="233"/>
  <c r="AA65" i="233" s="1"/>
  <c r="P53" i="233"/>
  <c r="X53" i="233"/>
  <c r="AA53" i="233" s="1"/>
  <c r="P51" i="233"/>
  <c r="U51" i="233" s="1"/>
  <c r="X51" i="233"/>
  <c r="AA51" i="233" s="1"/>
  <c r="P49" i="233"/>
  <c r="X49" i="233"/>
  <c r="AA49" i="233" s="1"/>
  <c r="N70" i="233"/>
  <c r="P128" i="294"/>
  <c r="AF128" i="294" s="1"/>
  <c r="X128" i="294"/>
  <c r="U126" i="294"/>
  <c r="P123" i="294"/>
  <c r="N142" i="294"/>
  <c r="N144" i="294"/>
  <c r="N146" i="294"/>
  <c r="AE109" i="294"/>
  <c r="AD109" i="294"/>
  <c r="AE107" i="294"/>
  <c r="AD107" i="294"/>
  <c r="AE106" i="294"/>
  <c r="AD106" i="294"/>
  <c r="AE100" i="294"/>
  <c r="AD100" i="294"/>
  <c r="AE98" i="294"/>
  <c r="AD98" i="294"/>
  <c r="AE96" i="294"/>
  <c r="AD96" i="294"/>
  <c r="AE94" i="294"/>
  <c r="AD94" i="294"/>
  <c r="AE92" i="294"/>
  <c r="AD92" i="294"/>
  <c r="AE44" i="294"/>
  <c r="AD44" i="294"/>
  <c r="P42" i="294"/>
  <c r="U42" i="294" s="1"/>
  <c r="X42" i="294"/>
  <c r="P40" i="294"/>
  <c r="X40" i="294"/>
  <c r="P137" i="233"/>
  <c r="X137" i="233"/>
  <c r="P135" i="233"/>
  <c r="U135" i="233" s="1"/>
  <c r="X135" i="233"/>
  <c r="AA135" i="233" s="1"/>
  <c r="P133" i="233"/>
  <c r="X133" i="233"/>
  <c r="AA133" i="233" s="1"/>
  <c r="U129" i="233"/>
  <c r="U124" i="233"/>
  <c r="P111" i="233"/>
  <c r="U111" i="233" s="1"/>
  <c r="X111" i="233"/>
  <c r="P109" i="233"/>
  <c r="X109" i="233"/>
  <c r="AA109" i="233" s="1"/>
  <c r="U105" i="233"/>
  <c r="P103" i="233"/>
  <c r="U103" i="233" s="1"/>
  <c r="X103" i="233"/>
  <c r="AA103" i="233" s="1"/>
  <c r="P95" i="233"/>
  <c r="AF95" i="233" s="1"/>
  <c r="X95" i="233"/>
  <c r="AA95" i="233" s="1"/>
  <c r="P93" i="233"/>
  <c r="X93" i="233"/>
  <c r="AA93" i="233" s="1"/>
  <c r="P83" i="233"/>
  <c r="U83" i="233" s="1"/>
  <c r="X83" i="233"/>
  <c r="U79" i="233"/>
  <c r="U77" i="233"/>
  <c r="P67" i="233"/>
  <c r="U67" i="233" s="1"/>
  <c r="X67" i="233"/>
  <c r="AA67" i="233" s="1"/>
  <c r="P63" i="233"/>
  <c r="X63" i="233"/>
  <c r="AA63" i="233" s="1"/>
  <c r="P61" i="233"/>
  <c r="X61" i="233"/>
  <c r="AA61" i="233" s="1"/>
  <c r="P59" i="233"/>
  <c r="U59" i="233" s="1"/>
  <c r="X59" i="233"/>
  <c r="AA59" i="233" s="1"/>
  <c r="P57" i="233"/>
  <c r="X57" i="233"/>
  <c r="AA57" i="233" s="1"/>
  <c r="P55" i="233"/>
  <c r="X55" i="233"/>
  <c r="AA55" i="233" s="1"/>
  <c r="U49" i="233"/>
  <c r="P47" i="233"/>
  <c r="X47" i="233"/>
  <c r="AA47" i="233" s="1"/>
  <c r="P45" i="233"/>
  <c r="U45" i="233" s="1"/>
  <c r="X45" i="233"/>
  <c r="P140" i="294"/>
  <c r="X140" i="294"/>
  <c r="AA140" i="294" s="1"/>
  <c r="P138" i="294"/>
  <c r="X138" i="294"/>
  <c r="AA138" i="294" s="1"/>
  <c r="U123" i="294"/>
  <c r="AE110" i="294"/>
  <c r="AD110" i="294"/>
  <c r="AE108" i="294"/>
  <c r="AD108" i="294"/>
  <c r="AE105" i="294"/>
  <c r="AD105" i="294"/>
  <c r="AE104" i="294"/>
  <c r="AD104" i="294"/>
  <c r="AE102" i="294"/>
  <c r="AD102" i="294"/>
  <c r="AE101" i="294"/>
  <c r="AD101" i="294"/>
  <c r="AE99" i="294"/>
  <c r="AD99" i="294"/>
  <c r="AE97" i="294"/>
  <c r="AD97" i="294"/>
  <c r="AE93" i="294"/>
  <c r="AD93" i="294"/>
  <c r="P91" i="294"/>
  <c r="U91" i="294" s="1"/>
  <c r="X91" i="294"/>
  <c r="AA91" i="294" s="1"/>
  <c r="P89" i="294"/>
  <c r="X89" i="294"/>
  <c r="P87" i="294"/>
  <c r="U87" i="294" s="1"/>
  <c r="X87" i="294"/>
  <c r="N115" i="294"/>
  <c r="N117" i="294"/>
  <c r="N119" i="294"/>
  <c r="U40" i="294"/>
  <c r="P38" i="294"/>
  <c r="U38" i="294" s="1"/>
  <c r="X38" i="294"/>
  <c r="N73" i="294"/>
  <c r="P28" i="294"/>
  <c r="X28" i="294"/>
  <c r="AA28" i="294" s="1"/>
  <c r="P26" i="294"/>
  <c r="U26" i="294" s="1"/>
  <c r="X26" i="294"/>
  <c r="AA26" i="294" s="1"/>
  <c r="P24" i="294"/>
  <c r="AF24" i="294" s="1"/>
  <c r="X24" i="294"/>
  <c r="AA24" i="294" s="1"/>
  <c r="P22" i="294"/>
  <c r="U22" i="294" s="1"/>
  <c r="X22" i="294"/>
  <c r="AA22" i="294" s="1"/>
  <c r="P20" i="294"/>
  <c r="X20" i="294"/>
  <c r="AA20" i="294" s="1"/>
  <c r="P18" i="294"/>
  <c r="X18" i="294"/>
  <c r="AA18" i="294" s="1"/>
  <c r="P16" i="294"/>
  <c r="U16" i="294" s="1"/>
  <c r="X16" i="294"/>
  <c r="AA16" i="294" s="1"/>
  <c r="P14" i="294"/>
  <c r="X14" i="294"/>
  <c r="AA14" i="294" s="1"/>
  <c r="AE140" i="233"/>
  <c r="AD140" i="233"/>
  <c r="AE139" i="233"/>
  <c r="AD139" i="233"/>
  <c r="AE138" i="233"/>
  <c r="AD138" i="233"/>
  <c r="P136" i="233"/>
  <c r="X136" i="233"/>
  <c r="AA136" i="233" s="1"/>
  <c r="P134" i="233"/>
  <c r="U134" i="233" s="1"/>
  <c r="X134" i="233"/>
  <c r="AA134" i="233" s="1"/>
  <c r="P132" i="233"/>
  <c r="X132" i="233"/>
  <c r="AA132" i="233" s="1"/>
  <c r="P130" i="233"/>
  <c r="U130" i="233" s="1"/>
  <c r="X130" i="233"/>
  <c r="AA130" i="233" s="1"/>
  <c r="P122" i="233"/>
  <c r="U122" i="233" s="1"/>
  <c r="N142" i="233"/>
  <c r="N144" i="233"/>
  <c r="N146" i="233"/>
  <c r="N143" i="233"/>
  <c r="N145" i="233"/>
  <c r="N147" i="233"/>
  <c r="P112" i="233"/>
  <c r="X112" i="233"/>
  <c r="AA112" i="233" s="1"/>
  <c r="P110" i="233"/>
  <c r="U110" i="233" s="1"/>
  <c r="X110" i="233"/>
  <c r="AA110" i="233" s="1"/>
  <c r="P108" i="233"/>
  <c r="X108" i="233"/>
  <c r="AA108" i="233" s="1"/>
  <c r="P106" i="233"/>
  <c r="U106" i="233" s="1"/>
  <c r="X106" i="233"/>
  <c r="AA106" i="233" s="1"/>
  <c r="P104" i="233"/>
  <c r="AF104" i="233" s="1"/>
  <c r="X104" i="233"/>
  <c r="AA104" i="233" s="1"/>
  <c r="P102" i="233"/>
  <c r="U102" i="233" s="1"/>
  <c r="X102" i="233"/>
  <c r="AA102" i="233" s="1"/>
  <c r="P100" i="233"/>
  <c r="AF100" i="233" s="1"/>
  <c r="X100" i="233"/>
  <c r="AA100" i="233" s="1"/>
  <c r="P98" i="233"/>
  <c r="U98" i="233" s="1"/>
  <c r="X98" i="233"/>
  <c r="AA98" i="233" s="1"/>
  <c r="P96" i="233"/>
  <c r="X96" i="233"/>
  <c r="AA96" i="233" s="1"/>
  <c r="P94" i="233"/>
  <c r="U94" i="233" s="1"/>
  <c r="X94" i="233"/>
  <c r="AA94" i="233" s="1"/>
  <c r="P92" i="233"/>
  <c r="X92" i="233"/>
  <c r="AA92" i="233" s="1"/>
  <c r="AE90" i="233"/>
  <c r="AD90" i="233"/>
  <c r="P86" i="233"/>
  <c r="U86" i="233" s="1"/>
  <c r="X86" i="233"/>
  <c r="P84" i="233"/>
  <c r="U84" i="233" s="1"/>
  <c r="X84" i="233"/>
  <c r="P82" i="233"/>
  <c r="U82" i="233" s="1"/>
  <c r="X82" i="233"/>
  <c r="P80" i="233"/>
  <c r="U80" i="233" s="1"/>
  <c r="X80" i="233"/>
  <c r="P78" i="233"/>
  <c r="U78" i="233" s="1"/>
  <c r="X78" i="233"/>
  <c r="P66" i="233"/>
  <c r="X66" i="233"/>
  <c r="AA66" i="233" s="1"/>
  <c r="P64" i="233"/>
  <c r="U64" i="233" s="1"/>
  <c r="X64" i="233"/>
  <c r="AA64" i="233" s="1"/>
  <c r="P62" i="233"/>
  <c r="X62" i="233"/>
  <c r="AA62" i="233" s="1"/>
  <c r="P60" i="233"/>
  <c r="U60" i="233" s="1"/>
  <c r="X60" i="233"/>
  <c r="AA60" i="233" s="1"/>
  <c r="P58" i="233"/>
  <c r="X58" i="233"/>
  <c r="AA58" i="233" s="1"/>
  <c r="P56" i="233"/>
  <c r="U56" i="233" s="1"/>
  <c r="X56" i="233"/>
  <c r="AA56" i="233" s="1"/>
  <c r="P54" i="233"/>
  <c r="X54" i="233"/>
  <c r="AA54" i="233" s="1"/>
  <c r="P52" i="233"/>
  <c r="U52" i="233" s="1"/>
  <c r="X52" i="233"/>
  <c r="AA52" i="233" s="1"/>
  <c r="P50" i="233"/>
  <c r="X50" i="233"/>
  <c r="AA50" i="233" s="1"/>
  <c r="U48" i="233"/>
  <c r="P48" i="233"/>
  <c r="X48" i="233"/>
  <c r="AA48" i="233" s="1"/>
  <c r="P46" i="233"/>
  <c r="X46" i="233"/>
  <c r="AA46" i="233" s="1"/>
  <c r="P44" i="233"/>
  <c r="U44" i="233" s="1"/>
  <c r="X44" i="233"/>
  <c r="AA44" i="233" s="1"/>
  <c r="N69" i="233"/>
  <c r="N71" i="233"/>
  <c r="N73" i="233"/>
  <c r="AE28" i="233"/>
  <c r="AD28" i="233"/>
  <c r="AE27" i="233"/>
  <c r="AD27" i="233"/>
  <c r="AE26" i="233"/>
  <c r="AD26" i="233"/>
  <c r="AE25" i="233"/>
  <c r="AD25" i="233"/>
  <c r="AE24" i="233"/>
  <c r="AD24" i="233"/>
  <c r="AE23" i="233"/>
  <c r="AD23" i="233"/>
  <c r="AE22" i="233"/>
  <c r="AD22" i="233"/>
  <c r="AE21" i="233"/>
  <c r="AD21" i="233"/>
  <c r="AE20" i="233"/>
  <c r="AD20" i="233"/>
  <c r="AE19" i="233"/>
  <c r="AD19" i="233"/>
  <c r="AE18" i="233"/>
  <c r="AD18" i="233"/>
  <c r="AE17" i="233"/>
  <c r="AD17" i="233"/>
  <c r="AE14" i="233"/>
  <c r="AD14" i="233"/>
  <c r="E9" i="189"/>
  <c r="E10" i="189"/>
  <c r="E11" i="189"/>
  <c r="E12" i="189"/>
  <c r="E13" i="189"/>
  <c r="E14" i="189"/>
  <c r="P139" i="294"/>
  <c r="X139" i="294"/>
  <c r="AA139" i="294" s="1"/>
  <c r="AE136" i="294"/>
  <c r="AD136" i="294"/>
  <c r="AE135" i="294"/>
  <c r="AD135" i="294"/>
  <c r="AE134" i="294"/>
  <c r="AD134" i="294"/>
  <c r="AE133" i="294"/>
  <c r="AD133" i="294"/>
  <c r="AE130" i="294"/>
  <c r="AD130" i="294"/>
  <c r="AE129" i="294"/>
  <c r="AD129" i="294"/>
  <c r="P125" i="294"/>
  <c r="U125" i="294" s="1"/>
  <c r="X125" i="294"/>
  <c r="N143" i="294"/>
  <c r="AE112" i="294"/>
  <c r="AD112" i="294"/>
  <c r="P90" i="294"/>
  <c r="X90" i="294"/>
  <c r="AA90" i="294" s="1"/>
  <c r="P88" i="294"/>
  <c r="U88" i="294" s="1"/>
  <c r="X88" i="294"/>
  <c r="N114" i="294"/>
  <c r="AE66" i="294"/>
  <c r="AD66" i="294"/>
  <c r="AE65" i="294"/>
  <c r="AD65" i="294"/>
  <c r="AE64" i="294"/>
  <c r="AD64" i="294"/>
  <c r="AE63" i="294"/>
  <c r="AD63" i="294"/>
  <c r="AE62" i="294"/>
  <c r="AD62" i="294"/>
  <c r="AE60" i="294"/>
  <c r="AD60" i="294"/>
  <c r="AE59" i="294"/>
  <c r="AD59" i="294"/>
  <c r="AD58" i="294"/>
  <c r="AE56" i="294"/>
  <c r="AD56" i="294"/>
  <c r="AE55" i="294"/>
  <c r="AD55" i="294"/>
  <c r="AE54" i="294"/>
  <c r="AD54" i="294"/>
  <c r="AE53" i="294"/>
  <c r="AD53" i="294"/>
  <c r="AD52" i="294"/>
  <c r="AE50" i="294"/>
  <c r="AD50" i="294"/>
  <c r="AE49" i="294"/>
  <c r="AD49" i="294"/>
  <c r="P43" i="294"/>
  <c r="X43" i="294"/>
  <c r="P41" i="294"/>
  <c r="U41" i="294" s="1"/>
  <c r="X41" i="294"/>
  <c r="P39" i="294"/>
  <c r="U39" i="294" s="1"/>
  <c r="X39" i="294"/>
  <c r="P27" i="294"/>
  <c r="U27" i="294" s="1"/>
  <c r="X27" i="294"/>
  <c r="AA27" i="294" s="1"/>
  <c r="P25" i="294"/>
  <c r="X25" i="294"/>
  <c r="AA25" i="294" s="1"/>
  <c r="U23" i="294"/>
  <c r="P23" i="294"/>
  <c r="X23" i="294"/>
  <c r="AA23" i="294" s="1"/>
  <c r="P21" i="294"/>
  <c r="X21" i="294"/>
  <c r="AA21" i="294" s="1"/>
  <c r="P19" i="294"/>
  <c r="U19" i="294" s="1"/>
  <c r="X19" i="294"/>
  <c r="AA19" i="294" s="1"/>
  <c r="P17" i="294"/>
  <c r="X17" i="294"/>
  <c r="AA17" i="294" s="1"/>
  <c r="P15" i="294"/>
  <c r="U15" i="294" s="1"/>
  <c r="X15" i="294"/>
  <c r="AA15" i="294" s="1"/>
  <c r="P13" i="294"/>
  <c r="X13" i="294"/>
  <c r="AA13" i="294" s="1"/>
  <c r="N31" i="294"/>
  <c r="N33" i="294"/>
  <c r="N35" i="294"/>
  <c r="N30" i="294"/>
  <c r="N32" i="294"/>
  <c r="N34" i="294"/>
  <c r="AG25" i="173"/>
  <c r="AH25" i="173"/>
  <c r="AG24" i="173"/>
  <c r="AH24" i="173"/>
  <c r="AG22" i="173"/>
  <c r="AH22" i="173"/>
  <c r="AG19" i="173"/>
  <c r="AH19" i="173"/>
  <c r="AG18" i="173"/>
  <c r="AH18" i="173"/>
  <c r="AG17" i="173"/>
  <c r="AH17" i="173"/>
  <c r="AG14" i="173"/>
  <c r="AH14" i="173"/>
  <c r="AG13" i="173"/>
  <c r="AH13" i="173"/>
  <c r="AF140" i="233"/>
  <c r="AG23" i="173"/>
  <c r="AH23" i="173"/>
  <c r="AG21" i="173"/>
  <c r="AH21" i="173"/>
  <c r="AG20" i="173"/>
  <c r="AH20" i="173"/>
  <c r="AG16" i="173"/>
  <c r="AH16" i="173"/>
  <c r="AG15" i="173"/>
  <c r="AH15" i="173"/>
  <c r="K46" i="41"/>
  <c r="H46" i="41"/>
  <c r="K45" i="41"/>
  <c r="H45" i="41"/>
  <c r="O44" i="41"/>
  <c r="K44" i="41"/>
  <c r="H44" i="41"/>
  <c r="K43" i="41"/>
  <c r="H43" i="41"/>
  <c r="K42" i="41"/>
  <c r="H42" i="41"/>
  <c r="K41" i="41"/>
  <c r="H41" i="41"/>
  <c r="AM25" i="173"/>
  <c r="U22" i="41"/>
  <c r="V22" i="41" s="1"/>
  <c r="AJ25" i="173"/>
  <c r="AI25" i="173"/>
  <c r="W22" i="41"/>
  <c r="AM24" i="173"/>
  <c r="U21" i="41"/>
  <c r="V21" i="41" s="1"/>
  <c r="AJ24" i="173"/>
  <c r="AI24" i="173"/>
  <c r="W21" i="41"/>
  <c r="AM23" i="173"/>
  <c r="AJ23" i="173"/>
  <c r="AI23" i="173"/>
  <c r="W20" i="41"/>
  <c r="AM22" i="173"/>
  <c r="U19" i="41"/>
  <c r="V19" i="41" s="1"/>
  <c r="AJ22" i="173"/>
  <c r="AI22" i="173"/>
  <c r="W19" i="41"/>
  <c r="AM21" i="173"/>
  <c r="U18" i="41"/>
  <c r="V18" i="41" s="1"/>
  <c r="AJ21" i="173"/>
  <c r="AI21" i="173"/>
  <c r="W18" i="41"/>
  <c r="AM20" i="173"/>
  <c r="U17" i="41"/>
  <c r="V17" i="41" s="1"/>
  <c r="AJ20" i="173"/>
  <c r="AI20" i="173"/>
  <c r="W17" i="41"/>
  <c r="AM19" i="173"/>
  <c r="U16" i="41"/>
  <c r="V16" i="41" s="1"/>
  <c r="AJ19" i="173"/>
  <c r="AI19" i="173"/>
  <c r="W16" i="41"/>
  <c r="AM18" i="173"/>
  <c r="U15" i="41"/>
  <c r="V15" i="41" s="1"/>
  <c r="AJ18" i="173"/>
  <c r="AI18" i="173"/>
  <c r="W15" i="41"/>
  <c r="AM17" i="173"/>
  <c r="U14" i="41"/>
  <c r="V14" i="41" s="1"/>
  <c r="AJ17" i="173"/>
  <c r="AI17" i="173"/>
  <c r="W14" i="41"/>
  <c r="AM16" i="173"/>
  <c r="AJ16" i="173"/>
  <c r="AI16" i="173"/>
  <c r="W13" i="41"/>
  <c r="AM15" i="173"/>
  <c r="U12" i="41"/>
  <c r="V12" i="41" s="1"/>
  <c r="AJ15" i="173"/>
  <c r="AI15" i="173"/>
  <c r="W12" i="41"/>
  <c r="AM14" i="173"/>
  <c r="U11" i="41"/>
  <c r="V11" i="41" s="1"/>
  <c r="AJ14" i="173"/>
  <c r="AI14" i="173"/>
  <c r="W11" i="41"/>
  <c r="AM13" i="173"/>
  <c r="U10" i="41"/>
  <c r="AJ13" i="173"/>
  <c r="AI13" i="173"/>
  <c r="S146" i="233"/>
  <c r="S144" i="233"/>
  <c r="S142" i="233"/>
  <c r="S119" i="233"/>
  <c r="S117" i="233"/>
  <c r="S115" i="233"/>
  <c r="O91" i="233"/>
  <c r="X91" i="233" s="1"/>
  <c r="AA91" i="233" s="1"/>
  <c r="S74" i="233"/>
  <c r="N74" i="233"/>
  <c r="S72" i="233"/>
  <c r="N72" i="233"/>
  <c r="S70" i="233"/>
  <c r="N34" i="233"/>
  <c r="N32" i="233"/>
  <c r="G14" i="189"/>
  <c r="G13" i="189"/>
  <c r="G12" i="189"/>
  <c r="G11" i="189"/>
  <c r="G10" i="189"/>
  <c r="S147" i="294"/>
  <c r="N147" i="294"/>
  <c r="S145" i="294"/>
  <c r="N145" i="294"/>
  <c r="S143" i="294"/>
  <c r="O131" i="294"/>
  <c r="X131" i="294" s="1"/>
  <c r="AA131" i="294" s="1"/>
  <c r="S118" i="294"/>
  <c r="N118" i="294"/>
  <c r="S116" i="294"/>
  <c r="N116" i="294"/>
  <c r="S114" i="294"/>
  <c r="S73" i="294"/>
  <c r="S71" i="294"/>
  <c r="S69" i="294"/>
  <c r="O47" i="294"/>
  <c r="O46" i="294"/>
  <c r="X46" i="294" s="1"/>
  <c r="AA46" i="294" s="1"/>
  <c r="S35" i="294"/>
  <c r="S33" i="294"/>
  <c r="S31" i="294"/>
  <c r="K140" i="217"/>
  <c r="K142" i="217"/>
  <c r="K144" i="217"/>
  <c r="K143" i="217"/>
  <c r="K139" i="217"/>
  <c r="V41" i="172"/>
  <c r="T41" i="172"/>
  <c r="Q41" i="172"/>
  <c r="V40" i="172"/>
  <c r="T40" i="172"/>
  <c r="Q40" i="172"/>
  <c r="V39" i="172"/>
  <c r="T39" i="172"/>
  <c r="Q39" i="172"/>
  <c r="V38" i="172"/>
  <c r="T38" i="172"/>
  <c r="Q38" i="172"/>
  <c r="V37" i="172"/>
  <c r="T37" i="172"/>
  <c r="Q37" i="172"/>
  <c r="V36" i="172"/>
  <c r="T36" i="172"/>
  <c r="Q36" i="172"/>
  <c r="V35" i="172"/>
  <c r="T35" i="172"/>
  <c r="Q35" i="172"/>
  <c r="V34" i="172"/>
  <c r="T34" i="172"/>
  <c r="Q34" i="172"/>
  <c r="V33" i="172"/>
  <c r="T33" i="172"/>
  <c r="Q33" i="172"/>
  <c r="V32" i="172"/>
  <c r="T32" i="172"/>
  <c r="Q32" i="172"/>
  <c r="V31" i="172"/>
  <c r="T31" i="172"/>
  <c r="Q31" i="172"/>
  <c r="V30" i="172"/>
  <c r="T30" i="172"/>
  <c r="Q30" i="172"/>
  <c r="V29" i="172"/>
  <c r="T29" i="172"/>
  <c r="Q29" i="172"/>
  <c r="V28" i="172"/>
  <c r="T28" i="172"/>
  <c r="Q28" i="172"/>
  <c r="V27" i="172"/>
  <c r="T27" i="172"/>
  <c r="Q27" i="172"/>
  <c r="V26" i="172"/>
  <c r="T26" i="172"/>
  <c r="Q26" i="172"/>
  <c r="V25" i="172"/>
  <c r="T25" i="172"/>
  <c r="Q25" i="172"/>
  <c r="L8" i="172"/>
  <c r="J8" i="172"/>
  <c r="R40" i="234"/>
  <c r="T40" i="234"/>
  <c r="S40" i="234"/>
  <c r="R38" i="234"/>
  <c r="T38" i="234"/>
  <c r="S38" i="234"/>
  <c r="R34" i="234"/>
  <c r="T34" i="234"/>
  <c r="S34" i="234"/>
  <c r="R32" i="234"/>
  <c r="T32" i="234"/>
  <c r="S32" i="234"/>
  <c r="R30" i="234"/>
  <c r="T30" i="234"/>
  <c r="S30" i="234"/>
  <c r="R29" i="234"/>
  <c r="S29" i="234"/>
  <c r="R27" i="234"/>
  <c r="T27" i="234"/>
  <c r="S27" i="234"/>
  <c r="R25" i="234"/>
  <c r="T25" i="234"/>
  <c r="S25" i="234"/>
  <c r="R23" i="234"/>
  <c r="T23" i="234"/>
  <c r="S23" i="234"/>
  <c r="O42" i="234"/>
  <c r="O44" i="234"/>
  <c r="O45" i="234"/>
  <c r="O47" i="234"/>
  <c r="O46" i="234"/>
  <c r="H143" i="217"/>
  <c r="K141" i="217"/>
  <c r="H141" i="217"/>
  <c r="H139" i="217"/>
  <c r="M47" i="234"/>
  <c r="M45" i="234"/>
  <c r="M43" i="234"/>
  <c r="AL40" i="234"/>
  <c r="AL38" i="234"/>
  <c r="AL36" i="234"/>
  <c r="R36" i="234"/>
  <c r="AL34" i="234"/>
  <c r="AL32" i="234"/>
  <c r="AL30" i="234"/>
  <c r="AL27" i="234"/>
  <c r="AL25" i="234"/>
  <c r="AL23" i="234"/>
  <c r="R22" i="234"/>
  <c r="V20" i="234"/>
  <c r="R20" i="234"/>
  <c r="V18" i="234"/>
  <c r="R18" i="234"/>
  <c r="R16" i="234"/>
  <c r="V15" i="234"/>
  <c r="R15" i="234"/>
  <c r="Y43" i="234"/>
  <c r="V13" i="234"/>
  <c r="R13" i="234"/>
  <c r="X42" i="234"/>
  <c r="M42" i="234"/>
  <c r="M44" i="234"/>
  <c r="N127" i="235"/>
  <c r="N125" i="235"/>
  <c r="P111" i="235"/>
  <c r="T110" i="235"/>
  <c r="P110" i="235"/>
  <c r="X110" i="235" s="1"/>
  <c r="P98" i="235"/>
  <c r="X98" i="235" s="1"/>
  <c r="P97" i="235"/>
  <c r="X97" i="235" s="1"/>
  <c r="P96" i="235"/>
  <c r="P95" i="235"/>
  <c r="X95" i="235" s="1"/>
  <c r="P94" i="235"/>
  <c r="X94" i="235" s="1"/>
  <c r="P93" i="235"/>
  <c r="X93" i="235" s="1"/>
  <c r="P92" i="235"/>
  <c r="X92" i="235" s="1"/>
  <c r="P91" i="235"/>
  <c r="X91" i="235" s="1"/>
  <c r="P90" i="235"/>
  <c r="X90" i="235" s="1"/>
  <c r="P89" i="235"/>
  <c r="X89" i="235" s="1"/>
  <c r="P88" i="235"/>
  <c r="X88" i="235" s="1"/>
  <c r="P87" i="235"/>
  <c r="X87" i="235" s="1"/>
  <c r="P86" i="235"/>
  <c r="X86" i="235" s="1"/>
  <c r="P85" i="235"/>
  <c r="X85" i="235" s="1"/>
  <c r="P84" i="235"/>
  <c r="X84" i="235" s="1"/>
  <c r="P83" i="235"/>
  <c r="X83" i="235" s="1"/>
  <c r="P82" i="235"/>
  <c r="X82" i="235" s="1"/>
  <c r="P81" i="235"/>
  <c r="X81" i="235" s="1"/>
  <c r="P80" i="235"/>
  <c r="W80" i="235"/>
  <c r="N102" i="235"/>
  <c r="N104" i="235"/>
  <c r="N106" i="235"/>
  <c r="N74" i="235"/>
  <c r="T70" i="235"/>
  <c r="P70" i="235"/>
  <c r="X70" i="235" s="1"/>
  <c r="P69" i="235"/>
  <c r="X69" i="235" s="1"/>
  <c r="T68" i="235"/>
  <c r="W67" i="235"/>
  <c r="X67" i="235" s="1"/>
  <c r="W66" i="235"/>
  <c r="X66" i="235" s="1"/>
  <c r="W65" i="235"/>
  <c r="W64" i="235"/>
  <c r="X64" i="235" s="1"/>
  <c r="W63" i="235"/>
  <c r="W62" i="235"/>
  <c r="W61" i="235"/>
  <c r="W60" i="235"/>
  <c r="X60" i="235" s="1"/>
  <c r="W59" i="235"/>
  <c r="X59" i="235" s="1"/>
  <c r="W58" i="235"/>
  <c r="X58" i="235" s="1"/>
  <c r="W57" i="235"/>
  <c r="W56" i="235"/>
  <c r="P56" i="235"/>
  <c r="W54" i="235"/>
  <c r="P54" i="235"/>
  <c r="W52" i="235"/>
  <c r="P52" i="235"/>
  <c r="W39" i="235"/>
  <c r="P39" i="235"/>
  <c r="W37" i="235"/>
  <c r="P37" i="235"/>
  <c r="W35" i="235"/>
  <c r="P35" i="235"/>
  <c r="W33" i="235"/>
  <c r="P33" i="235"/>
  <c r="W31" i="235"/>
  <c r="P31" i="235"/>
  <c r="W29" i="235"/>
  <c r="P29" i="235"/>
  <c r="W27" i="235"/>
  <c r="P27" i="235"/>
  <c r="W25" i="235"/>
  <c r="P25" i="235"/>
  <c r="W23" i="235"/>
  <c r="N41" i="235"/>
  <c r="N43" i="235"/>
  <c r="N45" i="235"/>
  <c r="P23" i="235"/>
  <c r="N42" i="235"/>
  <c r="N44" i="235"/>
  <c r="N46" i="235"/>
  <c r="P16" i="235"/>
  <c r="W16" i="235"/>
  <c r="Z16" i="235" s="1"/>
  <c r="P12" i="235"/>
  <c r="W12" i="235"/>
  <c r="Z12" i="235" s="1"/>
  <c r="I9" i="173"/>
  <c r="X12" i="173"/>
  <c r="Q9" i="173"/>
  <c r="AE12" i="173" s="1"/>
  <c r="R21" i="234"/>
  <c r="T21" i="234"/>
  <c r="R19" i="234"/>
  <c r="T19" i="234"/>
  <c r="R17" i="234"/>
  <c r="T17" i="234"/>
  <c r="R14" i="234"/>
  <c r="T14" i="234"/>
  <c r="R12" i="234"/>
  <c r="T12" i="234"/>
  <c r="O43" i="234"/>
  <c r="P109" i="235"/>
  <c r="W109" i="235"/>
  <c r="N122" i="235"/>
  <c r="N124" i="235"/>
  <c r="N126" i="235"/>
  <c r="BM80" i="235"/>
  <c r="X68" i="235"/>
  <c r="X65" i="235"/>
  <c r="X63" i="235"/>
  <c r="X57" i="235"/>
  <c r="W55" i="235"/>
  <c r="P55" i="235"/>
  <c r="W53" i="235"/>
  <c r="P53" i="235"/>
  <c r="X53" i="235" s="1"/>
  <c r="W51" i="235"/>
  <c r="P51" i="235"/>
  <c r="P49" i="235"/>
  <c r="W49" i="235"/>
  <c r="N73" i="235"/>
  <c r="W38" i="235"/>
  <c r="P38" i="235"/>
  <c r="W36" i="235"/>
  <c r="P36" i="235"/>
  <c r="X36" i="235" s="1"/>
  <c r="W34" i="235"/>
  <c r="P34" i="235"/>
  <c r="W32" i="235"/>
  <c r="P32" i="235"/>
  <c r="X32" i="235" s="1"/>
  <c r="W30" i="235"/>
  <c r="P30" i="235"/>
  <c r="W28" i="235"/>
  <c r="P28" i="235"/>
  <c r="X28" i="235" s="1"/>
  <c r="W26" i="235"/>
  <c r="P26" i="235"/>
  <c r="W24" i="235"/>
  <c r="P24" i="235"/>
  <c r="X24" i="235" s="1"/>
  <c r="P18" i="235"/>
  <c r="W18" i="235"/>
  <c r="Z18" i="235" s="1"/>
  <c r="P14" i="235"/>
  <c r="W14" i="235"/>
  <c r="Z14" i="235" s="1"/>
  <c r="R134" i="235"/>
  <c r="N134" i="235"/>
  <c r="R132" i="235"/>
  <c r="N132" i="235"/>
  <c r="N130" i="235"/>
  <c r="O50" i="235"/>
  <c r="W50" i="235" s="1"/>
  <c r="W19" i="235"/>
  <c r="Z19" i="235" s="1"/>
  <c r="W17" i="235"/>
  <c r="Z17" i="235" s="1"/>
  <c r="W15" i="235"/>
  <c r="Z15" i="235" s="1"/>
  <c r="W13" i="235"/>
  <c r="Z13" i="235" s="1"/>
  <c r="W11" i="235"/>
  <c r="Z11" i="235" s="1"/>
  <c r="S42" i="53"/>
  <c r="I42" i="53"/>
  <c r="D42" i="53"/>
  <c r="J43" i="53"/>
  <c r="J44" i="53"/>
  <c r="G43" i="53"/>
  <c r="G44" i="53"/>
  <c r="E44" i="53"/>
  <c r="R43" i="53"/>
  <c r="G42" i="53"/>
  <c r="E42" i="53"/>
  <c r="G41" i="53"/>
  <c r="E41" i="53"/>
  <c r="E43" i="53"/>
  <c r="R42" i="53"/>
  <c r="J42" i="53"/>
  <c r="R41" i="53"/>
  <c r="J41" i="53"/>
  <c r="AF40" i="57"/>
  <c r="AF43" i="57"/>
  <c r="AF44" i="57"/>
  <c r="V41" i="57"/>
  <c r="V42" i="57"/>
  <c r="V45" i="57"/>
  <c r="BS13" i="213"/>
  <c r="BT13" i="213"/>
  <c r="BU13" i="213"/>
  <c r="BV13" i="213"/>
  <c r="BW13" i="213"/>
  <c r="BX13" i="213"/>
  <c r="BY13" i="213"/>
  <c r="BZ13" i="213"/>
  <c r="CE13" i="213"/>
  <c r="B14" i="213"/>
  <c r="AW13" i="213"/>
  <c r="AB89" i="294"/>
  <c r="BA13" i="213"/>
  <c r="U28" i="214"/>
  <c r="D26" i="214"/>
  <c r="B10" i="214"/>
  <c r="O19" i="214"/>
  <c r="Z89" i="233"/>
  <c r="K23" i="214"/>
  <c r="L12" i="214"/>
  <c r="F15" i="214"/>
  <c r="J17" i="214"/>
  <c r="E27" i="214"/>
  <c r="G24" i="214"/>
  <c r="F29" i="214"/>
  <c r="F13" i="214"/>
  <c r="J25" i="214"/>
  <c r="K20" i="214"/>
  <c r="Z13" i="214"/>
  <c r="O20" i="214"/>
  <c r="D19" i="214"/>
  <c r="K21" i="214"/>
  <c r="AO13" i="213"/>
  <c r="D24" i="214"/>
  <c r="AF26" i="214"/>
  <c r="Y11" i="214"/>
  <c r="AG26" i="214"/>
  <c r="E29" i="214"/>
  <c r="AJ13" i="214"/>
  <c r="D21" i="214"/>
  <c r="F26" i="214"/>
  <c r="P26" i="214"/>
  <c r="F28" i="214"/>
  <c r="AJ29" i="214"/>
  <c r="Z28" i="214"/>
  <c r="I22" i="214"/>
  <c r="U21" i="214"/>
  <c r="AG28" i="214"/>
  <c r="E61" i="213"/>
  <c r="F27" i="214"/>
  <c r="E19" i="214"/>
  <c r="J26" i="214"/>
  <c r="V13" i="213"/>
  <c r="E60" i="213"/>
  <c r="AJ26" i="214"/>
  <c r="K14" i="214"/>
  <c r="U18" i="214"/>
  <c r="C23" i="214"/>
  <c r="U13" i="213"/>
  <c r="Z15" i="214"/>
  <c r="D27" i="214"/>
  <c r="B16" i="214"/>
  <c r="BL13" i="213"/>
  <c r="Y22" i="214"/>
  <c r="U13" i="214"/>
  <c r="T13" i="213"/>
  <c r="BP14" i="213"/>
  <c r="AD14" i="213"/>
  <c r="AE14" i="213"/>
  <c r="W14" i="213"/>
  <c r="Z17" i="214"/>
  <c r="N13" i="214"/>
  <c r="X26" i="214"/>
  <c r="AB13" i="213"/>
  <c r="O16" i="214"/>
  <c r="U23" i="214"/>
  <c r="Y13" i="214"/>
  <c r="B28" i="214"/>
  <c r="AG24" i="214"/>
  <c r="U14" i="214"/>
  <c r="AJ16" i="214"/>
  <c r="C22" i="214"/>
  <c r="C14" i="214"/>
  <c r="D66" i="213"/>
  <c r="Z89" i="294"/>
  <c r="X25" i="214"/>
  <c r="P25" i="214"/>
  <c r="AJ15" i="214"/>
  <c r="H13" i="213"/>
  <c r="E12" i="214"/>
  <c r="E14" i="214"/>
  <c r="AF19" i="214"/>
  <c r="Z22" i="214"/>
  <c r="E63" i="213"/>
  <c r="Z29" i="214"/>
  <c r="AY13" i="213"/>
  <c r="I26" i="214"/>
  <c r="F23" i="214"/>
  <c r="G12" i="214"/>
  <c r="Z11" i="214"/>
  <c r="B23" i="214"/>
  <c r="BM14" i="213"/>
  <c r="G14" i="213"/>
  <c r="H14" i="213"/>
  <c r="M14" i="213"/>
  <c r="BN13" i="213"/>
  <c r="Z23" i="214"/>
  <c r="AF20" i="214"/>
  <c r="L14" i="213"/>
  <c r="F14" i="213"/>
  <c r="U14" i="213"/>
  <c r="AJ10" i="214"/>
  <c r="L14" i="214"/>
  <c r="AJ17" i="214"/>
  <c r="E17" i="214"/>
  <c r="E25" i="214"/>
  <c r="J22" i="214"/>
  <c r="L15" i="214"/>
  <c r="C10" i="214"/>
  <c r="O27" i="214"/>
  <c r="AC89" i="233"/>
  <c r="P24" i="214"/>
  <c r="X21" i="214"/>
  <c r="P19" i="214"/>
  <c r="Z13" i="213"/>
  <c r="F11" i="214"/>
  <c r="J20" i="214"/>
  <c r="Z24" i="214"/>
  <c r="AB87" i="233"/>
  <c r="C15" i="214"/>
  <c r="B27" i="214"/>
  <c r="X14" i="214"/>
  <c r="G19" i="214"/>
  <c r="D65" i="213"/>
  <c r="E16" i="214"/>
  <c r="U12" i="214"/>
  <c r="Z27" i="214"/>
  <c r="J14" i="214"/>
  <c r="AF17" i="214"/>
  <c r="P14" i="214"/>
  <c r="B21" i="214"/>
  <c r="N14" i="214"/>
  <c r="K19" i="214"/>
  <c r="BF13" i="213"/>
  <c r="AB89" i="233"/>
  <c r="AJ22" i="214"/>
  <c r="L13" i="213"/>
  <c r="BQ13" i="213"/>
  <c r="N19" i="214"/>
  <c r="C12" i="214"/>
  <c r="M13" i="213"/>
  <c r="C19" i="214"/>
  <c r="AG22" i="214"/>
  <c r="Z16" i="214"/>
  <c r="P17" i="214"/>
  <c r="B22" i="214"/>
  <c r="BK13" i="213"/>
  <c r="E22" i="214"/>
  <c r="P10" i="214"/>
  <c r="G22" i="214"/>
  <c r="Z19" i="214"/>
  <c r="O17" i="214"/>
  <c r="Y28" i="214"/>
  <c r="K15" i="214"/>
  <c r="BN91" i="294"/>
  <c r="R13" i="213"/>
  <c r="L21" i="214"/>
  <c r="K11" i="214"/>
  <c r="AZ13" i="213"/>
  <c r="BN91" i="233"/>
  <c r="X18" i="214"/>
  <c r="X28" i="214"/>
  <c r="G16" i="214"/>
  <c r="N10" i="214"/>
  <c r="K25" i="214"/>
  <c r="C20" i="214"/>
  <c r="AC89" i="294"/>
  <c r="L11" i="214"/>
  <c r="D11" i="214"/>
  <c r="J10" i="214"/>
  <c r="BC13" i="213"/>
  <c r="AF14" i="214"/>
  <c r="F22" i="214"/>
  <c r="L20" i="214"/>
  <c r="AF28" i="214"/>
  <c r="AF22" i="214"/>
  <c r="G13" i="214"/>
  <c r="AF21" i="214"/>
  <c r="BD13" i="213"/>
  <c r="I18" i="214"/>
  <c r="P22" i="214"/>
  <c r="K24" i="214"/>
  <c r="I14" i="214"/>
  <c r="AA14" i="213"/>
  <c r="AR14" i="213"/>
  <c r="BI14" i="213"/>
  <c r="BF14" i="213"/>
  <c r="I14" i="213"/>
  <c r="P21" i="214"/>
  <c r="AC13" i="213"/>
  <c r="V24" i="214"/>
  <c r="AF13" i="214"/>
  <c r="L25" i="214"/>
  <c r="N26" i="214"/>
  <c r="U26" i="214"/>
  <c r="L29" i="214"/>
  <c r="AA13" i="213"/>
  <c r="Y16" i="214"/>
  <c r="B24" i="214"/>
  <c r="S13" i="213"/>
  <c r="U29" i="214"/>
  <c r="X12" i="214"/>
  <c r="L18" i="214"/>
  <c r="D18" i="214"/>
  <c r="G21" i="214"/>
  <c r="L16" i="214"/>
  <c r="D25" i="214"/>
  <c r="L28" i="214"/>
  <c r="U19" i="214"/>
  <c r="C26" i="214"/>
  <c r="I11" i="214"/>
  <c r="K28" i="214"/>
  <c r="AC87" i="233"/>
  <c r="D12" i="214"/>
  <c r="AF25" i="214"/>
  <c r="Z26" i="214"/>
  <c r="F13" i="213"/>
  <c r="D62" i="213"/>
  <c r="AF13" i="213"/>
  <c r="AH14" i="213"/>
  <c r="C14" i="213"/>
  <c r="R14" i="213"/>
  <c r="Y14" i="213"/>
  <c r="L13" i="214"/>
  <c r="O12" i="214"/>
  <c r="BE13" i="213"/>
  <c r="S14" i="213"/>
  <c r="BK14" i="213"/>
  <c r="E10" i="214"/>
  <c r="J23" i="214"/>
  <c r="AG27" i="214"/>
  <c r="O13" i="213"/>
  <c r="Z87" i="294"/>
  <c r="K27" i="214"/>
  <c r="D64" i="213"/>
  <c r="AG14" i="214"/>
  <c r="N23" i="214"/>
  <c r="F16" i="214"/>
  <c r="AF23" i="214"/>
  <c r="J19" i="214"/>
  <c r="P27" i="214"/>
  <c r="J11" i="214"/>
  <c r="AL13" i="213"/>
  <c r="Y10" i="214"/>
  <c r="Z87" i="233"/>
  <c r="O23" i="214"/>
  <c r="L19" i="214"/>
  <c r="U10" i="214"/>
  <c r="N28" i="214"/>
  <c r="K26" i="214"/>
  <c r="I17" i="214"/>
  <c r="G26" i="214"/>
  <c r="BO13" i="213"/>
  <c r="Y21" i="214"/>
  <c r="L17" i="214"/>
  <c r="AJ21" i="214"/>
  <c r="AJ14" i="214"/>
  <c r="C71" i="213"/>
  <c r="D23" i="214"/>
  <c r="K13" i="214"/>
  <c r="X24" i="214"/>
  <c r="U27" i="214"/>
  <c r="AJ11" i="214"/>
  <c r="G14" i="214"/>
  <c r="U20" i="214"/>
  <c r="I16" i="214"/>
  <c r="N16" i="214"/>
  <c r="BI13" i="213"/>
  <c r="Y18" i="214"/>
  <c r="C16" i="214"/>
  <c r="I29" i="214"/>
  <c r="AU13" i="213"/>
  <c r="D63" i="213"/>
  <c r="E62" i="213"/>
  <c r="V10" i="214"/>
  <c r="I10" i="214"/>
  <c r="G13" i="213"/>
  <c r="E59" i="213"/>
  <c r="AF11" i="214"/>
  <c r="D60" i="213"/>
  <c r="AG13" i="213"/>
  <c r="N18" i="214"/>
  <c r="Q13" i="213"/>
  <c r="AF18" i="214"/>
  <c r="V23" i="214"/>
  <c r="B20" i="214"/>
  <c r="AR13" i="213"/>
  <c r="Y89" i="233"/>
  <c r="J28" i="214"/>
  <c r="AF24" i="214"/>
  <c r="X20" i="214"/>
  <c r="AQ14" i="213"/>
  <c r="V14" i="213"/>
  <c r="Q14" i="213"/>
  <c r="AX14" i="213"/>
  <c r="U25" i="214"/>
  <c r="N27" i="214"/>
  <c r="Y13" i="213"/>
  <c r="V28" i="214"/>
  <c r="F24" i="214"/>
  <c r="AK13" i="213"/>
  <c r="X19" i="214"/>
  <c r="AG19" i="214"/>
  <c r="E65" i="213"/>
  <c r="P12" i="214"/>
  <c r="U22" i="214"/>
  <c r="AG20" i="214"/>
  <c r="BP13" i="213"/>
  <c r="X29" i="214"/>
  <c r="Y19" i="214"/>
  <c r="P18" i="214"/>
  <c r="L26" i="214"/>
  <c r="D20" i="214"/>
  <c r="N29" i="214"/>
  <c r="V12" i="214"/>
  <c r="AB87" i="294"/>
  <c r="B15" i="214"/>
  <c r="E67" i="213"/>
  <c r="V29" i="214"/>
  <c r="I24" i="214"/>
  <c r="B26" i="214"/>
  <c r="J18" i="214"/>
  <c r="K16" i="214"/>
  <c r="AF12" i="214"/>
  <c r="Y14" i="214"/>
  <c r="AG29" i="214"/>
  <c r="Z14" i="214"/>
  <c r="AV14" i="213"/>
  <c r="AW14" i="213"/>
  <c r="D14" i="213"/>
  <c r="AP14" i="213"/>
  <c r="C27" i="214"/>
  <c r="B17" i="214"/>
  <c r="P29" i="214"/>
  <c r="X14" i="213"/>
  <c r="AY14" i="213"/>
  <c r="F10" i="214"/>
  <c r="Z21" i="214"/>
  <c r="J29" i="214"/>
  <c r="AJ20" i="214"/>
  <c r="AX13" i="213"/>
  <c r="BG13" i="213"/>
  <c r="AF10" i="214"/>
  <c r="AD13" i="213"/>
  <c r="AH13" i="213"/>
  <c r="N17" i="214"/>
  <c r="B13" i="214"/>
  <c r="C13" i="213"/>
  <c r="C11" i="214"/>
  <c r="G15" i="214"/>
  <c r="G27" i="214"/>
  <c r="AJ25" i="214"/>
  <c r="D67" i="213"/>
  <c r="D22" i="214"/>
  <c r="AG23" i="214"/>
  <c r="V22" i="214"/>
  <c r="BH13" i="213"/>
  <c r="AJ18" i="214"/>
  <c r="V25" i="214"/>
  <c r="N12" i="214"/>
  <c r="Y15" i="214"/>
  <c r="AG16" i="214"/>
  <c r="G11" i="214"/>
  <c r="P15" i="214"/>
  <c r="X13" i="213"/>
  <c r="D17" i="214"/>
  <c r="V21" i="214"/>
  <c r="O14" i="214"/>
  <c r="N13" i="213"/>
  <c r="X16" i="214"/>
  <c r="D29" i="214"/>
  <c r="L27" i="214"/>
  <c r="AF15" i="214"/>
  <c r="AG15" i="214"/>
  <c r="I13" i="213"/>
  <c r="K22" i="214"/>
  <c r="BG14" i="213"/>
  <c r="Y12" i="214"/>
  <c r="AJ27" i="214"/>
  <c r="B25" i="214"/>
  <c r="X17" i="214"/>
  <c r="O24" i="214"/>
  <c r="E28" i="214"/>
  <c r="O26" i="214"/>
  <c r="O25" i="214"/>
  <c r="BL14" i="213"/>
  <c r="I25" i="214"/>
  <c r="V15" i="214"/>
  <c r="E66" i="213"/>
  <c r="D57" i="213"/>
  <c r="G18" i="214"/>
  <c r="B14" i="214"/>
  <c r="AG25" i="214"/>
  <c r="P13" i="213"/>
  <c r="AG18" i="214"/>
  <c r="X13" i="214"/>
  <c r="AJ12" i="214"/>
  <c r="BJ13" i="213"/>
  <c r="F18" i="214"/>
  <c r="U16" i="214"/>
  <c r="AJ13" i="213"/>
  <c r="I15" i="214"/>
  <c r="BH14" i="213"/>
  <c r="AN14" i="213"/>
  <c r="L23" i="214"/>
  <c r="C28" i="214"/>
  <c r="K17" i="214"/>
  <c r="P28" i="214"/>
  <c r="O29" i="214"/>
  <c r="BB13" i="213"/>
  <c r="Z25" i="214"/>
  <c r="BA14" i="213"/>
  <c r="BF80" i="235"/>
  <c r="O18" i="214"/>
  <c r="P14" i="213"/>
  <c r="F17" i="214"/>
  <c r="AV13" i="213"/>
  <c r="A14" i="213"/>
  <c r="P20" i="214"/>
  <c r="AG14" i="213"/>
  <c r="AK14" i="213"/>
  <c r="K29" i="214"/>
  <c r="AT14" i="213"/>
  <c r="C17" i="214"/>
  <c r="C24" i="214"/>
  <c r="D15" i="214"/>
  <c r="N11" i="214"/>
  <c r="AG11" i="214"/>
  <c r="I21" i="214"/>
  <c r="BN14" i="213"/>
  <c r="X22" i="214"/>
  <c r="X11" i="214"/>
  <c r="Z14" i="213"/>
  <c r="W13" i="213"/>
  <c r="Y24" i="214"/>
  <c r="J27" i="214"/>
  <c r="AG17" i="214"/>
  <c r="G29" i="214"/>
  <c r="V26" i="214"/>
  <c r="I23" i="214"/>
  <c r="B29" i="214"/>
  <c r="Y29" i="214"/>
  <c r="P11" i="214"/>
  <c r="C18" i="214"/>
  <c r="AJ14" i="213"/>
  <c r="X10" i="214"/>
  <c r="D13" i="214"/>
  <c r="O28" i="214"/>
  <c r="L10" i="214"/>
  <c r="Y87" i="294"/>
  <c r="I12" i="214"/>
  <c r="U15" i="214"/>
  <c r="E18" i="214"/>
  <c r="U11" i="214"/>
  <c r="B19" i="214"/>
  <c r="AJ24" i="214"/>
  <c r="C13" i="214"/>
  <c r="Y25" i="214"/>
  <c r="V13" i="214"/>
  <c r="AU14" i="213"/>
  <c r="Z10" i="214"/>
  <c r="C29" i="214"/>
  <c r="D13" i="213"/>
  <c r="AT13" i="213"/>
  <c r="J24" i="214"/>
  <c r="K18" i="214"/>
  <c r="U17" i="214"/>
  <c r="AS14" i="213"/>
  <c r="AI14" i="213"/>
  <c r="BO14" i="213"/>
  <c r="D58" i="213"/>
  <c r="E15" i="214"/>
  <c r="P16" i="214"/>
  <c r="AJ19" i="214"/>
  <c r="AJ23" i="214"/>
  <c r="G20" i="214"/>
  <c r="AC87" i="294"/>
  <c r="K13" i="213"/>
  <c r="U24" i="214"/>
  <c r="V19" i="214"/>
  <c r="F12" i="214"/>
  <c r="I27" i="214"/>
  <c r="F20" i="214"/>
  <c r="V20" i="214"/>
  <c r="O14" i="213"/>
  <c r="BB14" i="213"/>
  <c r="D28" i="214"/>
  <c r="V14" i="214"/>
  <c r="F19" i="214"/>
  <c r="AF16" i="214"/>
  <c r="Z20" i="214"/>
  <c r="I20" i="214"/>
  <c r="F14" i="214"/>
  <c r="Y27" i="214"/>
  <c r="T14" i="213"/>
  <c r="N14" i="213"/>
  <c r="G17" i="214"/>
  <c r="AE13" i="213"/>
  <c r="Y17" i="214"/>
  <c r="BD14" i="213"/>
  <c r="AF14" i="213"/>
  <c r="N20" i="214"/>
  <c r="Y89" i="294"/>
  <c r="P23" i="214"/>
  <c r="P13" i="214"/>
  <c r="K10" i="214"/>
  <c r="AF27" i="214"/>
  <c r="E24" i="214"/>
  <c r="E20" i="214"/>
  <c r="K12" i="214"/>
  <c r="V27" i="214"/>
  <c r="AL14" i="213"/>
  <c r="AG21" i="214"/>
  <c r="BE14" i="213"/>
  <c r="B18" i="214"/>
  <c r="J12" i="214"/>
  <c r="J16" i="214"/>
  <c r="AJ28" i="214"/>
  <c r="X15" i="214"/>
  <c r="BM13" i="213"/>
  <c r="N21" i="214"/>
  <c r="C74" i="213"/>
  <c r="N25" i="214"/>
  <c r="E23" i="214"/>
  <c r="G25" i="214"/>
  <c r="X27" i="214"/>
  <c r="D59" i="213"/>
  <c r="V18" i="214"/>
  <c r="Y26" i="214"/>
  <c r="B11" i="214"/>
  <c r="O10" i="214"/>
  <c r="BJ14" i="213"/>
  <c r="E13" i="214"/>
  <c r="Y87" i="233"/>
  <c r="AN13" i="213"/>
  <c r="E58" i="213"/>
  <c r="E13" i="213"/>
  <c r="O15" i="214"/>
  <c r="J15" i="214"/>
  <c r="C21" i="214"/>
  <c r="J14" i="213"/>
  <c r="AQ13" i="213"/>
  <c r="E14" i="213"/>
  <c r="N22" i="214"/>
  <c r="AF29" i="214"/>
  <c r="AG12" i="214"/>
  <c r="O21" i="214"/>
  <c r="Z18" i="214"/>
  <c r="A13" i="213"/>
  <c r="Y20" i="214"/>
  <c r="G23" i="214"/>
  <c r="G10" i="214"/>
  <c r="AG10" i="214"/>
  <c r="F21" i="214"/>
  <c r="E11" i="214"/>
  <c r="E21" i="214"/>
  <c r="D61" i="213"/>
  <c r="K14" i="213"/>
  <c r="AB14" i="213"/>
  <c r="I28" i="214"/>
  <c r="E64" i="213"/>
  <c r="AP13" i="213"/>
  <c r="AG13" i="214"/>
  <c r="V11" i="214"/>
  <c r="Y23" i="214"/>
  <c r="I19" i="214"/>
  <c r="AO14" i="213"/>
  <c r="AM13" i="213"/>
  <c r="BC14" i="213"/>
  <c r="X23" i="214"/>
  <c r="N15" i="214"/>
  <c r="E26" i="214"/>
  <c r="AM14" i="213"/>
  <c r="B12" i="214"/>
  <c r="AS13" i="213"/>
  <c r="J21" i="214"/>
  <c r="L22" i="214"/>
  <c r="N24" i="214"/>
  <c r="V16" i="214"/>
  <c r="E57" i="213"/>
  <c r="D14" i="214"/>
  <c r="L24" i="214"/>
  <c r="O22" i="214"/>
  <c r="D16" i="214"/>
  <c r="I13" i="214"/>
  <c r="C25" i="214"/>
  <c r="G28" i="214"/>
  <c r="J13" i="213"/>
  <c r="V17" i="214"/>
  <c r="AI13" i="213"/>
  <c r="D10" i="214"/>
  <c r="O11" i="214"/>
  <c r="J13" i="214"/>
  <c r="AZ14" i="213"/>
  <c r="Z12" i="214"/>
  <c r="O13" i="214"/>
  <c r="F25" i="214"/>
  <c r="AC14" i="213"/>
  <c r="BQ14" i="213"/>
  <c r="AA95" i="294" l="1"/>
  <c r="AF95" i="294"/>
  <c r="R20" i="41"/>
  <c r="AA20" i="41" s="1"/>
  <c r="U20" i="41"/>
  <c r="V20" i="41" s="1"/>
  <c r="AE15" i="233"/>
  <c r="AD15" i="233"/>
  <c r="AD132" i="294"/>
  <c r="AF41" i="57"/>
  <c r="AF45" i="57"/>
  <c r="AF42" i="57"/>
  <c r="P50" i="235"/>
  <c r="N75" i="235"/>
  <c r="N76" i="235"/>
  <c r="N77" i="235"/>
  <c r="U92" i="294"/>
  <c r="AF92" i="294"/>
  <c r="O45" i="41"/>
  <c r="O46" i="41"/>
  <c r="O42" i="41"/>
  <c r="O43" i="41"/>
  <c r="U16" i="234"/>
  <c r="V16" i="234"/>
  <c r="X119" i="235"/>
  <c r="T119" i="235"/>
  <c r="N70" i="294"/>
  <c r="N69" i="294"/>
  <c r="N72" i="294"/>
  <c r="N71" i="294"/>
  <c r="N151" i="294" s="1" a="1"/>
  <c r="N151" i="294" s="1"/>
  <c r="N74" i="294"/>
  <c r="AE51" i="294"/>
  <c r="AD51" i="294"/>
  <c r="AA13" i="233"/>
  <c r="AF13" i="233"/>
  <c r="AF60" i="294"/>
  <c r="U60" i="294"/>
  <c r="AE103" i="294"/>
  <c r="AD103" i="294"/>
  <c r="AA16" i="233"/>
  <c r="AF16" i="233"/>
  <c r="AF104" i="294"/>
  <c r="U104" i="294"/>
  <c r="AD48" i="294"/>
  <c r="T116" i="235"/>
  <c r="AF14" i="233"/>
  <c r="P33" i="233"/>
  <c r="P35" i="233"/>
  <c r="AE57" i="294"/>
  <c r="AD57" i="294"/>
  <c r="R13" i="41"/>
  <c r="AA13" i="41" s="1"/>
  <c r="U13" i="41"/>
  <c r="V13" i="41" s="1"/>
  <c r="AF99" i="233"/>
  <c r="U99" i="233"/>
  <c r="V43" i="57"/>
  <c r="V40" i="57"/>
  <c r="V44" i="57"/>
  <c r="AE67" i="294"/>
  <c r="AD67" i="294"/>
  <c r="AE61" i="294"/>
  <c r="AD61" i="294"/>
  <c r="I14" i="41"/>
  <c r="I18" i="41"/>
  <c r="I22" i="41"/>
  <c r="AF17" i="294"/>
  <c r="AF21" i="294"/>
  <c r="AF136" i="233"/>
  <c r="AF14" i="294"/>
  <c r="AF89" i="294"/>
  <c r="AF63" i="233"/>
  <c r="P43" i="41"/>
  <c r="U20" i="233"/>
  <c r="X61" i="235"/>
  <c r="X47" i="294"/>
  <c r="AA47" i="294" s="1"/>
  <c r="AE47" i="294" s="1"/>
  <c r="I11" i="41"/>
  <c r="I15" i="41"/>
  <c r="I19" i="41"/>
  <c r="AF54" i="233"/>
  <c r="AF58" i="233"/>
  <c r="AF93" i="233"/>
  <c r="AF97" i="233"/>
  <c r="AF101" i="233"/>
  <c r="AA44" i="234"/>
  <c r="O41" i="41"/>
  <c r="U130" i="294"/>
  <c r="AF97" i="294"/>
  <c r="U79" i="294"/>
  <c r="P42" i="41"/>
  <c r="X62" i="235"/>
  <c r="X96" i="235"/>
  <c r="AF43" i="294"/>
  <c r="AF139" i="294"/>
  <c r="AF61" i="233"/>
  <c r="AA47" i="234"/>
  <c r="T118" i="235"/>
  <c r="AF58" i="294"/>
  <c r="AF57" i="294"/>
  <c r="AF48" i="294"/>
  <c r="AF51" i="294"/>
  <c r="AF67" i="294"/>
  <c r="AF132" i="294"/>
  <c r="AF15" i="233"/>
  <c r="AF105" i="294"/>
  <c r="AF52" i="294"/>
  <c r="U28" i="233"/>
  <c r="AC25" i="214"/>
  <c r="S25" i="214"/>
  <c r="R25" i="214"/>
  <c r="AB25" i="214"/>
  <c r="T25" i="214"/>
  <c r="AD25" i="214"/>
  <c r="R15" i="214"/>
  <c r="S15" i="214"/>
  <c r="T15" i="214"/>
  <c r="AB15" i="214"/>
  <c r="AC15" i="214"/>
  <c r="AD15" i="214"/>
  <c r="AD14" i="214"/>
  <c r="R14" i="214"/>
  <c r="S14" i="214"/>
  <c r="T14" i="214"/>
  <c r="AB14" i="214"/>
  <c r="AC14" i="214"/>
  <c r="BH80" i="235"/>
  <c r="AC19" i="214"/>
  <c r="S19" i="214"/>
  <c r="R19" i="214"/>
  <c r="AB19" i="214"/>
  <c r="T19" i="214"/>
  <c r="AD19" i="214"/>
  <c r="O48" i="214"/>
  <c r="O47" i="214"/>
  <c r="AP5" i="57"/>
  <c r="AR5" i="57" s="1"/>
  <c r="O50" i="214"/>
  <c r="O49" i="214"/>
  <c r="O51" i="214"/>
  <c r="O52" i="214"/>
  <c r="AD18" i="214"/>
  <c r="R18" i="214"/>
  <c r="S18" i="214"/>
  <c r="AC18" i="214"/>
  <c r="AB18" i="214"/>
  <c r="T18" i="214"/>
  <c r="AD26" i="214"/>
  <c r="R26" i="214"/>
  <c r="S26" i="214"/>
  <c r="AC26" i="214"/>
  <c r="AB26" i="214"/>
  <c r="T26" i="214"/>
  <c r="AC27" i="214"/>
  <c r="S27" i="214"/>
  <c r="R27" i="214"/>
  <c r="AB27" i="214"/>
  <c r="T27" i="214"/>
  <c r="AD27" i="214"/>
  <c r="S24" i="214"/>
  <c r="T24" i="214"/>
  <c r="AB24" i="214"/>
  <c r="AC24" i="214"/>
  <c r="AD24" i="214"/>
  <c r="R24" i="214"/>
  <c r="AC11" i="214"/>
  <c r="S11" i="214"/>
  <c r="R11" i="214"/>
  <c r="AB11" i="214"/>
  <c r="T11" i="214"/>
  <c r="AD11" i="214"/>
  <c r="S20" i="214"/>
  <c r="AC20" i="214"/>
  <c r="AB20" i="214"/>
  <c r="T20" i="214"/>
  <c r="AD20" i="214"/>
  <c r="R20" i="214"/>
  <c r="AF50" i="214"/>
  <c r="AF47" i="214"/>
  <c r="AF52" i="214"/>
  <c r="AF51" i="214"/>
  <c r="AF49" i="214"/>
  <c r="AF48" i="214"/>
  <c r="AG52" i="214"/>
  <c r="AG47" i="214"/>
  <c r="AG48" i="214"/>
  <c r="AG49" i="214"/>
  <c r="AG50" i="214"/>
  <c r="AG51" i="214"/>
  <c r="R21" i="214"/>
  <c r="S21" i="214"/>
  <c r="T21" i="214"/>
  <c r="AB21" i="214"/>
  <c r="AC21" i="214"/>
  <c r="AD21" i="214"/>
  <c r="Z47" i="214"/>
  <c r="Z50" i="214"/>
  <c r="Z49" i="214"/>
  <c r="Z52" i="214"/>
  <c r="Z51" i="214"/>
  <c r="Z48" i="214"/>
  <c r="S10" i="214"/>
  <c r="I50" i="214"/>
  <c r="I49" i="214"/>
  <c r="I48" i="214"/>
  <c r="I51" i="214"/>
  <c r="AB10" i="214"/>
  <c r="I52" i="214"/>
  <c r="R10" i="214"/>
  <c r="AP3" i="57"/>
  <c r="AR3" i="57" s="1"/>
  <c r="I47" i="214"/>
  <c r="AD10" i="214"/>
  <c r="T10" i="214"/>
  <c r="AC10" i="214"/>
  <c r="V50" i="214"/>
  <c r="V51" i="214"/>
  <c r="V49" i="214"/>
  <c r="V52" i="214"/>
  <c r="V48" i="214"/>
  <c r="V47" i="214"/>
  <c r="AC17" i="214"/>
  <c r="AB17" i="214"/>
  <c r="R17" i="214"/>
  <c r="S17" i="214"/>
  <c r="T17" i="214"/>
  <c r="AD17" i="214"/>
  <c r="R23" i="214"/>
  <c r="AB23" i="214"/>
  <c r="T23" i="214"/>
  <c r="AD23" i="214"/>
  <c r="AC23" i="214"/>
  <c r="S23" i="214"/>
  <c r="U48" i="214"/>
  <c r="U47" i="214"/>
  <c r="U50" i="214"/>
  <c r="U51" i="214"/>
  <c r="U49" i="214"/>
  <c r="U52" i="214"/>
  <c r="AP4" i="57"/>
  <c r="AR4" i="57" s="1"/>
  <c r="N52" i="214"/>
  <c r="N51" i="214"/>
  <c r="N47" i="214"/>
  <c r="N48" i="214"/>
  <c r="N49" i="214"/>
  <c r="N50" i="214"/>
  <c r="AD22" i="214"/>
  <c r="T22" i="214"/>
  <c r="S22" i="214"/>
  <c r="AC22" i="214"/>
  <c r="AB22" i="214"/>
  <c r="R22" i="214"/>
  <c r="R29" i="214"/>
  <c r="AB29" i="214"/>
  <c r="T29" i="214"/>
  <c r="AD29" i="214"/>
  <c r="AC29" i="214"/>
  <c r="S29" i="214"/>
  <c r="BP91" i="294"/>
  <c r="R13" i="214"/>
  <c r="AB13" i="214"/>
  <c r="T13" i="214"/>
  <c r="AD13" i="214"/>
  <c r="AC13" i="214"/>
  <c r="S13" i="214"/>
  <c r="Y51" i="214"/>
  <c r="Y52" i="214"/>
  <c r="Y48" i="214"/>
  <c r="Y47" i="214"/>
  <c r="Y50" i="214"/>
  <c r="Y49" i="214"/>
  <c r="S12" i="214"/>
  <c r="R12" i="214"/>
  <c r="AB12" i="214"/>
  <c r="AC12" i="214"/>
  <c r="AD12" i="214"/>
  <c r="T12" i="214"/>
  <c r="X49" i="214"/>
  <c r="X50" i="214"/>
  <c r="X47" i="214"/>
  <c r="X51" i="214"/>
  <c r="X52" i="214"/>
  <c r="X48" i="214"/>
  <c r="BP91" i="233"/>
  <c r="P51" i="214"/>
  <c r="P49" i="214"/>
  <c r="P48" i="214"/>
  <c r="P52" i="214"/>
  <c r="P47" i="214"/>
  <c r="P50" i="214"/>
  <c r="S28" i="214"/>
  <c r="T28" i="214"/>
  <c r="AB28" i="214"/>
  <c r="AC28" i="214"/>
  <c r="AD28" i="214"/>
  <c r="R28" i="214"/>
  <c r="S16" i="214"/>
  <c r="R16" i="214"/>
  <c r="AB16" i="214"/>
  <c r="AC16" i="214"/>
  <c r="AD16" i="214"/>
  <c r="T16" i="214"/>
  <c r="AA87" i="294"/>
  <c r="AD87" i="294" s="1"/>
  <c r="AA87" i="233"/>
  <c r="AE87" i="233" s="1"/>
  <c r="AA89" i="294"/>
  <c r="AD89" i="294" s="1"/>
  <c r="AA89" i="233"/>
  <c r="AE14" i="235"/>
  <c r="I12" i="41"/>
  <c r="I16" i="41"/>
  <c r="I20" i="41"/>
  <c r="AF25" i="294"/>
  <c r="AF90" i="294"/>
  <c r="AF46" i="233"/>
  <c r="AF92" i="233"/>
  <c r="AE13" i="235"/>
  <c r="X25" i="235"/>
  <c r="X29" i="235"/>
  <c r="X33" i="235"/>
  <c r="X37" i="235"/>
  <c r="X52" i="235"/>
  <c r="X56" i="235"/>
  <c r="P117" i="294"/>
  <c r="P71" i="233"/>
  <c r="W40" i="57"/>
  <c r="W42" i="57"/>
  <c r="W44" i="57"/>
  <c r="W41" i="57"/>
  <c r="W43" i="57"/>
  <c r="W45" i="57"/>
  <c r="U40" i="57"/>
  <c r="U42" i="57"/>
  <c r="U44" i="57"/>
  <c r="U41" i="57"/>
  <c r="U43" i="57"/>
  <c r="U45" i="57"/>
  <c r="AE41" i="57"/>
  <c r="AE43" i="57"/>
  <c r="AE45" i="57"/>
  <c r="AE40" i="57"/>
  <c r="AE42" i="57"/>
  <c r="AE44" i="57"/>
  <c r="X114" i="235"/>
  <c r="T114" i="235"/>
  <c r="X117" i="235"/>
  <c r="T117" i="235"/>
  <c r="U37" i="234"/>
  <c r="V37" i="234"/>
  <c r="P32" i="233"/>
  <c r="U27" i="233"/>
  <c r="AF99" i="294"/>
  <c r="AF18" i="294"/>
  <c r="AF28" i="294"/>
  <c r="AF138" i="294"/>
  <c r="U97" i="233"/>
  <c r="AF137" i="233"/>
  <c r="AF51" i="233"/>
  <c r="AF65" i="233"/>
  <c r="AF54" i="294"/>
  <c r="AF129" i="294"/>
  <c r="AF135" i="294"/>
  <c r="AF90" i="233"/>
  <c r="AF63" i="294"/>
  <c r="U14" i="233"/>
  <c r="U22" i="233"/>
  <c r="AF53" i="294"/>
  <c r="P30" i="233"/>
  <c r="U44" i="294"/>
  <c r="U65" i="294"/>
  <c r="U15" i="233"/>
  <c r="U90" i="233"/>
  <c r="P41" i="41"/>
  <c r="R41" i="41"/>
  <c r="R43" i="41"/>
  <c r="R45" i="41"/>
  <c r="AA10" i="41"/>
  <c r="R42" i="41"/>
  <c r="R44" i="41"/>
  <c r="R46" i="41"/>
  <c r="U58" i="294"/>
  <c r="AF103" i="294"/>
  <c r="AA43" i="234"/>
  <c r="AA45" i="234"/>
  <c r="U133" i="294"/>
  <c r="U135" i="294"/>
  <c r="P31" i="233"/>
  <c r="AA46" i="234"/>
  <c r="U134" i="294"/>
  <c r="U19" i="233"/>
  <c r="U39" i="233"/>
  <c r="U139" i="233"/>
  <c r="P46" i="41"/>
  <c r="U66" i="294"/>
  <c r="AF107" i="294"/>
  <c r="AF62" i="233"/>
  <c r="AF108" i="233"/>
  <c r="T69" i="235"/>
  <c r="S45" i="234"/>
  <c r="P119" i="294"/>
  <c r="N155" i="233" a="1"/>
  <c r="N155" i="233" s="1"/>
  <c r="P73" i="233"/>
  <c r="I13" i="41"/>
  <c r="I17" i="41"/>
  <c r="I21" i="41"/>
  <c r="AF50" i="233"/>
  <c r="AF66" i="233"/>
  <c r="AF96" i="233"/>
  <c r="AF112" i="233"/>
  <c r="AF132" i="233"/>
  <c r="U128" i="294"/>
  <c r="AF140" i="294"/>
  <c r="AF47" i="233"/>
  <c r="AF49" i="233"/>
  <c r="AF53" i="233"/>
  <c r="U26" i="234"/>
  <c r="V26" i="234"/>
  <c r="U31" i="234"/>
  <c r="V31" i="234"/>
  <c r="T112" i="235"/>
  <c r="U48" i="294"/>
  <c r="AF62" i="294"/>
  <c r="AF55" i="294"/>
  <c r="AF136" i="294"/>
  <c r="U18" i="233"/>
  <c r="U26" i="233"/>
  <c r="U87" i="233"/>
  <c r="AF61" i="294"/>
  <c r="P34" i="233"/>
  <c r="U57" i="294"/>
  <c r="AF64" i="294"/>
  <c r="U112" i="294"/>
  <c r="AF137" i="294"/>
  <c r="U23" i="233"/>
  <c r="AF43" i="233"/>
  <c r="AF89" i="233"/>
  <c r="P45" i="41"/>
  <c r="P44" i="41"/>
  <c r="U50" i="294"/>
  <c r="U129" i="294"/>
  <c r="AE46" i="294"/>
  <c r="AD46" i="294"/>
  <c r="AD47" i="294"/>
  <c r="AD131" i="294"/>
  <c r="AE131" i="294"/>
  <c r="AE91" i="233"/>
  <c r="AD91" i="233"/>
  <c r="AD11" i="235"/>
  <c r="AC11" i="235"/>
  <c r="AD15" i="235"/>
  <c r="AC15" i="235"/>
  <c r="AD19" i="235"/>
  <c r="AC19" i="235"/>
  <c r="AC18" i="235"/>
  <c r="AD18" i="235"/>
  <c r="T24" i="235"/>
  <c r="T28" i="235"/>
  <c r="T32" i="235"/>
  <c r="T36" i="235"/>
  <c r="X49" i="235"/>
  <c r="P72" i="235"/>
  <c r="P74" i="235"/>
  <c r="P76" i="235"/>
  <c r="P73" i="235"/>
  <c r="P75" i="235"/>
  <c r="P77" i="235"/>
  <c r="X50" i="235"/>
  <c r="T53" i="235"/>
  <c r="R42" i="234"/>
  <c r="R44" i="234"/>
  <c r="R43" i="234"/>
  <c r="R46" i="234"/>
  <c r="R45" i="234"/>
  <c r="R47" i="234"/>
  <c r="P9" i="173"/>
  <c r="AD12" i="173" s="1"/>
  <c r="W12" i="173"/>
  <c r="P133" i="235"/>
  <c r="AE11" i="235"/>
  <c r="AE12" i="235"/>
  <c r="P132" i="235"/>
  <c r="P130" i="235"/>
  <c r="P134" i="235"/>
  <c r="AC16" i="235"/>
  <c r="AD16" i="235"/>
  <c r="AE19" i="235"/>
  <c r="P42" i="235"/>
  <c r="P44" i="235"/>
  <c r="P46" i="235"/>
  <c r="X23" i="235"/>
  <c r="P41" i="235"/>
  <c r="P43" i="235"/>
  <c r="P45" i="235"/>
  <c r="T25" i="235"/>
  <c r="T29" i="235"/>
  <c r="T33" i="235"/>
  <c r="T37" i="235"/>
  <c r="T52" i="235"/>
  <c r="T56" i="235"/>
  <c r="V25" i="234"/>
  <c r="U25" i="234"/>
  <c r="V30" i="234"/>
  <c r="U30" i="234"/>
  <c r="V34" i="234"/>
  <c r="U34" i="234"/>
  <c r="V40" i="234"/>
  <c r="U40" i="234"/>
  <c r="T8" i="172"/>
  <c r="I8" i="172"/>
  <c r="S8" i="172" s="1"/>
  <c r="S44" i="234"/>
  <c r="S47" i="234"/>
  <c r="S43" i="234"/>
  <c r="N150" i="233" a="1"/>
  <c r="N150" i="233" s="1"/>
  <c r="N151" i="233" a="1"/>
  <c r="N151" i="233" s="1"/>
  <c r="N152" i="233" a="1"/>
  <c r="N152" i="233" s="1"/>
  <c r="N153" i="233" a="1"/>
  <c r="N153" i="233" s="1"/>
  <c r="N154" i="233" a="1"/>
  <c r="N154" i="233" s="1"/>
  <c r="U43" i="41"/>
  <c r="V10" i="41"/>
  <c r="I10" i="41" s="1"/>
  <c r="AK15" i="173"/>
  <c r="AK16" i="173"/>
  <c r="AK20" i="173"/>
  <c r="AK21" i="173"/>
  <c r="AK23" i="173"/>
  <c r="AK13" i="173"/>
  <c r="AK14" i="173"/>
  <c r="AK17" i="173"/>
  <c r="AK18" i="173"/>
  <c r="AK19" i="173"/>
  <c r="AK22" i="173"/>
  <c r="AK24" i="173"/>
  <c r="AK25" i="173"/>
  <c r="N150" i="294" a="1"/>
  <c r="N150" i="294" s="1"/>
  <c r="AF13" i="294"/>
  <c r="P30" i="294"/>
  <c r="P32" i="294"/>
  <c r="P34" i="294"/>
  <c r="P31" i="294"/>
  <c r="P33" i="294"/>
  <c r="P35" i="294"/>
  <c r="AD15" i="294"/>
  <c r="AE15" i="294"/>
  <c r="AD19" i="294"/>
  <c r="AE19" i="294"/>
  <c r="AD23" i="294"/>
  <c r="AE23" i="294"/>
  <c r="AD27" i="294"/>
  <c r="AE27" i="294"/>
  <c r="AF44" i="233"/>
  <c r="P70" i="233"/>
  <c r="P72" i="233"/>
  <c r="P74" i="233"/>
  <c r="AD46" i="233"/>
  <c r="AE46" i="233"/>
  <c r="U46" i="233"/>
  <c r="AF48" i="233"/>
  <c r="AD50" i="233"/>
  <c r="AE50" i="233"/>
  <c r="U50" i="233"/>
  <c r="AF52" i="233"/>
  <c r="AD54" i="233"/>
  <c r="AE54" i="233"/>
  <c r="U54" i="233"/>
  <c r="AF56" i="233"/>
  <c r="AD58" i="233"/>
  <c r="AE58" i="233"/>
  <c r="U58" i="233"/>
  <c r="AF60" i="233"/>
  <c r="AD62" i="233"/>
  <c r="AE62" i="233"/>
  <c r="U62" i="233"/>
  <c r="AF64" i="233"/>
  <c r="AD66" i="233"/>
  <c r="AE66" i="233"/>
  <c r="U66" i="233"/>
  <c r="AF86" i="233"/>
  <c r="AD92" i="233"/>
  <c r="AE92" i="233"/>
  <c r="U92" i="233"/>
  <c r="AF94" i="233"/>
  <c r="AD96" i="233"/>
  <c r="AE96" i="233"/>
  <c r="U96" i="233"/>
  <c r="AF98" i="233"/>
  <c r="AD100" i="233"/>
  <c r="AE100" i="233"/>
  <c r="U100" i="233"/>
  <c r="AF102" i="233"/>
  <c r="AD104" i="233"/>
  <c r="AE104" i="233"/>
  <c r="U104" i="233"/>
  <c r="AF106" i="233"/>
  <c r="AD108" i="233"/>
  <c r="AE108" i="233"/>
  <c r="U108" i="233"/>
  <c r="AF110" i="233"/>
  <c r="AD112" i="233"/>
  <c r="AE112" i="233"/>
  <c r="U112" i="233"/>
  <c r="AF130" i="233"/>
  <c r="AD132" i="233"/>
  <c r="AE132" i="233"/>
  <c r="U132" i="233"/>
  <c r="AF134" i="233"/>
  <c r="AD136" i="233"/>
  <c r="AE136" i="233"/>
  <c r="U136" i="233"/>
  <c r="AD14" i="294"/>
  <c r="AE14" i="294"/>
  <c r="U14" i="294"/>
  <c r="AF16" i="294"/>
  <c r="AD18" i="294"/>
  <c r="AE18" i="294"/>
  <c r="U18" i="294"/>
  <c r="AF20" i="294"/>
  <c r="AF22" i="294"/>
  <c r="AD24" i="294"/>
  <c r="AE24" i="294"/>
  <c r="U24" i="294"/>
  <c r="AF26" i="294"/>
  <c r="AD28" i="294"/>
  <c r="AE28" i="294"/>
  <c r="P46" i="294"/>
  <c r="P47" i="294"/>
  <c r="U89" i="294"/>
  <c r="AF91" i="294"/>
  <c r="BU91" i="294"/>
  <c r="P131" i="294"/>
  <c r="P147" i="294" s="1"/>
  <c r="AD138" i="294"/>
  <c r="AE138" i="294"/>
  <c r="AD140" i="294"/>
  <c r="AE140" i="294"/>
  <c r="U140" i="294"/>
  <c r="AD47" i="233"/>
  <c r="AE47" i="233"/>
  <c r="U47" i="233"/>
  <c r="AF55" i="233"/>
  <c r="AF57" i="233"/>
  <c r="AF59" i="233"/>
  <c r="AD61" i="233"/>
  <c r="AE61" i="233"/>
  <c r="AD63" i="233"/>
  <c r="AE63" i="233"/>
  <c r="U63" i="233"/>
  <c r="AF67" i="233"/>
  <c r="AD93" i="233"/>
  <c r="AE93" i="233"/>
  <c r="AD95" i="233"/>
  <c r="AE95" i="233"/>
  <c r="U95" i="233"/>
  <c r="AF103" i="233"/>
  <c r="AF109" i="233"/>
  <c r="AF133" i="233"/>
  <c r="AF135" i="233"/>
  <c r="U20" i="294"/>
  <c r="P143" i="294"/>
  <c r="P145" i="294"/>
  <c r="U138" i="294"/>
  <c r="U55" i="233"/>
  <c r="U61" i="233"/>
  <c r="U93" i="233"/>
  <c r="AD105" i="233"/>
  <c r="AE105" i="233"/>
  <c r="AD107" i="233"/>
  <c r="AE107" i="233"/>
  <c r="AD129" i="233"/>
  <c r="AE129" i="233"/>
  <c r="AE131" i="233"/>
  <c r="AD131" i="233"/>
  <c r="U133" i="233"/>
  <c r="AD13" i="235"/>
  <c r="AC13" i="235"/>
  <c r="AD17" i="235"/>
  <c r="AC17" i="235"/>
  <c r="AC14" i="235"/>
  <c r="AD14" i="235"/>
  <c r="AE17" i="235"/>
  <c r="AE18" i="235"/>
  <c r="X26" i="235"/>
  <c r="T26" i="235"/>
  <c r="X30" i="235"/>
  <c r="T30" i="235"/>
  <c r="X34" i="235"/>
  <c r="T34" i="235"/>
  <c r="X38" i="235"/>
  <c r="T38" i="235"/>
  <c r="X51" i="235"/>
  <c r="T51" i="235"/>
  <c r="X55" i="235"/>
  <c r="T55" i="235"/>
  <c r="P123" i="235"/>
  <c r="P125" i="235"/>
  <c r="P127" i="235"/>
  <c r="T109" i="235"/>
  <c r="P122" i="235"/>
  <c r="P124" i="235"/>
  <c r="P126" i="235"/>
  <c r="V12" i="234"/>
  <c r="T42" i="234"/>
  <c r="U12" i="234"/>
  <c r="T44" i="234"/>
  <c r="T46" i="234"/>
  <c r="T43" i="234"/>
  <c r="T45" i="234"/>
  <c r="T47" i="234"/>
  <c r="V14" i="234"/>
  <c r="U14" i="234"/>
  <c r="V17" i="234"/>
  <c r="U17" i="234"/>
  <c r="V19" i="234"/>
  <c r="U19" i="234"/>
  <c r="V21" i="234"/>
  <c r="U21" i="234"/>
  <c r="P135" i="235"/>
  <c r="P131" i="235"/>
  <c r="AC12" i="235"/>
  <c r="AD12" i="235"/>
  <c r="AE15" i="235"/>
  <c r="AE16" i="235"/>
  <c r="T23" i="235"/>
  <c r="X27" i="235"/>
  <c r="T27" i="235"/>
  <c r="X31" i="235"/>
  <c r="T31" i="235"/>
  <c r="X35" i="235"/>
  <c r="T35" i="235"/>
  <c r="X39" i="235"/>
  <c r="T39" i="235"/>
  <c r="X54" i="235"/>
  <c r="T54" i="235"/>
  <c r="P101" i="235"/>
  <c r="P103" i="235"/>
  <c r="P105" i="235"/>
  <c r="X80" i="235"/>
  <c r="P102" i="235"/>
  <c r="P104" i="235"/>
  <c r="P106" i="235"/>
  <c r="T81" i="235"/>
  <c r="T82" i="235"/>
  <c r="T83" i="235"/>
  <c r="T84" i="235"/>
  <c r="T85" i="235"/>
  <c r="T86" i="235"/>
  <c r="T87" i="235"/>
  <c r="T88" i="235"/>
  <c r="T89" i="235"/>
  <c r="T90" i="235"/>
  <c r="T91" i="235"/>
  <c r="T92" i="235"/>
  <c r="T93" i="235"/>
  <c r="T94" i="235"/>
  <c r="T95" i="235"/>
  <c r="T96" i="235"/>
  <c r="T97" i="235"/>
  <c r="T98" i="235"/>
  <c r="V23" i="234"/>
  <c r="U23" i="234"/>
  <c r="V27" i="234"/>
  <c r="U27" i="234"/>
  <c r="V32" i="234"/>
  <c r="U32" i="234"/>
  <c r="V38" i="234"/>
  <c r="U38" i="234"/>
  <c r="V8" i="172"/>
  <c r="M8" i="172"/>
  <c r="W8" i="172" s="1"/>
  <c r="S46" i="234"/>
  <c r="S42" i="234"/>
  <c r="C15" i="173"/>
  <c r="E15" i="173"/>
  <c r="F15" i="173"/>
  <c r="G15" i="173"/>
  <c r="I15" i="173"/>
  <c r="J15" i="173"/>
  <c r="L15" i="173"/>
  <c r="M15" i="173"/>
  <c r="N15" i="173"/>
  <c r="P15" i="173"/>
  <c r="Q15" i="173"/>
  <c r="AL15" i="173"/>
  <c r="AN15" i="173" s="1"/>
  <c r="C16" i="173"/>
  <c r="E16" i="173"/>
  <c r="F16" i="173"/>
  <c r="G16" i="173"/>
  <c r="I16" i="173"/>
  <c r="J16" i="173"/>
  <c r="L16" i="173"/>
  <c r="M16" i="173"/>
  <c r="N16" i="173"/>
  <c r="P16" i="173"/>
  <c r="Q16" i="173"/>
  <c r="AL16" i="173"/>
  <c r="AN16" i="173" s="1"/>
  <c r="C20" i="173"/>
  <c r="E20" i="173"/>
  <c r="F20" i="173"/>
  <c r="G20" i="173"/>
  <c r="I20" i="173"/>
  <c r="J20" i="173"/>
  <c r="L20" i="173"/>
  <c r="M20" i="173"/>
  <c r="N20" i="173"/>
  <c r="P20" i="173"/>
  <c r="Q20" i="173"/>
  <c r="AL20" i="173"/>
  <c r="AN20" i="173" s="1"/>
  <c r="C21" i="173"/>
  <c r="E21" i="173"/>
  <c r="F21" i="173"/>
  <c r="G21" i="173"/>
  <c r="I21" i="173"/>
  <c r="J21" i="173"/>
  <c r="L21" i="173"/>
  <c r="M21" i="173"/>
  <c r="N21" i="173"/>
  <c r="P21" i="173"/>
  <c r="Q21" i="173"/>
  <c r="AL21" i="173"/>
  <c r="AN21" i="173" s="1"/>
  <c r="C23" i="173"/>
  <c r="E23" i="173"/>
  <c r="F23" i="173"/>
  <c r="G23" i="173"/>
  <c r="I23" i="173"/>
  <c r="J23" i="173"/>
  <c r="L23" i="173"/>
  <c r="M23" i="173"/>
  <c r="N23" i="173"/>
  <c r="P23" i="173"/>
  <c r="Q23" i="173"/>
  <c r="AL23" i="173"/>
  <c r="AN23" i="173" s="1"/>
  <c r="C13" i="173"/>
  <c r="E13" i="173"/>
  <c r="F13" i="173"/>
  <c r="G13" i="173"/>
  <c r="I13" i="173"/>
  <c r="J13" i="173"/>
  <c r="L13" i="173"/>
  <c r="M13" i="173"/>
  <c r="N13" i="173"/>
  <c r="P13" i="173"/>
  <c r="Q13" i="173"/>
  <c r="E26" i="173"/>
  <c r="F26" i="173"/>
  <c r="G26" i="173"/>
  <c r="I26" i="173"/>
  <c r="J26" i="173"/>
  <c r="L26" i="173"/>
  <c r="M26" i="173"/>
  <c r="N26" i="173"/>
  <c r="P26" i="173"/>
  <c r="Q26" i="173"/>
  <c r="E27" i="173"/>
  <c r="F27" i="173"/>
  <c r="G27" i="173"/>
  <c r="I27" i="173"/>
  <c r="J27" i="173"/>
  <c r="L27" i="173"/>
  <c r="M27" i="173"/>
  <c r="N27" i="173"/>
  <c r="P27" i="173"/>
  <c r="Q27" i="173"/>
  <c r="E28" i="173"/>
  <c r="F28" i="173"/>
  <c r="G28" i="173"/>
  <c r="I28" i="173"/>
  <c r="J28" i="173"/>
  <c r="L28" i="173"/>
  <c r="M28" i="173"/>
  <c r="N28" i="173"/>
  <c r="P28" i="173"/>
  <c r="Q28" i="173"/>
  <c r="E29" i="173"/>
  <c r="F29" i="173"/>
  <c r="G29" i="173"/>
  <c r="I29" i="173"/>
  <c r="J29" i="173"/>
  <c r="L29" i="173"/>
  <c r="M29" i="173"/>
  <c r="N29" i="173"/>
  <c r="P29" i="173"/>
  <c r="Q29" i="173"/>
  <c r="E30" i="173"/>
  <c r="F30" i="173"/>
  <c r="G30" i="173"/>
  <c r="I30" i="173"/>
  <c r="J30" i="173"/>
  <c r="L30" i="173"/>
  <c r="M30" i="173"/>
  <c r="N30" i="173"/>
  <c r="P30" i="173"/>
  <c r="Q30" i="173"/>
  <c r="E31" i="173"/>
  <c r="F31" i="173"/>
  <c r="G31" i="173"/>
  <c r="I31" i="173"/>
  <c r="J31" i="173"/>
  <c r="L31" i="173"/>
  <c r="M31" i="173"/>
  <c r="N31" i="173"/>
  <c r="P31" i="173"/>
  <c r="Q31" i="173"/>
  <c r="E32" i="173"/>
  <c r="F32" i="173"/>
  <c r="G32" i="173"/>
  <c r="I32" i="173"/>
  <c r="J32" i="173"/>
  <c r="L32" i="173"/>
  <c r="M32" i="173"/>
  <c r="N32" i="173"/>
  <c r="P32" i="173"/>
  <c r="Q32" i="173"/>
  <c r="E33" i="173"/>
  <c r="F33" i="173"/>
  <c r="G33" i="173"/>
  <c r="I33" i="173"/>
  <c r="J33" i="173"/>
  <c r="L33" i="173"/>
  <c r="M33" i="173"/>
  <c r="N33" i="173"/>
  <c r="P33" i="173"/>
  <c r="Q33" i="173"/>
  <c r="E34" i="173"/>
  <c r="F34" i="173"/>
  <c r="G34" i="173"/>
  <c r="I34" i="173"/>
  <c r="J34" i="173"/>
  <c r="L34" i="173"/>
  <c r="M34" i="173"/>
  <c r="N34" i="173"/>
  <c r="P34" i="173"/>
  <c r="Q34" i="173"/>
  <c r="E35" i="173"/>
  <c r="F35" i="173"/>
  <c r="G35" i="173"/>
  <c r="I35" i="173"/>
  <c r="J35" i="173"/>
  <c r="L35" i="173"/>
  <c r="M35" i="173"/>
  <c r="N35" i="173"/>
  <c r="P35" i="173"/>
  <c r="Q35" i="173"/>
  <c r="E36" i="173"/>
  <c r="F36" i="173"/>
  <c r="G36" i="173"/>
  <c r="I36" i="173"/>
  <c r="J36" i="173"/>
  <c r="L36" i="173"/>
  <c r="M36" i="173"/>
  <c r="N36" i="173"/>
  <c r="P36" i="173"/>
  <c r="Q36" i="173"/>
  <c r="E37" i="173"/>
  <c r="F37" i="173"/>
  <c r="G37" i="173"/>
  <c r="I37" i="173"/>
  <c r="J37" i="173"/>
  <c r="L37" i="173"/>
  <c r="M37" i="173"/>
  <c r="N37" i="173"/>
  <c r="P37" i="173"/>
  <c r="Q37" i="173"/>
  <c r="E38" i="173"/>
  <c r="F38" i="173"/>
  <c r="G38" i="173"/>
  <c r="I38" i="173"/>
  <c r="J38" i="173"/>
  <c r="L38" i="173"/>
  <c r="M38" i="173"/>
  <c r="N38" i="173"/>
  <c r="P38" i="173"/>
  <c r="Q38" i="173"/>
  <c r="E39" i="173"/>
  <c r="F39" i="173"/>
  <c r="G39" i="173"/>
  <c r="I39" i="173"/>
  <c r="J39" i="173"/>
  <c r="L39" i="173"/>
  <c r="M39" i="173"/>
  <c r="N39" i="173"/>
  <c r="P39" i="173"/>
  <c r="Q39" i="173"/>
  <c r="E40" i="173"/>
  <c r="F40" i="173"/>
  <c r="G40" i="173"/>
  <c r="I40" i="173"/>
  <c r="J40" i="173"/>
  <c r="L40" i="173"/>
  <c r="M40" i="173"/>
  <c r="N40" i="173"/>
  <c r="P40" i="173"/>
  <c r="Q40" i="173"/>
  <c r="E41" i="173"/>
  <c r="F41" i="173"/>
  <c r="G41" i="173"/>
  <c r="I41" i="173"/>
  <c r="J41" i="173"/>
  <c r="L41" i="173"/>
  <c r="M41" i="173"/>
  <c r="N41" i="173"/>
  <c r="P41" i="173"/>
  <c r="Q41" i="173"/>
  <c r="E42" i="173"/>
  <c r="F42" i="173"/>
  <c r="G42" i="173"/>
  <c r="I42" i="173"/>
  <c r="J42" i="173"/>
  <c r="L42" i="173"/>
  <c r="M42" i="173"/>
  <c r="N42" i="173"/>
  <c r="P42" i="173"/>
  <c r="Q42" i="173"/>
  <c r="AL13" i="173"/>
  <c r="AN13" i="173" s="1"/>
  <c r="C14" i="173"/>
  <c r="E14" i="173"/>
  <c r="F14" i="173"/>
  <c r="G14" i="173"/>
  <c r="I14" i="173"/>
  <c r="J14" i="173"/>
  <c r="L14" i="173"/>
  <c r="M14" i="173"/>
  <c r="N14" i="173"/>
  <c r="P14" i="173"/>
  <c r="Q14" i="173"/>
  <c r="AL14" i="173"/>
  <c r="AN14" i="173" s="1"/>
  <c r="C17" i="173"/>
  <c r="E17" i="173"/>
  <c r="F17" i="173"/>
  <c r="G17" i="173"/>
  <c r="I17" i="173"/>
  <c r="J17" i="173"/>
  <c r="L17" i="173"/>
  <c r="M17" i="173"/>
  <c r="N17" i="173"/>
  <c r="P17" i="173"/>
  <c r="Q17" i="173"/>
  <c r="AL17" i="173"/>
  <c r="AN17" i="173" s="1"/>
  <c r="C18" i="173"/>
  <c r="E18" i="173"/>
  <c r="F18" i="173"/>
  <c r="G18" i="173"/>
  <c r="I18" i="173"/>
  <c r="J18" i="173"/>
  <c r="L18" i="173"/>
  <c r="M18" i="173"/>
  <c r="N18" i="173"/>
  <c r="P18" i="173"/>
  <c r="Q18" i="173"/>
  <c r="AL18" i="173"/>
  <c r="AN18" i="173" s="1"/>
  <c r="C19" i="173"/>
  <c r="E19" i="173"/>
  <c r="F19" i="173"/>
  <c r="G19" i="173"/>
  <c r="I19" i="173"/>
  <c r="J19" i="173"/>
  <c r="L19" i="173"/>
  <c r="M19" i="173"/>
  <c r="N19" i="173"/>
  <c r="P19" i="173"/>
  <c r="Q19" i="173"/>
  <c r="AL19" i="173"/>
  <c r="AN19" i="173" s="1"/>
  <c r="C22" i="173"/>
  <c r="E22" i="173"/>
  <c r="F22" i="173"/>
  <c r="G22" i="173"/>
  <c r="I22" i="173"/>
  <c r="J22" i="173"/>
  <c r="L22" i="173"/>
  <c r="M22" i="173"/>
  <c r="N22" i="173"/>
  <c r="P22" i="173"/>
  <c r="Q22" i="173"/>
  <c r="AL22" i="173"/>
  <c r="AN22" i="173" s="1"/>
  <c r="C24" i="173"/>
  <c r="E24" i="173"/>
  <c r="F24" i="173"/>
  <c r="G24" i="173"/>
  <c r="I24" i="173"/>
  <c r="J24" i="173"/>
  <c r="L24" i="173"/>
  <c r="M24" i="173"/>
  <c r="N24" i="173"/>
  <c r="P24" i="173"/>
  <c r="Q24" i="173"/>
  <c r="AL24" i="173"/>
  <c r="AN24" i="173" s="1"/>
  <c r="C25" i="173"/>
  <c r="E25" i="173"/>
  <c r="F25" i="173"/>
  <c r="G25" i="173"/>
  <c r="I25" i="173"/>
  <c r="J25" i="173"/>
  <c r="L25" i="173"/>
  <c r="M25" i="173"/>
  <c r="N25" i="173"/>
  <c r="P25" i="173"/>
  <c r="Q25" i="173"/>
  <c r="AL25" i="173"/>
  <c r="AN25" i="173" s="1"/>
  <c r="N155" i="294" a="1"/>
  <c r="N155" i="294" s="1"/>
  <c r="AD13" i="294"/>
  <c r="AE13" i="294"/>
  <c r="U13" i="294"/>
  <c r="AF15" i="294"/>
  <c r="AD17" i="294"/>
  <c r="AE17" i="294"/>
  <c r="U17" i="294"/>
  <c r="AF19" i="294"/>
  <c r="AD21" i="294"/>
  <c r="AE21" i="294"/>
  <c r="U21" i="294"/>
  <c r="AF23" i="294"/>
  <c r="AD25" i="294"/>
  <c r="AE25" i="294"/>
  <c r="U25" i="294"/>
  <c r="AF27" i="294"/>
  <c r="U43" i="294"/>
  <c r="P115" i="294"/>
  <c r="AD90" i="294"/>
  <c r="AE90" i="294"/>
  <c r="U90" i="294"/>
  <c r="AD139" i="294"/>
  <c r="AE139" i="294"/>
  <c r="U139" i="294"/>
  <c r="AD44" i="233"/>
  <c r="AE44" i="233"/>
  <c r="AD48" i="233"/>
  <c r="AE48" i="233"/>
  <c r="AD52" i="233"/>
  <c r="AE52" i="233"/>
  <c r="AD56" i="233"/>
  <c r="AE56" i="233"/>
  <c r="AD60" i="233"/>
  <c r="AE60" i="233"/>
  <c r="AD64" i="233"/>
  <c r="AE64" i="233"/>
  <c r="AD94" i="233"/>
  <c r="AE94" i="233"/>
  <c r="AD98" i="233"/>
  <c r="AE98" i="233"/>
  <c r="AD102" i="233"/>
  <c r="AE102" i="233"/>
  <c r="AD106" i="233"/>
  <c r="AE106" i="233"/>
  <c r="AD110" i="233"/>
  <c r="AE110" i="233"/>
  <c r="P143" i="233"/>
  <c r="P145" i="233"/>
  <c r="P147" i="233"/>
  <c r="P142" i="233"/>
  <c r="P146" i="233"/>
  <c r="P144" i="233"/>
  <c r="AD130" i="233"/>
  <c r="AE130" i="233"/>
  <c r="AD134" i="233"/>
  <c r="AE134" i="233"/>
  <c r="AD16" i="294"/>
  <c r="AE16" i="294"/>
  <c r="AD20" i="294"/>
  <c r="AE20" i="294"/>
  <c r="AD22" i="294"/>
  <c r="AE22" i="294"/>
  <c r="AD26" i="294"/>
  <c r="AE26" i="294"/>
  <c r="P70" i="294"/>
  <c r="P72" i="294"/>
  <c r="P74" i="294"/>
  <c r="P71" i="294"/>
  <c r="P73" i="294"/>
  <c r="AF87" i="294"/>
  <c r="P114" i="294"/>
  <c r="P116" i="294"/>
  <c r="P118" i="294"/>
  <c r="AD91" i="294"/>
  <c r="AE91" i="294"/>
  <c r="P69" i="233"/>
  <c r="AD55" i="233"/>
  <c r="AE55" i="233"/>
  <c r="AD57" i="233"/>
  <c r="AE57" i="233"/>
  <c r="AD59" i="233"/>
  <c r="AE59" i="233"/>
  <c r="AD67" i="233"/>
  <c r="AE67" i="233"/>
  <c r="P91" i="233"/>
  <c r="P116" i="233" s="1"/>
  <c r="AD103" i="233"/>
  <c r="AE103" i="233"/>
  <c r="AD109" i="233"/>
  <c r="AE109" i="233"/>
  <c r="AD133" i="233"/>
  <c r="AE133" i="233"/>
  <c r="AD135" i="233"/>
  <c r="AE135" i="233"/>
  <c r="U28" i="294"/>
  <c r="AD49" i="233"/>
  <c r="AE49" i="233"/>
  <c r="AD51" i="233"/>
  <c r="AE51" i="233"/>
  <c r="AD53" i="233"/>
  <c r="AE53" i="233"/>
  <c r="U53" i="233"/>
  <c r="U57" i="233"/>
  <c r="AD65" i="233"/>
  <c r="AE65" i="233"/>
  <c r="U65" i="233"/>
  <c r="AD97" i="233"/>
  <c r="AE97" i="233"/>
  <c r="AD99" i="233"/>
  <c r="AE99" i="233"/>
  <c r="AD101" i="233"/>
  <c r="AE101" i="233"/>
  <c r="U101" i="233"/>
  <c r="AF105" i="233"/>
  <c r="AF107" i="233"/>
  <c r="U109" i="233"/>
  <c r="AF127" i="233"/>
  <c r="AF129" i="233"/>
  <c r="U137" i="233"/>
  <c r="BS14" i="213"/>
  <c r="BT14" i="213"/>
  <c r="BU14" i="213"/>
  <c r="BV14" i="213"/>
  <c r="BW14" i="213"/>
  <c r="BX14" i="213"/>
  <c r="BY14" i="213"/>
  <c r="BZ14" i="213"/>
  <c r="CE14" i="213"/>
  <c r="B15" i="213"/>
  <c r="AE15" i="213"/>
  <c r="U15" i="213"/>
  <c r="F15" i="213"/>
  <c r="W15" i="213"/>
  <c r="AU15" i="213"/>
  <c r="J15" i="213"/>
  <c r="AC15" i="213"/>
  <c r="AZ15" i="213"/>
  <c r="BM15" i="213"/>
  <c r="BP15" i="213"/>
  <c r="AI15" i="213"/>
  <c r="BL15" i="213"/>
  <c r="Z15" i="213"/>
  <c r="E15" i="213"/>
  <c r="D15" i="213"/>
  <c r="H15" i="213"/>
  <c r="C15" i="213"/>
  <c r="AW15" i="213"/>
  <c r="AP15" i="213"/>
  <c r="BK15" i="213"/>
  <c r="AB15" i="213"/>
  <c r="AG15" i="213"/>
  <c r="L15" i="213"/>
  <c r="AL15" i="213"/>
  <c r="AR15" i="213"/>
  <c r="I15" i="213"/>
  <c r="AF15" i="213"/>
  <c r="BB15" i="213"/>
  <c r="BA15" i="213"/>
  <c r="BN15" i="213"/>
  <c r="AV15" i="213"/>
  <c r="AD15" i="213"/>
  <c r="AK15" i="213"/>
  <c r="BQ15" i="213"/>
  <c r="AA15" i="213"/>
  <c r="Y15" i="213"/>
  <c r="O15" i="213"/>
  <c r="V15" i="213"/>
  <c r="BJ15" i="213"/>
  <c r="BC15" i="213"/>
  <c r="BH15" i="213"/>
  <c r="AT15" i="213"/>
  <c r="BR13" i="213"/>
  <c r="G15" i="213"/>
  <c r="BF15" i="213"/>
  <c r="S15" i="213"/>
  <c r="R15" i="213"/>
  <c r="AM15" i="213"/>
  <c r="AY15" i="213"/>
  <c r="N15" i="213"/>
  <c r="K15" i="213"/>
  <c r="Q15" i="213"/>
  <c r="AN15" i="213"/>
  <c r="BI15" i="213"/>
  <c r="A15" i="213"/>
  <c r="T15" i="213"/>
  <c r="AJ15" i="213"/>
  <c r="BR14" i="213"/>
  <c r="AQ15" i="213"/>
  <c r="BG15" i="213"/>
  <c r="AH15" i="213"/>
  <c r="AX15" i="213"/>
  <c r="P15" i="213"/>
  <c r="BD15" i="213"/>
  <c r="M15" i="213"/>
  <c r="AS15" i="213"/>
  <c r="X15" i="213"/>
  <c r="BE15" i="213"/>
  <c r="AO15" i="213"/>
  <c r="BO15" i="213"/>
  <c r="AE13" i="233" l="1"/>
  <c r="AD13" i="233"/>
  <c r="P69" i="294"/>
  <c r="P152" i="294" s="1" a="1"/>
  <c r="P152" i="294" s="1"/>
  <c r="N152" i="294" a="1"/>
  <c r="N152" i="294" s="1"/>
  <c r="U46" i="41"/>
  <c r="U42" i="41"/>
  <c r="N153" i="294" a="1"/>
  <c r="N153" i="294" s="1"/>
  <c r="N154" i="294" a="1"/>
  <c r="N154" i="294" s="1"/>
  <c r="U45" i="41"/>
  <c r="U41" i="41"/>
  <c r="AE16" i="233"/>
  <c r="AD16" i="233"/>
  <c r="U44" i="41"/>
  <c r="AE95" i="294"/>
  <c r="AD95" i="294"/>
  <c r="AE87" i="294"/>
  <c r="AB48" i="214"/>
  <c r="S50" i="214"/>
  <c r="AD51" i="214"/>
  <c r="AC48" i="214"/>
  <c r="T50" i="214"/>
  <c r="R52" i="214"/>
  <c r="S49" i="214"/>
  <c r="AB50" i="214"/>
  <c r="AC47" i="214"/>
  <c r="T49" i="214"/>
  <c r="AD87" i="233"/>
  <c r="T52" i="214"/>
  <c r="R47" i="214"/>
  <c r="S51" i="214"/>
  <c r="AD48" i="214"/>
  <c r="AB49" i="214"/>
  <c r="T47" i="214"/>
  <c r="AB47" i="214"/>
  <c r="R51" i="214"/>
  <c r="R50" i="214"/>
  <c r="AE89" i="294"/>
  <c r="S47" i="214"/>
  <c r="AC51" i="214"/>
  <c r="S52" i="214"/>
  <c r="AD49" i="214"/>
  <c r="AD50" i="214"/>
  <c r="T51" i="214"/>
  <c r="AC52" i="214"/>
  <c r="AC49" i="214"/>
  <c r="AB52" i="214"/>
  <c r="R49" i="214"/>
  <c r="R48" i="214"/>
  <c r="S48" i="214"/>
  <c r="AD52" i="214"/>
  <c r="T48" i="214"/>
  <c r="AD47" i="214"/>
  <c r="AC50" i="214"/>
  <c r="AB51" i="214"/>
  <c r="AD89" i="233"/>
  <c r="AE89" i="233"/>
  <c r="P115" i="233"/>
  <c r="P117" i="233"/>
  <c r="I41" i="41"/>
  <c r="I42" i="41"/>
  <c r="I45" i="41"/>
  <c r="I46" i="41"/>
  <c r="I43" i="41"/>
  <c r="I44" i="41"/>
  <c r="H25" i="39" s="1"/>
  <c r="Q44" i="173"/>
  <c r="Q46" i="173"/>
  <c r="Q48" i="173"/>
  <c r="Q45" i="173"/>
  <c r="Q47" i="173"/>
  <c r="Q49" i="173"/>
  <c r="N44" i="173"/>
  <c r="N46" i="173"/>
  <c r="N48" i="173"/>
  <c r="N45" i="173"/>
  <c r="N47" i="173"/>
  <c r="N49" i="173"/>
  <c r="L44" i="173"/>
  <c r="L46" i="173"/>
  <c r="L48" i="173"/>
  <c r="L45" i="173"/>
  <c r="L47" i="173"/>
  <c r="L49" i="173"/>
  <c r="I44" i="173"/>
  <c r="I46" i="173"/>
  <c r="I48" i="173"/>
  <c r="I45" i="173"/>
  <c r="I47" i="173"/>
  <c r="I49" i="173"/>
  <c r="F44" i="173"/>
  <c r="F46" i="173"/>
  <c r="F48" i="173"/>
  <c r="F45" i="173"/>
  <c r="F47" i="173"/>
  <c r="F49" i="173"/>
  <c r="C44" i="173"/>
  <c r="C46" i="173"/>
  <c r="C48" i="173"/>
  <c r="C45" i="173"/>
  <c r="C47" i="173"/>
  <c r="C49" i="173"/>
  <c r="AF46" i="294"/>
  <c r="U46" i="294"/>
  <c r="P154" i="294" a="1"/>
  <c r="P154" i="294" s="1"/>
  <c r="V41" i="41"/>
  <c r="V42" i="41"/>
  <c r="V43" i="41"/>
  <c r="V44" i="41"/>
  <c r="F10" i="39" s="1"/>
  <c r="V45" i="41"/>
  <c r="V46" i="41"/>
  <c r="AF91" i="233"/>
  <c r="U91" i="233"/>
  <c r="P119" i="233"/>
  <c r="P118" i="233"/>
  <c r="P114" i="233"/>
  <c r="P45" i="173"/>
  <c r="P47" i="173"/>
  <c r="P49" i="173"/>
  <c r="P44" i="173"/>
  <c r="P46" i="173"/>
  <c r="P48" i="173"/>
  <c r="M45" i="173"/>
  <c r="M47" i="173"/>
  <c r="M49" i="173"/>
  <c r="M44" i="173"/>
  <c r="M46" i="173"/>
  <c r="M48" i="173"/>
  <c r="J45" i="173"/>
  <c r="J47" i="173"/>
  <c r="J49" i="173"/>
  <c r="J44" i="173"/>
  <c r="J46" i="173"/>
  <c r="J48" i="173"/>
  <c r="G45" i="173"/>
  <c r="G47" i="173"/>
  <c r="G49" i="173"/>
  <c r="G44" i="173"/>
  <c r="G46" i="173"/>
  <c r="G48" i="173"/>
  <c r="E45" i="173"/>
  <c r="E47" i="173"/>
  <c r="E49" i="173"/>
  <c r="E44" i="173"/>
  <c r="E46" i="173"/>
  <c r="E48" i="173"/>
  <c r="BU91" i="233"/>
  <c r="U43" i="234"/>
  <c r="U42" i="234"/>
  <c r="U45" i="234"/>
  <c r="U47" i="234"/>
  <c r="U44" i="234"/>
  <c r="U46" i="234"/>
  <c r="V42" i="234"/>
  <c r="V43" i="234"/>
  <c r="V44" i="234"/>
  <c r="V46" i="234"/>
  <c r="V45" i="234"/>
  <c r="V47" i="234"/>
  <c r="P142" i="294"/>
  <c r="P144" i="294"/>
  <c r="P146" i="294"/>
  <c r="AF47" i="294"/>
  <c r="U47" i="294"/>
  <c r="P153" i="294" a="1"/>
  <c r="P153" i="294" s="1"/>
  <c r="BS15" i="213"/>
  <c r="BT15" i="213"/>
  <c r="BU15" i="213"/>
  <c r="BV15" i="213"/>
  <c r="BW15" i="213"/>
  <c r="BX15" i="213"/>
  <c r="BY15" i="213"/>
  <c r="BZ15" i="213"/>
  <c r="CE15" i="213"/>
  <c r="B16" i="213"/>
  <c r="BG16" i="213"/>
  <c r="BE16" i="213"/>
  <c r="E16" i="213"/>
  <c r="AA16" i="213"/>
  <c r="AH16" i="213"/>
  <c r="C16" i="213"/>
  <c r="AC16" i="213"/>
  <c r="BK16" i="213"/>
  <c r="AL16" i="213"/>
  <c r="R16" i="213"/>
  <c r="J16" i="213"/>
  <c r="BF16" i="213"/>
  <c r="W16" i="213"/>
  <c r="M16" i="213"/>
  <c r="AR16" i="213"/>
  <c r="H16" i="213"/>
  <c r="AI16" i="213"/>
  <c r="O16" i="213"/>
  <c r="AX16" i="213"/>
  <c r="AE16" i="213"/>
  <c r="AY16" i="213"/>
  <c r="BL16" i="213"/>
  <c r="AZ16" i="213"/>
  <c r="AP16" i="213"/>
  <c r="D16" i="213"/>
  <c r="BH16" i="213"/>
  <c r="AJ16" i="213"/>
  <c r="X16" i="213"/>
  <c r="AS16" i="213"/>
  <c r="AT16" i="213"/>
  <c r="I16" i="213"/>
  <c r="BP16" i="213"/>
  <c r="U16" i="213"/>
  <c r="BM16" i="213"/>
  <c r="P16" i="213"/>
  <c r="Z16" i="213"/>
  <c r="BR15" i="213"/>
  <c r="BI16" i="213"/>
  <c r="AO16" i="213"/>
  <c r="BD16" i="213"/>
  <c r="BC16" i="213"/>
  <c r="BN16" i="213"/>
  <c r="G16" i="213"/>
  <c r="F16" i="213"/>
  <c r="BB16" i="213"/>
  <c r="AM16" i="213"/>
  <c r="AU16" i="213"/>
  <c r="AG16" i="213"/>
  <c r="BA16" i="213"/>
  <c r="A16" i="213"/>
  <c r="AW16" i="213"/>
  <c r="Y16" i="213"/>
  <c r="N16" i="213"/>
  <c r="Q16" i="213"/>
  <c r="T16" i="213"/>
  <c r="AV16" i="213"/>
  <c r="AB16" i="213"/>
  <c r="AK16" i="213"/>
  <c r="K16" i="213"/>
  <c r="BJ16" i="213"/>
  <c r="L16" i="213"/>
  <c r="BQ16" i="213"/>
  <c r="AF16" i="213"/>
  <c r="AN16" i="213"/>
  <c r="S16" i="213"/>
  <c r="AQ16" i="213"/>
  <c r="V16" i="213"/>
  <c r="BO16" i="213"/>
  <c r="AD16" i="213"/>
  <c r="P155" i="294" l="1" a="1"/>
  <c r="P155" i="294" s="1"/>
  <c r="P150" i="294" a="1"/>
  <c r="P150" i="294" s="1"/>
  <c r="P151" i="294" a="1"/>
  <c r="P151" i="294" s="1"/>
  <c r="P152" i="233" a="1"/>
  <c r="P152" i="233" s="1"/>
  <c r="P155" i="233" a="1"/>
  <c r="P155" i="233" s="1"/>
  <c r="P153" i="233" a="1"/>
  <c r="P153" i="233" s="1"/>
  <c r="P150" i="233" a="1"/>
  <c r="P150" i="233" s="1"/>
  <c r="P154" i="233" a="1"/>
  <c r="P154" i="233" s="1"/>
  <c r="P151" i="233" a="1"/>
  <c r="P151" i="233" s="1"/>
  <c r="F9" i="39"/>
  <c r="H9" i="39" s="1"/>
  <c r="BS16" i="213"/>
  <c r="BT16" i="213"/>
  <c r="BU16" i="213"/>
  <c r="BV16" i="213"/>
  <c r="BW16" i="213"/>
  <c r="BX16" i="213"/>
  <c r="BY16" i="213"/>
  <c r="BZ16" i="213"/>
  <c r="CE16" i="213"/>
  <c r="B17" i="213"/>
  <c r="AA17" i="213"/>
  <c r="BC17" i="213"/>
  <c r="AV17" i="213"/>
  <c r="AG17" i="213"/>
  <c r="BJ17" i="213"/>
  <c r="Q17" i="213"/>
  <c r="AO17" i="213"/>
  <c r="F17" i="213"/>
  <c r="BF17" i="213"/>
  <c r="BB17" i="213"/>
  <c r="O17" i="213"/>
  <c r="L17" i="213"/>
  <c r="W17" i="213"/>
  <c r="AS17" i="213"/>
  <c r="AT17" i="213"/>
  <c r="AY17" i="213"/>
  <c r="R17" i="213"/>
  <c r="D17" i="213"/>
  <c r="X17" i="213"/>
  <c r="H17" i="213"/>
  <c r="BM17" i="213"/>
  <c r="BG17" i="213"/>
  <c r="BL17" i="213"/>
  <c r="M17" i="213"/>
  <c r="AP17" i="213"/>
  <c r="C17" i="213"/>
  <c r="Y17" i="213"/>
  <c r="BA17" i="213"/>
  <c r="G17" i="213"/>
  <c r="V17" i="213"/>
  <c r="AH17" i="213"/>
  <c r="BQ17" i="213"/>
  <c r="S17" i="213"/>
  <c r="AX17" i="213"/>
  <c r="BO17" i="213"/>
  <c r="AB17" i="213"/>
  <c r="AL17" i="213"/>
  <c r="BD17" i="213"/>
  <c r="J17" i="213"/>
  <c r="BR16" i="213"/>
  <c r="BK17" i="213"/>
  <c r="AJ17" i="213"/>
  <c r="AC17" i="213"/>
  <c r="AE17" i="213"/>
  <c r="BN17" i="213"/>
  <c r="AK17" i="213"/>
  <c r="E17" i="213"/>
  <c r="BP17" i="213"/>
  <c r="AN17" i="213"/>
  <c r="AQ17" i="213"/>
  <c r="AW17" i="213"/>
  <c r="AF17" i="213"/>
  <c r="N17" i="213"/>
  <c r="Z17" i="213"/>
  <c r="BI17" i="213"/>
  <c r="AM17" i="213"/>
  <c r="AZ17" i="213"/>
  <c r="U17" i="213"/>
  <c r="I17" i="213"/>
  <c r="AD17" i="213"/>
  <c r="K17" i="213"/>
  <c r="P17" i="213"/>
  <c r="BE17" i="213"/>
  <c r="BH17" i="213"/>
  <c r="A17" i="213"/>
  <c r="AI17" i="213"/>
  <c r="AR17" i="213"/>
  <c r="T17" i="213"/>
  <c r="AU17" i="213"/>
  <c r="H26" i="39" l="1"/>
  <c r="H29" i="39" s="1"/>
  <c r="H34" i="39" s="1"/>
  <c r="D10" i="39" s="1"/>
  <c r="H10" i="39" s="1"/>
  <c r="H12" i="39" s="1"/>
  <c r="H14" i="39" s="1"/>
  <c r="BS17" i="213"/>
  <c r="BT17" i="213"/>
  <c r="BU17" i="213"/>
  <c r="BV17" i="213"/>
  <c r="BW17" i="213"/>
  <c r="BX17" i="213"/>
  <c r="BY17" i="213"/>
  <c r="BZ17" i="213"/>
  <c r="CE17" i="213"/>
  <c r="B18" i="213"/>
  <c r="U18" i="213"/>
  <c r="J18" i="213"/>
  <c r="AO18" i="213"/>
  <c r="BH18" i="213"/>
  <c r="I18" i="213"/>
  <c r="O18" i="213"/>
  <c r="BD18" i="213"/>
  <c r="BN18" i="213"/>
  <c r="R18" i="213"/>
  <c r="AI18" i="213"/>
  <c r="AN18" i="213"/>
  <c r="F18" i="213"/>
  <c r="AD18" i="213"/>
  <c r="BI18" i="213"/>
  <c r="M18" i="213"/>
  <c r="H18" i="213"/>
  <c r="AT18" i="213"/>
  <c r="BF18" i="213"/>
  <c r="BC18" i="213"/>
  <c r="AK18" i="213"/>
  <c r="BO18" i="213"/>
  <c r="AY18" i="213"/>
  <c r="AG18" i="213"/>
  <c r="G18" i="213"/>
  <c r="AM18" i="213"/>
  <c r="BQ18" i="213"/>
  <c r="AR18" i="213"/>
  <c r="N18" i="213"/>
  <c r="AV18" i="213"/>
  <c r="BG18" i="213"/>
  <c r="C18" i="213"/>
  <c r="S18" i="213"/>
  <c r="BK18" i="213"/>
  <c r="Z18" i="213"/>
  <c r="BE18" i="213"/>
  <c r="W18" i="213"/>
  <c r="BM18" i="213"/>
  <c r="AJ18" i="213"/>
  <c r="AH18" i="213"/>
  <c r="BP18" i="213"/>
  <c r="T18" i="213"/>
  <c r="AQ18" i="213"/>
  <c r="Y18" i="213"/>
  <c r="AU18" i="213"/>
  <c r="AZ18" i="213"/>
  <c r="BB18" i="213"/>
  <c r="E18" i="213"/>
  <c r="BJ18" i="213"/>
  <c r="AA18" i="213"/>
  <c r="AS18" i="213"/>
  <c r="BL18" i="213"/>
  <c r="P18" i="213"/>
  <c r="V18" i="213"/>
  <c r="AB18" i="213"/>
  <c r="AE18" i="213"/>
  <c r="BR17" i="213"/>
  <c r="X18" i="213"/>
  <c r="L18" i="213"/>
  <c r="AX18" i="213"/>
  <c r="A18" i="213"/>
  <c r="AW18" i="213"/>
  <c r="D18" i="213"/>
  <c r="BA18" i="213"/>
  <c r="Q18" i="213"/>
  <c r="AF18" i="213"/>
  <c r="K18" i="213"/>
  <c r="AP18" i="213"/>
  <c r="AC18" i="213"/>
  <c r="AL18" i="213"/>
  <c r="BS18" i="213" l="1"/>
  <c r="BT18" i="213"/>
  <c r="BU18" i="213"/>
  <c r="BV18" i="213"/>
  <c r="BW18" i="213"/>
  <c r="BX18" i="213"/>
  <c r="BY18" i="213"/>
  <c r="BZ18" i="213"/>
  <c r="CE18" i="213"/>
  <c r="B19" i="213"/>
  <c r="AN19" i="213"/>
  <c r="Z19" i="213"/>
  <c r="AG19" i="213"/>
  <c r="G19" i="213"/>
  <c r="AP19" i="213"/>
  <c r="AM19" i="213"/>
  <c r="BJ19" i="213"/>
  <c r="N19" i="213"/>
  <c r="E19" i="213"/>
  <c r="BI19" i="213"/>
  <c r="X19" i="213"/>
  <c r="D19" i="213"/>
  <c r="BO19" i="213"/>
  <c r="BN19" i="213"/>
  <c r="AI19" i="213"/>
  <c r="AK19" i="213"/>
  <c r="AA19" i="213"/>
  <c r="AL19" i="213"/>
  <c r="P19" i="213"/>
  <c r="BD19" i="213"/>
  <c r="L19" i="213"/>
  <c r="BR18" i="213"/>
  <c r="BF19" i="213"/>
  <c r="AQ19" i="213"/>
  <c r="W19" i="213"/>
  <c r="AZ19" i="213"/>
  <c r="T19" i="213"/>
  <c r="AD19" i="213"/>
  <c r="AX19" i="213"/>
  <c r="BE19" i="213"/>
  <c r="C19" i="213"/>
  <c r="AH19" i="213"/>
  <c r="H19" i="213"/>
  <c r="BP19" i="213"/>
  <c r="BH19" i="213"/>
  <c r="BQ19" i="213"/>
  <c r="BB19" i="213"/>
  <c r="F19" i="213"/>
  <c r="BK19" i="213"/>
  <c r="AE19" i="213"/>
  <c r="V19" i="213"/>
  <c r="M19" i="213"/>
  <c r="BM19" i="213"/>
  <c r="AY19" i="213"/>
  <c r="O19" i="213"/>
  <c r="R19" i="213"/>
  <c r="I19" i="213"/>
  <c r="BL19" i="213"/>
  <c r="BG19" i="213"/>
  <c r="AS19" i="213"/>
  <c r="AF19" i="213"/>
  <c r="AU19" i="213"/>
  <c r="AO19" i="213"/>
  <c r="AT19" i="213"/>
  <c r="BA19" i="213"/>
  <c r="J19" i="213"/>
  <c r="AC19" i="213"/>
  <c r="AB19" i="213"/>
  <c r="K19" i="213"/>
  <c r="U19" i="213"/>
  <c r="AJ19" i="213"/>
  <c r="Q19" i="213"/>
  <c r="A19" i="213"/>
  <c r="AR19" i="213"/>
  <c r="AW19" i="213"/>
  <c r="AV19" i="213"/>
  <c r="Y19" i="213"/>
  <c r="BC19" i="213"/>
  <c r="S19" i="213"/>
  <c r="BS19" i="213" l="1"/>
  <c r="BT19" i="213"/>
  <c r="BU19" i="213"/>
  <c r="BV19" i="213"/>
  <c r="BW19" i="213"/>
  <c r="BX19" i="213"/>
  <c r="BY19" i="213"/>
  <c r="BZ19" i="213"/>
  <c r="CE19" i="213"/>
  <c r="B20" i="213"/>
  <c r="AK20" i="213"/>
  <c r="AT20" i="213"/>
  <c r="BL20" i="213"/>
  <c r="P20" i="213"/>
  <c r="X20" i="213"/>
  <c r="BO20" i="213"/>
  <c r="AU20" i="213"/>
  <c r="G20" i="213"/>
  <c r="Y20" i="213"/>
  <c r="D20" i="213"/>
  <c r="C20" i="213"/>
  <c r="O20" i="213"/>
  <c r="A20" i="213"/>
  <c r="AD20" i="213"/>
  <c r="AV20" i="213"/>
  <c r="V20" i="213"/>
  <c r="AQ20" i="213"/>
  <c r="BQ20" i="213"/>
  <c r="BD20" i="213"/>
  <c r="BC20" i="213"/>
  <c r="BR19" i="213"/>
  <c r="BB20" i="213"/>
  <c r="AN20" i="213"/>
  <c r="J20" i="213"/>
  <c r="BG20" i="213"/>
  <c r="BN20" i="213"/>
  <c r="AG20" i="213"/>
  <c r="E20" i="213"/>
  <c r="AY20" i="213"/>
  <c r="BF20" i="213"/>
  <c r="U20" i="213"/>
  <c r="L20" i="213"/>
  <c r="AX20" i="213"/>
  <c r="T20" i="213"/>
  <c r="AF20" i="213"/>
  <c r="AP20" i="213"/>
  <c r="AW20" i="213"/>
  <c r="I20" i="213"/>
  <c r="S20" i="213"/>
  <c r="BI20" i="213"/>
  <c r="AO20" i="213"/>
  <c r="Q20" i="213"/>
  <c r="AC20" i="213"/>
  <c r="AR20" i="213"/>
  <c r="BM20" i="213"/>
  <c r="AH20" i="213"/>
  <c r="AZ20" i="213"/>
  <c r="AE20" i="213"/>
  <c r="BA20" i="213"/>
  <c r="M20" i="213"/>
  <c r="H20" i="213"/>
  <c r="AM20" i="213"/>
  <c r="AA20" i="213"/>
  <c r="K20" i="213"/>
  <c r="AJ20" i="213"/>
  <c r="BJ20" i="213"/>
  <c r="AB20" i="213"/>
  <c r="R20" i="213"/>
  <c r="BE20" i="213"/>
  <c r="AI20" i="213"/>
  <c r="BP20" i="213"/>
  <c r="AL20" i="213"/>
  <c r="AS20" i="213"/>
  <c r="F20" i="213"/>
  <c r="BK20" i="213"/>
  <c r="BH20" i="213"/>
  <c r="W20" i="213"/>
  <c r="N20" i="213"/>
  <c r="Z20" i="213"/>
  <c r="BS20" i="213" l="1"/>
  <c r="BT20" i="213"/>
  <c r="BU20" i="213"/>
  <c r="BV20" i="213"/>
  <c r="BW20" i="213"/>
  <c r="BX20" i="213"/>
  <c r="BY20" i="213"/>
  <c r="BZ20" i="213"/>
  <c r="CE20" i="213"/>
  <c r="B21" i="213"/>
  <c r="AB21" i="213"/>
  <c r="AL21" i="213"/>
  <c r="BE21" i="213"/>
  <c r="I21" i="213"/>
  <c r="BM21" i="213"/>
  <c r="BK21" i="213"/>
  <c r="AM21" i="213"/>
  <c r="BB21" i="213"/>
  <c r="F21" i="213"/>
  <c r="E21" i="213"/>
  <c r="AH21" i="213"/>
  <c r="BO21" i="213"/>
  <c r="R21" i="213"/>
  <c r="AK21" i="213"/>
  <c r="AV21" i="213"/>
  <c r="N21" i="213"/>
  <c r="AZ21" i="213"/>
  <c r="AA21" i="213"/>
  <c r="AJ21" i="213"/>
  <c r="AG21" i="213"/>
  <c r="BI21" i="213"/>
  <c r="A21" i="213"/>
  <c r="P21" i="213"/>
  <c r="L21" i="213"/>
  <c r="AQ21" i="213"/>
  <c r="C21" i="213"/>
  <c r="AF21" i="213"/>
  <c r="BQ21" i="213"/>
  <c r="BP21" i="213"/>
  <c r="Q21" i="213"/>
  <c r="BC21" i="213"/>
  <c r="S21" i="213"/>
  <c r="T21" i="213"/>
  <c r="AI21" i="213"/>
  <c r="AX21" i="213"/>
  <c r="Y21" i="213"/>
  <c r="AR21" i="213"/>
  <c r="AY21" i="213"/>
  <c r="AS21" i="213"/>
  <c r="BR20" i="213"/>
  <c r="K21" i="213"/>
  <c r="AE21" i="213"/>
  <c r="BH21" i="213"/>
  <c r="BF21" i="213"/>
  <c r="M21" i="213"/>
  <c r="X21" i="213"/>
  <c r="O21" i="213"/>
  <c r="AP21" i="213"/>
  <c r="BG21" i="213"/>
  <c r="J21" i="213"/>
  <c r="AC21" i="213"/>
  <c r="AN21" i="213"/>
  <c r="W21" i="213"/>
  <c r="V21" i="213"/>
  <c r="AU21" i="213"/>
  <c r="BA21" i="213"/>
  <c r="AD21" i="213"/>
  <c r="U21" i="213"/>
  <c r="AT21" i="213"/>
  <c r="D21" i="213"/>
  <c r="BL21" i="213"/>
  <c r="G21" i="213"/>
  <c r="BD21" i="213"/>
  <c r="BJ21" i="213"/>
  <c r="H21" i="213"/>
  <c r="BN21" i="213"/>
  <c r="AO21" i="213"/>
  <c r="AW21" i="213"/>
  <c r="Z21" i="213"/>
  <c r="BS21" i="213" l="1"/>
  <c r="BT21" i="213"/>
  <c r="BU21" i="213"/>
  <c r="BV21" i="213"/>
  <c r="BW21" i="213"/>
  <c r="BX21" i="213"/>
  <c r="BY21" i="213"/>
  <c r="BZ21" i="213"/>
  <c r="CE21" i="213"/>
  <c r="B22" i="213"/>
  <c r="AC22" i="213"/>
  <c r="AV22" i="213"/>
  <c r="BM22" i="213"/>
  <c r="H22" i="213"/>
  <c r="O22" i="213"/>
  <c r="E22" i="213"/>
  <c r="N22" i="213"/>
  <c r="T22" i="213"/>
  <c r="AI22" i="213"/>
  <c r="BR21" i="213"/>
  <c r="AG22" i="213"/>
  <c r="AH22" i="213"/>
  <c r="BH22" i="213"/>
  <c r="AJ22" i="213"/>
  <c r="AO22" i="213"/>
  <c r="BG22" i="213"/>
  <c r="AA22" i="213"/>
  <c r="AZ22" i="213"/>
  <c r="BF22" i="213"/>
  <c r="W22" i="213"/>
  <c r="AB22" i="213"/>
  <c r="AQ22" i="213"/>
  <c r="BQ22" i="213"/>
  <c r="C22" i="213"/>
  <c r="AD22" i="213"/>
  <c r="AP22" i="213"/>
  <c r="U22" i="213"/>
  <c r="I22" i="213"/>
  <c r="BJ22" i="213"/>
  <c r="P22" i="213"/>
  <c r="BD22" i="213"/>
  <c r="BL22" i="213"/>
  <c r="AN22" i="213"/>
  <c r="BE22" i="213"/>
  <c r="V22" i="213"/>
  <c r="BP22" i="213"/>
  <c r="R22" i="213"/>
  <c r="BO22" i="213"/>
  <c r="Z22" i="213"/>
  <c r="AU22" i="213"/>
  <c r="BC22" i="213"/>
  <c r="X22" i="213"/>
  <c r="S22" i="213"/>
  <c r="AT22" i="213"/>
  <c r="AM22" i="213"/>
  <c r="M22" i="213"/>
  <c r="AF22" i="213"/>
  <c r="J22" i="213"/>
  <c r="Y22" i="213"/>
  <c r="AR22" i="213"/>
  <c r="BK22" i="213"/>
  <c r="BA22" i="213"/>
  <c r="D22" i="213"/>
  <c r="AX22" i="213"/>
  <c r="AE22" i="213"/>
  <c r="AK22" i="213"/>
  <c r="F22" i="213"/>
  <c r="AY22" i="213"/>
  <c r="AW22" i="213"/>
  <c r="BB22" i="213"/>
  <c r="BN22" i="213"/>
  <c r="K22" i="213"/>
  <c r="G22" i="213"/>
  <c r="L22" i="213"/>
  <c r="A22" i="213"/>
  <c r="BI22" i="213"/>
  <c r="AS22" i="213"/>
  <c r="AL22" i="213"/>
  <c r="Q22" i="213"/>
  <c r="BS22" i="213" l="1"/>
  <c r="BT22" i="213"/>
  <c r="BU22" i="213"/>
  <c r="BV22" i="213"/>
  <c r="BW22" i="213"/>
  <c r="BX22" i="213"/>
  <c r="BY22" i="213"/>
  <c r="BZ22" i="213"/>
  <c r="CE22" i="213"/>
  <c r="B23" i="213"/>
  <c r="BR22" i="213"/>
  <c r="AJ23" i="213"/>
  <c r="AQ23" i="213"/>
  <c r="F23" i="213"/>
  <c r="P23" i="213"/>
  <c r="S23" i="213"/>
  <c r="AX23" i="213"/>
  <c r="E23" i="213"/>
  <c r="AG23" i="213"/>
  <c r="BJ23" i="213"/>
  <c r="U23" i="213"/>
  <c r="AD23" i="213"/>
  <c r="AN23" i="213"/>
  <c r="AU23" i="213"/>
  <c r="J23" i="213"/>
  <c r="AK23" i="213"/>
  <c r="BG23" i="213"/>
  <c r="BE23" i="213"/>
  <c r="R23" i="213"/>
  <c r="BC23" i="213"/>
  <c r="BK23" i="213"/>
  <c r="X23" i="213"/>
  <c r="M23" i="213"/>
  <c r="BH23" i="213"/>
  <c r="T23" i="213"/>
  <c r="K23" i="213"/>
  <c r="AP23" i="213"/>
  <c r="BI23" i="213"/>
  <c r="O23" i="213"/>
  <c r="V23" i="213"/>
  <c r="AO23" i="213"/>
  <c r="AB23" i="213"/>
  <c r="BL23" i="213"/>
  <c r="BO23" i="213"/>
  <c r="BB23" i="213"/>
  <c r="BD23" i="213"/>
  <c r="AF23" i="213"/>
  <c r="AI23" i="213"/>
  <c r="A23" i="213"/>
  <c r="AR23" i="213"/>
  <c r="W23" i="213"/>
  <c r="BN23" i="213"/>
  <c r="C23" i="213"/>
  <c r="AH23" i="213"/>
  <c r="BA23" i="213"/>
  <c r="AE23" i="213"/>
  <c r="H23" i="213"/>
  <c r="L23" i="213"/>
  <c r="N23" i="213"/>
  <c r="AZ23" i="213"/>
  <c r="AM23" i="213"/>
  <c r="Z23" i="213"/>
  <c r="BM23" i="213"/>
  <c r="G23" i="213"/>
  <c r="AL23" i="213"/>
  <c r="BQ23" i="213"/>
  <c r="AS23" i="213"/>
  <c r="AY23" i="213"/>
  <c r="Y23" i="213"/>
  <c r="AW23" i="213"/>
  <c r="BP23" i="213"/>
  <c r="AA23" i="213"/>
  <c r="BF23" i="213"/>
  <c r="Q23" i="213"/>
  <c r="I23" i="213"/>
  <c r="AC23" i="213"/>
  <c r="AT23" i="213"/>
  <c r="D23" i="213"/>
  <c r="AV23" i="213"/>
  <c r="BS23" i="213" l="1"/>
  <c r="BT23" i="213"/>
  <c r="BU23" i="213"/>
  <c r="BV23" i="213"/>
  <c r="BW23" i="213"/>
  <c r="BX23" i="213"/>
  <c r="BY23" i="213"/>
  <c r="BZ23" i="213"/>
  <c r="CE23" i="213"/>
  <c r="B24" i="213"/>
  <c r="AK24" i="213"/>
  <c r="L24" i="213"/>
  <c r="BN24" i="213"/>
  <c r="T24" i="213"/>
  <c r="AI24" i="213"/>
  <c r="BR23" i="213"/>
  <c r="AD24" i="213"/>
  <c r="BQ24" i="213"/>
  <c r="AX24" i="213"/>
  <c r="AC24" i="213"/>
  <c r="BB24" i="213"/>
  <c r="AL24" i="213"/>
  <c r="U24" i="213"/>
  <c r="AE24" i="213"/>
  <c r="BD24" i="213"/>
  <c r="K24" i="213"/>
  <c r="A24" i="213"/>
  <c r="AH24" i="213"/>
  <c r="BI24" i="213"/>
  <c r="R24" i="213"/>
  <c r="AJ24" i="213"/>
  <c r="BA24" i="213"/>
  <c r="G24" i="213"/>
  <c r="AM24" i="213"/>
  <c r="AA24" i="213"/>
  <c r="I24" i="213"/>
  <c r="AW24" i="213"/>
  <c r="AN24" i="213"/>
  <c r="BK24" i="213"/>
  <c r="E24" i="213"/>
  <c r="AU24" i="213"/>
  <c r="O24" i="213"/>
  <c r="BL24" i="213"/>
  <c r="BH24" i="213"/>
  <c r="BG24" i="213"/>
  <c r="N24" i="213"/>
  <c r="AQ24" i="213"/>
  <c r="AP24" i="213"/>
  <c r="BF24" i="213"/>
  <c r="BP24" i="213"/>
  <c r="V24" i="213"/>
  <c r="X24" i="213"/>
  <c r="W24" i="213"/>
  <c r="AF24" i="213"/>
  <c r="AY24" i="213"/>
  <c r="F24" i="213"/>
  <c r="BO24" i="213"/>
  <c r="Q24" i="213"/>
  <c r="BJ24" i="213"/>
  <c r="AO24" i="213"/>
  <c r="AV24" i="213"/>
  <c r="C24" i="213"/>
  <c r="BE24" i="213"/>
  <c r="M24" i="213"/>
  <c r="BM24" i="213"/>
  <c r="D24" i="213"/>
  <c r="Z24" i="213"/>
  <c r="H24" i="213"/>
  <c r="BC24" i="213"/>
  <c r="J24" i="213"/>
  <c r="P24" i="213"/>
  <c r="AB24" i="213"/>
  <c r="AS24" i="213"/>
  <c r="AZ24" i="213"/>
  <c r="Y24" i="213"/>
  <c r="S24" i="213"/>
  <c r="AT24" i="213"/>
  <c r="AR24" i="213"/>
  <c r="AG24" i="213"/>
  <c r="BS24" i="213" l="1"/>
  <c r="BT24" i="213"/>
  <c r="BU24" i="213"/>
  <c r="BV24" i="213"/>
  <c r="BW24" i="213"/>
  <c r="BX24" i="213"/>
  <c r="BY24" i="213"/>
  <c r="BZ24" i="213"/>
  <c r="CE24" i="213"/>
  <c r="B25" i="213"/>
  <c r="BE25" i="213"/>
  <c r="BA25" i="213"/>
  <c r="BK25" i="213"/>
  <c r="J25" i="213"/>
  <c r="AE25" i="213"/>
  <c r="AP25" i="213"/>
  <c r="G25" i="213"/>
  <c r="AG25" i="213"/>
  <c r="BF25" i="213"/>
  <c r="AB25" i="213"/>
  <c r="U25" i="213"/>
  <c r="H25" i="213"/>
  <c r="AU25" i="213"/>
  <c r="BI25" i="213"/>
  <c r="AO25" i="213"/>
  <c r="C25" i="213"/>
  <c r="BH25" i="213"/>
  <c r="AY25" i="213"/>
  <c r="AD25" i="213"/>
  <c r="BB25" i="213"/>
  <c r="Y25" i="213"/>
  <c r="AH25" i="213"/>
  <c r="Z25" i="213"/>
  <c r="M25" i="213"/>
  <c r="D25" i="213"/>
  <c r="BD25" i="213"/>
  <c r="K25" i="213"/>
  <c r="AJ25" i="213"/>
  <c r="AX25" i="213"/>
  <c r="AF25" i="213"/>
  <c r="BO25" i="213"/>
  <c r="S25" i="213"/>
  <c r="AS25" i="213"/>
  <c r="AZ25" i="213"/>
  <c r="X25" i="213"/>
  <c r="A25" i="213"/>
  <c r="E25" i="213"/>
  <c r="O25" i="213"/>
  <c r="AQ25" i="213"/>
  <c r="Q25" i="213"/>
  <c r="AT25" i="213"/>
  <c r="BR24" i="213"/>
  <c r="AR25" i="213"/>
  <c r="BQ25" i="213"/>
  <c r="AN25" i="213"/>
  <c r="BJ25" i="213"/>
  <c r="L25" i="213"/>
  <c r="T25" i="213"/>
  <c r="BG25" i="213"/>
  <c r="F25" i="213"/>
  <c r="BP25" i="213"/>
  <c r="I25" i="213"/>
  <c r="AV25" i="213"/>
  <c r="BC25" i="213"/>
  <c r="AK25" i="213"/>
  <c r="AL25" i="213"/>
  <c r="W25" i="213"/>
  <c r="AI25" i="213"/>
  <c r="N25" i="213"/>
  <c r="AM25" i="213"/>
  <c r="BN25" i="213"/>
  <c r="AW25" i="213"/>
  <c r="AC25" i="213"/>
  <c r="R25" i="213"/>
  <c r="AA25" i="213"/>
  <c r="BM25" i="213"/>
  <c r="V25" i="213"/>
  <c r="BL25" i="213"/>
  <c r="P25" i="213"/>
  <c r="BS25" i="213" l="1"/>
  <c r="BT25" i="213"/>
  <c r="BU25" i="213"/>
  <c r="BV25" i="213"/>
  <c r="BW25" i="213"/>
  <c r="BX25" i="213"/>
  <c r="BY25" i="213"/>
  <c r="BZ25" i="213"/>
  <c r="CE25" i="213"/>
  <c r="B26" i="213"/>
  <c r="BN26" i="213"/>
  <c r="U26" i="213"/>
  <c r="BG26" i="213"/>
  <c r="AC26" i="213"/>
  <c r="AN26" i="213"/>
  <c r="V26" i="213"/>
  <c r="BF26" i="213"/>
  <c r="J26" i="213"/>
  <c r="AJ26" i="213"/>
  <c r="AL26" i="213"/>
  <c r="W26" i="213"/>
  <c r="AO26" i="213"/>
  <c r="BK26" i="213"/>
  <c r="R26" i="213"/>
  <c r="AS26" i="213"/>
  <c r="N26" i="213"/>
  <c r="AX26" i="213"/>
  <c r="AW26" i="213"/>
  <c r="G26" i="213"/>
  <c r="AD26" i="213"/>
  <c r="AR26" i="213"/>
  <c r="BM26" i="213"/>
  <c r="S26" i="213"/>
  <c r="M26" i="213"/>
  <c r="Q26" i="213"/>
  <c r="K26" i="213"/>
  <c r="C26" i="213"/>
  <c r="F26" i="213"/>
  <c r="AU26" i="213"/>
  <c r="AB26" i="213"/>
  <c r="H26" i="213"/>
  <c r="AQ26" i="213"/>
  <c r="BQ26" i="213"/>
  <c r="X26" i="213"/>
  <c r="AH26" i="213"/>
  <c r="BP26" i="213"/>
  <c r="BR25" i="213"/>
  <c r="AM26" i="213"/>
  <c r="AA26" i="213"/>
  <c r="AY26" i="213"/>
  <c r="AP26" i="213"/>
  <c r="AK26" i="213"/>
  <c r="Z26" i="213"/>
  <c r="D26" i="213"/>
  <c r="BC26" i="213"/>
  <c r="I26" i="213"/>
  <c r="AT26" i="213"/>
  <c r="AV26" i="213"/>
  <c r="BA26" i="213"/>
  <c r="E26" i="213"/>
  <c r="T26" i="213"/>
  <c r="AZ26" i="213"/>
  <c r="BO26" i="213"/>
  <c r="O26" i="213"/>
  <c r="BH26" i="213"/>
  <c r="BJ26" i="213"/>
  <c r="AI26" i="213"/>
  <c r="BL26" i="213"/>
  <c r="BI26" i="213"/>
  <c r="BE26" i="213"/>
  <c r="Y26" i="213"/>
  <c r="AE26" i="213"/>
  <c r="BB26" i="213"/>
  <c r="AF26" i="213"/>
  <c r="L26" i="213"/>
  <c r="P26" i="213"/>
  <c r="BD26" i="213"/>
  <c r="A26" i="213"/>
  <c r="AG26" i="213"/>
  <c r="BS26" i="213" l="1"/>
  <c r="BT26" i="213"/>
  <c r="BU26" i="213"/>
  <c r="BV26" i="213"/>
  <c r="BW26" i="213"/>
  <c r="BX26" i="213"/>
  <c r="BY26" i="213"/>
  <c r="BZ26" i="213"/>
  <c r="CE26" i="213"/>
  <c r="B27" i="213"/>
  <c r="BS27" i="213"/>
  <c r="BT27" i="213"/>
  <c r="BU27" i="213"/>
  <c r="BV27" i="213"/>
  <c r="BW27" i="213"/>
  <c r="BX27" i="213"/>
  <c r="BY27" i="213"/>
  <c r="BZ27" i="213"/>
  <c r="CE27" i="213"/>
  <c r="B28" i="213"/>
  <c r="BS28" i="213"/>
  <c r="BT28" i="213"/>
  <c r="BU28" i="213"/>
  <c r="BV28" i="213"/>
  <c r="BW28" i="213"/>
  <c r="BX28" i="213"/>
  <c r="BY28" i="213"/>
  <c r="BZ28" i="213"/>
  <c r="CE28" i="213"/>
  <c r="B29" i="213"/>
  <c r="BS29" i="213"/>
  <c r="BT29" i="213"/>
  <c r="BU29" i="213"/>
  <c r="BV29" i="213"/>
  <c r="BW29" i="213"/>
  <c r="BX29" i="213"/>
  <c r="BY29" i="213"/>
  <c r="BZ29" i="213"/>
  <c r="CE29" i="213"/>
  <c r="B30" i="213"/>
  <c r="BS30" i="213"/>
  <c r="BT30" i="213"/>
  <c r="BU30" i="213"/>
  <c r="BV30" i="213"/>
  <c r="BW30" i="213"/>
  <c r="BX30" i="213"/>
  <c r="BY30" i="213"/>
  <c r="BZ30" i="213"/>
  <c r="CE30" i="213"/>
  <c r="B31" i="213"/>
  <c r="BS31" i="213"/>
  <c r="BT31" i="213"/>
  <c r="BU31" i="213"/>
  <c r="BV31" i="213"/>
  <c r="BW31" i="213"/>
  <c r="BX31" i="213"/>
  <c r="BY31" i="213"/>
  <c r="BZ31" i="213"/>
  <c r="CE31" i="213"/>
  <c r="B32" i="213"/>
  <c r="BS32" i="213"/>
  <c r="BT32" i="213"/>
  <c r="BU32" i="213"/>
  <c r="BV32" i="213"/>
  <c r="BW32" i="213"/>
  <c r="BX32" i="213"/>
  <c r="BY32" i="213"/>
  <c r="BZ32" i="213"/>
  <c r="CE32" i="213"/>
  <c r="B33" i="213"/>
  <c r="BS33" i="213"/>
  <c r="BT33" i="213"/>
  <c r="BU33" i="213"/>
  <c r="BV33" i="213"/>
  <c r="BW33" i="213"/>
  <c r="BX33" i="213"/>
  <c r="BY33" i="213"/>
  <c r="BZ33" i="213"/>
  <c r="CE33" i="213"/>
  <c r="B34" i="213"/>
  <c r="BS34" i="213"/>
  <c r="BT34" i="213"/>
  <c r="BU34" i="213"/>
  <c r="BV34" i="213"/>
  <c r="BW34" i="213"/>
  <c r="BX34" i="213"/>
  <c r="BY34" i="213"/>
  <c r="BZ34" i="213"/>
  <c r="CE34" i="213"/>
  <c r="B35" i="213"/>
  <c r="BS35" i="213"/>
  <c r="BT35" i="213"/>
  <c r="BU35" i="213"/>
  <c r="BV35" i="213"/>
  <c r="BW35" i="213"/>
  <c r="BX35" i="213"/>
  <c r="BY35" i="213"/>
  <c r="BZ35" i="213"/>
  <c r="CE35" i="213"/>
  <c r="B36" i="213"/>
  <c r="BS36" i="213"/>
  <c r="BT36" i="213"/>
  <c r="BU36" i="213"/>
  <c r="BV36" i="213"/>
  <c r="BW36" i="213"/>
  <c r="BX36" i="213"/>
  <c r="BY36" i="213"/>
  <c r="BZ36" i="213"/>
  <c r="CE36" i="213"/>
  <c r="B37" i="213"/>
  <c r="BS37" i="213"/>
  <c r="BT37" i="213"/>
  <c r="BU37" i="213"/>
  <c r="BV37" i="213"/>
  <c r="BW37" i="213"/>
  <c r="BX37" i="213"/>
  <c r="BY37" i="213"/>
  <c r="BZ37" i="213"/>
  <c r="CE37" i="213"/>
  <c r="B38" i="213"/>
  <c r="BS38" i="213"/>
  <c r="BT38" i="213"/>
  <c r="BU38" i="213"/>
  <c r="BV38" i="213"/>
  <c r="BW38" i="213"/>
  <c r="BX38" i="213"/>
  <c r="BY38" i="213"/>
  <c r="BZ38" i="213"/>
  <c r="CE38" i="213"/>
  <c r="B39" i="213"/>
  <c r="BS39" i="213"/>
  <c r="BT39" i="213"/>
  <c r="BU39" i="213"/>
  <c r="BV39" i="213"/>
  <c r="BW39" i="213"/>
  <c r="BX39" i="213"/>
  <c r="BY39" i="213"/>
  <c r="BZ39" i="213"/>
  <c r="CE39" i="213"/>
  <c r="B40" i="213"/>
  <c r="BS40" i="213"/>
  <c r="BT40" i="213"/>
  <c r="BU40" i="213"/>
  <c r="BV40" i="213"/>
  <c r="BW40" i="213"/>
  <c r="BX40" i="213"/>
  <c r="BY40" i="213"/>
  <c r="BZ40" i="213"/>
  <c r="CE40" i="213"/>
  <c r="B41" i="213"/>
  <c r="BS41" i="213"/>
  <c r="BT41" i="213"/>
  <c r="BU41" i="213"/>
  <c r="BV41" i="213"/>
  <c r="BW41" i="213"/>
  <c r="BX41" i="213"/>
  <c r="BY41" i="213"/>
  <c r="BZ41" i="213"/>
  <c r="CE41" i="213"/>
  <c r="B42" i="213"/>
  <c r="Z4" i="172" l="1"/>
  <c r="AB4" i="172" s="1"/>
  <c r="M6" i="292" s="1"/>
  <c r="Z3" i="172"/>
  <c r="AB3" i="172" s="1"/>
  <c r="M5" i="292" s="1"/>
  <c r="Z2" i="172"/>
  <c r="AB2" i="172" s="1"/>
  <c r="M4" i="4" s="1"/>
  <c r="BS42" i="213"/>
  <c r="BT42" i="213"/>
  <c r="BU42" i="213"/>
  <c r="BV42" i="213"/>
  <c r="BW42" i="213"/>
  <c r="BX42" i="213"/>
  <c r="BY42" i="213"/>
  <c r="BZ42" i="213"/>
  <c r="CE42" i="213"/>
  <c r="A43" i="213"/>
  <c r="B44" i="213"/>
  <c r="BS44" i="213"/>
  <c r="BT44" i="213"/>
  <c r="BU44" i="213"/>
  <c r="BV44" i="213"/>
  <c r="BW44" i="213"/>
  <c r="BX44" i="213"/>
  <c r="BY44" i="213"/>
  <c r="BZ44" i="213"/>
  <c r="B45" i="213"/>
  <c r="BS45" i="213"/>
  <c r="BT45" i="213"/>
  <c r="BU45" i="213"/>
  <c r="BV45" i="213"/>
  <c r="BW45" i="213"/>
  <c r="BX45" i="213"/>
  <c r="BY45" i="213"/>
  <c r="BZ45" i="213"/>
  <c r="B46" i="213"/>
  <c r="BS46" i="213"/>
  <c r="BT46" i="213"/>
  <c r="BU46" i="213"/>
  <c r="BV46" i="213"/>
  <c r="BW46" i="213"/>
  <c r="BX46" i="213"/>
  <c r="BY46" i="213"/>
  <c r="BZ46" i="213"/>
  <c r="B47" i="213"/>
  <c r="BS47" i="213"/>
  <c r="BT47" i="213"/>
  <c r="BU47" i="213"/>
  <c r="BV47" i="213"/>
  <c r="BW47" i="213"/>
  <c r="BX47" i="213"/>
  <c r="BY47" i="213"/>
  <c r="BZ47" i="213"/>
  <c r="B48" i="213"/>
  <c r="BS48" i="213"/>
  <c r="BT48" i="213"/>
  <c r="BU48" i="213"/>
  <c r="BV48" i="213"/>
  <c r="BW48" i="213"/>
  <c r="BX48" i="213"/>
  <c r="BY48" i="213"/>
  <c r="BZ48" i="213"/>
  <c r="B49" i="213"/>
  <c r="BS49" i="213"/>
  <c r="BT49" i="213"/>
  <c r="BU49" i="213"/>
  <c r="BV49" i="213"/>
  <c r="BW49" i="213"/>
  <c r="BX49" i="213"/>
  <c r="BY49" i="213"/>
  <c r="BZ49" i="213"/>
  <c r="B50" i="213"/>
  <c r="BS50" i="213"/>
  <c r="BT50" i="213"/>
  <c r="BU50" i="213"/>
  <c r="BV50" i="213"/>
  <c r="BW50" i="213"/>
  <c r="BX50" i="213"/>
  <c r="BY50" i="213"/>
  <c r="BZ50" i="213"/>
  <c r="B51" i="213"/>
  <c r="BS51" i="213"/>
  <c r="BT51" i="213"/>
  <c r="BU51" i="213"/>
  <c r="BV51" i="213"/>
  <c r="BW51" i="213"/>
  <c r="BX51" i="213"/>
  <c r="BY51" i="213"/>
  <c r="BZ51" i="213"/>
  <c r="B52" i="213"/>
  <c r="BS52" i="213"/>
  <c r="BT52" i="213"/>
  <c r="BU52" i="213"/>
  <c r="BV52" i="213"/>
  <c r="BW52" i="213"/>
  <c r="BX52" i="213"/>
  <c r="BY52" i="213"/>
  <c r="BZ52" i="213"/>
  <c r="B53" i="213"/>
  <c r="BS53" i="213"/>
  <c r="BT53" i="213"/>
  <c r="BU53" i="213"/>
  <c r="BV53" i="213"/>
  <c r="BW53" i="213"/>
  <c r="BX53" i="213"/>
  <c r="BY53" i="213"/>
  <c r="BZ53" i="213"/>
  <c r="C57" i="213"/>
  <c r="C58" i="213"/>
  <c r="C59" i="213"/>
  <c r="B31" i="265"/>
  <c r="B32" i="265"/>
  <c r="C19" i="264"/>
  <c r="C23" i="264"/>
  <c r="C30" i="264"/>
  <c r="C45" i="264"/>
  <c r="C66" i="264" s="1"/>
  <c r="F9" i="63" s="1"/>
  <c r="F11" i="63" s="1"/>
  <c r="I27" i="289" s="1"/>
  <c r="C53" i="264"/>
  <c r="C61" i="264"/>
  <c r="D19" i="264"/>
  <c r="D23" i="264"/>
  <c r="D30" i="264"/>
  <c r="D45" i="264"/>
  <c r="D53" i="264"/>
  <c r="D61" i="264"/>
  <c r="E19" i="264"/>
  <c r="E23" i="264"/>
  <c r="E30" i="264"/>
  <c r="F30" i="264" s="1"/>
  <c r="E45" i="264"/>
  <c r="E53" i="264"/>
  <c r="E61" i="264"/>
  <c r="F16" i="264"/>
  <c r="F17" i="264"/>
  <c r="K17" i="264" s="1"/>
  <c r="F18" i="264"/>
  <c r="F21" i="264"/>
  <c r="F22" i="264"/>
  <c r="F32" i="264"/>
  <c r="F45" i="264" s="1"/>
  <c r="F33" i="264"/>
  <c r="F34" i="264"/>
  <c r="F35" i="264"/>
  <c r="F36" i="264"/>
  <c r="K36" i="264" s="1"/>
  <c r="F37" i="264"/>
  <c r="F38" i="264"/>
  <c r="F39" i="264"/>
  <c r="F40" i="264"/>
  <c r="F41" i="264"/>
  <c r="F42" i="264"/>
  <c r="F43" i="264"/>
  <c r="F44" i="264"/>
  <c r="K44" i="264" s="1"/>
  <c r="F47" i="264"/>
  <c r="F48" i="264"/>
  <c r="F49" i="264"/>
  <c r="F50" i="264"/>
  <c r="F51" i="264"/>
  <c r="F52" i="264"/>
  <c r="F55" i="264"/>
  <c r="K55" i="264" s="1"/>
  <c r="F56" i="264"/>
  <c r="F57" i="264"/>
  <c r="F58" i="264"/>
  <c r="F59" i="264"/>
  <c r="K59" i="264" s="1"/>
  <c r="F60" i="264"/>
  <c r="I16" i="264"/>
  <c r="K16" i="264"/>
  <c r="I17" i="264"/>
  <c r="I19" i="264" s="1"/>
  <c r="I18" i="264"/>
  <c r="K18" i="264"/>
  <c r="I21" i="264"/>
  <c r="K21" i="264" s="1"/>
  <c r="I22" i="264"/>
  <c r="F25" i="264"/>
  <c r="I25" i="264"/>
  <c r="K25" i="264"/>
  <c r="F26" i="264"/>
  <c r="I26" i="264"/>
  <c r="F27" i="264"/>
  <c r="K27" i="264" s="1"/>
  <c r="I27" i="264"/>
  <c r="F28" i="264"/>
  <c r="I28" i="264"/>
  <c r="K28" i="264"/>
  <c r="F29" i="264"/>
  <c r="K29" i="264" s="1"/>
  <c r="I29" i="264"/>
  <c r="I32" i="264"/>
  <c r="K32" i="264" s="1"/>
  <c r="I33" i="264"/>
  <c r="K33" i="264" s="1"/>
  <c r="I34" i="264"/>
  <c r="K34" i="264" s="1"/>
  <c r="I35" i="264"/>
  <c r="K35" i="264" s="1"/>
  <c r="I36" i="264"/>
  <c r="I37" i="264"/>
  <c r="K37" i="264" s="1"/>
  <c r="I38" i="264"/>
  <c r="K38" i="264"/>
  <c r="I39" i="264"/>
  <c r="K39" i="264" s="1"/>
  <c r="I40" i="264"/>
  <c r="K40" i="264"/>
  <c r="I41" i="264"/>
  <c r="K41" i="264" s="1"/>
  <c r="I42" i="264"/>
  <c r="K42" i="264" s="1"/>
  <c r="I43" i="264"/>
  <c r="K43" i="264" s="1"/>
  <c r="I44" i="264"/>
  <c r="I47" i="264"/>
  <c r="K47" i="264" s="1"/>
  <c r="I48" i="264"/>
  <c r="K48" i="264" s="1"/>
  <c r="I49" i="264"/>
  <c r="K49" i="264" s="1"/>
  <c r="I50" i="264"/>
  <c r="K50" i="264" s="1"/>
  <c r="I51" i="264"/>
  <c r="K51" i="264" s="1"/>
  <c r="I52" i="264"/>
  <c r="K52" i="264" s="1"/>
  <c r="I55" i="264"/>
  <c r="I56" i="264"/>
  <c r="K56" i="264"/>
  <c r="I57" i="264"/>
  <c r="K57" i="264" s="1"/>
  <c r="I58" i="264"/>
  <c r="K58" i="264"/>
  <c r="I59" i="264"/>
  <c r="I60" i="264"/>
  <c r="K60" i="264"/>
  <c r="K63" i="264"/>
  <c r="H19" i="264"/>
  <c r="F20" i="264"/>
  <c r="H23" i="264"/>
  <c r="F24" i="264"/>
  <c r="H30" i="264"/>
  <c r="I30" i="264"/>
  <c r="F31" i="264"/>
  <c r="H45" i="264"/>
  <c r="I45" i="264"/>
  <c r="H53" i="264"/>
  <c r="H61" i="264"/>
  <c r="I61" i="264"/>
  <c r="F8" i="269"/>
  <c r="F16" i="269" s="1"/>
  <c r="F18" i="269" s="1"/>
  <c r="F12" i="269"/>
  <c r="F15" i="269"/>
  <c r="F6" i="267"/>
  <c r="F9" i="267"/>
  <c r="F10" i="267" s="1"/>
  <c r="F15" i="267"/>
  <c r="F20" i="267" s="1"/>
  <c r="D22" i="8" s="1"/>
  <c r="F19" i="267"/>
  <c r="F23" i="267"/>
  <c r="F30" i="267"/>
  <c r="F31" i="267" s="1"/>
  <c r="F32" i="267" s="1"/>
  <c r="F38" i="267" s="1"/>
  <c r="F37" i="267"/>
  <c r="G5" i="268"/>
  <c r="G6" i="268" s="1"/>
  <c r="G17" i="268"/>
  <c r="G28" i="268"/>
  <c r="G37" i="268"/>
  <c r="G43" i="268"/>
  <c r="G44" i="268" s="1"/>
  <c r="D31" i="10" s="1"/>
  <c r="H8" i="285"/>
  <c r="U8" i="285"/>
  <c r="AH8" i="285"/>
  <c r="H9" i="285"/>
  <c r="H10" i="285" s="1"/>
  <c r="U9" i="285"/>
  <c r="U10" i="285" s="1"/>
  <c r="AH9" i="285"/>
  <c r="F10" i="285"/>
  <c r="G10" i="285"/>
  <c r="I10" i="285"/>
  <c r="J10" i="285"/>
  <c r="K10" i="285"/>
  <c r="L10" i="285"/>
  <c r="L21" i="285" s="1"/>
  <c r="M10" i="285"/>
  <c r="N10" i="285"/>
  <c r="O10" i="285"/>
  <c r="P10" i="285"/>
  <c r="Q10" i="285"/>
  <c r="R10" i="285"/>
  <c r="S10" i="285"/>
  <c r="T10" i="285"/>
  <c r="T21" i="285" s="1"/>
  <c r="V10" i="285"/>
  <c r="W10" i="285"/>
  <c r="X10" i="285"/>
  <c r="Y10" i="285"/>
  <c r="Z10" i="285"/>
  <c r="AA10" i="285"/>
  <c r="AB10" i="285"/>
  <c r="AB21" i="285" s="1"/>
  <c r="AC10" i="285"/>
  <c r="AD10" i="285"/>
  <c r="AE10" i="285"/>
  <c r="AF10" i="285"/>
  <c r="AG10" i="285"/>
  <c r="AH10" i="285"/>
  <c r="AI11" i="285"/>
  <c r="AI12" i="285"/>
  <c r="H13" i="285"/>
  <c r="H14" i="285" s="1"/>
  <c r="U13" i="285"/>
  <c r="U14" i="285" s="1"/>
  <c r="AH13" i="285"/>
  <c r="F14" i="285"/>
  <c r="G14" i="285"/>
  <c r="I14" i="285"/>
  <c r="J14" i="285"/>
  <c r="J21" i="285" s="1"/>
  <c r="K14" i="285"/>
  <c r="L14" i="285"/>
  <c r="M14" i="285"/>
  <c r="N14" i="285"/>
  <c r="O14" i="285"/>
  <c r="P14" i="285"/>
  <c r="Q14" i="285"/>
  <c r="R14" i="285"/>
  <c r="R21" i="285" s="1"/>
  <c r="S14" i="285"/>
  <c r="T14" i="285"/>
  <c r="V14" i="285"/>
  <c r="W14" i="285"/>
  <c r="X14" i="285"/>
  <c r="Y14" i="285"/>
  <c r="Z14" i="285"/>
  <c r="AA14" i="285"/>
  <c r="AB14" i="285"/>
  <c r="AC14" i="285"/>
  <c r="AD14" i="285"/>
  <c r="AE14" i="285"/>
  <c r="AF14" i="285"/>
  <c r="AG14" i="285"/>
  <c r="AH14" i="285"/>
  <c r="AI15" i="285"/>
  <c r="AI16" i="285"/>
  <c r="H17" i="285"/>
  <c r="U17" i="285"/>
  <c r="AH17" i="285"/>
  <c r="H18" i="285"/>
  <c r="H19" i="285" s="1"/>
  <c r="U18" i="285"/>
  <c r="AH18" i="285"/>
  <c r="F19" i="285"/>
  <c r="G19" i="285"/>
  <c r="I19" i="285"/>
  <c r="I21" i="285" s="1"/>
  <c r="J19" i="285"/>
  <c r="K19" i="285"/>
  <c r="K21" i="285" s="1"/>
  <c r="L19" i="285"/>
  <c r="M19" i="285"/>
  <c r="M21" i="285" s="1"/>
  <c r="N19" i="285"/>
  <c r="O19" i="285"/>
  <c r="O21" i="285" s="1"/>
  <c r="P19" i="285"/>
  <c r="Q19" i="285"/>
  <c r="Q21" i="285" s="1"/>
  <c r="R19" i="285"/>
  <c r="S19" i="285"/>
  <c r="S21" i="285" s="1"/>
  <c r="T19" i="285"/>
  <c r="U19" i="285"/>
  <c r="V19" i="285"/>
  <c r="W19" i="285"/>
  <c r="W21" i="285" s="1"/>
  <c r="X19" i="285"/>
  <c r="Y19" i="285"/>
  <c r="Z19" i="285"/>
  <c r="AA19" i="285"/>
  <c r="AA21" i="285" s="1"/>
  <c r="AB19" i="285"/>
  <c r="AC19" i="285"/>
  <c r="AD19" i="285"/>
  <c r="AE19" i="285"/>
  <c r="AE21" i="285" s="1"/>
  <c r="AF19" i="285"/>
  <c r="AG19" i="285"/>
  <c r="AI20" i="285"/>
  <c r="F21" i="285"/>
  <c r="G21" i="285"/>
  <c r="N21" i="285"/>
  <c r="P21" i="285"/>
  <c r="V21" i="285"/>
  <c r="X21" i="285"/>
  <c r="Z21" i="285"/>
  <c r="AD21" i="285"/>
  <c r="AF21" i="285"/>
  <c r="AI22" i="285"/>
  <c r="AI23" i="285"/>
  <c r="F56" i="285"/>
  <c r="F57" i="285"/>
  <c r="F58" i="285"/>
  <c r="F59" i="285"/>
  <c r="F60" i="285"/>
  <c r="F61" i="285"/>
  <c r="F62" i="285"/>
  <c r="F63" i="285"/>
  <c r="G56" i="285"/>
  <c r="I56" i="285" s="1"/>
  <c r="G57" i="285"/>
  <c r="I57" i="285" s="1"/>
  <c r="J57" i="285" s="1"/>
  <c r="G58" i="285"/>
  <c r="I58" i="285" s="1"/>
  <c r="J58" i="285" s="1"/>
  <c r="K58" i="285" s="1"/>
  <c r="G59" i="285"/>
  <c r="G60" i="285"/>
  <c r="I60" i="285" s="1"/>
  <c r="J60" i="285" s="1"/>
  <c r="K60" i="285" s="1"/>
  <c r="G61" i="285"/>
  <c r="I61" i="285" s="1"/>
  <c r="J61" i="285" s="1"/>
  <c r="G62" i="285"/>
  <c r="I62" i="285" s="1"/>
  <c r="J62" i="285" s="1"/>
  <c r="K62" i="285" s="1"/>
  <c r="G63" i="285"/>
  <c r="G64" i="285"/>
  <c r="I59" i="285"/>
  <c r="J59" i="285" s="1"/>
  <c r="I63" i="285"/>
  <c r="J63" i="285" s="1"/>
  <c r="I64" i="285"/>
  <c r="J64" i="285" s="1"/>
  <c r="K64" i="285" s="1"/>
  <c r="F80" i="285"/>
  <c r="F25" i="285" s="1"/>
  <c r="G80" i="285"/>
  <c r="G25" i="285" s="1"/>
  <c r="I80" i="285"/>
  <c r="I25" i="285" s="1"/>
  <c r="J80" i="285"/>
  <c r="J25" i="285" s="1"/>
  <c r="K80" i="285"/>
  <c r="K25" i="285" s="1"/>
  <c r="L80" i="285"/>
  <c r="L25" i="285" s="1"/>
  <c r="M80" i="285"/>
  <c r="M25" i="285" s="1"/>
  <c r="N80" i="285"/>
  <c r="N25" i="285" s="1"/>
  <c r="O80" i="285"/>
  <c r="O25" i="285" s="1"/>
  <c r="P80" i="285"/>
  <c r="P25" i="285" s="1"/>
  <c r="Q80" i="285"/>
  <c r="Q25" i="285" s="1"/>
  <c r="R80" i="285"/>
  <c r="R25" i="285" s="1"/>
  <c r="S80" i="285"/>
  <c r="S25" i="285" s="1"/>
  <c r="T80" i="285"/>
  <c r="T25" i="285" s="1"/>
  <c r="V80" i="285"/>
  <c r="V25" i="285" s="1"/>
  <c r="W80" i="285"/>
  <c r="W25" i="285" s="1"/>
  <c r="X80" i="285"/>
  <c r="X25" i="285" s="1"/>
  <c r="Y80" i="285"/>
  <c r="Y25" i="285" s="1"/>
  <c r="Z80" i="285"/>
  <c r="Z25" i="285" s="1"/>
  <c r="AA80" i="285"/>
  <c r="AA25" i="285" s="1"/>
  <c r="AB80" i="285"/>
  <c r="AB25" i="285" s="1"/>
  <c r="AC80" i="285"/>
  <c r="AC25" i="285" s="1"/>
  <c r="AD80" i="285"/>
  <c r="AD25" i="285" s="1"/>
  <c r="AE80" i="285"/>
  <c r="AE25" i="285" s="1"/>
  <c r="AF80" i="285"/>
  <c r="AF25" i="285" s="1"/>
  <c r="AG80" i="285"/>
  <c r="AG25" i="285" s="1"/>
  <c r="F95" i="285"/>
  <c r="F26" i="285" s="1"/>
  <c r="G95" i="285"/>
  <c r="G26" i="285" s="1"/>
  <c r="I95" i="285"/>
  <c r="I26" i="285" s="1"/>
  <c r="J95" i="285"/>
  <c r="J26" i="285" s="1"/>
  <c r="K95" i="285"/>
  <c r="K26" i="285" s="1"/>
  <c r="L95" i="285"/>
  <c r="L26" i="285" s="1"/>
  <c r="M95" i="285"/>
  <c r="M26" i="285" s="1"/>
  <c r="N95" i="285"/>
  <c r="N26" i="285" s="1"/>
  <c r="O95" i="285"/>
  <c r="O26" i="285" s="1"/>
  <c r="P95" i="285"/>
  <c r="P26" i="285" s="1"/>
  <c r="Q95" i="285"/>
  <c r="Q26" i="285" s="1"/>
  <c r="R95" i="285"/>
  <c r="R26" i="285" s="1"/>
  <c r="S95" i="285"/>
  <c r="S26" i="285" s="1"/>
  <c r="T95" i="285"/>
  <c r="T26" i="285" s="1"/>
  <c r="V95" i="285"/>
  <c r="V26" i="285" s="1"/>
  <c r="W95" i="285"/>
  <c r="W26" i="285" s="1"/>
  <c r="X95" i="285"/>
  <c r="X26" i="285" s="1"/>
  <c r="Y95" i="285"/>
  <c r="Y26" i="285" s="1"/>
  <c r="Z95" i="285"/>
  <c r="Z26" i="285" s="1"/>
  <c r="AA95" i="285"/>
  <c r="AA26" i="285" s="1"/>
  <c r="AB95" i="285"/>
  <c r="AB26" i="285" s="1"/>
  <c r="AC95" i="285"/>
  <c r="AC26" i="285" s="1"/>
  <c r="AD95" i="285"/>
  <c r="AD26" i="285" s="1"/>
  <c r="AE95" i="285"/>
  <c r="AE26" i="285" s="1"/>
  <c r="AF95" i="285"/>
  <c r="AF26" i="285" s="1"/>
  <c r="AG95" i="285"/>
  <c r="AG26" i="285" s="1"/>
  <c r="F106" i="285"/>
  <c r="F27" i="285" s="1"/>
  <c r="G106" i="285"/>
  <c r="G27" i="285" s="1"/>
  <c r="I106" i="285"/>
  <c r="I27" i="285" s="1"/>
  <c r="J106" i="285"/>
  <c r="J27" i="285" s="1"/>
  <c r="K106" i="285"/>
  <c r="K27" i="285" s="1"/>
  <c r="L106" i="285"/>
  <c r="L27" i="285" s="1"/>
  <c r="M106" i="285"/>
  <c r="M27" i="285" s="1"/>
  <c r="N106" i="285"/>
  <c r="N27" i="285" s="1"/>
  <c r="O106" i="285"/>
  <c r="O27" i="285" s="1"/>
  <c r="P106" i="285"/>
  <c r="P27" i="285" s="1"/>
  <c r="Q106" i="285"/>
  <c r="Q27" i="285" s="1"/>
  <c r="R106" i="285"/>
  <c r="R27" i="285" s="1"/>
  <c r="S106" i="285"/>
  <c r="S27" i="285" s="1"/>
  <c r="T106" i="285"/>
  <c r="T27" i="285" s="1"/>
  <c r="V106" i="285"/>
  <c r="V27" i="285" s="1"/>
  <c r="W106" i="285"/>
  <c r="W27" i="285" s="1"/>
  <c r="X106" i="285"/>
  <c r="X27" i="285" s="1"/>
  <c r="Y106" i="285"/>
  <c r="Y27" i="285" s="1"/>
  <c r="Z106" i="285"/>
  <c r="Z27" i="285" s="1"/>
  <c r="AA106" i="285"/>
  <c r="AA27" i="285" s="1"/>
  <c r="AB106" i="285"/>
  <c r="AB27" i="285" s="1"/>
  <c r="AC106" i="285"/>
  <c r="AC27" i="285" s="1"/>
  <c r="AD106" i="285"/>
  <c r="AD27" i="285" s="1"/>
  <c r="AE106" i="285"/>
  <c r="AE27" i="285" s="1"/>
  <c r="AF106" i="285"/>
  <c r="AF27" i="285" s="1"/>
  <c r="AG106" i="285"/>
  <c r="AG27" i="285" s="1"/>
  <c r="F51" i="285"/>
  <c r="F110" i="285" s="1"/>
  <c r="G51" i="285"/>
  <c r="G110" i="285" s="1"/>
  <c r="G112" i="285" s="1"/>
  <c r="G28" i="285" s="1"/>
  <c r="I51" i="285"/>
  <c r="I110" i="285"/>
  <c r="I112" i="285" s="1"/>
  <c r="I28" i="285" s="1"/>
  <c r="J51" i="285"/>
  <c r="J110" i="285" s="1"/>
  <c r="J112" i="285" s="1"/>
  <c r="J28" i="285" s="1"/>
  <c r="K51" i="285"/>
  <c r="K110" i="285"/>
  <c r="K112" i="285" s="1"/>
  <c r="K28" i="285" s="1"/>
  <c r="L51" i="285"/>
  <c r="L110" i="285" s="1"/>
  <c r="L112" i="285" s="1"/>
  <c r="L28" i="285" s="1"/>
  <c r="M51" i="285"/>
  <c r="M110" i="285"/>
  <c r="M112" i="285" s="1"/>
  <c r="M28" i="285" s="1"/>
  <c r="N51" i="285"/>
  <c r="N110" i="285" s="1"/>
  <c r="N112" i="285" s="1"/>
  <c r="N28" i="285" s="1"/>
  <c r="O51" i="285"/>
  <c r="O110" i="285"/>
  <c r="O112" i="285" s="1"/>
  <c r="O28" i="285" s="1"/>
  <c r="P51" i="285"/>
  <c r="P110" i="285" s="1"/>
  <c r="P112" i="285" s="1"/>
  <c r="P28" i="285" s="1"/>
  <c r="Q51" i="285"/>
  <c r="Q110" i="285" s="1"/>
  <c r="R51" i="285"/>
  <c r="R110" i="285" s="1"/>
  <c r="R112" i="285" s="1"/>
  <c r="R28" i="285" s="1"/>
  <c r="S51" i="285"/>
  <c r="S110" i="285" s="1"/>
  <c r="S112" i="285" s="1"/>
  <c r="S28" i="285" s="1"/>
  <c r="T51" i="285"/>
  <c r="T110" i="285" s="1"/>
  <c r="T112" i="285" s="1"/>
  <c r="T28" i="285" s="1"/>
  <c r="V51" i="285"/>
  <c r="V110" i="285"/>
  <c r="V112" i="285" s="1"/>
  <c r="V28" i="285" s="1"/>
  <c r="W51" i="285"/>
  <c r="W110" i="285" s="1"/>
  <c r="W112" i="285" s="1"/>
  <c r="W28" i="285" s="1"/>
  <c r="X51" i="285"/>
  <c r="X110" i="285"/>
  <c r="X112" i="285" s="1"/>
  <c r="X28" i="285" s="1"/>
  <c r="Y51" i="285"/>
  <c r="Y110" i="285" s="1"/>
  <c r="Y112" i="285" s="1"/>
  <c r="Y28" i="285" s="1"/>
  <c r="Z51" i="285"/>
  <c r="Z110" i="285"/>
  <c r="Z112" i="285" s="1"/>
  <c r="Z28" i="285" s="1"/>
  <c r="AA51" i="285"/>
  <c r="AA110" i="285" s="1"/>
  <c r="AA112" i="285" s="1"/>
  <c r="AA28" i="285" s="1"/>
  <c r="AB51" i="285"/>
  <c r="AB110" i="285" s="1"/>
  <c r="AC51" i="285"/>
  <c r="AC110" i="285" s="1"/>
  <c r="AC112" i="285" s="1"/>
  <c r="AC28" i="285" s="1"/>
  <c r="AD51" i="285"/>
  <c r="AD110" i="285" s="1"/>
  <c r="AD112" i="285" s="1"/>
  <c r="AD28" i="285" s="1"/>
  <c r="AE112" i="285"/>
  <c r="AE28" i="285" s="1"/>
  <c r="AF112" i="285"/>
  <c r="AF28" i="285" s="1"/>
  <c r="AG112" i="285"/>
  <c r="AG28" i="285" s="1"/>
  <c r="F118" i="285"/>
  <c r="F29" i="285" s="1"/>
  <c r="G118" i="285"/>
  <c r="G29" i="285" s="1"/>
  <c r="I118" i="285"/>
  <c r="I29" i="285"/>
  <c r="J118" i="285"/>
  <c r="J29" i="285" s="1"/>
  <c r="K118" i="285"/>
  <c r="K29" i="285"/>
  <c r="L118" i="285"/>
  <c r="L29" i="285" s="1"/>
  <c r="M118" i="285"/>
  <c r="M29" i="285"/>
  <c r="N118" i="285"/>
  <c r="N29" i="285" s="1"/>
  <c r="O118" i="285"/>
  <c r="O29" i="285"/>
  <c r="P118" i="285"/>
  <c r="P29" i="285" s="1"/>
  <c r="Q118" i="285"/>
  <c r="Q29" i="285"/>
  <c r="R118" i="285"/>
  <c r="R29" i="285" s="1"/>
  <c r="S118" i="285"/>
  <c r="S29" i="285" s="1"/>
  <c r="T118" i="285"/>
  <c r="T29" i="285" s="1"/>
  <c r="V118" i="285"/>
  <c r="V29" i="285" s="1"/>
  <c r="W118" i="285"/>
  <c r="W29" i="285"/>
  <c r="X118" i="285"/>
  <c r="X29" i="285" s="1"/>
  <c r="Y118" i="285"/>
  <c r="Y29" i="285"/>
  <c r="Z118" i="285"/>
  <c r="Z29" i="285" s="1"/>
  <c r="AA118" i="285"/>
  <c r="AA29" i="285"/>
  <c r="AB118" i="285"/>
  <c r="AB29" i="285" s="1"/>
  <c r="AC118" i="285"/>
  <c r="AC29" i="285" s="1"/>
  <c r="AD118" i="285"/>
  <c r="AD29" i="285" s="1"/>
  <c r="AE118" i="285"/>
  <c r="AE29" i="285" s="1"/>
  <c r="AF118" i="285"/>
  <c r="AF29" i="285" s="1"/>
  <c r="AG118" i="285"/>
  <c r="AG29" i="285" s="1"/>
  <c r="H30" i="285"/>
  <c r="U30" i="285"/>
  <c r="AH30" i="285"/>
  <c r="F123" i="285"/>
  <c r="F31" i="285" s="1"/>
  <c r="H31" i="285" s="1"/>
  <c r="G123" i="285"/>
  <c r="G31" i="285" s="1"/>
  <c r="I123" i="285"/>
  <c r="I31" i="285" s="1"/>
  <c r="J123" i="285"/>
  <c r="J31" i="285" s="1"/>
  <c r="K123" i="285"/>
  <c r="K31" i="285" s="1"/>
  <c r="L123" i="285"/>
  <c r="L31" i="285" s="1"/>
  <c r="M123" i="285"/>
  <c r="M31" i="285" s="1"/>
  <c r="N123" i="285"/>
  <c r="N31" i="285" s="1"/>
  <c r="O123" i="285"/>
  <c r="O31" i="285" s="1"/>
  <c r="P123" i="285"/>
  <c r="P31" i="285" s="1"/>
  <c r="Q123" i="285"/>
  <c r="Q31" i="285" s="1"/>
  <c r="R123" i="285"/>
  <c r="R31" i="285" s="1"/>
  <c r="S123" i="285"/>
  <c r="S31" i="285" s="1"/>
  <c r="T123" i="285"/>
  <c r="T31" i="285" s="1"/>
  <c r="V123" i="285"/>
  <c r="V31" i="285" s="1"/>
  <c r="W123" i="285"/>
  <c r="W31" i="285" s="1"/>
  <c r="X123" i="285"/>
  <c r="X31" i="285" s="1"/>
  <c r="Y123" i="285"/>
  <c r="Y31" i="285" s="1"/>
  <c r="Z123" i="285"/>
  <c r="Z31" i="285" s="1"/>
  <c r="AA123" i="285"/>
  <c r="AA31" i="285" s="1"/>
  <c r="AB123" i="285"/>
  <c r="AB31" i="285" s="1"/>
  <c r="AC123" i="285"/>
  <c r="AC31" i="285" s="1"/>
  <c r="AD123" i="285"/>
  <c r="AD31" i="285" s="1"/>
  <c r="AE123" i="285"/>
  <c r="AE31" i="285" s="1"/>
  <c r="AF123" i="285"/>
  <c r="AF31" i="285" s="1"/>
  <c r="AG123" i="285"/>
  <c r="AG31" i="285" s="1"/>
  <c r="AI33" i="285"/>
  <c r="AI35" i="285"/>
  <c r="AI36" i="285"/>
  <c r="F50" i="285"/>
  <c r="G50" i="285"/>
  <c r="I50" i="285"/>
  <c r="J50" i="285"/>
  <c r="K50" i="285"/>
  <c r="L50" i="285"/>
  <c r="M50" i="285"/>
  <c r="N50" i="285"/>
  <c r="O50" i="285"/>
  <c r="P50" i="285"/>
  <c r="Q50" i="285"/>
  <c r="R50" i="285"/>
  <c r="S50" i="285"/>
  <c r="T50" i="285"/>
  <c r="V50" i="285"/>
  <c r="W50" i="285"/>
  <c r="X50" i="285"/>
  <c r="Y50" i="285"/>
  <c r="Z50" i="285"/>
  <c r="AA50" i="285"/>
  <c r="AB50" i="285"/>
  <c r="AC50" i="285"/>
  <c r="AD50" i="285"/>
  <c r="AE50" i="285"/>
  <c r="AF50" i="285"/>
  <c r="AG50" i="285"/>
  <c r="AE51" i="285"/>
  <c r="AF51" i="285"/>
  <c r="AG51" i="285"/>
  <c r="F54" i="285"/>
  <c r="G54" i="285" s="1"/>
  <c r="F55" i="285"/>
  <c r="G55" i="285" s="1"/>
  <c r="H56" i="285"/>
  <c r="H57" i="285"/>
  <c r="H58" i="285"/>
  <c r="H59" i="285"/>
  <c r="H60" i="285"/>
  <c r="H61" i="285"/>
  <c r="H62" i="285"/>
  <c r="H63" i="285"/>
  <c r="H64" i="285"/>
  <c r="H68" i="285"/>
  <c r="U68" i="285"/>
  <c r="AH68" i="285"/>
  <c r="H69" i="285"/>
  <c r="U69" i="285"/>
  <c r="AH69" i="285"/>
  <c r="AI69" i="285" s="1"/>
  <c r="H70" i="285"/>
  <c r="U70" i="285"/>
  <c r="AH70" i="285"/>
  <c r="H71" i="285"/>
  <c r="U71" i="285"/>
  <c r="AH71" i="285"/>
  <c r="H72" i="285"/>
  <c r="U72" i="285"/>
  <c r="AH72" i="285"/>
  <c r="H77" i="285"/>
  <c r="U77" i="285"/>
  <c r="AH77" i="285"/>
  <c r="AI77" i="285" s="1"/>
  <c r="H78" i="285"/>
  <c r="H80" i="285" s="1"/>
  <c r="U78" i="285"/>
  <c r="AH78" i="285"/>
  <c r="H79" i="285"/>
  <c r="U79" i="285"/>
  <c r="AH79" i="285"/>
  <c r="U80" i="285"/>
  <c r="H83" i="285"/>
  <c r="U83" i="285"/>
  <c r="AH83" i="285"/>
  <c r="AI83" i="285" s="1"/>
  <c r="H84" i="285"/>
  <c r="H95" i="285" s="1"/>
  <c r="U84" i="285"/>
  <c r="AH84" i="285"/>
  <c r="H85" i="285"/>
  <c r="U85" i="285"/>
  <c r="U95" i="285" s="1"/>
  <c r="AH85" i="285"/>
  <c r="H86" i="285"/>
  <c r="U86" i="285"/>
  <c r="AH86" i="285"/>
  <c r="H87" i="285"/>
  <c r="U87" i="285"/>
  <c r="AH87" i="285"/>
  <c r="AI87" i="285" s="1"/>
  <c r="H88" i="285"/>
  <c r="U88" i="285"/>
  <c r="AH88" i="285"/>
  <c r="H89" i="285"/>
  <c r="U89" i="285"/>
  <c r="AH89" i="285"/>
  <c r="H90" i="285"/>
  <c r="U90" i="285"/>
  <c r="AH90" i="285"/>
  <c r="H91" i="285"/>
  <c r="U91" i="285"/>
  <c r="AH91" i="285"/>
  <c r="AI91" i="285" s="1"/>
  <c r="H92" i="285"/>
  <c r="U92" i="285"/>
  <c r="AH92" i="285"/>
  <c r="H93" i="285"/>
  <c r="U93" i="285"/>
  <c r="AH93" i="285"/>
  <c r="H94" i="285"/>
  <c r="U94" i="285"/>
  <c r="AH94" i="285"/>
  <c r="AH95" i="285"/>
  <c r="H98" i="285"/>
  <c r="U98" i="285"/>
  <c r="AH98" i="285"/>
  <c r="H99" i="285"/>
  <c r="H106" i="285" s="1"/>
  <c r="U99" i="285"/>
  <c r="U106" i="285" s="1"/>
  <c r="AH99" i="285"/>
  <c r="H100" i="285"/>
  <c r="U100" i="285"/>
  <c r="AH100" i="285"/>
  <c r="H101" i="285"/>
  <c r="U101" i="285"/>
  <c r="AH101" i="285"/>
  <c r="AI101" i="285" s="1"/>
  <c r="H102" i="285"/>
  <c r="U102" i="285"/>
  <c r="AH102" i="285"/>
  <c r="H103" i="285"/>
  <c r="U103" i="285"/>
  <c r="AH103" i="285"/>
  <c r="H104" i="285"/>
  <c r="U104" i="285"/>
  <c r="AH104" i="285"/>
  <c r="H105" i="285"/>
  <c r="U105" i="285"/>
  <c r="AH105" i="285"/>
  <c r="AI105" i="285" s="1"/>
  <c r="H109" i="285"/>
  <c r="U109" i="285"/>
  <c r="AH109" i="285"/>
  <c r="H111" i="285"/>
  <c r="U111" i="285"/>
  <c r="AH111" i="285"/>
  <c r="H115" i="285"/>
  <c r="U115" i="285"/>
  <c r="AH115" i="285"/>
  <c r="AH118" i="285" s="1"/>
  <c r="H116" i="285"/>
  <c r="U116" i="285"/>
  <c r="AH116" i="285"/>
  <c r="H117" i="285"/>
  <c r="U117" i="285"/>
  <c r="AH117" i="285"/>
  <c r="H121" i="285"/>
  <c r="U121" i="285"/>
  <c r="AH121" i="285"/>
  <c r="H122" i="285"/>
  <c r="U122" i="285"/>
  <c r="AH122" i="285"/>
  <c r="AH123" i="285" s="1"/>
  <c r="B2" i="156"/>
  <c r="G4" i="156"/>
  <c r="C7" i="156"/>
  <c r="F12" i="156"/>
  <c r="G12" i="156"/>
  <c r="C23" i="156"/>
  <c r="G23" i="156" s="1"/>
  <c r="C24" i="156"/>
  <c r="G24" i="156" s="1"/>
  <c r="C29" i="156"/>
  <c r="F29" i="156" s="1"/>
  <c r="G33" i="156"/>
  <c r="F36" i="156"/>
  <c r="F37" i="156"/>
  <c r="F38" i="156"/>
  <c r="F39" i="156"/>
  <c r="F40" i="156"/>
  <c r="F41" i="156"/>
  <c r="F46" i="156"/>
  <c r="F49" i="156"/>
  <c r="F50" i="156"/>
  <c r="F51" i="156"/>
  <c r="F52" i="156"/>
  <c r="F53" i="156"/>
  <c r="F58" i="156"/>
  <c r="F59" i="156"/>
  <c r="F62" i="156"/>
  <c r="F63" i="156"/>
  <c r="F64" i="156"/>
  <c r="F65" i="156"/>
  <c r="F66" i="156"/>
  <c r="F71" i="156"/>
  <c r="F72" i="156"/>
  <c r="F77" i="156"/>
  <c r="G77" i="156"/>
  <c r="F78" i="156"/>
  <c r="G78" i="156"/>
  <c r="F79" i="156"/>
  <c r="G79" i="156"/>
  <c r="F80" i="156"/>
  <c r="G80" i="156"/>
  <c r="F81" i="156"/>
  <c r="G81" i="156"/>
  <c r="F83" i="156"/>
  <c r="G83" i="156"/>
  <c r="F87" i="156"/>
  <c r="G87" i="156"/>
  <c r="F88" i="156"/>
  <c r="G88" i="156"/>
  <c r="F89" i="156"/>
  <c r="G89" i="156"/>
  <c r="F90" i="156"/>
  <c r="G90" i="156"/>
  <c r="F91" i="156"/>
  <c r="G91" i="156"/>
  <c r="F92" i="156"/>
  <c r="G92" i="156"/>
  <c r="F93" i="156"/>
  <c r="G93" i="156"/>
  <c r="F97" i="156"/>
  <c r="G97" i="156"/>
  <c r="F98" i="156"/>
  <c r="G98" i="156"/>
  <c r="F99" i="156"/>
  <c r="G99" i="156"/>
  <c r="F100" i="156"/>
  <c r="G100" i="156"/>
  <c r="F101" i="156"/>
  <c r="G101" i="156"/>
  <c r="F102" i="156"/>
  <c r="G102" i="156"/>
  <c r="F103" i="156"/>
  <c r="G103" i="156"/>
  <c r="F107" i="156"/>
  <c r="F108" i="156"/>
  <c r="F109" i="156"/>
  <c r="F110" i="156"/>
  <c r="F111" i="156"/>
  <c r="F112" i="156"/>
  <c r="G115" i="156"/>
  <c r="G119" i="156"/>
  <c r="G120" i="156"/>
  <c r="G121" i="156"/>
  <c r="G122" i="156"/>
  <c r="F126" i="156"/>
  <c r="G126" i="156"/>
  <c r="F127" i="156"/>
  <c r="G127" i="156"/>
  <c r="F128" i="156"/>
  <c r="G128" i="156"/>
  <c r="F129" i="156"/>
  <c r="G129" i="156"/>
  <c r="F130" i="156"/>
  <c r="G130" i="156"/>
  <c r="F133" i="156"/>
  <c r="G133" i="156"/>
  <c r="F134" i="156"/>
  <c r="G134" i="156"/>
  <c r="F135" i="156"/>
  <c r="G135" i="156"/>
  <c r="F136" i="156"/>
  <c r="G136" i="156"/>
  <c r="F137" i="156"/>
  <c r="G137" i="156"/>
  <c r="F140" i="156"/>
  <c r="G140" i="156"/>
  <c r="F141" i="156"/>
  <c r="G141" i="156"/>
  <c r="F142" i="156"/>
  <c r="G142" i="156"/>
  <c r="F143" i="156"/>
  <c r="G143" i="156"/>
  <c r="F144" i="156"/>
  <c r="G144" i="156"/>
  <c r="F145" i="156"/>
  <c r="G145" i="156"/>
  <c r="F146" i="156"/>
  <c r="G146" i="156"/>
  <c r="F147" i="156"/>
  <c r="G147" i="156"/>
  <c r="F148" i="156"/>
  <c r="G148" i="156"/>
  <c r="F149" i="156"/>
  <c r="G149" i="156"/>
  <c r="F150" i="156"/>
  <c r="G150" i="156"/>
  <c r="F151" i="156"/>
  <c r="G151" i="156"/>
  <c r="F152" i="156"/>
  <c r="G152" i="156"/>
  <c r="F153" i="156"/>
  <c r="G153" i="156"/>
  <c r="F156" i="156"/>
  <c r="G156" i="156"/>
  <c r="F157" i="156"/>
  <c r="G157" i="156"/>
  <c r="F158" i="156"/>
  <c r="G158" i="156"/>
  <c r="F159" i="156"/>
  <c r="G159" i="156"/>
  <c r="F160" i="156"/>
  <c r="G160" i="156"/>
  <c r="F161" i="156"/>
  <c r="G161" i="156"/>
  <c r="F162" i="156"/>
  <c r="G162" i="156"/>
  <c r="F163" i="156"/>
  <c r="G163" i="156"/>
  <c r="F164" i="156"/>
  <c r="G164" i="156"/>
  <c r="F165" i="156"/>
  <c r="G165" i="156"/>
  <c r="F166" i="156"/>
  <c r="G166" i="156"/>
  <c r="F167" i="156"/>
  <c r="G167" i="156"/>
  <c r="F168" i="156"/>
  <c r="G168" i="156"/>
  <c r="F169" i="156"/>
  <c r="G169" i="156"/>
  <c r="C173" i="156"/>
  <c r="C174" i="156"/>
  <c r="F174" i="156" s="1"/>
  <c r="G174" i="156"/>
  <c r="F176" i="156"/>
  <c r="G176" i="156"/>
  <c r="F177" i="156"/>
  <c r="G177" i="156"/>
  <c r="B2" i="185"/>
  <c r="AD2" i="185"/>
  <c r="D7" i="156" s="1"/>
  <c r="AG2" i="185"/>
  <c r="AD3" i="185"/>
  <c r="AG3" i="185" s="1"/>
  <c r="Z4" i="185"/>
  <c r="AD4" i="185"/>
  <c r="AG4" i="185" s="1"/>
  <c r="AD5" i="185"/>
  <c r="AG5" i="185" s="1"/>
  <c r="D7" i="185"/>
  <c r="N7" i="185"/>
  <c r="B11" i="185"/>
  <c r="D11" i="185"/>
  <c r="E11" i="185"/>
  <c r="Y11" i="185" s="1"/>
  <c r="F11" i="185"/>
  <c r="I11" i="185" s="1"/>
  <c r="G11" i="185"/>
  <c r="H11" i="185"/>
  <c r="K11" i="185"/>
  <c r="N11" i="185"/>
  <c r="X11" i="185" s="1"/>
  <c r="O11" i="185"/>
  <c r="P11" i="185"/>
  <c r="Q11" i="185"/>
  <c r="R11" i="185"/>
  <c r="U11" i="185"/>
  <c r="AD11" i="185"/>
  <c r="B12" i="185"/>
  <c r="D12" i="185"/>
  <c r="E12" i="185"/>
  <c r="F12" i="185"/>
  <c r="I12" i="185" s="1"/>
  <c r="G12" i="185"/>
  <c r="H12" i="185"/>
  <c r="K12" i="185"/>
  <c r="N12" i="185"/>
  <c r="X12" i="185" s="1"/>
  <c r="O12" i="185"/>
  <c r="O45" i="185" s="1"/>
  <c r="P12" i="185"/>
  <c r="Q12" i="185"/>
  <c r="R12" i="185"/>
  <c r="R43" i="185" s="1"/>
  <c r="U12" i="185"/>
  <c r="AD12" i="185"/>
  <c r="B13" i="185"/>
  <c r="D13" i="185"/>
  <c r="E13" i="185"/>
  <c r="F13" i="185"/>
  <c r="G13" i="185"/>
  <c r="J13" i="185" s="1"/>
  <c r="L13" i="185" s="1"/>
  <c r="H13" i="185"/>
  <c r="K13" i="185"/>
  <c r="N13" i="185"/>
  <c r="X13" i="185" s="1"/>
  <c r="O13" i="185"/>
  <c r="P13" i="185"/>
  <c r="Q13" i="185"/>
  <c r="R13" i="185"/>
  <c r="S13" i="185" s="1"/>
  <c r="U13" i="185"/>
  <c r="AD13" i="185"/>
  <c r="B14" i="185"/>
  <c r="D14" i="185"/>
  <c r="E14" i="185"/>
  <c r="F14" i="185"/>
  <c r="G14" i="185"/>
  <c r="H14" i="185"/>
  <c r="K14" i="185"/>
  <c r="N14" i="185"/>
  <c r="O14" i="185"/>
  <c r="P14" i="185"/>
  <c r="S14" i="185" s="1"/>
  <c r="Q14" i="185"/>
  <c r="R14" i="185"/>
  <c r="U14" i="185"/>
  <c r="U45" i="185" s="1"/>
  <c r="X14" i="185"/>
  <c r="AD14" i="185"/>
  <c r="B15" i="185"/>
  <c r="D15" i="185"/>
  <c r="E15" i="185"/>
  <c r="E44" i="185" s="1"/>
  <c r="F15" i="185"/>
  <c r="G15" i="185"/>
  <c r="H15" i="185"/>
  <c r="J15" i="185" s="1"/>
  <c r="L15" i="185" s="1"/>
  <c r="K15" i="185"/>
  <c r="N15" i="185"/>
  <c r="O15" i="185"/>
  <c r="T15" i="185" s="1"/>
  <c r="V15" i="185" s="1"/>
  <c r="P15" i="185"/>
  <c r="Q15" i="185"/>
  <c r="R15" i="185"/>
  <c r="S15" i="185"/>
  <c r="U15" i="185"/>
  <c r="AD15" i="185"/>
  <c r="B16" i="185"/>
  <c r="D16" i="185"/>
  <c r="E16" i="185"/>
  <c r="F16" i="185"/>
  <c r="G16" i="185"/>
  <c r="H16" i="185"/>
  <c r="K16" i="185"/>
  <c r="K46" i="185" s="1"/>
  <c r="N16" i="185"/>
  <c r="O16" i="185"/>
  <c r="P16" i="185"/>
  <c r="S16" i="185" s="1"/>
  <c r="Q16" i="185"/>
  <c r="Q46" i="185" s="1"/>
  <c r="R16" i="185"/>
  <c r="U16" i="185"/>
  <c r="X16" i="185"/>
  <c r="AD16" i="185"/>
  <c r="B17" i="185"/>
  <c r="D17" i="185"/>
  <c r="E17" i="185"/>
  <c r="F17" i="185"/>
  <c r="G17" i="185"/>
  <c r="H17" i="185"/>
  <c r="J17" i="185"/>
  <c r="L17" i="185" s="1"/>
  <c r="K17" i="185"/>
  <c r="N17" i="185"/>
  <c r="X17" i="185" s="1"/>
  <c r="O17" i="185"/>
  <c r="P17" i="185"/>
  <c r="S17" i="185" s="1"/>
  <c r="Q17" i="185"/>
  <c r="R17" i="185"/>
  <c r="U17" i="185"/>
  <c r="AD17" i="185"/>
  <c r="B18" i="185"/>
  <c r="D18" i="185"/>
  <c r="E18" i="185"/>
  <c r="F18" i="185"/>
  <c r="J18" i="185" s="1"/>
  <c r="L18" i="185" s="1"/>
  <c r="G18" i="185"/>
  <c r="H18" i="185"/>
  <c r="K18" i="185"/>
  <c r="N18" i="185"/>
  <c r="X18" i="185" s="1"/>
  <c r="O18" i="185"/>
  <c r="P18" i="185"/>
  <c r="Q18" i="185"/>
  <c r="R18" i="185"/>
  <c r="U18" i="185"/>
  <c r="AD18" i="185"/>
  <c r="B19" i="185"/>
  <c r="D19" i="185"/>
  <c r="E19" i="185"/>
  <c r="F19" i="185"/>
  <c r="J19" i="185" s="1"/>
  <c r="L19" i="185" s="1"/>
  <c r="G19" i="185"/>
  <c r="H19" i="185"/>
  <c r="K19" i="185"/>
  <c r="N19" i="185"/>
  <c r="X19" i="185" s="1"/>
  <c r="O19" i="185"/>
  <c r="P19" i="185"/>
  <c r="Q19" i="185"/>
  <c r="S19" i="185" s="1"/>
  <c r="R19" i="185"/>
  <c r="U19" i="185"/>
  <c r="AD19" i="185"/>
  <c r="B20" i="185"/>
  <c r="D20" i="185"/>
  <c r="E20" i="185"/>
  <c r="F20" i="185"/>
  <c r="F47" i="185" s="1"/>
  <c r="G20" i="185"/>
  <c r="H20" i="185"/>
  <c r="K20" i="185"/>
  <c r="N20" i="185"/>
  <c r="X20" i="185" s="1"/>
  <c r="O20" i="185"/>
  <c r="P20" i="185"/>
  <c r="Q20" i="185"/>
  <c r="R20" i="185"/>
  <c r="U20" i="185"/>
  <c r="AD20" i="185"/>
  <c r="B21" i="185"/>
  <c r="D21" i="185"/>
  <c r="E21" i="185"/>
  <c r="F21" i="185"/>
  <c r="G21" i="185"/>
  <c r="J21" i="185" s="1"/>
  <c r="L21" i="185" s="1"/>
  <c r="H21" i="185"/>
  <c r="K21" i="185"/>
  <c r="N21" i="185"/>
  <c r="N47" i="185" s="1"/>
  <c r="O21" i="185"/>
  <c r="P21" i="185"/>
  <c r="Q21" i="185"/>
  <c r="R21" i="185"/>
  <c r="R47" i="185" s="1"/>
  <c r="U21" i="185"/>
  <c r="AD21" i="185"/>
  <c r="B22" i="185"/>
  <c r="D22" i="185"/>
  <c r="E22" i="185"/>
  <c r="F22" i="185"/>
  <c r="G22" i="185"/>
  <c r="H22" i="185"/>
  <c r="K22" i="185"/>
  <c r="N22" i="185"/>
  <c r="O22" i="185"/>
  <c r="P22" i="185"/>
  <c r="S22" i="185" s="1"/>
  <c r="Q22" i="185"/>
  <c r="R22" i="185"/>
  <c r="U22" i="185"/>
  <c r="X22" i="185"/>
  <c r="AD22" i="185"/>
  <c r="B23" i="185"/>
  <c r="D23" i="185"/>
  <c r="D44" i="185" s="1"/>
  <c r="E23" i="185"/>
  <c r="E43" i="185" s="1"/>
  <c r="F23" i="185"/>
  <c r="G23" i="185"/>
  <c r="H23" i="185"/>
  <c r="H44" i="185" s="1"/>
  <c r="J23" i="185"/>
  <c r="L23" i="185" s="1"/>
  <c r="K23" i="185"/>
  <c r="N23" i="185"/>
  <c r="O23" i="185"/>
  <c r="P23" i="185"/>
  <c r="S23" i="185" s="1"/>
  <c r="Q23" i="185"/>
  <c r="R23" i="185"/>
  <c r="U23" i="185"/>
  <c r="AD23" i="185"/>
  <c r="N42" i="185"/>
  <c r="P42" i="185"/>
  <c r="N43" i="185"/>
  <c r="Q43" i="185"/>
  <c r="G44" i="185"/>
  <c r="P44" i="185"/>
  <c r="G45" i="185"/>
  <c r="K45" i="185"/>
  <c r="Q45" i="185"/>
  <c r="R45" i="185"/>
  <c r="E46" i="185"/>
  <c r="F46" i="185"/>
  <c r="N46" i="185"/>
  <c r="P46" i="185"/>
  <c r="D47" i="185"/>
  <c r="E47" i="185"/>
  <c r="K47" i="185"/>
  <c r="O47" i="185"/>
  <c r="U47" i="185"/>
  <c r="B2" i="291"/>
  <c r="I4" i="291"/>
  <c r="I5" i="291"/>
  <c r="B9" i="291"/>
  <c r="D9" i="291"/>
  <c r="E9" i="291"/>
  <c r="G9" i="291"/>
  <c r="D10" i="291"/>
  <c r="J9" i="291" s="1"/>
  <c r="B10" i="291"/>
  <c r="E10" i="291"/>
  <c r="G10" i="291"/>
  <c r="I10" i="291"/>
  <c r="D11" i="291"/>
  <c r="J10" i="291" s="1"/>
  <c r="B11" i="291"/>
  <c r="E11" i="291"/>
  <c r="G11" i="291"/>
  <c r="D12" i="291"/>
  <c r="J11" i="291" s="1"/>
  <c r="B12" i="291"/>
  <c r="E12" i="291"/>
  <c r="G12" i="291"/>
  <c r="D13" i="291"/>
  <c r="J12" i="291" s="1"/>
  <c r="B13" i="291"/>
  <c r="E13" i="291"/>
  <c r="G13" i="291"/>
  <c r="D14" i="291"/>
  <c r="J13" i="291" s="1"/>
  <c r="B14" i="291"/>
  <c r="E14" i="291"/>
  <c r="G14" i="291"/>
  <c r="D15" i="291"/>
  <c r="J14" i="291" s="1"/>
  <c r="B15" i="291"/>
  <c r="E15" i="291"/>
  <c r="G15" i="291"/>
  <c r="D16" i="291"/>
  <c r="J15" i="291" s="1"/>
  <c r="B16" i="291"/>
  <c r="E16" i="291"/>
  <c r="G16" i="291"/>
  <c r="D17" i="291"/>
  <c r="J16" i="291" s="1"/>
  <c r="B17" i="291"/>
  <c r="E17" i="291"/>
  <c r="G17" i="291"/>
  <c r="D18" i="291"/>
  <c r="J17" i="291" s="1"/>
  <c r="B18" i="291"/>
  <c r="E18" i="291"/>
  <c r="G18" i="291"/>
  <c r="D19" i="291"/>
  <c r="J18" i="291" s="1"/>
  <c r="B19" i="291"/>
  <c r="E19" i="291"/>
  <c r="G19" i="291"/>
  <c r="D24" i="291"/>
  <c r="D25" i="291" s="1"/>
  <c r="E25" i="291" s="1"/>
  <c r="D48" i="291"/>
  <c r="D49" i="291"/>
  <c r="E49" i="291" s="1"/>
  <c r="B2" i="295"/>
  <c r="B48" i="295" s="1"/>
  <c r="B50" i="295" s="1"/>
  <c r="AB3" i="295"/>
  <c r="Y4" i="295"/>
  <c r="AB4" i="295"/>
  <c r="AB5" i="295"/>
  <c r="M10" i="295"/>
  <c r="M11" i="295"/>
  <c r="M12" i="295"/>
  <c r="M13" i="295"/>
  <c r="M14" i="295"/>
  <c r="M15" i="295"/>
  <c r="M16" i="295"/>
  <c r="M46" i="295" s="1"/>
  <c r="M17" i="295"/>
  <c r="M18" i="295"/>
  <c r="M19" i="295"/>
  <c r="M20" i="295"/>
  <c r="M21" i="295"/>
  <c r="M22" i="295"/>
  <c r="S50" i="295"/>
  <c r="M48" i="295"/>
  <c r="M50" i="295" s="1"/>
  <c r="S48" i="295"/>
  <c r="B2" i="12"/>
  <c r="B48" i="12" s="1"/>
  <c r="B50" i="12" s="1"/>
  <c r="AB3" i="12"/>
  <c r="Y4" i="12"/>
  <c r="AB4" i="12"/>
  <c r="AB5" i="12"/>
  <c r="N6" i="12"/>
  <c r="N10" i="12" s="1"/>
  <c r="M10" i="12"/>
  <c r="M11" i="12"/>
  <c r="N11" i="12"/>
  <c r="M12" i="12"/>
  <c r="M13" i="12"/>
  <c r="M14" i="12"/>
  <c r="M15" i="12"/>
  <c r="M16" i="12"/>
  <c r="M17" i="12"/>
  <c r="N17" i="12"/>
  <c r="M18" i="12"/>
  <c r="M19" i="12"/>
  <c r="N19" i="12"/>
  <c r="M20" i="12"/>
  <c r="M21" i="12"/>
  <c r="M22" i="12"/>
  <c r="M41" i="12"/>
  <c r="S50" i="12"/>
  <c r="M48" i="12"/>
  <c r="M50" i="12"/>
  <c r="N50" i="12"/>
  <c r="S48" i="12"/>
  <c r="B2" i="11"/>
  <c r="D8" i="11"/>
  <c r="D10" i="11" s="1"/>
  <c r="D12" i="11"/>
  <c r="D26" i="11" s="1"/>
  <c r="D17" i="11"/>
  <c r="D42" i="11"/>
  <c r="D43" i="11"/>
  <c r="D44" i="11"/>
  <c r="D52" i="11"/>
  <c r="D56" i="11"/>
  <c r="B68" i="11"/>
  <c r="B2" i="66"/>
  <c r="O3" i="66"/>
  <c r="L4" i="66"/>
  <c r="P4" i="66"/>
  <c r="B14" i="66"/>
  <c r="B2" i="52"/>
  <c r="I4" i="52"/>
  <c r="J4" i="52"/>
  <c r="D9" i="52"/>
  <c r="D48" i="295" s="1"/>
  <c r="D11" i="52"/>
  <c r="C31" i="156" s="1"/>
  <c r="E15" i="52"/>
  <c r="F15" i="52" s="1"/>
  <c r="G15" i="52" s="1"/>
  <c r="O18" i="52"/>
  <c r="B19" i="52"/>
  <c r="B25" i="52" s="1"/>
  <c r="J19" i="52"/>
  <c r="J22" i="52" s="1"/>
  <c r="B20" i="52"/>
  <c r="B26" i="52" s="1"/>
  <c r="O24" i="52"/>
  <c r="B29" i="52"/>
  <c r="B67" i="52" s="1"/>
  <c r="Q29" i="52"/>
  <c r="B30" i="52"/>
  <c r="B68" i="52" s="1"/>
  <c r="D43" i="52"/>
  <c r="E43" i="52"/>
  <c r="J46" i="52"/>
  <c r="J51" i="52" s="1"/>
  <c r="D59" i="52"/>
  <c r="D72" i="52"/>
  <c r="E72" i="52"/>
  <c r="D83" i="52"/>
  <c r="D98" i="52"/>
  <c r="D107" i="52" s="1"/>
  <c r="B2" i="292"/>
  <c r="N4" i="292"/>
  <c r="N5" i="292"/>
  <c r="N6" i="292"/>
  <c r="J4" i="292"/>
  <c r="D9" i="292"/>
  <c r="C82" i="156" s="1"/>
  <c r="N22" i="292"/>
  <c r="B2" i="232"/>
  <c r="E17" i="232"/>
  <c r="D9" i="152"/>
  <c r="D13" i="152"/>
  <c r="D15" i="152"/>
  <c r="B2" i="14"/>
  <c r="I4" i="14"/>
  <c r="I5" i="14"/>
  <c r="D48" i="14"/>
  <c r="B9" i="14"/>
  <c r="D9" i="14"/>
  <c r="E9" i="14"/>
  <c r="G9" i="14"/>
  <c r="D10" i="14"/>
  <c r="J9" i="14" s="1"/>
  <c r="B10" i="14"/>
  <c r="E10" i="14"/>
  <c r="G10" i="14"/>
  <c r="I10" i="14"/>
  <c r="D11" i="14"/>
  <c r="I12" i="14" s="1"/>
  <c r="J10" i="14"/>
  <c r="B11" i="14"/>
  <c r="E11" i="14"/>
  <c r="G11" i="14"/>
  <c r="I11" i="14"/>
  <c r="D12" i="14"/>
  <c r="J11" i="14" s="1"/>
  <c r="B12" i="14"/>
  <c r="E12" i="14"/>
  <c r="G12" i="14"/>
  <c r="D13" i="14"/>
  <c r="I14" i="14" s="1"/>
  <c r="J12" i="14"/>
  <c r="B13" i="14"/>
  <c r="E13" i="14"/>
  <c r="G13" i="14"/>
  <c r="I13" i="14"/>
  <c r="D14" i="14"/>
  <c r="J13" i="14" s="1"/>
  <c r="B14" i="14"/>
  <c r="E14" i="14"/>
  <c r="G14" i="14"/>
  <c r="D15" i="14"/>
  <c r="I16" i="14" s="1"/>
  <c r="J14" i="14"/>
  <c r="B15" i="14"/>
  <c r="E15" i="14"/>
  <c r="G15" i="14"/>
  <c r="I15" i="14"/>
  <c r="D16" i="14"/>
  <c r="J15" i="14" s="1"/>
  <c r="B16" i="14"/>
  <c r="E16" i="14"/>
  <c r="G16" i="14"/>
  <c r="D17" i="14"/>
  <c r="I18" i="14" s="1"/>
  <c r="J16" i="14"/>
  <c r="B17" i="14"/>
  <c r="E17" i="14"/>
  <c r="G17" i="14"/>
  <c r="I17" i="14"/>
  <c r="D18" i="14"/>
  <c r="J17" i="14" s="1"/>
  <c r="B18" i="14"/>
  <c r="E18" i="14"/>
  <c r="H30" i="39" s="1"/>
  <c r="G18" i="14"/>
  <c r="D19" i="14"/>
  <c r="J18" i="14"/>
  <c r="B19" i="14"/>
  <c r="E19" i="14"/>
  <c r="G19" i="14"/>
  <c r="I19" i="14"/>
  <c r="B2" i="13"/>
  <c r="N6" i="13"/>
  <c r="D10" i="13"/>
  <c r="D46" i="13" s="1"/>
  <c r="E10" i="13"/>
  <c r="F10" i="13"/>
  <c r="G10" i="13"/>
  <c r="H10" i="13"/>
  <c r="I10" i="13"/>
  <c r="J10" i="13"/>
  <c r="K10" i="13"/>
  <c r="O10" i="13"/>
  <c r="D11" i="13"/>
  <c r="E11" i="13"/>
  <c r="F11" i="13"/>
  <c r="G11" i="13"/>
  <c r="H11" i="13"/>
  <c r="I11" i="13"/>
  <c r="J11" i="13" s="1"/>
  <c r="O11" i="13"/>
  <c r="Q11" i="13" s="1"/>
  <c r="E12" i="13"/>
  <c r="F12" i="13"/>
  <c r="L12" i="13"/>
  <c r="O12" i="13"/>
  <c r="Q12" i="13" s="1"/>
  <c r="D13" i="13"/>
  <c r="E13" i="13"/>
  <c r="F13" i="13"/>
  <c r="G13" i="13"/>
  <c r="H13" i="13"/>
  <c r="I13" i="13"/>
  <c r="J13" i="13"/>
  <c r="K13" i="13"/>
  <c r="O13" i="13"/>
  <c r="D14" i="13"/>
  <c r="E14" i="13"/>
  <c r="F14" i="13"/>
  <c r="G14" i="13"/>
  <c r="H14" i="13"/>
  <c r="I14" i="13"/>
  <c r="J14" i="13" s="1"/>
  <c r="K14" i="13" s="1"/>
  <c r="O14" i="13"/>
  <c r="Q14" i="13" s="1"/>
  <c r="D15" i="13"/>
  <c r="E15" i="13"/>
  <c r="F15" i="13"/>
  <c r="G15" i="13"/>
  <c r="H15" i="13"/>
  <c r="I15" i="13"/>
  <c r="J15" i="13"/>
  <c r="K15" i="13"/>
  <c r="O15" i="13"/>
  <c r="D16" i="13"/>
  <c r="E16" i="13"/>
  <c r="F16" i="13"/>
  <c r="G16" i="13"/>
  <c r="H16" i="13"/>
  <c r="I16" i="13"/>
  <c r="J16" i="13"/>
  <c r="K16" i="13"/>
  <c r="O16" i="13"/>
  <c r="Q16" i="13" s="1"/>
  <c r="D17" i="13"/>
  <c r="E17" i="13"/>
  <c r="F17" i="13"/>
  <c r="G17" i="13"/>
  <c r="H17" i="13"/>
  <c r="I17" i="13"/>
  <c r="J17" i="13"/>
  <c r="K17" i="13" s="1"/>
  <c r="O17" i="13"/>
  <c r="Q17" i="13" s="1"/>
  <c r="D18" i="13"/>
  <c r="E18" i="13"/>
  <c r="F18" i="13" s="1"/>
  <c r="O18" i="13"/>
  <c r="Q18" i="13" s="1"/>
  <c r="D19" i="13"/>
  <c r="E19" i="13"/>
  <c r="F19" i="13"/>
  <c r="G19" i="13"/>
  <c r="H19" i="13"/>
  <c r="I19" i="13"/>
  <c r="J19" i="13"/>
  <c r="K19" i="13"/>
  <c r="O19" i="13"/>
  <c r="Q19" i="13" s="1"/>
  <c r="D20" i="13"/>
  <c r="E20" i="13"/>
  <c r="F20" i="13"/>
  <c r="G20" i="13"/>
  <c r="H20" i="13" s="1"/>
  <c r="I20" i="13" s="1"/>
  <c r="J20" i="13" s="1"/>
  <c r="K20" i="13" s="1"/>
  <c r="O20" i="13"/>
  <c r="Q20" i="13"/>
  <c r="D21" i="13"/>
  <c r="E21" i="13"/>
  <c r="F21" i="13"/>
  <c r="O21" i="13"/>
  <c r="Q21" i="13" s="1"/>
  <c r="E22" i="13"/>
  <c r="F22" i="13" s="1"/>
  <c r="L22" i="13"/>
  <c r="O22" i="13"/>
  <c r="Q22" i="13" s="1"/>
  <c r="E43" i="13"/>
  <c r="B50" i="13"/>
  <c r="E55" i="13"/>
  <c r="B2" i="288"/>
  <c r="B48" i="288" s="1"/>
  <c r="B50" i="288" s="1"/>
  <c r="AB3" i="288"/>
  <c r="Y4" i="288"/>
  <c r="AB4" i="288"/>
  <c r="AB5" i="288"/>
  <c r="M10" i="288"/>
  <c r="M11" i="288"/>
  <c r="M12" i="288"/>
  <c r="M41" i="288" s="1"/>
  <c r="M13" i="288"/>
  <c r="M14" i="288"/>
  <c r="M15" i="288"/>
  <c r="M16" i="288"/>
  <c r="M17" i="288"/>
  <c r="M18" i="288"/>
  <c r="M19" i="288"/>
  <c r="M20" i="288"/>
  <c r="M21" i="288"/>
  <c r="M22" i="288"/>
  <c r="S50" i="288"/>
  <c r="M48" i="288"/>
  <c r="M50" i="288" s="1"/>
  <c r="S48" i="288"/>
  <c r="B2" i="287"/>
  <c r="H10" i="287"/>
  <c r="L4" i="14" s="1"/>
  <c r="H17" i="287"/>
  <c r="H32" i="287" s="1"/>
  <c r="H42" i="287"/>
  <c r="H43" i="287"/>
  <c r="H44" i="287"/>
  <c r="J54" i="287"/>
  <c r="H56" i="287"/>
  <c r="B71" i="287"/>
  <c r="B2" i="290"/>
  <c r="D9" i="290"/>
  <c r="D10" i="290"/>
  <c r="B11" i="290"/>
  <c r="D11" i="290" s="1"/>
  <c r="I11" i="290"/>
  <c r="O11" i="290"/>
  <c r="U11" i="290"/>
  <c r="B12" i="290"/>
  <c r="D12" i="290" s="1"/>
  <c r="B13" i="290"/>
  <c r="D13" i="290" s="1"/>
  <c r="I13" i="290"/>
  <c r="O13" i="290"/>
  <c r="U13" i="290"/>
  <c r="B14" i="290"/>
  <c r="D14" i="290" s="1"/>
  <c r="B15" i="290"/>
  <c r="D15" i="290" s="1"/>
  <c r="B16" i="290"/>
  <c r="D16" i="290" s="1"/>
  <c r="I16" i="290"/>
  <c r="O16" i="290"/>
  <c r="U16" i="290"/>
  <c r="B17" i="290"/>
  <c r="D17" i="290" s="1"/>
  <c r="B18" i="290"/>
  <c r="D18" i="290" s="1"/>
  <c r="B19" i="290"/>
  <c r="D19" i="290" s="1"/>
  <c r="B20" i="290"/>
  <c r="I20" i="290"/>
  <c r="O20" i="290"/>
  <c r="U20" i="290"/>
  <c r="F21" i="290"/>
  <c r="G21" i="290"/>
  <c r="H21" i="290"/>
  <c r="L21" i="290"/>
  <c r="M21" i="290"/>
  <c r="N21" i="290"/>
  <c r="R21" i="290"/>
  <c r="S21" i="290"/>
  <c r="T21" i="290"/>
  <c r="B2" i="64"/>
  <c r="E4" i="64"/>
  <c r="J10" i="64"/>
  <c r="J11" i="64"/>
  <c r="I12" i="64"/>
  <c r="D34" i="52" s="1" a="1"/>
  <c r="D22" i="64"/>
  <c r="E22" i="64"/>
  <c r="D24" i="64"/>
  <c r="E24" i="64"/>
  <c r="D27" i="64"/>
  <c r="E27" i="64"/>
  <c r="D28" i="64"/>
  <c r="E28" i="64"/>
  <c r="D29" i="64"/>
  <c r="E29" i="64"/>
  <c r="D30" i="64"/>
  <c r="E30" i="64"/>
  <c r="B2" i="63"/>
  <c r="H4" i="63"/>
  <c r="H13" i="63"/>
  <c r="D25" i="63"/>
  <c r="O27" i="52" s="1"/>
  <c r="D26" i="63"/>
  <c r="F14" i="63" s="1"/>
  <c r="H14" i="63" s="1"/>
  <c r="D27" i="63"/>
  <c r="O29" i="52" s="1"/>
  <c r="D19" i="63"/>
  <c r="E19" i="63"/>
  <c r="E25" i="63"/>
  <c r="E26" i="63"/>
  <c r="E27" i="63"/>
  <c r="B2" i="15"/>
  <c r="D9" i="15"/>
  <c r="D10" i="15"/>
  <c r="D11" i="15"/>
  <c r="D12" i="15"/>
  <c r="D13" i="15"/>
  <c r="D14" i="15"/>
  <c r="D15" i="15"/>
  <c r="D16" i="15"/>
  <c r="D17" i="15"/>
  <c r="D18" i="15"/>
  <c r="D19" i="15"/>
  <c r="D20" i="15"/>
  <c r="D21" i="15"/>
  <c r="B2" i="47"/>
  <c r="AB2" i="47"/>
  <c r="AC2" i="47"/>
  <c r="AD2" i="47"/>
  <c r="AL2" i="47"/>
  <c r="AB2" i="12" s="1"/>
  <c r="AB3" i="47"/>
  <c r="AC3" i="47"/>
  <c r="AD3" i="47"/>
  <c r="Z4" i="47"/>
  <c r="AC4" i="47"/>
  <c r="AD4" i="47"/>
  <c r="R8" i="47"/>
  <c r="S8" i="47"/>
  <c r="T8" i="47"/>
  <c r="B12" i="47"/>
  <c r="B10" i="295" s="1"/>
  <c r="C12" i="47"/>
  <c r="C12" i="172" s="1"/>
  <c r="H12" i="47"/>
  <c r="I12" i="47"/>
  <c r="J12" i="47"/>
  <c r="L12" i="47"/>
  <c r="M12" i="47"/>
  <c r="N12" i="47"/>
  <c r="O12" i="47"/>
  <c r="P12" i="47"/>
  <c r="W12" i="47"/>
  <c r="AB12" i="47"/>
  <c r="Y12" i="172" s="1"/>
  <c r="AC12" i="47"/>
  <c r="Z12" i="172" s="1"/>
  <c r="AD12" i="47"/>
  <c r="AA12" i="172" s="1"/>
  <c r="AE12" i="47"/>
  <c r="AB12" i="172" s="1"/>
  <c r="AH12" i="47"/>
  <c r="AE12" i="172" s="1"/>
  <c r="AL12" i="47"/>
  <c r="B13" i="47"/>
  <c r="B11" i="12" s="1"/>
  <c r="C13" i="47"/>
  <c r="C13" i="172" s="1"/>
  <c r="H13" i="47"/>
  <c r="I13" i="47"/>
  <c r="J13" i="47"/>
  <c r="L13" i="47"/>
  <c r="M13" i="47"/>
  <c r="N13" i="47"/>
  <c r="O13" i="47"/>
  <c r="P13" i="47"/>
  <c r="V13" i="47"/>
  <c r="Z13" i="47"/>
  <c r="AB13" i="47"/>
  <c r="Y13" i="172" s="1"/>
  <c r="AC13" i="47"/>
  <c r="Z13" i="172" s="1"/>
  <c r="AD13" i="47"/>
  <c r="AA13" i="172" s="1"/>
  <c r="AE13" i="47"/>
  <c r="AB13" i="172" s="1"/>
  <c r="AH13" i="47"/>
  <c r="AE13" i="172" s="1"/>
  <c r="AL13" i="47"/>
  <c r="B14" i="47"/>
  <c r="B12" i="295" s="1"/>
  <c r="C14" i="47"/>
  <c r="C14" i="172" s="1"/>
  <c r="H14" i="47"/>
  <c r="I14" i="47"/>
  <c r="J14" i="47"/>
  <c r="L14" i="47"/>
  <c r="M14" i="47"/>
  <c r="N14" i="47"/>
  <c r="O14" i="47"/>
  <c r="P14" i="47"/>
  <c r="R14" i="47"/>
  <c r="S14" i="47"/>
  <c r="T14" i="47"/>
  <c r="V14" i="47"/>
  <c r="W14" i="47"/>
  <c r="X14" i="47"/>
  <c r="Y14" i="47"/>
  <c r="Z14" i="47"/>
  <c r="AB14" i="47"/>
  <c r="Y14" i="172" s="1"/>
  <c r="AC14" i="47"/>
  <c r="Z14" i="172" s="1"/>
  <c r="AD14" i="47"/>
  <c r="AA14" i="172" s="1"/>
  <c r="AE14" i="47"/>
  <c r="AB14" i="172" s="1"/>
  <c r="AH14" i="47"/>
  <c r="AE14" i="172" s="1"/>
  <c r="AL14" i="47"/>
  <c r="B15" i="47"/>
  <c r="B13" i="12" s="1"/>
  <c r="C15" i="47"/>
  <c r="C15" i="172" s="1"/>
  <c r="H15" i="47"/>
  <c r="I15" i="47"/>
  <c r="J15" i="47"/>
  <c r="L15" i="47"/>
  <c r="M15" i="47"/>
  <c r="N15" i="47"/>
  <c r="O15" i="47"/>
  <c r="P15" i="47"/>
  <c r="V15" i="47"/>
  <c r="AB15" i="47"/>
  <c r="Y15" i="172" s="1"/>
  <c r="AC15" i="47"/>
  <c r="Z15" i="172" s="1"/>
  <c r="AD15" i="47"/>
  <c r="AA15" i="172" s="1"/>
  <c r="AE15" i="47"/>
  <c r="AB15" i="172" s="1"/>
  <c r="AH15" i="47"/>
  <c r="AE15" i="172" s="1"/>
  <c r="AL15" i="47"/>
  <c r="B16" i="47"/>
  <c r="B14" i="295" s="1"/>
  <c r="C16" i="47"/>
  <c r="C16" i="172" s="1"/>
  <c r="H16" i="47"/>
  <c r="I16" i="47"/>
  <c r="J16" i="47"/>
  <c r="T16" i="47" s="1"/>
  <c r="L16" i="47"/>
  <c r="M16" i="47"/>
  <c r="W16" i="47" s="1"/>
  <c r="N16" i="47"/>
  <c r="O16" i="47"/>
  <c r="Y16" i="47" s="1"/>
  <c r="P16" i="47"/>
  <c r="R16" i="47"/>
  <c r="V16" i="47"/>
  <c r="Z16" i="47"/>
  <c r="AB16" i="47"/>
  <c r="Y16" i="172" s="1"/>
  <c r="AC16" i="47"/>
  <c r="Z16" i="172" s="1"/>
  <c r="AD16" i="47"/>
  <c r="AA16" i="172" s="1"/>
  <c r="AE16" i="47"/>
  <c r="AB16" i="172" s="1"/>
  <c r="AH16" i="47"/>
  <c r="AE16" i="172" s="1"/>
  <c r="AL16" i="47"/>
  <c r="B17" i="47"/>
  <c r="B15" i="12" s="1"/>
  <c r="C17" i="47"/>
  <c r="C17" i="172" s="1"/>
  <c r="H17" i="47"/>
  <c r="I17" i="47"/>
  <c r="J17" i="47"/>
  <c r="L17" i="47"/>
  <c r="L44" i="47" s="1"/>
  <c r="M17" i="47"/>
  <c r="N17" i="47"/>
  <c r="O17" i="47"/>
  <c r="P17" i="47"/>
  <c r="S17" i="47"/>
  <c r="Z17" i="47"/>
  <c r="AB17" i="47"/>
  <c r="Y17" i="172" s="1"/>
  <c r="AC17" i="47"/>
  <c r="Z17" i="172" s="1"/>
  <c r="AD17" i="47"/>
  <c r="AA17" i="172" s="1"/>
  <c r="AE17" i="47"/>
  <c r="AB17" i="172" s="1"/>
  <c r="AH17" i="47"/>
  <c r="AE17" i="172" s="1"/>
  <c r="AL17" i="47"/>
  <c r="B18" i="47"/>
  <c r="B16" i="295" s="1"/>
  <c r="C18" i="47"/>
  <c r="C18" i="172" s="1"/>
  <c r="H18" i="47"/>
  <c r="I18" i="47"/>
  <c r="J18" i="47"/>
  <c r="L18" i="47"/>
  <c r="M18" i="47"/>
  <c r="N18" i="47"/>
  <c r="O18" i="47"/>
  <c r="P18" i="47"/>
  <c r="R18" i="47"/>
  <c r="V18" i="47"/>
  <c r="W18" i="47"/>
  <c r="Z18" i="47"/>
  <c r="AB18" i="47"/>
  <c r="Y18" i="172" s="1"/>
  <c r="AC18" i="47"/>
  <c r="Z18" i="172" s="1"/>
  <c r="AD18" i="47"/>
  <c r="AA18" i="172" s="1"/>
  <c r="AE18" i="47"/>
  <c r="AB18" i="172" s="1"/>
  <c r="AF18" i="47"/>
  <c r="AH18" i="47"/>
  <c r="AE18" i="172" s="1"/>
  <c r="AL18" i="47"/>
  <c r="B19" i="47"/>
  <c r="B17" i="12" s="1"/>
  <c r="C19" i="47"/>
  <c r="C19" i="172" s="1"/>
  <c r="H19" i="47"/>
  <c r="I19" i="47"/>
  <c r="J19" i="47"/>
  <c r="L19" i="47"/>
  <c r="M19" i="47"/>
  <c r="N19" i="47"/>
  <c r="O19" i="47"/>
  <c r="P19" i="47"/>
  <c r="AB19" i="47"/>
  <c r="Y19" i="172" s="1"/>
  <c r="AC19" i="47"/>
  <c r="Z19" i="172" s="1"/>
  <c r="AD19" i="47"/>
  <c r="AA19" i="172" s="1"/>
  <c r="AE19" i="47"/>
  <c r="AB19" i="172" s="1"/>
  <c r="AH19" i="47"/>
  <c r="AE19" i="172" s="1"/>
  <c r="AL19" i="47"/>
  <c r="B20" i="47"/>
  <c r="B18" i="295" s="1"/>
  <c r="C20" i="47"/>
  <c r="C20" i="172" s="1"/>
  <c r="H20" i="47"/>
  <c r="I20" i="47"/>
  <c r="J20" i="47"/>
  <c r="L20" i="47"/>
  <c r="V20" i="47" s="1"/>
  <c r="M20" i="47"/>
  <c r="W20" i="47" s="1"/>
  <c r="N20" i="47"/>
  <c r="O20" i="47"/>
  <c r="P20" i="47"/>
  <c r="R20" i="47"/>
  <c r="T20" i="47"/>
  <c r="Y20" i="47"/>
  <c r="Z20" i="47"/>
  <c r="AB20" i="47"/>
  <c r="Y20" i="172" s="1"/>
  <c r="AC20" i="47"/>
  <c r="Z20" i="172" s="1"/>
  <c r="AD20" i="47"/>
  <c r="AA20" i="172" s="1"/>
  <c r="AE20" i="47"/>
  <c r="AB20" i="172" s="1"/>
  <c r="AH20" i="47"/>
  <c r="AE20" i="172" s="1"/>
  <c r="AL20" i="47"/>
  <c r="B21" i="47"/>
  <c r="B19" i="12" s="1"/>
  <c r="C21" i="47"/>
  <c r="C21" i="172" s="1"/>
  <c r="H21" i="47"/>
  <c r="I21" i="47"/>
  <c r="J21" i="47"/>
  <c r="L21" i="47"/>
  <c r="M21" i="47"/>
  <c r="N21" i="47"/>
  <c r="O21" i="47"/>
  <c r="P21" i="47"/>
  <c r="Z21" i="47"/>
  <c r="AB21" i="47"/>
  <c r="Y21" i="172" s="1"/>
  <c r="AC21" i="47"/>
  <c r="Z21" i="172" s="1"/>
  <c r="AD21" i="47"/>
  <c r="AA21" i="172" s="1"/>
  <c r="AE21" i="47"/>
  <c r="AB21" i="172" s="1"/>
  <c r="AH21" i="47"/>
  <c r="AE21" i="172" s="1"/>
  <c r="AL21" i="47"/>
  <c r="B22" i="47"/>
  <c r="B20" i="295" s="1"/>
  <c r="C22" i="47"/>
  <c r="C22" i="172" s="1"/>
  <c r="H22" i="47"/>
  <c r="I22" i="47"/>
  <c r="J22" i="47"/>
  <c r="L22" i="47"/>
  <c r="M22" i="47"/>
  <c r="N22" i="47"/>
  <c r="O22" i="47"/>
  <c r="P22" i="47"/>
  <c r="V22" i="47"/>
  <c r="Z22" i="47"/>
  <c r="AB22" i="47"/>
  <c r="Y22" i="172" s="1"/>
  <c r="AC22" i="47"/>
  <c r="Z22" i="172" s="1"/>
  <c r="AD22" i="47"/>
  <c r="AA22" i="172" s="1"/>
  <c r="AE22" i="47"/>
  <c r="AB22" i="172" s="1"/>
  <c r="AH22" i="47"/>
  <c r="AE22" i="172" s="1"/>
  <c r="AL22" i="47"/>
  <c r="B23" i="47"/>
  <c r="B21" i="12" s="1"/>
  <c r="C23" i="47"/>
  <c r="C23" i="172" s="1"/>
  <c r="H23" i="47"/>
  <c r="I23" i="47"/>
  <c r="J23" i="47"/>
  <c r="L23" i="47"/>
  <c r="M23" i="47"/>
  <c r="N23" i="47"/>
  <c r="O23" i="47"/>
  <c r="P23" i="47"/>
  <c r="V23" i="47"/>
  <c r="Z23" i="47"/>
  <c r="AB23" i="47"/>
  <c r="Y23" i="172" s="1"/>
  <c r="AC23" i="47"/>
  <c r="Z23" i="172" s="1"/>
  <c r="AD23" i="47"/>
  <c r="AA23" i="172" s="1"/>
  <c r="AE23" i="47"/>
  <c r="AB23" i="172" s="1"/>
  <c r="AH23" i="47"/>
  <c r="AE23" i="172" s="1"/>
  <c r="AL23" i="47"/>
  <c r="B24" i="47"/>
  <c r="B22" i="295" s="1"/>
  <c r="C24" i="47"/>
  <c r="C24" i="172" s="1"/>
  <c r="H24" i="47"/>
  <c r="H45" i="47" s="1"/>
  <c r="I24" i="47"/>
  <c r="J24" i="47"/>
  <c r="L24" i="47"/>
  <c r="M24" i="47"/>
  <c r="W24" i="47" s="1"/>
  <c r="N24" i="47"/>
  <c r="O24" i="47"/>
  <c r="P24" i="47"/>
  <c r="R24" i="47"/>
  <c r="Y24" i="47"/>
  <c r="AB24" i="47"/>
  <c r="Y24" i="172" s="1"/>
  <c r="AC24" i="47"/>
  <c r="Z24" i="172" s="1"/>
  <c r="AD24" i="47"/>
  <c r="AA24" i="172" s="1"/>
  <c r="AE24" i="47"/>
  <c r="AB24" i="172" s="1"/>
  <c r="AH24" i="47"/>
  <c r="AE24" i="172" s="1"/>
  <c r="AL24" i="47"/>
  <c r="P43" i="47"/>
  <c r="M45" i="47"/>
  <c r="M47" i="47"/>
  <c r="A51" i="47"/>
  <c r="B2" i="8"/>
  <c r="J2" i="8"/>
  <c r="G4" i="8"/>
  <c r="J4" i="8"/>
  <c r="J12" i="8"/>
  <c r="D13" i="8"/>
  <c r="E13" i="8"/>
  <c r="E20" i="8" s="1"/>
  <c r="F13" i="8"/>
  <c r="F20" i="8" s="1"/>
  <c r="G13" i="8"/>
  <c r="C14" i="156" s="1"/>
  <c r="J13" i="8"/>
  <c r="D17" i="8"/>
  <c r="D27" i="8"/>
  <c r="E22" i="8"/>
  <c r="E27" i="8"/>
  <c r="F22" i="8"/>
  <c r="F27" i="8"/>
  <c r="G22" i="8"/>
  <c r="G27" i="8"/>
  <c r="J14" i="8"/>
  <c r="J15" i="8"/>
  <c r="J16" i="8"/>
  <c r="J17" i="8"/>
  <c r="J18" i="8"/>
  <c r="J20" i="8"/>
  <c r="J22" i="8"/>
  <c r="J23" i="8"/>
  <c r="J24" i="8"/>
  <c r="J25" i="8"/>
  <c r="J26" i="8"/>
  <c r="J27" i="8"/>
  <c r="J29" i="8"/>
  <c r="J33" i="8"/>
  <c r="D34" i="8"/>
  <c r="E34" i="8"/>
  <c r="F34" i="8"/>
  <c r="G34" i="8"/>
  <c r="G39" i="8" s="1"/>
  <c r="J34" i="8"/>
  <c r="J35" i="8"/>
  <c r="J36" i="8"/>
  <c r="F37" i="8"/>
  <c r="J37" i="8"/>
  <c r="E39" i="8"/>
  <c r="J39" i="8"/>
  <c r="J41" i="8"/>
  <c r="J42" i="8"/>
  <c r="J43" i="8"/>
  <c r="J45" i="8"/>
  <c r="J47" i="8"/>
  <c r="E48" i="8"/>
  <c r="F48" i="8"/>
  <c r="G48" i="8"/>
  <c r="J48" i="8"/>
  <c r="D49" i="8"/>
  <c r="E49" i="8"/>
  <c r="F49" i="8"/>
  <c r="G49" i="8"/>
  <c r="G54" i="8" s="1"/>
  <c r="J49" i="8"/>
  <c r="J50" i="8"/>
  <c r="J51" i="8"/>
  <c r="D52" i="8"/>
  <c r="E52" i="8"/>
  <c r="F52" i="8"/>
  <c r="G52" i="8"/>
  <c r="J52" i="8"/>
  <c r="J54" i="8"/>
  <c r="J56" i="8"/>
  <c r="A59" i="8"/>
  <c r="D63" i="8"/>
  <c r="D66" i="8" s="1"/>
  <c r="E63" i="8"/>
  <c r="E64" i="8" s="1"/>
  <c r="E66" i="8" s="1"/>
  <c r="G63" i="8"/>
  <c r="G64" i="8" s="1"/>
  <c r="G66" i="8" s="1"/>
  <c r="D64" i="8"/>
  <c r="D68" i="8"/>
  <c r="E68" i="8"/>
  <c r="F68" i="8"/>
  <c r="G68" i="8"/>
  <c r="B2" i="10"/>
  <c r="J2" i="10"/>
  <c r="G4" i="10"/>
  <c r="J4" i="10"/>
  <c r="G9" i="10"/>
  <c r="B46" i="10" s="1"/>
  <c r="B59" i="8" s="1"/>
  <c r="J11" i="10"/>
  <c r="L11" i="10"/>
  <c r="M11" i="10"/>
  <c r="N11" i="10"/>
  <c r="O11" i="10"/>
  <c r="D13" i="10"/>
  <c r="L13" i="10" s="1"/>
  <c r="E13" i="10"/>
  <c r="M15" i="10" s="1"/>
  <c r="F13" i="10"/>
  <c r="N31" i="10" s="1"/>
  <c r="G13" i="10"/>
  <c r="O15" i="10" s="1"/>
  <c r="J13" i="10"/>
  <c r="J15" i="10"/>
  <c r="J17" i="10"/>
  <c r="J19" i="10"/>
  <c r="D22" i="10"/>
  <c r="D23" i="10"/>
  <c r="J20" i="10"/>
  <c r="J21" i="10"/>
  <c r="J22" i="10"/>
  <c r="L22" i="10"/>
  <c r="J23" i="10"/>
  <c r="J24" i="10"/>
  <c r="J26" i="10"/>
  <c r="J28" i="10"/>
  <c r="J30" i="10"/>
  <c r="J31" i="10"/>
  <c r="J32" i="10"/>
  <c r="J34" i="10"/>
  <c r="J36" i="10"/>
  <c r="L36" i="10"/>
  <c r="J38" i="10"/>
  <c r="J40" i="10"/>
  <c r="J41" i="10"/>
  <c r="L41" i="10"/>
  <c r="N41" i="10"/>
  <c r="J43" i="10"/>
  <c r="B2" i="266"/>
  <c r="H2" i="266"/>
  <c r="E4" i="266"/>
  <c r="H4" i="266"/>
  <c r="D9" i="266"/>
  <c r="E9" i="266" s="1"/>
  <c r="J9" i="266"/>
  <c r="K9" i="266" s="1"/>
  <c r="H11" i="266"/>
  <c r="J11" i="266"/>
  <c r="K11" i="266"/>
  <c r="H13" i="266"/>
  <c r="H15" i="266"/>
  <c r="H17" i="266"/>
  <c r="H19" i="266"/>
  <c r="H20" i="266"/>
  <c r="H21" i="266"/>
  <c r="H22" i="266"/>
  <c r="H23" i="266"/>
  <c r="H24" i="266"/>
  <c r="H26" i="266"/>
  <c r="H28" i="266"/>
  <c r="H30" i="266"/>
  <c r="H31" i="266"/>
  <c r="H32" i="266"/>
  <c r="H34" i="266"/>
  <c r="H36" i="266"/>
  <c r="H38" i="266"/>
  <c r="H40" i="266"/>
  <c r="H41" i="266"/>
  <c r="H43" i="266"/>
  <c r="B2" i="289"/>
  <c r="F4" i="289"/>
  <c r="D9" i="289"/>
  <c r="C94" i="156" s="1"/>
  <c r="B14" i="289"/>
  <c r="B15" i="289"/>
  <c r="J19" i="289"/>
  <c r="I24" i="289"/>
  <c r="I26" i="289"/>
  <c r="J24" i="289"/>
  <c r="D24" i="289" s="1"/>
  <c r="B26" i="289"/>
  <c r="B38" i="289" s="1"/>
  <c r="J26" i="289"/>
  <c r="B27" i="289"/>
  <c r="B39" i="289" s="1"/>
  <c r="D45" i="289"/>
  <c r="B2" i="4"/>
  <c r="N4" i="4"/>
  <c r="N5" i="4"/>
  <c r="M6" i="4"/>
  <c r="N6" i="4"/>
  <c r="J4" i="4"/>
  <c r="D10" i="4"/>
  <c r="O13" i="4"/>
  <c r="D21" i="4"/>
  <c r="H21" i="4"/>
  <c r="N23" i="4"/>
  <c r="D25" i="4"/>
  <c r="F25" i="4"/>
  <c r="H25" i="4"/>
  <c r="D27" i="4"/>
  <c r="H27" i="4"/>
  <c r="J27" i="4" s="1"/>
  <c r="B2" i="133"/>
  <c r="K8" i="133"/>
  <c r="B8" i="133" s="1"/>
  <c r="G8" i="133" s="1"/>
  <c r="E8" i="133"/>
  <c r="G9" i="133"/>
  <c r="E10" i="133"/>
  <c r="G10" i="133"/>
  <c r="J11" i="133"/>
  <c r="K11" i="133" s="1"/>
  <c r="L11" i="133"/>
  <c r="L12" i="133" s="1"/>
  <c r="L13" i="133" s="1"/>
  <c r="L14" i="133" s="1"/>
  <c r="L15" i="133" s="1"/>
  <c r="E11" i="133"/>
  <c r="G16" i="133"/>
  <c r="E17" i="133"/>
  <c r="G17" i="133"/>
  <c r="L18" i="133"/>
  <c r="L19" i="133" s="1"/>
  <c r="L20" i="133" s="1"/>
  <c r="L21" i="133" s="1"/>
  <c r="E18" i="133"/>
  <c r="E19" i="133"/>
  <c r="E20" i="133"/>
  <c r="G22" i="133"/>
  <c r="E23" i="133"/>
  <c r="G23" i="133"/>
  <c r="L24" i="133"/>
  <c r="L25" i="133" s="1"/>
  <c r="L26" i="133" s="1"/>
  <c r="L27" i="133" s="1"/>
  <c r="G28" i="133"/>
  <c r="E29" i="133"/>
  <c r="G29" i="133"/>
  <c r="L30" i="133"/>
  <c r="E30" i="133"/>
  <c r="L31" i="133"/>
  <c r="L32" i="133" s="1"/>
  <c r="L33" i="133" s="1"/>
  <c r="L34" i="133" s="1"/>
  <c r="E31" i="133"/>
  <c r="E32" i="133"/>
  <c r="E33" i="133"/>
  <c r="G35" i="133"/>
  <c r="E36" i="133"/>
  <c r="G36" i="133"/>
  <c r="L37" i="133"/>
  <c r="E37" i="133"/>
  <c r="L38" i="133"/>
  <c r="L39" i="133" s="1"/>
  <c r="E38" i="133"/>
  <c r="G40" i="133"/>
  <c r="E41" i="133"/>
  <c r="G41" i="133"/>
  <c r="L42" i="133"/>
  <c r="E42" i="133"/>
  <c r="L43" i="133"/>
  <c r="E43" i="133"/>
  <c r="G44" i="133"/>
  <c r="E45" i="133"/>
  <c r="G45" i="133"/>
  <c r="E46" i="133"/>
  <c r="L47" i="133"/>
  <c r="E47" i="133"/>
  <c r="L48" i="133"/>
  <c r="L49" i="133" s="1"/>
  <c r="L50" i="133" s="1"/>
  <c r="L51" i="133" s="1"/>
  <c r="L52" i="133" s="1"/>
  <c r="L53" i="133" s="1"/>
  <c r="L54" i="133" s="1"/>
  <c r="L55" i="133" s="1"/>
  <c r="L56" i="133" s="1"/>
  <c r="L57" i="133" s="1"/>
  <c r="E48" i="133"/>
  <c r="E49" i="133"/>
  <c r="E50" i="133"/>
  <c r="B59" i="133"/>
  <c r="B8" i="232" s="1"/>
  <c r="E59" i="133"/>
  <c r="E8" i="232" s="1"/>
  <c r="K60" i="133"/>
  <c r="K61" i="133" s="1"/>
  <c r="K62" i="133" s="1"/>
  <c r="L60" i="133"/>
  <c r="E60" i="133"/>
  <c r="E9" i="232" s="1"/>
  <c r="E61" i="133"/>
  <c r="E10" i="232" s="1"/>
  <c r="E62" i="133"/>
  <c r="E11" i="232" s="1"/>
  <c r="E63" i="133"/>
  <c r="E12" i="232" s="1"/>
  <c r="E64" i="133"/>
  <c r="E65" i="133"/>
  <c r="E13" i="232" s="1"/>
  <c r="K66" i="133"/>
  <c r="K67" i="133" s="1"/>
  <c r="K68" i="133" s="1"/>
  <c r="E66" i="133"/>
  <c r="E14" i="232" s="1"/>
  <c r="E67" i="133"/>
  <c r="E15" i="232" s="1"/>
  <c r="D9" i="1"/>
  <c r="D13" i="1"/>
  <c r="D15" i="1"/>
  <c r="J20" i="1"/>
  <c r="J20" i="152" s="1"/>
  <c r="D20" i="152" s="1"/>
  <c r="B2" i="248"/>
  <c r="D16" i="248"/>
  <c r="D23" i="248"/>
  <c r="B2" i="142"/>
  <c r="B9" i="142"/>
  <c r="B10" i="142" s="1"/>
  <c r="B11" i="142" s="1"/>
  <c r="B12" i="142" s="1"/>
  <c r="B13" i="142" s="1"/>
  <c r="B14" i="142" s="1"/>
  <c r="B15" i="142" s="1"/>
  <c r="B16" i="142" s="1"/>
  <c r="B17" i="142" s="1"/>
  <c r="B22" i="142"/>
  <c r="B23" i="142" s="1"/>
  <c r="B24" i="142" s="1"/>
  <c r="B25" i="142" s="1"/>
  <c r="B26" i="142" s="1"/>
  <c r="B27" i="142" s="1"/>
  <c r="B28" i="142" s="1"/>
  <c r="B29" i="142" s="1"/>
  <c r="B30" i="142" s="1"/>
  <c r="B28" i="79"/>
  <c r="AA10" i="295" s="1"/>
  <c r="C28" i="79"/>
  <c r="A29" i="79"/>
  <c r="A30" i="79" s="1"/>
  <c r="A31" i="79" s="1"/>
  <c r="A32" i="79" s="1"/>
  <c r="A33" i="79" s="1"/>
  <c r="A34" i="79" s="1"/>
  <c r="A35" i="79" s="1"/>
  <c r="A36" i="79" s="1"/>
  <c r="A37" i="79" s="1"/>
  <c r="A38" i="79" s="1"/>
  <c r="A39" i="79" s="1"/>
  <c r="A40" i="79" s="1"/>
  <c r="A41" i="79" s="1"/>
  <c r="A42" i="79" s="1"/>
  <c r="A43" i="79" s="1"/>
  <c r="A44" i="79" s="1"/>
  <c r="A45" i="79" s="1"/>
  <c r="A46" i="79" s="1"/>
  <c r="A47" i="79" s="1"/>
  <c r="A48" i="79" s="1"/>
  <c r="A49" i="79" s="1"/>
  <c r="A50" i="79" s="1"/>
  <c r="A51" i="79" s="1"/>
  <c r="A52" i="79" s="1"/>
  <c r="A53" i="79" s="1"/>
  <c r="A54" i="79" s="1"/>
  <c r="A55" i="79" s="1"/>
  <c r="A56" i="79" s="1"/>
  <c r="A57" i="79" s="1"/>
  <c r="B29" i="79"/>
  <c r="C29" i="79"/>
  <c r="B30" i="79"/>
  <c r="C30" i="79"/>
  <c r="B31" i="79"/>
  <c r="AA13" i="12" s="1"/>
  <c r="M13" i="13" s="1"/>
  <c r="C31" i="79"/>
  <c r="B32" i="79"/>
  <c r="C32" i="79"/>
  <c r="B33" i="79"/>
  <c r="AA15" i="12" s="1"/>
  <c r="M15" i="13" s="1"/>
  <c r="C33" i="79"/>
  <c r="B34" i="79"/>
  <c r="C34" i="79"/>
  <c r="B35" i="79"/>
  <c r="AA17" i="12" s="1"/>
  <c r="M17" i="13" s="1"/>
  <c r="C35" i="79"/>
  <c r="B36" i="79"/>
  <c r="C36" i="79"/>
  <c r="B37" i="79"/>
  <c r="AA19" i="12" s="1"/>
  <c r="M19" i="13" s="1"/>
  <c r="C37" i="79"/>
  <c r="B38" i="79"/>
  <c r="C38" i="79"/>
  <c r="B39" i="79"/>
  <c r="AA21" i="12" s="1"/>
  <c r="M21" i="13" s="1"/>
  <c r="C39" i="79"/>
  <c r="B40" i="79"/>
  <c r="C40" i="79"/>
  <c r="B41" i="79"/>
  <c r="D41" i="79" s="1"/>
  <c r="C41" i="79"/>
  <c r="B42" i="79"/>
  <c r="C42" i="79"/>
  <c r="B43" i="79"/>
  <c r="D43" i="79" s="1"/>
  <c r="C43" i="79"/>
  <c r="B44" i="79"/>
  <c r="C44" i="79"/>
  <c r="B45" i="79"/>
  <c r="D45" i="79" s="1"/>
  <c r="C45" i="79"/>
  <c r="B46" i="79"/>
  <c r="C46" i="79"/>
  <c r="B47" i="79"/>
  <c r="D47" i="79" s="1"/>
  <c r="C47" i="79"/>
  <c r="B48" i="79"/>
  <c r="C48" i="79"/>
  <c r="B49" i="79"/>
  <c r="D49" i="79" s="1"/>
  <c r="C49" i="79"/>
  <c r="B50" i="79"/>
  <c r="D50" i="79" s="1"/>
  <c r="C50" i="79"/>
  <c r="B51" i="79"/>
  <c r="D51" i="79" s="1"/>
  <c r="C51" i="79"/>
  <c r="B52" i="79"/>
  <c r="C52" i="79"/>
  <c r="D52" i="79"/>
  <c r="B53" i="79"/>
  <c r="C53" i="79"/>
  <c r="D53" i="79"/>
  <c r="B54" i="79"/>
  <c r="D54" i="79" s="1"/>
  <c r="C54" i="79"/>
  <c r="B55" i="79"/>
  <c r="C55" i="79"/>
  <c r="B56" i="79"/>
  <c r="D56" i="79" s="1"/>
  <c r="C56" i="79"/>
  <c r="B57" i="79"/>
  <c r="C57" i="79"/>
  <c r="A5" i="123"/>
  <c r="A6" i="123" s="1"/>
  <c r="A7" i="123" s="1"/>
  <c r="A8" i="123" s="1"/>
  <c r="O20" i="10" l="1"/>
  <c r="N13" i="10"/>
  <c r="N24" i="10"/>
  <c r="N22" i="10"/>
  <c r="N15" i="10"/>
  <c r="O23" i="10"/>
  <c r="O21" i="10"/>
  <c r="N36" i="10"/>
  <c r="N30" i="10"/>
  <c r="N23" i="10"/>
  <c r="N21" i="10"/>
  <c r="F17" i="10"/>
  <c r="N17" i="10" s="1"/>
  <c r="M13" i="10"/>
  <c r="N32" i="10"/>
  <c r="M21" i="10"/>
  <c r="M4" i="292"/>
  <c r="D46" i="291"/>
  <c r="E46" i="291" s="1"/>
  <c r="H54" i="287"/>
  <c r="M5" i="4"/>
  <c r="AE4" i="47"/>
  <c r="L6" i="4" s="1"/>
  <c r="D46" i="14"/>
  <c r="E46" i="14" s="1"/>
  <c r="D49" i="14"/>
  <c r="E49" i="14" s="1"/>
  <c r="B78" i="52"/>
  <c r="B89" i="52"/>
  <c r="B104" i="52" s="1"/>
  <c r="B113" i="52" s="1"/>
  <c r="B63" i="52"/>
  <c r="B22" i="289"/>
  <c r="B34" i="289" s="1"/>
  <c r="I67" i="285"/>
  <c r="I73" i="285" s="1"/>
  <c r="P11" i="290"/>
  <c r="D14" i="11"/>
  <c r="D30" i="11" s="1"/>
  <c r="D41" i="11" s="1"/>
  <c r="D54" i="11"/>
  <c r="G45" i="8"/>
  <c r="D13" i="266"/>
  <c r="U21" i="285"/>
  <c r="N44" i="185"/>
  <c r="P43" i="185"/>
  <c r="Q44" i="185"/>
  <c r="T22" i="185"/>
  <c r="V22" i="185" s="1"/>
  <c r="X21" i="185"/>
  <c r="T20" i="185"/>
  <c r="V20" i="185" s="1"/>
  <c r="Z20" i="185" s="1"/>
  <c r="J20" i="185"/>
  <c r="L20" i="185" s="1"/>
  <c r="Q42" i="185"/>
  <c r="S18" i="185"/>
  <c r="T18" i="185"/>
  <c r="V18" i="185" s="1"/>
  <c r="Z18" i="185" s="1"/>
  <c r="T16" i="185"/>
  <c r="V16" i="185" s="1"/>
  <c r="T14" i="185"/>
  <c r="V14" i="185" s="1"/>
  <c r="T12" i="185"/>
  <c r="V12" i="185" s="1"/>
  <c r="J12" i="185"/>
  <c r="L12" i="185" s="1"/>
  <c r="AI30" i="285"/>
  <c r="F67" i="285"/>
  <c r="AI17" i="285"/>
  <c r="AI9" i="285"/>
  <c r="K19" i="264"/>
  <c r="F53" i="264"/>
  <c r="F19" i="264"/>
  <c r="G59" i="133"/>
  <c r="B3" i="292" s="1"/>
  <c r="D26" i="289"/>
  <c r="M41" i="10"/>
  <c r="M31" i="10"/>
  <c r="M30" i="10"/>
  <c r="E45" i="8"/>
  <c r="P48" i="47"/>
  <c r="J48" i="47"/>
  <c r="P47" i="47"/>
  <c r="L47" i="47"/>
  <c r="C47" i="47"/>
  <c r="P46" i="47"/>
  <c r="J46" i="47"/>
  <c r="P45" i="47"/>
  <c r="L45" i="47"/>
  <c r="C45" i="47"/>
  <c r="J44" i="47"/>
  <c r="X24" i="47"/>
  <c r="S24" i="47"/>
  <c r="Y23" i="47"/>
  <c r="T23" i="47"/>
  <c r="O43" i="47"/>
  <c r="J43" i="47"/>
  <c r="AF21" i="47"/>
  <c r="W21" i="47"/>
  <c r="R21" i="47"/>
  <c r="X20" i="47"/>
  <c r="S20" i="47"/>
  <c r="Y19" i="47"/>
  <c r="T19" i="47"/>
  <c r="AF17" i="47"/>
  <c r="W17" i="47"/>
  <c r="R17" i="47"/>
  <c r="X16" i="47"/>
  <c r="S16" i="47"/>
  <c r="Y15" i="47"/>
  <c r="T15" i="47"/>
  <c r="AF13" i="47"/>
  <c r="W13" i="47"/>
  <c r="R13" i="47"/>
  <c r="X12" i="47"/>
  <c r="S12" i="47"/>
  <c r="N43" i="47"/>
  <c r="D29" i="63"/>
  <c r="B25" i="63"/>
  <c r="B27" i="52" s="1"/>
  <c r="J11" i="290"/>
  <c r="D24" i="290" s="1"/>
  <c r="H57" i="287"/>
  <c r="H59" i="287" s="1"/>
  <c r="H61" i="287" s="1"/>
  <c r="H63" i="287" s="1"/>
  <c r="H45" i="287"/>
  <c r="M43" i="288"/>
  <c r="D55" i="13"/>
  <c r="E45" i="13"/>
  <c r="E42" i="13"/>
  <c r="Q15" i="13"/>
  <c r="Q13" i="13"/>
  <c r="Q10" i="13"/>
  <c r="J55" i="52"/>
  <c r="F43" i="52"/>
  <c r="O46" i="185"/>
  <c r="O43" i="185"/>
  <c r="G43" i="185"/>
  <c r="U44" i="185"/>
  <c r="I23" i="185"/>
  <c r="I21" i="185"/>
  <c r="H42" i="185"/>
  <c r="D42" i="185"/>
  <c r="I19" i="185"/>
  <c r="I17" i="185"/>
  <c r="I15" i="185"/>
  <c r="I13" i="185"/>
  <c r="S11" i="185"/>
  <c r="J11" i="185"/>
  <c r="U25" i="285"/>
  <c r="J56" i="285"/>
  <c r="J67" i="285" s="1"/>
  <c r="AI18" i="285"/>
  <c r="AI14" i="285"/>
  <c r="H66" i="264"/>
  <c r="K26" i="264"/>
  <c r="D66" i="264"/>
  <c r="O48" i="47"/>
  <c r="J47" i="47"/>
  <c r="O46" i="47"/>
  <c r="I44" i="47"/>
  <c r="I43" i="47"/>
  <c r="AF24" i="47"/>
  <c r="X23" i="47"/>
  <c r="S23" i="47"/>
  <c r="AF20" i="47"/>
  <c r="X19" i="47"/>
  <c r="S19" i="47"/>
  <c r="AF16" i="47"/>
  <c r="X15" i="47"/>
  <c r="S15" i="47"/>
  <c r="AF12" i="47"/>
  <c r="M46" i="288"/>
  <c r="M42" i="288"/>
  <c r="E41" i="13"/>
  <c r="D41" i="13"/>
  <c r="J52" i="52"/>
  <c r="M46" i="12"/>
  <c r="M41" i="295"/>
  <c r="Z15" i="185"/>
  <c r="G29" i="156"/>
  <c r="U118" i="285"/>
  <c r="AI13" i="285"/>
  <c r="G38" i="268"/>
  <c r="D20" i="10" s="1"/>
  <c r="L20" i="10" s="1"/>
  <c r="M23" i="10"/>
  <c r="O13" i="10"/>
  <c r="F29" i="8"/>
  <c r="N48" i="8" s="1"/>
  <c r="I48" i="47"/>
  <c r="O47" i="47"/>
  <c r="I46" i="47"/>
  <c r="O45" i="47"/>
  <c r="B60" i="133"/>
  <c r="J25" i="289"/>
  <c r="I25" i="289"/>
  <c r="O41" i="10"/>
  <c r="O31" i="10"/>
  <c r="O30" i="10"/>
  <c r="G20" i="8"/>
  <c r="G29" i="8" s="1"/>
  <c r="O22" i="8" s="1"/>
  <c r="M48" i="47"/>
  <c r="H48" i="47"/>
  <c r="N47" i="47"/>
  <c r="I47" i="47"/>
  <c r="M46" i="47"/>
  <c r="H46" i="47"/>
  <c r="C43" i="47"/>
  <c r="AF23" i="47"/>
  <c r="W23" i="47"/>
  <c r="R23" i="47"/>
  <c r="M43" i="47"/>
  <c r="H43" i="47"/>
  <c r="Y21" i="47"/>
  <c r="T21" i="47"/>
  <c r="AF19" i="47"/>
  <c r="W19" i="47"/>
  <c r="R19" i="47"/>
  <c r="Y17" i="47"/>
  <c r="T17" i="47"/>
  <c r="AF15" i="47"/>
  <c r="W15" i="47"/>
  <c r="R15" i="47"/>
  <c r="Y13" i="47"/>
  <c r="T13" i="47"/>
  <c r="AE3" i="47"/>
  <c r="L5" i="292" s="1"/>
  <c r="AE2" i="47"/>
  <c r="L4" i="292" s="1"/>
  <c r="B26" i="63"/>
  <c r="B28" i="52" s="1"/>
  <c r="F55" i="13"/>
  <c r="E46" i="13"/>
  <c r="D43" i="13"/>
  <c r="D57" i="11"/>
  <c r="D59" i="11" s="1"/>
  <c r="D61" i="11" s="1"/>
  <c r="D63" i="11" s="1"/>
  <c r="D45" i="11"/>
  <c r="D47" i="11" s="1"/>
  <c r="D48" i="11" s="1"/>
  <c r="D50" i="11" s="1"/>
  <c r="D39" i="11"/>
  <c r="M44" i="12"/>
  <c r="I22" i="185"/>
  <c r="U42" i="185"/>
  <c r="I20" i="185"/>
  <c r="I18" i="185"/>
  <c r="I16" i="185"/>
  <c r="I14" i="185"/>
  <c r="I45" i="185" s="1"/>
  <c r="AI10" i="285"/>
  <c r="F24" i="267"/>
  <c r="K61" i="264"/>
  <c r="E66" i="264"/>
  <c r="N48" i="47"/>
  <c r="N46" i="47"/>
  <c r="N44" i="47"/>
  <c r="D20" i="1"/>
  <c r="K69" i="133"/>
  <c r="K63" i="133"/>
  <c r="B9" i="232"/>
  <c r="G60" i="133"/>
  <c r="B3" i="52" s="1"/>
  <c r="N20" i="10"/>
  <c r="F26" i="10"/>
  <c r="N26" i="10" s="1"/>
  <c r="D21" i="12"/>
  <c r="F21" i="12"/>
  <c r="J21" i="12"/>
  <c r="AB21" i="12"/>
  <c r="E21" i="12"/>
  <c r="G21" i="12"/>
  <c r="D19" i="12"/>
  <c r="F19" i="12"/>
  <c r="J19" i="12"/>
  <c r="AB19" i="12"/>
  <c r="E19" i="12"/>
  <c r="G19" i="12"/>
  <c r="D17" i="12"/>
  <c r="F17" i="12"/>
  <c r="J17" i="12"/>
  <c r="AB17" i="12"/>
  <c r="E17" i="12"/>
  <c r="G17" i="12"/>
  <c r="D15" i="12"/>
  <c r="F15" i="12"/>
  <c r="J15" i="12"/>
  <c r="AB15" i="12"/>
  <c r="E15" i="12"/>
  <c r="G15" i="12"/>
  <c r="D13" i="12"/>
  <c r="F13" i="12"/>
  <c r="J13" i="12"/>
  <c r="AB13" i="12"/>
  <c r="E13" i="12"/>
  <c r="G13" i="12"/>
  <c r="D11" i="12"/>
  <c r="F11" i="12"/>
  <c r="J11" i="12"/>
  <c r="AB11" i="12"/>
  <c r="E11" i="12"/>
  <c r="G11" i="12"/>
  <c r="B66" i="52"/>
  <c r="B25" i="289"/>
  <c r="B37" i="289" s="1"/>
  <c r="B65" i="52"/>
  <c r="B24" i="289"/>
  <c r="B36" i="289" s="1"/>
  <c r="E34" i="52"/>
  <c r="F34" i="52"/>
  <c r="G34" i="52"/>
  <c r="D34" i="52"/>
  <c r="H34" i="52"/>
  <c r="I34" i="52"/>
  <c r="J34" i="52"/>
  <c r="J20" i="290"/>
  <c r="P20" i="290"/>
  <c r="V20" i="290"/>
  <c r="J16" i="290"/>
  <c r="P16" i="290"/>
  <c r="V16" i="290"/>
  <c r="V12" i="290"/>
  <c r="J13" i="290"/>
  <c r="P13" i="290"/>
  <c r="D24" i="14"/>
  <c r="D40" i="14"/>
  <c r="K11" i="13"/>
  <c r="D22" i="291"/>
  <c r="E22" i="291" s="1"/>
  <c r="I43" i="185"/>
  <c r="I44" i="185"/>
  <c r="L11" i="185"/>
  <c r="H55" i="285"/>
  <c r="I55" i="285"/>
  <c r="AH31" i="285"/>
  <c r="U31" i="285"/>
  <c r="AH27" i="285"/>
  <c r="U27" i="285"/>
  <c r="AH26" i="285"/>
  <c r="L64" i="285"/>
  <c r="M64" i="285" s="1"/>
  <c r="N64" i="285" s="1"/>
  <c r="O64" i="285" s="1"/>
  <c r="P64" i="285" s="1"/>
  <c r="Q64" i="285" s="1"/>
  <c r="R64" i="285" s="1"/>
  <c r="S64" i="285" s="1"/>
  <c r="T64" i="285" s="1"/>
  <c r="V64" i="285" s="1"/>
  <c r="L60" i="285"/>
  <c r="M60" i="285" s="1"/>
  <c r="N60" i="285" s="1"/>
  <c r="O60" i="285" s="1"/>
  <c r="P60" i="285" s="1"/>
  <c r="Q60" i="285" s="1"/>
  <c r="R60" i="285" s="1"/>
  <c r="S60" i="285" s="1"/>
  <c r="T60" i="285" s="1"/>
  <c r="V60" i="285" s="1"/>
  <c r="J73" i="285"/>
  <c r="J74" i="285" s="1"/>
  <c r="J24" i="285" s="1"/>
  <c r="J32" i="285" s="1"/>
  <c r="J34" i="285" s="1"/>
  <c r="K45" i="264"/>
  <c r="K30" i="264"/>
  <c r="D9" i="63"/>
  <c r="M20" i="10"/>
  <c r="E26" i="10"/>
  <c r="M26" i="10" s="1"/>
  <c r="F14" i="156"/>
  <c r="G14" i="156"/>
  <c r="D22" i="295"/>
  <c r="F22" i="295"/>
  <c r="J22" i="295"/>
  <c r="AB22" i="295"/>
  <c r="E22" i="295"/>
  <c r="G22" i="295"/>
  <c r="D20" i="295"/>
  <c r="F20" i="295"/>
  <c r="J20" i="295"/>
  <c r="AB20" i="295"/>
  <c r="E20" i="295"/>
  <c r="G20" i="295"/>
  <c r="D18" i="295"/>
  <c r="F18" i="295"/>
  <c r="J18" i="295"/>
  <c r="AB18" i="295"/>
  <c r="E18" i="295"/>
  <c r="G18" i="295"/>
  <c r="D16" i="295"/>
  <c r="F16" i="295"/>
  <c r="J16" i="295"/>
  <c r="AB16" i="295"/>
  <c r="E16" i="295"/>
  <c r="G16" i="295"/>
  <c r="D14" i="295"/>
  <c r="F14" i="295"/>
  <c r="J14" i="295"/>
  <c r="AB14" i="295"/>
  <c r="E14" i="295"/>
  <c r="G14" i="295"/>
  <c r="D12" i="295"/>
  <c r="F12" i="295"/>
  <c r="J12" i="295"/>
  <c r="AB12" i="295"/>
  <c r="E12" i="295"/>
  <c r="G12" i="295"/>
  <c r="D10" i="295"/>
  <c r="F10" i="295"/>
  <c r="J10" i="295"/>
  <c r="AB10" i="295"/>
  <c r="E10" i="295"/>
  <c r="G10" i="295"/>
  <c r="G22" i="13"/>
  <c r="H22" i="13" s="1"/>
  <c r="I22" i="13" s="1"/>
  <c r="J22" i="13" s="1"/>
  <c r="K22" i="13" s="1"/>
  <c r="F45" i="13"/>
  <c r="F46" i="13"/>
  <c r="F82" i="156"/>
  <c r="G82" i="156"/>
  <c r="B90" i="52"/>
  <c r="B79" i="52"/>
  <c r="B23" i="289"/>
  <c r="B35" i="289" s="1"/>
  <c r="B64" i="52"/>
  <c r="G43" i="52"/>
  <c r="H15" i="52"/>
  <c r="G59" i="52"/>
  <c r="G72" i="52"/>
  <c r="G83" i="52"/>
  <c r="G98" i="52" s="1"/>
  <c r="G107" i="52" s="1"/>
  <c r="F31" i="156"/>
  <c r="G31" i="156"/>
  <c r="H54" i="285"/>
  <c r="I54" i="285"/>
  <c r="AH29" i="285"/>
  <c r="U29" i="285"/>
  <c r="H29" i="285"/>
  <c r="AB112" i="285"/>
  <c r="AB28" i="285" s="1"/>
  <c r="AH28" i="285" s="1"/>
  <c r="AH110" i="285"/>
  <c r="Q112" i="285"/>
  <c r="Q28" i="285" s="1"/>
  <c r="U28" i="285" s="1"/>
  <c r="U110" i="285"/>
  <c r="U112" i="285" s="1"/>
  <c r="F112" i="285"/>
  <c r="F28" i="285" s="1"/>
  <c r="H28" i="285" s="1"/>
  <c r="H110" i="285"/>
  <c r="H112" i="285" s="1"/>
  <c r="U26" i="285"/>
  <c r="H26" i="285"/>
  <c r="AH25" i="285"/>
  <c r="H25" i="285"/>
  <c r="L62" i="285"/>
  <c r="M62" i="285" s="1"/>
  <c r="N62" i="285" s="1"/>
  <c r="O62" i="285" s="1"/>
  <c r="P62" i="285" s="1"/>
  <c r="Q62" i="285" s="1"/>
  <c r="R62" i="285" s="1"/>
  <c r="S62" i="285" s="1"/>
  <c r="T62" i="285" s="1"/>
  <c r="V62" i="285" s="1"/>
  <c r="L58" i="285"/>
  <c r="M58" i="285" s="1"/>
  <c r="N58" i="285" s="1"/>
  <c r="O58" i="285" s="1"/>
  <c r="P58" i="285" s="1"/>
  <c r="Q58" i="285" s="1"/>
  <c r="R58" i="285" s="1"/>
  <c r="S58" i="285" s="1"/>
  <c r="T58" i="285" s="1"/>
  <c r="V58" i="285" s="1"/>
  <c r="K63" i="285"/>
  <c r="L63" i="285" s="1"/>
  <c r="M63" i="285" s="1"/>
  <c r="N63" i="285" s="1"/>
  <c r="O63" i="285" s="1"/>
  <c r="P63" i="285" s="1"/>
  <c r="Q63" i="285" s="1"/>
  <c r="R63" i="285" s="1"/>
  <c r="S63" i="285" s="1"/>
  <c r="T63" i="285" s="1"/>
  <c r="V63" i="285" s="1"/>
  <c r="U63" i="285"/>
  <c r="K61" i="285"/>
  <c r="L61" i="285" s="1"/>
  <c r="M61" i="285" s="1"/>
  <c r="N61" i="285" s="1"/>
  <c r="O61" i="285" s="1"/>
  <c r="P61" i="285" s="1"/>
  <c r="Q61" i="285" s="1"/>
  <c r="R61" i="285" s="1"/>
  <c r="S61" i="285" s="1"/>
  <c r="T61" i="285" s="1"/>
  <c r="V61" i="285" s="1"/>
  <c r="K59" i="285"/>
  <c r="L59" i="285" s="1"/>
  <c r="M59" i="285" s="1"/>
  <c r="N59" i="285" s="1"/>
  <c r="O59" i="285" s="1"/>
  <c r="P59" i="285" s="1"/>
  <c r="Q59" i="285" s="1"/>
  <c r="R59" i="285" s="1"/>
  <c r="S59" i="285" s="1"/>
  <c r="T59" i="285" s="1"/>
  <c r="V59" i="285" s="1"/>
  <c r="U59" i="285"/>
  <c r="K57" i="285"/>
  <c r="L57" i="285" s="1"/>
  <c r="M57" i="285" s="1"/>
  <c r="N57" i="285" s="1"/>
  <c r="O57" i="285" s="1"/>
  <c r="P57" i="285" s="1"/>
  <c r="Q57" i="285" s="1"/>
  <c r="R57" i="285" s="1"/>
  <c r="S57" i="285" s="1"/>
  <c r="T57" i="285" s="1"/>
  <c r="V57" i="285" s="1"/>
  <c r="F73" i="285"/>
  <c r="K53" i="264"/>
  <c r="Z22" i="53"/>
  <c r="Y22" i="41"/>
  <c r="D39" i="79"/>
  <c r="Z20" i="53"/>
  <c r="Y20" i="41"/>
  <c r="D37" i="79"/>
  <c r="Z18" i="53"/>
  <c r="Y18" i="41"/>
  <c r="D35" i="79"/>
  <c r="Z16" i="53"/>
  <c r="Y16" i="41"/>
  <c r="D33" i="79"/>
  <c r="Z14" i="53"/>
  <c r="Y14" i="41"/>
  <c r="D31" i="79"/>
  <c r="Z12" i="53"/>
  <c r="Y12" i="41"/>
  <c r="Z11" i="53"/>
  <c r="Y11" i="41"/>
  <c r="D28" i="79"/>
  <c r="AP42" i="173"/>
  <c r="AH41" i="172"/>
  <c r="AP41" i="173"/>
  <c r="AH40" i="172"/>
  <c r="AP40" i="173"/>
  <c r="AH39" i="172"/>
  <c r="AP39" i="173"/>
  <c r="AH38" i="172"/>
  <c r="AP38" i="173"/>
  <c r="AH37" i="172"/>
  <c r="AP37" i="173"/>
  <c r="AH36" i="172"/>
  <c r="AP36" i="173"/>
  <c r="AH35" i="172"/>
  <c r="AP35" i="173"/>
  <c r="AH34" i="172"/>
  <c r="AP34" i="173"/>
  <c r="AH33" i="172"/>
  <c r="AP33" i="173"/>
  <c r="AH32" i="172"/>
  <c r="AP32" i="173"/>
  <c r="AH31" i="172"/>
  <c r="AP31" i="173"/>
  <c r="AH30" i="172"/>
  <c r="AP30" i="173"/>
  <c r="AH29" i="172"/>
  <c r="AP29" i="173"/>
  <c r="AH28" i="172"/>
  <c r="AP28" i="173"/>
  <c r="AH27" i="172"/>
  <c r="AP27" i="173"/>
  <c r="AH26" i="172"/>
  <c r="AP26" i="173"/>
  <c r="AH25" i="172"/>
  <c r="AP25" i="173"/>
  <c r="AH24" i="172"/>
  <c r="AP24" i="173"/>
  <c r="AH23" i="172"/>
  <c r="AP23" i="173"/>
  <c r="AH22" i="172"/>
  <c r="AP22" i="173"/>
  <c r="AH21" i="172"/>
  <c r="AP21" i="173"/>
  <c r="AH20" i="172"/>
  <c r="AP20" i="173"/>
  <c r="AH19" i="172"/>
  <c r="AP19" i="173"/>
  <c r="AH18" i="172"/>
  <c r="AP18" i="173"/>
  <c r="AH17" i="172"/>
  <c r="AP17" i="173"/>
  <c r="AH16" i="172"/>
  <c r="AP16" i="173"/>
  <c r="AH15" i="172"/>
  <c r="AP15" i="173"/>
  <c r="AH14" i="172"/>
  <c r="AP14" i="173"/>
  <c r="AH13" i="172"/>
  <c r="AP13" i="173"/>
  <c r="AH12" i="172"/>
  <c r="L61" i="133"/>
  <c r="O36" i="10"/>
  <c r="M36" i="10"/>
  <c r="O32" i="10"/>
  <c r="M32" i="10"/>
  <c r="G26" i="10"/>
  <c r="O26" i="10" s="1"/>
  <c r="O24" i="10"/>
  <c r="M24" i="10"/>
  <c r="O22" i="10"/>
  <c r="M22" i="10"/>
  <c r="G17" i="10"/>
  <c r="E17" i="10"/>
  <c r="O9" i="10"/>
  <c r="F9" i="10"/>
  <c r="G56" i="8"/>
  <c r="F54" i="8"/>
  <c r="D54" i="8"/>
  <c r="F39" i="8"/>
  <c r="D39" i="8"/>
  <c r="AQ25" i="173"/>
  <c r="AI24" i="172"/>
  <c r="AA22" i="53" s="1"/>
  <c r="AG24" i="47"/>
  <c r="AI24" i="47" s="1"/>
  <c r="AC24" i="172"/>
  <c r="N22" i="53"/>
  <c r="V22" i="53"/>
  <c r="O24" i="172"/>
  <c r="Q24" i="172"/>
  <c r="T24" i="172"/>
  <c r="V24" i="172"/>
  <c r="P24" i="172"/>
  <c r="S24" i="172"/>
  <c r="U24" i="172"/>
  <c r="W24" i="172"/>
  <c r="AQ24" i="173"/>
  <c r="AI23" i="172"/>
  <c r="AA21" i="53" s="1"/>
  <c r="AG23" i="47"/>
  <c r="AI23" i="47" s="1"/>
  <c r="AC23" i="172"/>
  <c r="V21" i="53"/>
  <c r="N21" i="53"/>
  <c r="O23" i="172"/>
  <c r="Q23" i="172"/>
  <c r="T23" i="172"/>
  <c r="V23" i="172"/>
  <c r="P23" i="172"/>
  <c r="S23" i="172"/>
  <c r="U23" i="172"/>
  <c r="W23" i="172"/>
  <c r="AQ23" i="173"/>
  <c r="AI22" i="172"/>
  <c r="AA20" i="53" s="1"/>
  <c r="AG22" i="47"/>
  <c r="AI22" i="47" s="1"/>
  <c r="AC22" i="172"/>
  <c r="N20" i="53"/>
  <c r="V20" i="53"/>
  <c r="O22" i="172"/>
  <c r="Q22" i="172"/>
  <c r="T22" i="172"/>
  <c r="V22" i="172"/>
  <c r="P22" i="172"/>
  <c r="S22" i="172"/>
  <c r="U22" i="172"/>
  <c r="W22" i="172"/>
  <c r="AQ22" i="173"/>
  <c r="AI21" i="172"/>
  <c r="AA19" i="53" s="1"/>
  <c r="AG21" i="47"/>
  <c r="AI21" i="47" s="1"/>
  <c r="AC21" i="172"/>
  <c r="N19" i="53"/>
  <c r="V19" i="53"/>
  <c r="O21" i="172"/>
  <c r="Q21" i="172"/>
  <c r="T21" i="172"/>
  <c r="V21" i="172"/>
  <c r="P21" i="172"/>
  <c r="S21" i="172"/>
  <c r="U21" i="172"/>
  <c r="W21" i="172"/>
  <c r="AQ21" i="173"/>
  <c r="AI20" i="172"/>
  <c r="AA18" i="53" s="1"/>
  <c r="AG20" i="47"/>
  <c r="AI20" i="47" s="1"/>
  <c r="AC20" i="172"/>
  <c r="N18" i="53"/>
  <c r="V18" i="53"/>
  <c r="O20" i="172"/>
  <c r="Q20" i="172"/>
  <c r="T20" i="172"/>
  <c r="V20" i="172"/>
  <c r="P20" i="172"/>
  <c r="S20" i="172"/>
  <c r="U20" i="172"/>
  <c r="W20" i="172"/>
  <c r="AQ20" i="173"/>
  <c r="AI19" i="172"/>
  <c r="AA17" i="53" s="1"/>
  <c r="AG19" i="47"/>
  <c r="AI19" i="47" s="1"/>
  <c r="AC19" i="172"/>
  <c r="V17" i="53"/>
  <c r="N17" i="53"/>
  <c r="O19" i="172"/>
  <c r="Q19" i="172"/>
  <c r="T19" i="172"/>
  <c r="V19" i="172"/>
  <c r="P19" i="172"/>
  <c r="S19" i="172"/>
  <c r="U19" i="172"/>
  <c r="W19" i="172"/>
  <c r="AQ19" i="173"/>
  <c r="AI18" i="172"/>
  <c r="AA16" i="53" s="1"/>
  <c r="AG18" i="47"/>
  <c r="AI18" i="47" s="1"/>
  <c r="AC18" i="172"/>
  <c r="N16" i="53"/>
  <c r="V16" i="53"/>
  <c r="O18" i="172"/>
  <c r="Q18" i="172"/>
  <c r="T18" i="172"/>
  <c r="V18" i="172"/>
  <c r="P18" i="172"/>
  <c r="S18" i="172"/>
  <c r="U18" i="172"/>
  <c r="W18" i="172"/>
  <c r="AQ18" i="173"/>
  <c r="AI17" i="172"/>
  <c r="AA15" i="53" s="1"/>
  <c r="AG17" i="47"/>
  <c r="AI17" i="47" s="1"/>
  <c r="AC17" i="172"/>
  <c r="V15" i="53"/>
  <c r="N15" i="53"/>
  <c r="O17" i="172"/>
  <c r="Q17" i="172"/>
  <c r="T17" i="172"/>
  <c r="V17" i="172"/>
  <c r="P17" i="172"/>
  <c r="S17" i="172"/>
  <c r="U17" i="172"/>
  <c r="W17" i="172"/>
  <c r="AQ17" i="173"/>
  <c r="AI16" i="172"/>
  <c r="AA14" i="53" s="1"/>
  <c r="AG16" i="47"/>
  <c r="AI16" i="47" s="1"/>
  <c r="AC16" i="172"/>
  <c r="N14" i="53"/>
  <c r="V14" i="53"/>
  <c r="O16" i="172"/>
  <c r="Q16" i="172"/>
  <c r="T16" i="172"/>
  <c r="V16" i="172"/>
  <c r="P16" i="172"/>
  <c r="S16" i="172"/>
  <c r="U16" i="172"/>
  <c r="W16" i="172"/>
  <c r="AQ16" i="173"/>
  <c r="AI15" i="172"/>
  <c r="AA13" i="53" s="1"/>
  <c r="AG15" i="47"/>
  <c r="AI15" i="47" s="1"/>
  <c r="AC15" i="172"/>
  <c r="V13" i="53"/>
  <c r="N13" i="53"/>
  <c r="O15" i="172"/>
  <c r="Q15" i="172"/>
  <c r="T15" i="172"/>
  <c r="V15" i="172"/>
  <c r="P15" i="172"/>
  <c r="S15" i="172"/>
  <c r="U15" i="172"/>
  <c r="W15" i="172"/>
  <c r="AQ15" i="173"/>
  <c r="AI14" i="172"/>
  <c r="AA12" i="53" s="1"/>
  <c r="AG14" i="47"/>
  <c r="AI14" i="47" s="1"/>
  <c r="AC14" i="172"/>
  <c r="N12" i="53"/>
  <c r="V12" i="53"/>
  <c r="O14" i="172"/>
  <c r="Q14" i="172"/>
  <c r="T14" i="172"/>
  <c r="V14" i="172"/>
  <c r="P14" i="172"/>
  <c r="S14" i="172"/>
  <c r="U14" i="172"/>
  <c r="W14" i="172"/>
  <c r="AQ14" i="173"/>
  <c r="AI13" i="172"/>
  <c r="AA11" i="53" s="1"/>
  <c r="AG13" i="47"/>
  <c r="AI13" i="47" s="1"/>
  <c r="AC13" i="172"/>
  <c r="V11" i="53"/>
  <c r="N11" i="53"/>
  <c r="O13" i="172"/>
  <c r="Q13" i="172"/>
  <c r="T13" i="172"/>
  <c r="V13" i="172"/>
  <c r="P13" i="172"/>
  <c r="S13" i="172"/>
  <c r="U13" i="172"/>
  <c r="W13" i="172"/>
  <c r="AQ13" i="173"/>
  <c r="AI12" i="172"/>
  <c r="AA10" i="53" s="1"/>
  <c r="AG12" i="47"/>
  <c r="AI12" i="47" s="1"/>
  <c r="AC12" i="172"/>
  <c r="N10" i="53"/>
  <c r="V10" i="53"/>
  <c r="O12" i="172"/>
  <c r="Q12" i="172"/>
  <c r="T12" i="172"/>
  <c r="V12" i="172"/>
  <c r="C43" i="172"/>
  <c r="C45" i="172"/>
  <c r="C47" i="172"/>
  <c r="P12" i="172"/>
  <c r="S12" i="172"/>
  <c r="U12" i="172"/>
  <c r="W12" i="172"/>
  <c r="C44" i="172"/>
  <c r="C46" i="172"/>
  <c r="C48" i="172"/>
  <c r="N8" i="47"/>
  <c r="B21" i="15"/>
  <c r="B20" i="15"/>
  <c r="B19" i="15"/>
  <c r="B18" i="15"/>
  <c r="B17" i="15"/>
  <c r="B16" i="15"/>
  <c r="B15" i="15"/>
  <c r="B14" i="15"/>
  <c r="B13" i="15"/>
  <c r="B12" i="15"/>
  <c r="B11" i="15"/>
  <c r="B10" i="15"/>
  <c r="B9" i="15"/>
  <c r="F15" i="63"/>
  <c r="H15" i="63" s="1"/>
  <c r="J12" i="64"/>
  <c r="D16" i="52" s="1" a="1"/>
  <c r="H14" i="287"/>
  <c r="AA22" i="288"/>
  <c r="B22" i="288"/>
  <c r="AA20" i="288"/>
  <c r="B20" i="288"/>
  <c r="AA18" i="288"/>
  <c r="B18" i="288"/>
  <c r="AA16" i="288"/>
  <c r="B16" i="288"/>
  <c r="AA14" i="288"/>
  <c r="B14" i="288"/>
  <c r="AA12" i="288"/>
  <c r="B12" i="288"/>
  <c r="AA10" i="288"/>
  <c r="B10" i="288"/>
  <c r="F44" i="13"/>
  <c r="D44" i="13"/>
  <c r="F43" i="13"/>
  <c r="F42" i="13"/>
  <c r="D42" i="13"/>
  <c r="F41" i="13"/>
  <c r="B22" i="13"/>
  <c r="G21" i="13"/>
  <c r="H21" i="13" s="1"/>
  <c r="I21" i="13" s="1"/>
  <c r="J21" i="13" s="1"/>
  <c r="K21" i="13" s="1"/>
  <c r="B21" i="13"/>
  <c r="B20" i="13"/>
  <c r="B19" i="13"/>
  <c r="G18" i="13"/>
  <c r="H18" i="13" s="1"/>
  <c r="I18" i="13" s="1"/>
  <c r="J18" i="13" s="1"/>
  <c r="K18" i="13" s="1"/>
  <c r="B18" i="13"/>
  <c r="B17" i="13"/>
  <c r="B16" i="13"/>
  <c r="B15" i="13"/>
  <c r="B14" i="13"/>
  <c r="B13" i="13"/>
  <c r="B12" i="13"/>
  <c r="B11" i="13"/>
  <c r="B10" i="13"/>
  <c r="O28" i="52"/>
  <c r="D48" i="12"/>
  <c r="E48" i="12"/>
  <c r="H48" i="12" s="1"/>
  <c r="Y48" i="12" s="1"/>
  <c r="AA11" i="12"/>
  <c r="M11" i="13" s="1"/>
  <c r="AA22" i="295"/>
  <c r="AA20" i="295"/>
  <c r="AA18" i="295"/>
  <c r="AA16" i="295"/>
  <c r="AA14" i="295"/>
  <c r="AA12" i="295"/>
  <c r="I6" i="291"/>
  <c r="D32" i="291" s="1"/>
  <c r="L4" i="291"/>
  <c r="D40" i="291" s="1"/>
  <c r="K56" i="285"/>
  <c r="D57" i="79"/>
  <c r="D55" i="79"/>
  <c r="D48" i="79"/>
  <c r="D46" i="79"/>
  <c r="D44" i="79"/>
  <c r="D42" i="79"/>
  <c r="D40" i="79"/>
  <c r="Z21" i="53"/>
  <c r="Y21" i="41"/>
  <c r="D38" i="79"/>
  <c r="Z19" i="53"/>
  <c r="Y19" i="41"/>
  <c r="D36" i="79"/>
  <c r="Z17" i="53"/>
  <c r="Y17" i="41"/>
  <c r="D34" i="79"/>
  <c r="Z15" i="53"/>
  <c r="Y15" i="41"/>
  <c r="D32" i="79"/>
  <c r="Z13" i="53"/>
  <c r="Y13" i="41"/>
  <c r="D30" i="79"/>
  <c r="D29" i="79"/>
  <c r="Z10" i="53"/>
  <c r="Y10" i="41"/>
  <c r="B3" i="4"/>
  <c r="G8" i="8"/>
  <c r="O8" i="8" s="1"/>
  <c r="AK24" i="47"/>
  <c r="AD24" i="172"/>
  <c r="AF24" i="172" s="1"/>
  <c r="W22" i="53"/>
  <c r="O22" i="53"/>
  <c r="U22" i="53"/>
  <c r="M22" i="53"/>
  <c r="B22" i="53"/>
  <c r="B25" i="173"/>
  <c r="B24" i="172"/>
  <c r="B22" i="41"/>
  <c r="AK23" i="47"/>
  <c r="AD23" i="172"/>
  <c r="AF23" i="172" s="1"/>
  <c r="W21" i="53"/>
  <c r="O21" i="53"/>
  <c r="M21" i="53"/>
  <c r="U21" i="53"/>
  <c r="B21" i="53"/>
  <c r="B24" i="173"/>
  <c r="B23" i="172"/>
  <c r="B21" i="41"/>
  <c r="AK22" i="47"/>
  <c r="AD22" i="172"/>
  <c r="AF22" i="172" s="1"/>
  <c r="W20" i="53"/>
  <c r="O20" i="53"/>
  <c r="U20" i="53"/>
  <c r="M20" i="53"/>
  <c r="B20" i="53"/>
  <c r="B23" i="173"/>
  <c r="B22" i="172"/>
  <c r="B20" i="41"/>
  <c r="AK21" i="47"/>
  <c r="AD21" i="172"/>
  <c r="AF21" i="172" s="1"/>
  <c r="O19" i="53"/>
  <c r="W19" i="53"/>
  <c r="U19" i="53"/>
  <c r="M19" i="53"/>
  <c r="B19" i="53"/>
  <c r="B22" i="173"/>
  <c r="B21" i="172"/>
  <c r="B19" i="41"/>
  <c r="AK20" i="47"/>
  <c r="AD20" i="172"/>
  <c r="AF20" i="172" s="1"/>
  <c r="O18" i="53"/>
  <c r="W18" i="53"/>
  <c r="M18" i="53"/>
  <c r="U18" i="53"/>
  <c r="B18" i="53"/>
  <c r="B21" i="173"/>
  <c r="B20" i="172"/>
  <c r="B18" i="41"/>
  <c r="AK19" i="47"/>
  <c r="AD19" i="172"/>
  <c r="AF19" i="172" s="1"/>
  <c r="O17" i="53"/>
  <c r="W17" i="53"/>
  <c r="M17" i="53"/>
  <c r="U17" i="53"/>
  <c r="B17" i="53"/>
  <c r="B20" i="173"/>
  <c r="B19" i="172"/>
  <c r="B17" i="41"/>
  <c r="AK18" i="47"/>
  <c r="AD18" i="172"/>
  <c r="AF18" i="172" s="1"/>
  <c r="O16" i="53"/>
  <c r="W16" i="53"/>
  <c r="M16" i="53"/>
  <c r="U16" i="53"/>
  <c r="B16" i="53"/>
  <c r="B19" i="173"/>
  <c r="B18" i="172"/>
  <c r="B16" i="41"/>
  <c r="AK17" i="47"/>
  <c r="AD17" i="172"/>
  <c r="AF17" i="172" s="1"/>
  <c r="O15" i="53"/>
  <c r="W15" i="53"/>
  <c r="M15" i="53"/>
  <c r="U15" i="53"/>
  <c r="B15" i="53"/>
  <c r="B18" i="173"/>
  <c r="B17" i="172"/>
  <c r="B15" i="41"/>
  <c r="AK16" i="47"/>
  <c r="AD16" i="172"/>
  <c r="AF16" i="172" s="1"/>
  <c r="O14" i="53"/>
  <c r="W14" i="53"/>
  <c r="M14" i="53"/>
  <c r="U14" i="53"/>
  <c r="B14" i="53"/>
  <c r="B17" i="173"/>
  <c r="B16" i="172"/>
  <c r="B14" i="41"/>
  <c r="AK15" i="47"/>
  <c r="AD15" i="172"/>
  <c r="AF15" i="172" s="1"/>
  <c r="O13" i="53"/>
  <c r="W13" i="53"/>
  <c r="M13" i="53"/>
  <c r="U13" i="53"/>
  <c r="B13" i="53"/>
  <c r="B16" i="173"/>
  <c r="B15" i="172"/>
  <c r="B13" i="41"/>
  <c r="AK14" i="47"/>
  <c r="AD14" i="172"/>
  <c r="AF14" i="172" s="1"/>
  <c r="W12" i="53"/>
  <c r="O12" i="53"/>
  <c r="U12" i="53"/>
  <c r="M12" i="53"/>
  <c r="B12" i="53"/>
  <c r="B15" i="173"/>
  <c r="B14" i="172"/>
  <c r="B12" i="41"/>
  <c r="AK13" i="47"/>
  <c r="AD13" i="172"/>
  <c r="AF13" i="172" s="1"/>
  <c r="O11" i="53"/>
  <c r="W11" i="53"/>
  <c r="U11" i="53"/>
  <c r="M11" i="53"/>
  <c r="B11" i="53"/>
  <c r="B14" i="173"/>
  <c r="B13" i="172"/>
  <c r="B11" i="41"/>
  <c r="AK12" i="47"/>
  <c r="AD12" i="172"/>
  <c r="AF12" i="172" s="1"/>
  <c r="W10" i="53"/>
  <c r="O10" i="53"/>
  <c r="U10" i="53"/>
  <c r="M10" i="53"/>
  <c r="B10" i="53"/>
  <c r="B13" i="173"/>
  <c r="B12" i="172"/>
  <c r="B10" i="41"/>
  <c r="AM2" i="57"/>
  <c r="AA2" i="53"/>
  <c r="Z2" i="41"/>
  <c r="E48" i="288"/>
  <c r="H48" i="288" s="1"/>
  <c r="Y48" i="288" s="1"/>
  <c r="AB41" i="288" s="1"/>
  <c r="AA21" i="288"/>
  <c r="B21" i="288"/>
  <c r="AA19" i="288"/>
  <c r="B19" i="288"/>
  <c r="AA17" i="288"/>
  <c r="B17" i="288"/>
  <c r="AA15" i="288"/>
  <c r="B15" i="288"/>
  <c r="AA13" i="288"/>
  <c r="B13" i="288"/>
  <c r="AA11" i="288"/>
  <c r="B11" i="288"/>
  <c r="N6" i="288"/>
  <c r="AB2" i="288"/>
  <c r="G12" i="13"/>
  <c r="D47" i="14"/>
  <c r="E47" i="14" s="1"/>
  <c r="I6" i="14"/>
  <c r="D32" i="14" s="1"/>
  <c r="F83" i="52"/>
  <c r="F98" i="52" s="1"/>
  <c r="F107" i="52" s="1"/>
  <c r="F72" i="52"/>
  <c r="F59" i="52"/>
  <c r="O30" i="52"/>
  <c r="Q28" i="52"/>
  <c r="Q27" i="52"/>
  <c r="F12" i="66"/>
  <c r="F11" i="66"/>
  <c r="D32" i="11"/>
  <c r="AA22" i="12"/>
  <c r="M22" i="13" s="1"/>
  <c r="N22" i="12"/>
  <c r="B22" i="12"/>
  <c r="AA20" i="12"/>
  <c r="M20" i="13" s="1"/>
  <c r="N20" i="12"/>
  <c r="B20" i="12"/>
  <c r="AA18" i="12"/>
  <c r="M18" i="13" s="1"/>
  <c r="N18" i="12"/>
  <c r="B18" i="12"/>
  <c r="AA16" i="12"/>
  <c r="M16" i="13" s="1"/>
  <c r="N16" i="12"/>
  <c r="B16" i="12"/>
  <c r="AA14" i="12"/>
  <c r="M14" i="13" s="1"/>
  <c r="N14" i="12"/>
  <c r="B14" i="12"/>
  <c r="AA12" i="12"/>
  <c r="M12" i="13" s="1"/>
  <c r="N12" i="12"/>
  <c r="B12" i="12"/>
  <c r="AA10" i="12"/>
  <c r="M10" i="13" s="1"/>
  <c r="B10" i="12"/>
  <c r="M43" i="295"/>
  <c r="M42" i="295"/>
  <c r="E48" i="295"/>
  <c r="H48" i="295" s="1"/>
  <c r="Y48" i="295" s="1"/>
  <c r="AB41" i="295" s="1"/>
  <c r="AA21" i="295"/>
  <c r="B21" i="295"/>
  <c r="AA19" i="295"/>
  <c r="B19" i="295"/>
  <c r="AA17" i="295"/>
  <c r="B17" i="295"/>
  <c r="AA15" i="295"/>
  <c r="B15" i="295"/>
  <c r="AA13" i="295"/>
  <c r="B13" i="295"/>
  <c r="AA11" i="295"/>
  <c r="B11" i="295"/>
  <c r="N6" i="295"/>
  <c r="AB2" i="295"/>
  <c r="I19" i="291"/>
  <c r="I18" i="291"/>
  <c r="I17" i="291"/>
  <c r="I16" i="291"/>
  <c r="I15" i="291"/>
  <c r="I14" i="291"/>
  <c r="I13" i="291"/>
  <c r="I12" i="291"/>
  <c r="I11" i="291"/>
  <c r="O44" i="185"/>
  <c r="F44" i="185"/>
  <c r="O42" i="185"/>
  <c r="F42" i="185"/>
  <c r="AC23" i="185"/>
  <c r="Y23" i="185"/>
  <c r="AC22" i="185"/>
  <c r="Y22" i="185"/>
  <c r="AC21" i="185"/>
  <c r="Y21" i="185"/>
  <c r="AC20" i="185"/>
  <c r="Y20" i="185"/>
  <c r="AC19" i="185"/>
  <c r="Y19" i="185"/>
  <c r="AC18" i="185"/>
  <c r="Y18" i="185"/>
  <c r="AC17" i="185"/>
  <c r="Y17" i="185"/>
  <c r="AC16" i="185"/>
  <c r="Y16" i="185"/>
  <c r="AC15" i="185"/>
  <c r="Y15" i="185"/>
  <c r="AC14" i="185"/>
  <c r="Y14" i="185"/>
  <c r="AC13" i="185"/>
  <c r="Y13" i="185"/>
  <c r="AC12" i="185"/>
  <c r="Y12" i="185"/>
  <c r="AC11" i="185"/>
  <c r="C179" i="156"/>
  <c r="C13" i="156"/>
  <c r="T44" i="47" l="1"/>
  <c r="H13" i="12"/>
  <c r="H21" i="12"/>
  <c r="Y44" i="47"/>
  <c r="D23" i="291"/>
  <c r="E23" i="291" s="1"/>
  <c r="F17" i="63"/>
  <c r="F21" i="63" s="1"/>
  <c r="J47" i="185"/>
  <c r="I47" i="185"/>
  <c r="G39" i="268"/>
  <c r="G45" i="268" s="1"/>
  <c r="Y46" i="47"/>
  <c r="D25" i="289"/>
  <c r="D31" i="289" s="1"/>
  <c r="M45" i="8"/>
  <c r="I42" i="185"/>
  <c r="H17" i="12"/>
  <c r="F28" i="10"/>
  <c r="F43" i="10" s="1"/>
  <c r="N43" i="10" s="1"/>
  <c r="U57" i="285"/>
  <c r="U61" i="285"/>
  <c r="I74" i="285"/>
  <c r="I24" i="285" s="1"/>
  <c r="J45" i="185"/>
  <c r="I46" i="185"/>
  <c r="N45" i="47"/>
  <c r="I45" i="47"/>
  <c r="D45" i="13"/>
  <c r="E44" i="13"/>
  <c r="M42" i="12"/>
  <c r="Q6" i="12"/>
  <c r="M44" i="295"/>
  <c r="S21" i="185"/>
  <c r="T21" i="185"/>
  <c r="V21" i="185" s="1"/>
  <c r="Z21" i="185" s="1"/>
  <c r="U46" i="185"/>
  <c r="T13" i="185"/>
  <c r="V13" i="185" s="1"/>
  <c r="Z13" i="185" s="1"/>
  <c r="H43" i="185"/>
  <c r="D43" i="185"/>
  <c r="U123" i="285"/>
  <c r="AI111" i="285"/>
  <c r="AI104" i="285"/>
  <c r="AI100" i="285"/>
  <c r="AI94" i="285"/>
  <c r="AI90" i="285"/>
  <c r="AI86" i="285"/>
  <c r="AH80" i="285"/>
  <c r="AI80" i="285" s="1"/>
  <c r="AI72" i="285"/>
  <c r="AI68" i="285"/>
  <c r="E22" i="266"/>
  <c r="D22" i="266"/>
  <c r="H21" i="285"/>
  <c r="B11" i="133"/>
  <c r="G11" i="133" s="1"/>
  <c r="B3" i="289" s="1"/>
  <c r="J9" i="4" s="1"/>
  <c r="H47" i="47"/>
  <c r="Y22" i="47"/>
  <c r="T22" i="47"/>
  <c r="X21" i="47"/>
  <c r="AF14" i="47"/>
  <c r="S13" i="47"/>
  <c r="V12" i="47"/>
  <c r="O44" i="47"/>
  <c r="J45" i="47"/>
  <c r="T23" i="185"/>
  <c r="V23" i="185" s="1"/>
  <c r="Z23" i="185" s="1"/>
  <c r="K44" i="185"/>
  <c r="K42" i="185"/>
  <c r="AI95" i="285"/>
  <c r="G67" i="285"/>
  <c r="L31" i="10"/>
  <c r="J12" i="133"/>
  <c r="J25" i="4"/>
  <c r="L30" i="10"/>
  <c r="L24" i="10"/>
  <c r="L23" i="10"/>
  <c r="D17" i="10"/>
  <c r="L17" i="10" s="1"/>
  <c r="F63" i="8"/>
  <c r="E54" i="8"/>
  <c r="E29" i="8"/>
  <c r="L48" i="47"/>
  <c r="L46" i="47"/>
  <c r="V24" i="47"/>
  <c r="X22" i="47"/>
  <c r="S22" i="47"/>
  <c r="V21" i="47"/>
  <c r="Z19" i="47"/>
  <c r="Y18" i="47"/>
  <c r="T18" i="47"/>
  <c r="X17" i="47"/>
  <c r="X43" i="47" s="1"/>
  <c r="P44" i="47"/>
  <c r="L43" i="47"/>
  <c r="Z12" i="47"/>
  <c r="T12" i="47"/>
  <c r="M44" i="288"/>
  <c r="M45" i="288"/>
  <c r="E83" i="52"/>
  <c r="E98" i="52" s="1"/>
  <c r="E107" i="52" s="1"/>
  <c r="E59" i="52"/>
  <c r="N48" i="12"/>
  <c r="N21" i="12"/>
  <c r="N13" i="12"/>
  <c r="N42" i="12" s="1"/>
  <c r="M45" i="12"/>
  <c r="Q47" i="185"/>
  <c r="H47" i="185"/>
  <c r="R46" i="185"/>
  <c r="D46" i="185"/>
  <c r="F45" i="185"/>
  <c r="K43" i="185"/>
  <c r="E42" i="185"/>
  <c r="X23" i="185"/>
  <c r="J22" i="185"/>
  <c r="L22" i="185" s="1"/>
  <c r="Z22" i="185" s="1"/>
  <c r="P45" i="185"/>
  <c r="T17" i="185"/>
  <c r="V17" i="185" s="1"/>
  <c r="Z17" i="185" s="1"/>
  <c r="G42" i="185"/>
  <c r="X15" i="185"/>
  <c r="X45" i="185" s="1"/>
  <c r="J14" i="185"/>
  <c r="T11" i="185"/>
  <c r="C30" i="156"/>
  <c r="F30" i="156" s="1"/>
  <c r="H123" i="285"/>
  <c r="AH106" i="285"/>
  <c r="AI106" i="285" s="1"/>
  <c r="AI102" i="285"/>
  <c r="AI98" i="285"/>
  <c r="AI92" i="285"/>
  <c r="AI88" i="285"/>
  <c r="AI84" i="285"/>
  <c r="AI78" i="285"/>
  <c r="AI70" i="285"/>
  <c r="H27" i="285"/>
  <c r="AH19" i="285"/>
  <c r="AI19" i="285" s="1"/>
  <c r="AI8" i="285"/>
  <c r="F23" i="264"/>
  <c r="L32" i="10"/>
  <c r="L21" i="10"/>
  <c r="L15" i="10"/>
  <c r="D20" i="8"/>
  <c r="C48" i="47"/>
  <c r="C46" i="47"/>
  <c r="C44" i="47"/>
  <c r="Z24" i="47"/>
  <c r="T24" i="47"/>
  <c r="AF22" i="47"/>
  <c r="W22" i="47"/>
  <c r="R22" i="47"/>
  <c r="S21" i="47"/>
  <c r="V19" i="47"/>
  <c r="V43" i="47" s="1"/>
  <c r="X18" i="47"/>
  <c r="S18" i="47"/>
  <c r="V17" i="47"/>
  <c r="Z15" i="47"/>
  <c r="Z46" i="47" s="1"/>
  <c r="X13" i="47"/>
  <c r="Y12" i="47"/>
  <c r="R12" i="47"/>
  <c r="M44" i="47"/>
  <c r="H44" i="47"/>
  <c r="M43" i="12"/>
  <c r="N15" i="12"/>
  <c r="M45" i="295"/>
  <c r="P47" i="185"/>
  <c r="G47" i="185"/>
  <c r="H46" i="185"/>
  <c r="N45" i="185"/>
  <c r="R44" i="185"/>
  <c r="F43" i="185"/>
  <c r="S20" i="185"/>
  <c r="T19" i="185"/>
  <c r="V19" i="185" s="1"/>
  <c r="Z19" i="185" s="1"/>
  <c r="H45" i="185"/>
  <c r="D45" i="185"/>
  <c r="U43" i="185"/>
  <c r="G46" i="185"/>
  <c r="R42" i="185"/>
  <c r="J16" i="185"/>
  <c r="L16" i="185" s="1"/>
  <c r="Z16" i="185" s="1"/>
  <c r="E45" i="185"/>
  <c r="S12" i="185"/>
  <c r="H118" i="285"/>
  <c r="AI109" i="285"/>
  <c r="AI103" i="285"/>
  <c r="AI99" i="285"/>
  <c r="AI93" i="285"/>
  <c r="AI89" i="285"/>
  <c r="AI85" i="285"/>
  <c r="AI79" i="285"/>
  <c r="AI71" i="285"/>
  <c r="AG21" i="285"/>
  <c r="AC21" i="285"/>
  <c r="Y21" i="285"/>
  <c r="AH21" i="285" s="1"/>
  <c r="AI21" i="285" s="1"/>
  <c r="I53" i="264"/>
  <c r="I23" i="264"/>
  <c r="I66" i="264" s="1"/>
  <c r="E9" i="63" s="1"/>
  <c r="K22" i="264"/>
  <c r="K23" i="264" s="1"/>
  <c r="F61" i="264"/>
  <c r="N24" i="8"/>
  <c r="N14" i="8"/>
  <c r="N35" i="8"/>
  <c r="N37" i="8"/>
  <c r="N20" i="8"/>
  <c r="O17" i="8"/>
  <c r="O23" i="8"/>
  <c r="O27" i="8"/>
  <c r="N50" i="8"/>
  <c r="N36" i="8"/>
  <c r="N22" i="8"/>
  <c r="N51" i="8"/>
  <c r="N27" i="8"/>
  <c r="N17" i="8"/>
  <c r="O42" i="8"/>
  <c r="N43" i="8"/>
  <c r="N29" i="8"/>
  <c r="N18" i="8"/>
  <c r="N49" i="8"/>
  <c r="N25" i="8"/>
  <c r="N15" i="8"/>
  <c r="O15" i="8"/>
  <c r="O20" i="8"/>
  <c r="O25" i="8"/>
  <c r="O35" i="8"/>
  <c r="N41" i="8"/>
  <c r="N26" i="8"/>
  <c r="N16" i="8"/>
  <c r="N42" i="8"/>
  <c r="N23" i="8"/>
  <c r="N13" i="8"/>
  <c r="D26" i="10"/>
  <c r="E48" i="14"/>
  <c r="E51" i="14" s="1"/>
  <c r="L6" i="292"/>
  <c r="O3" i="292" s="1"/>
  <c r="L5" i="4"/>
  <c r="L4" i="4"/>
  <c r="U62" i="285"/>
  <c r="H14" i="295"/>
  <c r="H18" i="295"/>
  <c r="H22" i="295"/>
  <c r="Y48" i="47"/>
  <c r="T46" i="47"/>
  <c r="T48" i="47"/>
  <c r="S43" i="47"/>
  <c r="S44" i="47"/>
  <c r="S45" i="47"/>
  <c r="S46" i="47"/>
  <c r="S47" i="47"/>
  <c r="S48" i="47"/>
  <c r="X43" i="185"/>
  <c r="X47" i="185"/>
  <c r="K66" i="264"/>
  <c r="F74" i="285"/>
  <c r="F24" i="285" s="1"/>
  <c r="R43" i="47"/>
  <c r="O13" i="8"/>
  <c r="O41" i="8"/>
  <c r="O43" i="8"/>
  <c r="O52" i="8"/>
  <c r="O50" i="8"/>
  <c r="O14" i="8"/>
  <c r="O16" i="8"/>
  <c r="O18" i="8"/>
  <c r="O24" i="8"/>
  <c r="O26" i="8"/>
  <c r="O29" i="8"/>
  <c r="O36" i="8"/>
  <c r="O37" i="8"/>
  <c r="O51" i="8"/>
  <c r="O48" i="8"/>
  <c r="T47" i="47"/>
  <c r="T43" i="47"/>
  <c r="J15" i="266"/>
  <c r="J24" i="266"/>
  <c r="J30" i="266"/>
  <c r="J21" i="266"/>
  <c r="J23" i="266"/>
  <c r="J32" i="266"/>
  <c r="J36" i="266"/>
  <c r="J31" i="266"/>
  <c r="J13" i="266"/>
  <c r="D17" i="266"/>
  <c r="J17" i="266" s="1"/>
  <c r="J41" i="266"/>
  <c r="O45" i="8"/>
  <c r="B74" i="52"/>
  <c r="B85" i="52"/>
  <c r="U58" i="285"/>
  <c r="W43" i="47"/>
  <c r="T45" i="47"/>
  <c r="Y47" i="47"/>
  <c r="O49" i="8"/>
  <c r="Y45" i="47"/>
  <c r="R46" i="47"/>
  <c r="R44" i="47"/>
  <c r="R45" i="47"/>
  <c r="R47" i="47"/>
  <c r="R48" i="47"/>
  <c r="Y43" i="47"/>
  <c r="N34" i="8"/>
  <c r="O39" i="8"/>
  <c r="X46" i="185"/>
  <c r="X42" i="185"/>
  <c r="N52" i="8"/>
  <c r="W44" i="47"/>
  <c r="W45" i="47"/>
  <c r="W46" i="47"/>
  <c r="W47" i="47"/>
  <c r="W48" i="47"/>
  <c r="O34" i="8"/>
  <c r="O54" i="8"/>
  <c r="X44" i="185"/>
  <c r="D19" i="11"/>
  <c r="D20" i="11" s="1"/>
  <c r="E16" i="52"/>
  <c r="G16" i="52"/>
  <c r="I16" i="52"/>
  <c r="D16" i="52"/>
  <c r="F16" i="52"/>
  <c r="H16" i="52"/>
  <c r="J16" i="52"/>
  <c r="C6" i="264"/>
  <c r="K21" i="63" s="1"/>
  <c r="L16" i="264"/>
  <c r="L18" i="264"/>
  <c r="L28" i="264"/>
  <c r="L34" i="264"/>
  <c r="L36" i="264"/>
  <c r="L38" i="264"/>
  <c r="L40" i="264"/>
  <c r="L42" i="264"/>
  <c r="L44" i="264"/>
  <c r="L56" i="264"/>
  <c r="L58" i="264"/>
  <c r="L60" i="264"/>
  <c r="L63" i="264"/>
  <c r="L17" i="264"/>
  <c r="L25" i="264"/>
  <c r="L27" i="264"/>
  <c r="L29" i="264"/>
  <c r="L33" i="264"/>
  <c r="L35" i="264"/>
  <c r="L37" i="264"/>
  <c r="L39" i="264"/>
  <c r="L41" i="264"/>
  <c r="L43" i="264"/>
  <c r="L55" i="264"/>
  <c r="L57" i="264"/>
  <c r="L59" i="264"/>
  <c r="L66" i="264"/>
  <c r="H68" i="264"/>
  <c r="L52" i="264"/>
  <c r="L48" i="264"/>
  <c r="L26" i="264"/>
  <c r="L21" i="264"/>
  <c r="L51" i="264"/>
  <c r="L22" i="264"/>
  <c r="L19" i="264"/>
  <c r="L61" i="264"/>
  <c r="L50" i="264"/>
  <c r="L32" i="264"/>
  <c r="L49" i="264"/>
  <c r="L47" i="264"/>
  <c r="AI28" i="285"/>
  <c r="G13" i="156"/>
  <c r="F13" i="156"/>
  <c r="G179" i="156"/>
  <c r="F179" i="156"/>
  <c r="D47" i="291"/>
  <c r="E47" i="291" s="1"/>
  <c r="E48" i="291" s="1"/>
  <c r="E51" i="291" s="1"/>
  <c r="Q6" i="295"/>
  <c r="N11" i="295"/>
  <c r="N13" i="295"/>
  <c r="N15" i="295"/>
  <c r="N17" i="295"/>
  <c r="N19" i="295"/>
  <c r="N21" i="295"/>
  <c r="N50" i="295"/>
  <c r="N48" i="295"/>
  <c r="N10" i="295"/>
  <c r="N12" i="295"/>
  <c r="N14" i="295"/>
  <c r="N16" i="295"/>
  <c r="N18" i="295"/>
  <c r="N20" i="295"/>
  <c r="N22" i="295"/>
  <c r="F8" i="11"/>
  <c r="J9" i="292"/>
  <c r="D30" i="14"/>
  <c r="E30" i="14" s="1"/>
  <c r="D31" i="14"/>
  <c r="E31" i="14" s="1"/>
  <c r="D33" i="14"/>
  <c r="E33" i="14" s="1"/>
  <c r="E11" i="288"/>
  <c r="G11" i="288"/>
  <c r="D11" i="288"/>
  <c r="F11" i="288"/>
  <c r="J11" i="288"/>
  <c r="AB11" i="288"/>
  <c r="E13" i="288"/>
  <c r="G13" i="288"/>
  <c r="D13" i="288"/>
  <c r="F13" i="288"/>
  <c r="J13" i="288"/>
  <c r="AB13" i="288"/>
  <c r="E15" i="288"/>
  <c r="G15" i="288"/>
  <c r="D15" i="288"/>
  <c r="F15" i="288"/>
  <c r="J15" i="288"/>
  <c r="AB15" i="288"/>
  <c r="E17" i="288"/>
  <c r="G17" i="288"/>
  <c r="D17" i="288"/>
  <c r="F17" i="288"/>
  <c r="J17" i="288"/>
  <c r="AB17" i="288"/>
  <c r="E19" i="288"/>
  <c r="G19" i="288"/>
  <c r="D19" i="288"/>
  <c r="F19" i="288"/>
  <c r="J19" i="288"/>
  <c r="AB19" i="288"/>
  <c r="E21" i="288"/>
  <c r="G21" i="288"/>
  <c r="D21" i="288"/>
  <c r="F21" i="288"/>
  <c r="J21" i="288"/>
  <c r="AB21" i="288"/>
  <c r="T10" i="41"/>
  <c r="T11" i="41"/>
  <c r="T12" i="41"/>
  <c r="T13" i="41"/>
  <c r="T14" i="41"/>
  <c r="T15" i="41"/>
  <c r="T16" i="41"/>
  <c r="T17" i="41"/>
  <c r="T18" i="41"/>
  <c r="T19" i="41"/>
  <c r="T20" i="41"/>
  <c r="T21" i="41"/>
  <c r="T22" i="41"/>
  <c r="U41" i="53"/>
  <c r="U42" i="53"/>
  <c r="U43" i="53"/>
  <c r="U44" i="53"/>
  <c r="U45" i="53"/>
  <c r="U46" i="53"/>
  <c r="W41" i="53"/>
  <c r="W42" i="53"/>
  <c r="W43" i="53"/>
  <c r="W44" i="53"/>
  <c r="W45" i="53"/>
  <c r="W46" i="53"/>
  <c r="D38" i="291"/>
  <c r="E38" i="291" s="1"/>
  <c r="D39" i="291"/>
  <c r="E39" i="291" s="1"/>
  <c r="D41" i="291"/>
  <c r="E41" i="291" s="1"/>
  <c r="C32" i="156"/>
  <c r="AB41" i="12"/>
  <c r="H19" i="287"/>
  <c r="H20" i="287" s="1"/>
  <c r="H30" i="287"/>
  <c r="H41" i="287" s="1"/>
  <c r="U43" i="172"/>
  <c r="U45" i="172"/>
  <c r="U47" i="172"/>
  <c r="U44" i="172"/>
  <c r="U46" i="172"/>
  <c r="U48" i="172"/>
  <c r="P43" i="172"/>
  <c r="P45" i="172"/>
  <c r="P47" i="172"/>
  <c r="P44" i="172"/>
  <c r="P46" i="172"/>
  <c r="P48" i="172"/>
  <c r="V44" i="172"/>
  <c r="V46" i="172"/>
  <c r="V48" i="172"/>
  <c r="V43" i="172"/>
  <c r="V45" i="172"/>
  <c r="V47" i="172"/>
  <c r="Q44" i="172"/>
  <c r="Q46" i="172"/>
  <c r="Q48" i="172"/>
  <c r="Q43" i="172"/>
  <c r="Q45" i="172"/>
  <c r="Q47" i="172"/>
  <c r="V41" i="53"/>
  <c r="V42" i="53"/>
  <c r="V43" i="53"/>
  <c r="V44" i="53"/>
  <c r="V45" i="53"/>
  <c r="V46" i="53"/>
  <c r="N39" i="8"/>
  <c r="F45" i="8"/>
  <c r="N45" i="8" s="1"/>
  <c r="E9" i="10"/>
  <c r="N9" i="10"/>
  <c r="F8" i="8"/>
  <c r="N8" i="8" s="1"/>
  <c r="M17" i="10"/>
  <c r="E28" i="10"/>
  <c r="F34" i="10"/>
  <c r="W57" i="285"/>
  <c r="X57" i="285" s="1"/>
  <c r="Y57" i="285" s="1"/>
  <c r="Z57" i="285" s="1"/>
  <c r="AA57" i="285" s="1"/>
  <c r="AB57" i="285" s="1"/>
  <c r="AC57" i="285" s="1"/>
  <c r="AD57" i="285" s="1"/>
  <c r="AE57" i="285" s="1"/>
  <c r="AF57" i="285" s="1"/>
  <c r="AG57" i="285" s="1"/>
  <c r="W59" i="285"/>
  <c r="X59" i="285" s="1"/>
  <c r="Y59" i="285" s="1"/>
  <c r="Z59" i="285" s="1"/>
  <c r="AA59" i="285" s="1"/>
  <c r="AB59" i="285" s="1"/>
  <c r="AC59" i="285" s="1"/>
  <c r="AD59" i="285" s="1"/>
  <c r="AE59" i="285" s="1"/>
  <c r="AF59" i="285" s="1"/>
  <c r="AG59" i="285" s="1"/>
  <c r="W61" i="285"/>
  <c r="X61" i="285" s="1"/>
  <c r="Y61" i="285" s="1"/>
  <c r="Z61" i="285" s="1"/>
  <c r="AA61" i="285" s="1"/>
  <c r="AB61" i="285" s="1"/>
  <c r="AC61" i="285" s="1"/>
  <c r="AD61" i="285" s="1"/>
  <c r="AE61" i="285" s="1"/>
  <c r="AF61" i="285" s="1"/>
  <c r="AG61" i="285" s="1"/>
  <c r="W63" i="285"/>
  <c r="X63" i="285" s="1"/>
  <c r="Y63" i="285" s="1"/>
  <c r="Z63" i="285" s="1"/>
  <c r="AA63" i="285" s="1"/>
  <c r="AB63" i="285" s="1"/>
  <c r="AC63" i="285" s="1"/>
  <c r="AD63" i="285" s="1"/>
  <c r="AE63" i="285" s="1"/>
  <c r="AF63" i="285" s="1"/>
  <c r="AG63" i="285" s="1"/>
  <c r="I32" i="285"/>
  <c r="W58" i="285"/>
  <c r="X58" i="285" s="1"/>
  <c r="Y58" i="285" s="1"/>
  <c r="Z58" i="285" s="1"/>
  <c r="AA58" i="285" s="1"/>
  <c r="AB58" i="285" s="1"/>
  <c r="AC58" i="285" s="1"/>
  <c r="AD58" i="285" s="1"/>
  <c r="AE58" i="285" s="1"/>
  <c r="AF58" i="285" s="1"/>
  <c r="AG58" i="285" s="1"/>
  <c r="AH62" i="285"/>
  <c r="AI62" i="285" s="1"/>
  <c r="W62" i="285"/>
  <c r="X62" i="285" s="1"/>
  <c r="Y62" i="285" s="1"/>
  <c r="Z62" i="285" s="1"/>
  <c r="AA62" i="285" s="1"/>
  <c r="AB62" i="285" s="1"/>
  <c r="AC62" i="285" s="1"/>
  <c r="AD62" i="285" s="1"/>
  <c r="AE62" i="285" s="1"/>
  <c r="AF62" i="285" s="1"/>
  <c r="AG62" i="285" s="1"/>
  <c r="AI25" i="285"/>
  <c r="J54" i="285"/>
  <c r="K54" i="285" s="1"/>
  <c r="L54" i="285" s="1"/>
  <c r="M54" i="285" s="1"/>
  <c r="N54" i="285" s="1"/>
  <c r="O54" i="285" s="1"/>
  <c r="P54" i="285" s="1"/>
  <c r="Q54" i="285" s="1"/>
  <c r="R54" i="285" s="1"/>
  <c r="Z12" i="185"/>
  <c r="I15" i="52"/>
  <c r="H59" i="52"/>
  <c r="H72" i="52"/>
  <c r="H83" i="52"/>
  <c r="H98" i="52" s="1"/>
  <c r="H107" i="52" s="1"/>
  <c r="H43" i="52"/>
  <c r="B86" i="52"/>
  <c r="B75" i="52"/>
  <c r="I10" i="295"/>
  <c r="H12" i="295"/>
  <c r="I14" i="295"/>
  <c r="K14" i="295" s="1"/>
  <c r="H16" i="295"/>
  <c r="I18" i="295"/>
  <c r="K18" i="295" s="1"/>
  <c r="H20" i="295"/>
  <c r="I22" i="295"/>
  <c r="K22" i="295" s="1"/>
  <c r="L23" i="264"/>
  <c r="L30" i="264"/>
  <c r="U60" i="285"/>
  <c r="U64" i="285"/>
  <c r="AI26" i="285"/>
  <c r="AI27" i="285"/>
  <c r="AI31" i="285"/>
  <c r="E24" i="291"/>
  <c r="E27" i="291" s="1"/>
  <c r="N45" i="12"/>
  <c r="D25" i="14"/>
  <c r="E25" i="14" s="1"/>
  <c r="D22" i="14"/>
  <c r="E22" i="14" s="1"/>
  <c r="D23" i="14"/>
  <c r="E23" i="14" s="1"/>
  <c r="D26" i="290"/>
  <c r="J9" i="289"/>
  <c r="I27" i="52"/>
  <c r="I28" i="52"/>
  <c r="I66" i="52" s="1"/>
  <c r="I29" i="52"/>
  <c r="I67" i="52" s="1"/>
  <c r="D27" i="52"/>
  <c r="D28" i="52"/>
  <c r="D29" i="52"/>
  <c r="F28" i="52"/>
  <c r="F66" i="52" s="1"/>
  <c r="F27" i="52"/>
  <c r="F29" i="52"/>
  <c r="F67" i="52" s="1"/>
  <c r="B76" i="52"/>
  <c r="B87" i="52"/>
  <c r="B102" i="52" s="1"/>
  <c r="B111" i="52" s="1"/>
  <c r="B88" i="52"/>
  <c r="B103" i="52" s="1"/>
  <c r="B112" i="52" s="1"/>
  <c r="B77" i="52"/>
  <c r="H11" i="12"/>
  <c r="I13" i="12"/>
  <c r="K13" i="12" s="1"/>
  <c r="H15" i="12"/>
  <c r="I17" i="12"/>
  <c r="K17" i="12" s="1"/>
  <c r="H19" i="12"/>
  <c r="I21" i="12"/>
  <c r="K21" i="12" s="1"/>
  <c r="Y43" i="185"/>
  <c r="Y45" i="185"/>
  <c r="Y47" i="185"/>
  <c r="Y42" i="185"/>
  <c r="Y44" i="185"/>
  <c r="Y46" i="185"/>
  <c r="E11" i="295"/>
  <c r="E46" i="295" s="1"/>
  <c r="G11" i="295"/>
  <c r="D11" i="295"/>
  <c r="F11" i="295"/>
  <c r="J11" i="295"/>
  <c r="AB11" i="295"/>
  <c r="E13" i="295"/>
  <c r="G13" i="295"/>
  <c r="D13" i="295"/>
  <c r="F13" i="295"/>
  <c r="J13" i="295"/>
  <c r="AB13" i="295"/>
  <c r="E15" i="295"/>
  <c r="G15" i="295"/>
  <c r="D15" i="295"/>
  <c r="F15" i="295"/>
  <c r="J15" i="295"/>
  <c r="AB15" i="295"/>
  <c r="E17" i="295"/>
  <c r="G17" i="295"/>
  <c r="D17" i="295"/>
  <c r="F17" i="295"/>
  <c r="J17" i="295"/>
  <c r="AB17" i="295"/>
  <c r="E19" i="295"/>
  <c r="G19" i="295"/>
  <c r="D19" i="295"/>
  <c r="F19" i="295"/>
  <c r="J19" i="295"/>
  <c r="AB19" i="295"/>
  <c r="E21" i="295"/>
  <c r="G21" i="295"/>
  <c r="D21" i="295"/>
  <c r="F21" i="295"/>
  <c r="J21" i="295"/>
  <c r="AB21" i="295"/>
  <c r="E10" i="12"/>
  <c r="G10" i="12"/>
  <c r="D10" i="12"/>
  <c r="F10" i="12"/>
  <c r="J10" i="12"/>
  <c r="AB10" i="12"/>
  <c r="E12" i="12"/>
  <c r="G12" i="12"/>
  <c r="D12" i="12"/>
  <c r="F12" i="12"/>
  <c r="J12" i="12"/>
  <c r="AB12" i="12"/>
  <c r="E14" i="12"/>
  <c r="G14" i="12"/>
  <c r="D14" i="12"/>
  <c r="F14" i="12"/>
  <c r="J14" i="12"/>
  <c r="AB14" i="12"/>
  <c r="E16" i="12"/>
  <c r="G16" i="12"/>
  <c r="D16" i="12"/>
  <c r="F16" i="12"/>
  <c r="J16" i="12"/>
  <c r="AB16" i="12"/>
  <c r="E18" i="12"/>
  <c r="G18" i="12"/>
  <c r="D18" i="12"/>
  <c r="F18" i="12"/>
  <c r="J18" i="12"/>
  <c r="AB18" i="12"/>
  <c r="E20" i="12"/>
  <c r="G20" i="12"/>
  <c r="D20" i="12"/>
  <c r="F20" i="12"/>
  <c r="J20" i="12"/>
  <c r="AB20" i="12"/>
  <c r="E22" i="12"/>
  <c r="G22" i="12"/>
  <c r="D22" i="12"/>
  <c r="F22" i="12"/>
  <c r="J22" i="12"/>
  <c r="AB22" i="12"/>
  <c r="F30" i="52"/>
  <c r="F68" i="52" s="1"/>
  <c r="H30" i="52"/>
  <c r="H68" i="52" s="1"/>
  <c r="J30" i="52"/>
  <c r="J68" i="52" s="1"/>
  <c r="E30" i="52"/>
  <c r="E68" i="52" s="1"/>
  <c r="G30" i="52"/>
  <c r="G68" i="52" s="1"/>
  <c r="I30" i="52"/>
  <c r="I68" i="52" s="1"/>
  <c r="G41" i="13"/>
  <c r="G42" i="13"/>
  <c r="G43" i="13"/>
  <c r="G44" i="13"/>
  <c r="G45" i="13"/>
  <c r="G46" i="13"/>
  <c r="H12" i="13"/>
  <c r="G55" i="13"/>
  <c r="Q6" i="288"/>
  <c r="N11" i="288"/>
  <c r="N13" i="288"/>
  <c r="N15" i="288"/>
  <c r="N17" i="288"/>
  <c r="N19" i="288"/>
  <c r="N21" i="288"/>
  <c r="N50" i="288"/>
  <c r="N48" i="288"/>
  <c r="N10" i="288"/>
  <c r="N12" i="288"/>
  <c r="N14" i="288"/>
  <c r="N16" i="288"/>
  <c r="N18" i="288"/>
  <c r="N20" i="288"/>
  <c r="N22" i="288"/>
  <c r="M41" i="53"/>
  <c r="M42" i="53"/>
  <c r="M43" i="53"/>
  <c r="M44" i="53"/>
  <c r="M45" i="53"/>
  <c r="M46" i="53"/>
  <c r="O41" i="53"/>
  <c r="O42" i="53"/>
  <c r="O43" i="53"/>
  <c r="O44" i="53"/>
  <c r="O45" i="53"/>
  <c r="O46" i="53"/>
  <c r="K67" i="285"/>
  <c r="L56" i="285"/>
  <c r="D33" i="291"/>
  <c r="E33" i="291" s="1"/>
  <c r="D30" i="291"/>
  <c r="E30" i="291" s="1"/>
  <c r="D31" i="291"/>
  <c r="E31" i="291" s="1"/>
  <c r="I48" i="12"/>
  <c r="K48" i="12" s="1"/>
  <c r="D10" i="288"/>
  <c r="F10" i="288"/>
  <c r="J10" i="288"/>
  <c r="AB10" i="288"/>
  <c r="E10" i="288"/>
  <c r="G10" i="288"/>
  <c r="D12" i="288"/>
  <c r="F12" i="288"/>
  <c r="J12" i="288"/>
  <c r="AB12" i="288"/>
  <c r="E12" i="288"/>
  <c r="G12" i="288"/>
  <c r="D14" i="288"/>
  <c r="F14" i="288"/>
  <c r="J14" i="288"/>
  <c r="AB14" i="288"/>
  <c r="E14" i="288"/>
  <c r="G14" i="288"/>
  <c r="D16" i="288"/>
  <c r="F16" i="288"/>
  <c r="J16" i="288"/>
  <c r="AB16" i="288"/>
  <c r="E16" i="288"/>
  <c r="G16" i="288"/>
  <c r="D18" i="288"/>
  <c r="F18" i="288"/>
  <c r="J18" i="288"/>
  <c r="AB18" i="288"/>
  <c r="E18" i="288"/>
  <c r="G18" i="288"/>
  <c r="D20" i="288"/>
  <c r="F20" i="288"/>
  <c r="J20" i="288"/>
  <c r="AB20" i="288"/>
  <c r="E20" i="288"/>
  <c r="G20" i="288"/>
  <c r="D22" i="288"/>
  <c r="F22" i="288"/>
  <c r="J22" i="288"/>
  <c r="AB22" i="288"/>
  <c r="E22" i="288"/>
  <c r="G22" i="288"/>
  <c r="AB4" i="47"/>
  <c r="M8" i="47"/>
  <c r="O8" i="47"/>
  <c r="X8" i="47"/>
  <c r="W43" i="172"/>
  <c r="W45" i="172"/>
  <c r="W47" i="172"/>
  <c r="W44" i="172"/>
  <c r="W46" i="172"/>
  <c r="W48" i="172"/>
  <c r="S43" i="172"/>
  <c r="S45" i="172"/>
  <c r="S47" i="172"/>
  <c r="S44" i="172"/>
  <c r="S46" i="172"/>
  <c r="S48" i="172"/>
  <c r="T44" i="172"/>
  <c r="T46" i="172"/>
  <c r="T48" i="172"/>
  <c r="T43" i="172"/>
  <c r="T45" i="172"/>
  <c r="T47" i="172"/>
  <c r="O44" i="172"/>
  <c r="O46" i="172"/>
  <c r="O48" i="172"/>
  <c r="O43" i="172"/>
  <c r="O45" i="172"/>
  <c r="O47" i="172"/>
  <c r="N45" i="53"/>
  <c r="N46" i="53"/>
  <c r="N41" i="53"/>
  <c r="N42" i="53"/>
  <c r="N43" i="53"/>
  <c r="N44" i="53"/>
  <c r="D45" i="8"/>
  <c r="N54" i="8"/>
  <c r="F56" i="8"/>
  <c r="O56" i="8"/>
  <c r="G75" i="8"/>
  <c r="O17" i="10"/>
  <c r="G28" i="10"/>
  <c r="B61" i="133"/>
  <c r="L62" i="133"/>
  <c r="L53" i="264"/>
  <c r="F32" i="285"/>
  <c r="F34" i="285" s="1"/>
  <c r="AH112" i="285"/>
  <c r="AI112" i="285" s="1"/>
  <c r="AI110" i="285"/>
  <c r="AI29" i="285"/>
  <c r="B12" i="66"/>
  <c r="B105" i="52"/>
  <c r="B114" i="52" s="1"/>
  <c r="H10" i="295"/>
  <c r="E45" i="295"/>
  <c r="E43" i="295"/>
  <c r="F41" i="295"/>
  <c r="F42" i="295"/>
  <c r="F43" i="295"/>
  <c r="F44" i="295"/>
  <c r="F45" i="295"/>
  <c r="F46" i="295"/>
  <c r="I12" i="295"/>
  <c r="K12" i="295" s="1"/>
  <c r="I16" i="295"/>
  <c r="K16" i="295" s="1"/>
  <c r="I20" i="295"/>
  <c r="K20" i="295" s="1"/>
  <c r="D11" i="64"/>
  <c r="D13" i="64" s="1"/>
  <c r="D11" i="63"/>
  <c r="L45" i="264"/>
  <c r="W60" i="285"/>
  <c r="X60" i="285" s="1"/>
  <c r="Y60" i="285" s="1"/>
  <c r="Z60" i="285" s="1"/>
  <c r="AA60" i="285" s="1"/>
  <c r="AB60" i="285" s="1"/>
  <c r="AC60" i="285" s="1"/>
  <c r="AD60" i="285" s="1"/>
  <c r="AE60" i="285" s="1"/>
  <c r="AF60" i="285" s="1"/>
  <c r="AG60" i="285" s="1"/>
  <c r="AH64" i="285"/>
  <c r="AI64" i="285" s="1"/>
  <c r="W64" i="285"/>
  <c r="X64" i="285" s="1"/>
  <c r="Y64" i="285" s="1"/>
  <c r="Z64" i="285" s="1"/>
  <c r="AA64" i="285" s="1"/>
  <c r="AB64" i="285" s="1"/>
  <c r="AC64" i="285" s="1"/>
  <c r="AD64" i="285" s="1"/>
  <c r="AE64" i="285" s="1"/>
  <c r="AF64" i="285" s="1"/>
  <c r="AG64" i="285" s="1"/>
  <c r="J55" i="285"/>
  <c r="K55" i="285" s="1"/>
  <c r="L55" i="285" s="1"/>
  <c r="M55" i="285" s="1"/>
  <c r="N55" i="285" s="1"/>
  <c r="O55" i="285" s="1"/>
  <c r="P55" i="285" s="1"/>
  <c r="Q55" i="285" s="1"/>
  <c r="R55" i="285" s="1"/>
  <c r="N43" i="12"/>
  <c r="I48" i="295"/>
  <c r="K48" i="295" s="1"/>
  <c r="D41" i="14"/>
  <c r="E41" i="14" s="1"/>
  <c r="D38" i="14"/>
  <c r="E38" i="14" s="1"/>
  <c r="D39" i="14"/>
  <c r="E39" i="14" s="1"/>
  <c r="J27" i="52"/>
  <c r="J28" i="52"/>
  <c r="J66" i="52" s="1"/>
  <c r="J29" i="52"/>
  <c r="J67" i="52" s="1"/>
  <c r="H27" i="52"/>
  <c r="H28" i="52"/>
  <c r="H66" i="52" s="1"/>
  <c r="H29" i="52"/>
  <c r="H67" i="52" s="1"/>
  <c r="G27" i="52"/>
  <c r="G29" i="52"/>
  <c r="G67" i="52" s="1"/>
  <c r="G28" i="52"/>
  <c r="G66" i="52" s="1"/>
  <c r="E28" i="52"/>
  <c r="E66" i="52" s="1"/>
  <c r="E29" i="52"/>
  <c r="E67" i="52" s="1"/>
  <c r="E27" i="52"/>
  <c r="I11" i="12"/>
  <c r="K11" i="12" s="1"/>
  <c r="I15" i="12"/>
  <c r="K15" i="12" s="1"/>
  <c r="I19" i="12"/>
  <c r="K19" i="12" s="1"/>
  <c r="K70" i="133"/>
  <c r="T27" i="213"/>
  <c r="AK27" i="213"/>
  <c r="J29" i="213"/>
  <c r="AA29" i="213"/>
  <c r="BJ29" i="213"/>
  <c r="L30" i="213"/>
  <c r="AU30" i="213"/>
  <c r="BL30" i="213"/>
  <c r="AF34" i="213"/>
  <c r="F39" i="213"/>
  <c r="AZ34" i="213"/>
  <c r="M36" i="213"/>
  <c r="X33" i="213"/>
  <c r="AH27" i="213"/>
  <c r="AC39" i="213"/>
  <c r="G30" i="213"/>
  <c r="AY35" i="213"/>
  <c r="G27" i="213"/>
  <c r="Y36" i="213"/>
  <c r="AC40" i="213"/>
  <c r="C40" i="213"/>
  <c r="BP29" i="213"/>
  <c r="AQ28" i="213"/>
  <c r="AE28" i="213"/>
  <c r="BA39" i="213"/>
  <c r="AW38" i="213"/>
  <c r="X42" i="213"/>
  <c r="AB32" i="213"/>
  <c r="BM36" i="213"/>
  <c r="M33" i="213"/>
  <c r="AT37" i="213"/>
  <c r="BM33" i="213"/>
  <c r="AE38" i="213"/>
  <c r="BP27" i="213"/>
  <c r="BA28" i="213"/>
  <c r="AH29" i="213"/>
  <c r="AI38" i="213"/>
  <c r="BI38" i="213"/>
  <c r="T29" i="213"/>
  <c r="K28" i="213"/>
  <c r="R27" i="213"/>
  <c r="Y37" i="213"/>
  <c r="AN27" i="213"/>
  <c r="Y28" i="213"/>
  <c r="AY34" i="213"/>
  <c r="BL37" i="213"/>
  <c r="W28" i="213"/>
  <c r="N27" i="213"/>
  <c r="AX36" i="213"/>
  <c r="BE33" i="213"/>
  <c r="AL34" i="213"/>
  <c r="W35" i="213"/>
  <c r="BD36" i="213"/>
  <c r="BB35" i="213"/>
  <c r="Z36" i="213"/>
  <c r="AK35" i="213"/>
  <c r="AR34" i="213"/>
  <c r="AY27" i="213"/>
  <c r="AW31" i="213"/>
  <c r="AQ36" i="213"/>
  <c r="D41" i="213"/>
  <c r="AZ41" i="213"/>
  <c r="BF41" i="213"/>
  <c r="I45" i="213"/>
  <c r="M50" i="213"/>
  <c r="AZ46" i="213"/>
  <c r="BC51" i="213"/>
  <c r="BN47" i="213"/>
  <c r="A53" i="213"/>
  <c r="BK34" i="213"/>
  <c r="AT31" i="213"/>
  <c r="AY37" i="213"/>
  <c r="AU41" i="213"/>
  <c r="BL42" i="213"/>
  <c r="BN45" i="213"/>
  <c r="A51" i="213"/>
  <c r="E46" i="213"/>
  <c r="AQ52" i="213"/>
  <c r="AV47" i="213"/>
  <c r="AJ39" i="213"/>
  <c r="BD31" i="213"/>
  <c r="AZ32" i="213"/>
  <c r="F28" i="213"/>
  <c r="V36" i="213"/>
  <c r="E37" i="213"/>
  <c r="AA35" i="213"/>
  <c r="N35" i="213"/>
  <c r="I34" i="213"/>
  <c r="I39" i="213"/>
  <c r="N40" i="213"/>
  <c r="BF38" i="213"/>
  <c r="I37" i="213"/>
  <c r="AP41" i="213"/>
  <c r="X27" i="213"/>
  <c r="AO27" i="213"/>
  <c r="I28" i="213"/>
  <c r="V28" i="213"/>
  <c r="Z37" i="213"/>
  <c r="K38" i="213"/>
  <c r="BK38" i="213"/>
  <c r="AS35" i="213"/>
  <c r="K35" i="213"/>
  <c r="Z35" i="213"/>
  <c r="AK34" i="213"/>
  <c r="AR33" i="213"/>
  <c r="Q36" i="213"/>
  <c r="BQ36" i="213"/>
  <c r="AX37" i="213"/>
  <c r="AV34" i="213"/>
  <c r="P42" i="213"/>
  <c r="AG34" i="213"/>
  <c r="AN33" i="213"/>
  <c r="AU32" i="213"/>
  <c r="AW32" i="213"/>
  <c r="AD33" i="213"/>
  <c r="O34" i="213"/>
  <c r="D31" i="213"/>
  <c r="AB28" i="213"/>
  <c r="BM32" i="213"/>
  <c r="M29" i="213"/>
  <c r="AT33" i="213"/>
  <c r="BM29" i="213"/>
  <c r="AE34" i="213"/>
  <c r="N30" i="213"/>
  <c r="BB27" i="213"/>
  <c r="BQ39" i="213"/>
  <c r="G28" i="213"/>
  <c r="AD32" i="213"/>
  <c r="BL27" i="213"/>
  <c r="R31" i="213"/>
  <c r="BQ38" i="213"/>
  <c r="AP37" i="213"/>
  <c r="BG30" i="213"/>
  <c r="BC31" i="213"/>
  <c r="A41" i="213"/>
  <c r="AC35" i="213"/>
  <c r="U33" i="213"/>
  <c r="AW34" i="213"/>
  <c r="U34" i="213"/>
  <c r="L33" i="213"/>
  <c r="BN42" i="213"/>
  <c r="P38" i="213"/>
  <c r="BM42" i="213"/>
  <c r="L36" i="213"/>
  <c r="AW40" i="213"/>
  <c r="BL36" i="213"/>
  <c r="AD41" i="213"/>
  <c r="L27" i="213"/>
  <c r="AC27" i="213"/>
  <c r="AJ35" i="213"/>
  <c r="U36" i="213"/>
  <c r="A37" i="213"/>
  <c r="P34" i="213"/>
  <c r="BO41" i="213"/>
  <c r="Q34" i="213"/>
  <c r="H33" i="213"/>
  <c r="AE32" i="213"/>
  <c r="W34" i="213"/>
  <c r="H35" i="213"/>
  <c r="BH35" i="213"/>
  <c r="S33" i="213"/>
  <c r="AB40" i="213"/>
  <c r="T33" i="213"/>
  <c r="K32" i="213"/>
  <c r="AH31" i="213"/>
  <c r="BC30" i="213"/>
  <c r="AN31" i="213"/>
  <c r="Y32" i="213"/>
  <c r="E31" i="213"/>
  <c r="AY40" i="213"/>
  <c r="J31" i="213"/>
  <c r="E30" i="213"/>
  <c r="L29" i="213"/>
  <c r="AJ28" i="213"/>
  <c r="BC29" i="213"/>
  <c r="G39" i="213"/>
  <c r="AC42" i="213"/>
  <c r="T41" i="213"/>
  <c r="BA41" i="213"/>
  <c r="BM48" i="213"/>
  <c r="BP53" i="213"/>
  <c r="AI50" i="213"/>
  <c r="AM45" i="213"/>
  <c r="AX51" i="213"/>
  <c r="BB46" i="213"/>
  <c r="BB32" i="213"/>
  <c r="BE30" i="213"/>
  <c r="AP40" i="213"/>
  <c r="V38" i="213"/>
  <c r="A38" i="213"/>
  <c r="AX49" i="213"/>
  <c r="BB44" i="213"/>
  <c r="BI49" i="213"/>
  <c r="AB46" i="213"/>
  <c r="AE27" i="213"/>
  <c r="S27" i="213"/>
  <c r="AK36" i="213"/>
  <c r="BH27" i="213"/>
  <c r="X28" i="213"/>
  <c r="AS30" i="213"/>
  <c r="BM31" i="213"/>
  <c r="BF28" i="213"/>
  <c r="P39" i="213"/>
  <c r="AX39" i="213"/>
  <c r="AY39" i="213"/>
  <c r="AV40" i="213"/>
  <c r="AM36" i="213"/>
  <c r="W30" i="213"/>
  <c r="AN30" i="213"/>
  <c r="H31" i="213"/>
  <c r="W27" i="213"/>
  <c r="BH31" i="213"/>
  <c r="AQ27" i="213"/>
  <c r="H30" i="213"/>
  <c r="BH30" i="213"/>
  <c r="K27" i="213"/>
  <c r="M30" i="213"/>
  <c r="AM29" i="213"/>
  <c r="BI40" i="213"/>
  <c r="V37" i="213"/>
  <c r="AO38" i="213"/>
  <c r="BJ28" i="213"/>
  <c r="AU29" i="213"/>
  <c r="AF30" i="213"/>
  <c r="P29" i="213"/>
  <c r="AS40" i="213"/>
  <c r="F37" i="213"/>
  <c r="AL33" i="213"/>
  <c r="AR37" i="213"/>
  <c r="Q40" i="213"/>
  <c r="BQ40" i="213"/>
  <c r="AX41" i="213"/>
  <c r="F27" i="213"/>
  <c r="M32" i="213"/>
  <c r="AV27" i="213"/>
  <c r="AQ35" i="213"/>
  <c r="AH35" i="213"/>
  <c r="P27" i="213"/>
  <c r="BH34" i="213"/>
  <c r="AI37" i="213"/>
  <c r="N39" i="213"/>
  <c r="U42" i="213"/>
  <c r="AM48" i="213"/>
  <c r="R30" i="213"/>
  <c r="L32" i="213"/>
  <c r="BL32" i="213"/>
  <c r="AW33" i="213"/>
  <c r="F29" i="213"/>
  <c r="S30" i="213"/>
  <c r="N36" i="213"/>
  <c r="A35" i="213"/>
  <c r="X30" i="213"/>
  <c r="AJ36" i="213"/>
  <c r="AV29" i="213"/>
  <c r="BL39" i="213"/>
  <c r="BH37" i="213"/>
  <c r="AX38" i="213"/>
  <c r="Z29" i="213"/>
  <c r="K30" i="213"/>
  <c r="BK30" i="213"/>
  <c r="N28" i="213"/>
  <c r="AY29" i="213"/>
  <c r="AV39" i="213"/>
  <c r="AS32" i="213"/>
  <c r="E27" i="213"/>
  <c r="AL28" i="213"/>
  <c r="BL35" i="213"/>
  <c r="BI28" i="213"/>
  <c r="W38" i="213"/>
  <c r="BH39" i="213"/>
  <c r="AF27" i="213"/>
  <c r="BQ34" i="213"/>
  <c r="AN28" i="213"/>
  <c r="BI41" i="213"/>
  <c r="BJ40" i="213"/>
  <c r="AW52" i="213"/>
  <c r="T44" i="213"/>
  <c r="AH45" i="213"/>
  <c r="E39" i="213"/>
  <c r="W36" i="213"/>
  <c r="AZ38" i="213"/>
  <c r="AK48" i="213"/>
  <c r="L50" i="213"/>
  <c r="BO31" i="213"/>
  <c r="AO32" i="213"/>
  <c r="S36" i="213"/>
  <c r="U35" i="213"/>
  <c r="AB42" i="213"/>
  <c r="BA38" i="213"/>
  <c r="G34" i="213"/>
  <c r="BG34" i="213"/>
  <c r="AR35" i="213"/>
  <c r="AS33" i="213"/>
  <c r="BQ33" i="213"/>
  <c r="BM35" i="213"/>
  <c r="BK33" i="213"/>
  <c r="AF32" i="213"/>
  <c r="AQ31" i="213"/>
  <c r="BP34" i="213"/>
  <c r="BN32" i="213"/>
  <c r="BL28" i="213"/>
  <c r="AK29" i="213"/>
  <c r="BO36" i="213"/>
  <c r="W32" i="213"/>
  <c r="D30" i="213"/>
  <c r="S35" i="213"/>
  <c r="BA35" i="213"/>
  <c r="BP42" i="213"/>
  <c r="BJ42" i="213"/>
  <c r="BD44" i="213"/>
  <c r="AP53" i="213"/>
  <c r="AU48" i="213"/>
  <c r="N45" i="213"/>
  <c r="Q50" i="213"/>
  <c r="AF46" i="213"/>
  <c r="P28" i="213"/>
  <c r="BE28" i="213"/>
  <c r="AI32" i="213"/>
  <c r="AK31" i="213"/>
  <c r="AU40" i="213"/>
  <c r="BP38" i="213"/>
  <c r="T31" i="213"/>
  <c r="E32" i="213"/>
  <c r="BE32" i="213"/>
  <c r="BO27" i="213"/>
  <c r="BD28" i="213"/>
  <c r="J32" i="213"/>
  <c r="Q27" i="213"/>
  <c r="BD30" i="213"/>
  <c r="BG27" i="213"/>
  <c r="I31" i="213"/>
  <c r="S38" i="213"/>
  <c r="U27" i="213"/>
  <c r="BB28" i="213"/>
  <c r="BI36" i="213"/>
  <c r="BB29" i="213"/>
  <c r="Y31" i="213"/>
  <c r="J40" i="213"/>
  <c r="AQ37" i="213"/>
  <c r="AK44" i="213"/>
  <c r="L46" i="213"/>
  <c r="Z47" i="213"/>
  <c r="AS27" i="213"/>
  <c r="AH39" i="213"/>
  <c r="BC41" i="213"/>
  <c r="AE39" i="213"/>
  <c r="AO51" i="213"/>
  <c r="AA51" i="213"/>
  <c r="AK53" i="213"/>
  <c r="Y52" i="213"/>
  <c r="AN48" i="213"/>
  <c r="AQ53" i="213"/>
  <c r="AR48" i="213"/>
  <c r="BM51" i="213"/>
  <c r="BG44" i="213"/>
  <c r="AX30" i="213"/>
  <c r="AV33" i="213"/>
  <c r="AE40" i="213"/>
  <c r="R40" i="213"/>
  <c r="BC39" i="213"/>
  <c r="A42" i="213"/>
  <c r="BF51" i="213"/>
  <c r="BJ46" i="213"/>
  <c r="BQ51" i="213"/>
  <c r="AJ48" i="213"/>
  <c r="AV44" i="213"/>
  <c r="AY49" i="213"/>
  <c r="AZ44" i="213"/>
  <c r="BC49" i="213"/>
  <c r="T53" i="213"/>
  <c r="A34" i="213"/>
  <c r="BK35" i="213"/>
  <c r="AV36" i="213"/>
  <c r="AG37" i="213"/>
  <c r="W29" i="213"/>
  <c r="AJ30" i="213"/>
  <c r="AN29" i="213"/>
  <c r="BE38" i="213"/>
  <c r="C31" i="213"/>
  <c r="AR31" i="213"/>
  <c r="AC34" i="213"/>
  <c r="X34" i="213"/>
  <c r="K41" i="213"/>
  <c r="BG36" i="213"/>
  <c r="J33" i="213"/>
  <c r="BJ33" i="213"/>
  <c r="AU34" i="213"/>
  <c r="AY31" i="213"/>
  <c r="AA31" i="213"/>
  <c r="AJ34" i="213"/>
  <c r="AX32" i="213"/>
  <c r="AL30" i="213"/>
  <c r="AD30" i="213"/>
  <c r="AM33" i="213"/>
  <c r="BE31" i="213"/>
  <c r="C27" i="213"/>
  <c r="H28" i="213"/>
  <c r="AG31" i="213"/>
  <c r="M40" i="213"/>
  <c r="F31" i="213"/>
  <c r="BF42" i="213"/>
  <c r="AE41" i="213"/>
  <c r="AC46" i="213"/>
  <c r="C48" i="213"/>
  <c r="R49" i="213"/>
  <c r="AM32" i="213"/>
  <c r="AV38" i="213"/>
  <c r="BG39" i="213"/>
  <c r="U52" i="213"/>
  <c r="BK53" i="213"/>
  <c r="H27" i="213"/>
  <c r="R37" i="213"/>
  <c r="BO40" i="213"/>
  <c r="AK30" i="213"/>
  <c r="AJ42" i="213"/>
  <c r="X38" i="213"/>
  <c r="BF37" i="213"/>
  <c r="AQ38" i="213"/>
  <c r="AB39" i="213"/>
  <c r="AQ30" i="213"/>
  <c r="Z28" i="213"/>
  <c r="AG30" i="213"/>
  <c r="AU28" i="213"/>
  <c r="AD29" i="213"/>
  <c r="AF39" i="213"/>
  <c r="AJ29" i="213"/>
  <c r="AX27" i="213"/>
  <c r="AF36" i="213"/>
  <c r="BO30" i="213"/>
  <c r="AL38" i="213"/>
  <c r="BA31" i="213"/>
  <c r="BE35" i="213"/>
  <c r="D36" i="213"/>
  <c r="L41" i="213"/>
  <c r="BP40" i="213"/>
  <c r="AJ40" i="213"/>
  <c r="W52" i="213"/>
  <c r="AA47" i="213"/>
  <c r="AD52" i="213"/>
  <c r="BQ48" i="213"/>
  <c r="H45" i="213"/>
  <c r="P50" i="213"/>
  <c r="E28" i="213"/>
  <c r="L39" i="213"/>
  <c r="F38" i="213"/>
  <c r="AD31" i="213"/>
  <c r="AL40" i="213"/>
  <c r="V40" i="213"/>
  <c r="BC38" i="213"/>
  <c r="AN39" i="213"/>
  <c r="Y40" i="213"/>
  <c r="AK32" i="213"/>
  <c r="BI31" i="213"/>
  <c r="AP31" i="213"/>
  <c r="BH29" i="213"/>
  <c r="X31" i="213"/>
  <c r="T30" i="213"/>
  <c r="AW30" i="213"/>
  <c r="BK28" i="213"/>
  <c r="BD27" i="213"/>
  <c r="AV35" i="213"/>
  <c r="AM28" i="213"/>
  <c r="O37" i="213"/>
  <c r="Z31" i="213"/>
  <c r="AW37" i="213"/>
  <c r="AJ38" i="213"/>
  <c r="D52" i="213"/>
  <c r="AU53" i="213"/>
  <c r="BO53" i="213"/>
  <c r="S32" i="213"/>
  <c r="BJ39" i="213"/>
  <c r="AI39" i="213"/>
  <c r="BE41" i="213"/>
  <c r="X46" i="213"/>
  <c r="C47" i="213"/>
  <c r="T48" i="213"/>
  <c r="Q47" i="213"/>
  <c r="X52" i="213"/>
  <c r="U47" i="213"/>
  <c r="AB52" i="213"/>
  <c r="O53" i="213"/>
  <c r="BM49" i="213"/>
  <c r="AI31" i="213"/>
  <c r="T34" i="213"/>
  <c r="E38" i="213"/>
  <c r="N38" i="213"/>
  <c r="AD42" i="213"/>
  <c r="W42" i="213"/>
  <c r="AP45" i="213"/>
  <c r="AS50" i="213"/>
  <c r="M47" i="213"/>
  <c r="T52" i="213"/>
  <c r="AE48" i="213"/>
  <c r="AH53" i="213"/>
  <c r="AI48" i="213"/>
  <c r="AL53" i="213"/>
  <c r="G45" i="213"/>
  <c r="AF51" i="213"/>
  <c r="AC36" i="213"/>
  <c r="Y47" i="213"/>
  <c r="F49" i="213"/>
  <c r="AB44" i="213"/>
  <c r="BG52" i="213"/>
  <c r="AP46" i="213"/>
  <c r="BI52" i="213"/>
  <c r="BH36" i="213"/>
  <c r="AM35" i="213"/>
  <c r="AW41" i="213"/>
  <c r="A36" i="213"/>
  <c r="BI42" i="213"/>
  <c r="AZ39" i="213"/>
  <c r="D32" i="213"/>
  <c r="J41" i="213"/>
  <c r="C33" i="213"/>
  <c r="BQ35" i="213"/>
  <c r="BP39" i="213"/>
  <c r="F32" i="213"/>
  <c r="E35" i="213"/>
  <c r="AG36" i="213"/>
  <c r="V41" i="213"/>
  <c r="BJ32" i="213"/>
  <c r="AO40" i="213"/>
  <c r="AT40" i="213"/>
  <c r="Q53" i="213"/>
  <c r="U53" i="213"/>
  <c r="BJ44" i="213"/>
  <c r="BQ31" i="213"/>
  <c r="AJ41" i="213"/>
  <c r="AX42" i="213"/>
  <c r="BG53" i="213"/>
  <c r="AS51" i="213"/>
  <c r="O48" i="213"/>
  <c r="BP47" i="213"/>
  <c r="AU47" i="213"/>
  <c r="BC44" i="213"/>
  <c r="AT52" i="213"/>
  <c r="AI28" i="213"/>
  <c r="AA40" i="213"/>
  <c r="Z42" i="213"/>
  <c r="AF40" i="213"/>
  <c r="AN46" i="213"/>
  <c r="V46" i="213"/>
  <c r="AL47" i="213"/>
  <c r="Y49" i="213"/>
  <c r="K49" i="213"/>
  <c r="BI48" i="213"/>
  <c r="AW36" i="213"/>
  <c r="O38" i="213"/>
  <c r="BF31" i="213"/>
  <c r="AN38" i="213"/>
  <c r="AA27" i="213"/>
  <c r="AF35" i="213"/>
  <c r="L38" i="213"/>
  <c r="AB30" i="213"/>
  <c r="BN28" i="213"/>
  <c r="P35" i="213"/>
  <c r="BE27" i="213"/>
  <c r="AF31" i="213"/>
  <c r="H39" i="213"/>
  <c r="AK33" i="213"/>
  <c r="F41" i="213"/>
  <c r="AO47" i="213"/>
  <c r="W49" i="213"/>
  <c r="T40" i="213"/>
  <c r="AG53" i="213"/>
  <c r="BN34" i="213"/>
  <c r="BG35" i="213"/>
  <c r="I35" i="213"/>
  <c r="AO29" i="213"/>
  <c r="G31" i="213"/>
  <c r="Z34" i="213"/>
  <c r="BD34" i="213"/>
  <c r="Q33" i="213"/>
  <c r="BG33" i="213"/>
  <c r="AW29" i="213"/>
  <c r="AP32" i="213"/>
  <c r="AO30" i="213"/>
  <c r="AD39" i="213"/>
  <c r="AH42" i="213"/>
  <c r="K51" i="213"/>
  <c r="BA52" i="213"/>
  <c r="Y29" i="213"/>
  <c r="U29" i="213"/>
  <c r="U31" i="213"/>
  <c r="AG38" i="213"/>
  <c r="T28" i="213"/>
  <c r="AZ28" i="213"/>
  <c r="AZ30" i="213"/>
  <c r="AM27" i="213"/>
  <c r="BB41" i="213"/>
  <c r="A28" i="213"/>
  <c r="V33" i="213"/>
  <c r="AR29" i="213"/>
  <c r="AG49" i="213"/>
  <c r="O51" i="213"/>
  <c r="AP27" i="213"/>
  <c r="W39" i="213"/>
  <c r="BO51" i="213"/>
  <c r="BQ52" i="213"/>
  <c r="D46" i="213"/>
  <c r="AG48" i="213"/>
  <c r="BQ53" i="213"/>
  <c r="K33" i="213"/>
  <c r="BK42" i="213"/>
  <c r="W44" i="213"/>
  <c r="AD44" i="213"/>
  <c r="AT46" i="213"/>
  <c r="S47" i="213"/>
  <c r="F53" i="213"/>
  <c r="AD46" i="213"/>
  <c r="AM41" i="213"/>
  <c r="AJ47" i="213"/>
  <c r="BH46" i="213"/>
  <c r="T49" i="213"/>
  <c r="AN49" i="213"/>
  <c r="J35" i="213"/>
  <c r="I40" i="213"/>
  <c r="AC32" i="213"/>
  <c r="Y41" i="213"/>
  <c r="S31" i="213"/>
  <c r="R41" i="213"/>
  <c r="BI27" i="213"/>
  <c r="AK37" i="213"/>
  <c r="G35" i="213"/>
  <c r="G32" i="213"/>
  <c r="AT29" i="213"/>
  <c r="X32" i="213"/>
  <c r="AJ31" i="213"/>
  <c r="AW42" i="213"/>
  <c r="J53" i="213"/>
  <c r="AN44" i="213"/>
  <c r="AX35" i="213"/>
  <c r="BE39" i="213"/>
  <c r="P48" i="213"/>
  <c r="N49" i="213"/>
  <c r="AP47" i="213"/>
  <c r="BP52" i="213"/>
  <c r="G51" i="213"/>
  <c r="AK28" i="213"/>
  <c r="L37" i="213"/>
  <c r="BH42" i="213"/>
  <c r="O46" i="213"/>
  <c r="AQ51" i="213"/>
  <c r="N53" i="213"/>
  <c r="BE48" i="213"/>
  <c r="L44" i="213"/>
  <c r="Z46" i="213"/>
  <c r="V44" i="213"/>
  <c r="BC40" i="213"/>
  <c r="BF52" i="213"/>
  <c r="AO46" i="213"/>
  <c r="AP50" i="213"/>
  <c r="Y50" i="213"/>
  <c r="S45" i="213"/>
  <c r="AJ49" i="213"/>
  <c r="E41" i="213"/>
  <c r="AP49" i="213"/>
  <c r="AE52" i="213"/>
  <c r="L52" i="213"/>
  <c r="A48" i="213"/>
  <c r="V49" i="213"/>
  <c r="X41" i="213"/>
  <c r="BE46" i="213"/>
  <c r="AO49" i="213"/>
  <c r="AN47" i="213"/>
  <c r="O50" i="213"/>
  <c r="BI47" i="213"/>
  <c r="AQ34" i="213"/>
  <c r="AI33" i="213"/>
  <c r="K37" i="213"/>
  <c r="V42" i="213"/>
  <c r="O35" i="213"/>
  <c r="BD35" i="213"/>
  <c r="P30" i="213"/>
  <c r="L35" i="213"/>
  <c r="G37" i="213"/>
  <c r="O36" i="213"/>
  <c r="BN33" i="213"/>
  <c r="J36" i="213"/>
  <c r="R35" i="213"/>
  <c r="AE30" i="213"/>
  <c r="D34" i="213"/>
  <c r="BK32" i="213"/>
  <c r="H42" i="213"/>
  <c r="T38" i="213"/>
  <c r="BC46" i="213"/>
  <c r="BD50" i="213"/>
  <c r="BL31" i="213"/>
  <c r="BH41" i="213"/>
  <c r="BF39" i="213"/>
  <c r="AF44" i="213"/>
  <c r="BC50" i="213"/>
  <c r="AM49" i="213"/>
  <c r="AF50" i="213"/>
  <c r="K50" i="213"/>
  <c r="I48" i="213"/>
  <c r="AB47" i="213"/>
  <c r="AX28" i="213"/>
  <c r="A27" i="213"/>
  <c r="T37" i="213"/>
  <c r="W40" i="213"/>
  <c r="AT49" i="213"/>
  <c r="BB48" i="213"/>
  <c r="J50" i="213"/>
  <c r="AX50" i="213"/>
  <c r="AP51" i="213"/>
  <c r="U51" i="213"/>
  <c r="BA49" i="213"/>
  <c r="BO48" i="213"/>
  <c r="H38" i="213"/>
  <c r="T51" i="213"/>
  <c r="AQ50" i="213"/>
  <c r="AY46" i="213"/>
  <c r="E52" i="213"/>
  <c r="BJ41" i="213"/>
  <c r="AS53" i="213"/>
  <c r="BI34" i="213"/>
  <c r="R42" i="213"/>
  <c r="BA48" i="213"/>
  <c r="BP48" i="213"/>
  <c r="AG40" i="213"/>
  <c r="M27" i="213"/>
  <c r="AP35" i="213"/>
  <c r="I33" i="213"/>
  <c r="H32" i="213"/>
  <c r="O33" i="213"/>
  <c r="AR28" i="213"/>
  <c r="J30" i="213"/>
  <c r="AJ32" i="213"/>
  <c r="AQ33" i="213"/>
  <c r="W31" i="213"/>
  <c r="AT32" i="213"/>
  <c r="BC27" i="213"/>
  <c r="BM27" i="213"/>
  <c r="R39" i="213"/>
  <c r="Y51" i="213"/>
  <c r="O44" i="213"/>
  <c r="BB38" i="213"/>
  <c r="R47" i="213"/>
  <c r="BP31" i="213"/>
  <c r="AS31" i="213"/>
  <c r="AB29" i="213"/>
  <c r="Y33" i="213"/>
  <c r="BF34" i="213"/>
  <c r="AB31" i="213"/>
  <c r="X29" i="213"/>
  <c r="O30" i="213"/>
  <c r="AA28" i="213"/>
  <c r="Q37" i="213"/>
  <c r="Z27" i="213"/>
  <c r="AH34" i="213"/>
  <c r="AK41" i="213"/>
  <c r="BC42" i="213"/>
  <c r="BK44" i="213"/>
  <c r="AG46" i="213"/>
  <c r="BF33" i="213"/>
  <c r="AL32" i="213"/>
  <c r="Y30" i="213"/>
  <c r="R34" i="213"/>
  <c r="BC35" i="213"/>
  <c r="R33" i="213"/>
  <c r="BA30" i="213"/>
  <c r="I32" i="213"/>
  <c r="BD29" i="213"/>
  <c r="AO28" i="213"/>
  <c r="AD27" i="213"/>
  <c r="BC37" i="213"/>
  <c r="A47" i="213"/>
  <c r="BF49" i="213"/>
  <c r="AN36" i="213"/>
  <c r="Z40" i="213"/>
  <c r="AS46" i="213"/>
  <c r="AO48" i="213"/>
  <c r="BH49" i="213"/>
  <c r="BK46" i="213"/>
  <c r="T45" i="213"/>
  <c r="AH32" i="213"/>
  <c r="BD37" i="213"/>
  <c r="F48" i="213"/>
  <c r="N48" i="213"/>
  <c r="BD49" i="213"/>
  <c r="J51" i="213"/>
  <c r="AH48" i="213"/>
  <c r="O49" i="213"/>
  <c r="BJ35" i="213"/>
  <c r="C44" i="213"/>
  <c r="BK51" i="213"/>
  <c r="AP44" i="213"/>
  <c r="AW49" i="213"/>
  <c r="AD28" i="213"/>
  <c r="BI32" i="213"/>
  <c r="AA32" i="213"/>
  <c r="BP41" i="213"/>
  <c r="N29" i="213"/>
  <c r="AX34" i="213"/>
  <c r="AI36" i="213"/>
  <c r="A31" i="213"/>
  <c r="AH41" i="213"/>
  <c r="BA33" i="213"/>
  <c r="AM31" i="213"/>
  <c r="AZ29" i="213"/>
  <c r="AD34" i="213"/>
  <c r="BL38" i="213"/>
  <c r="BH44" i="213"/>
  <c r="BM40" i="213"/>
  <c r="AZ42" i="213"/>
  <c r="AA41" i="213"/>
  <c r="AC50" i="213"/>
  <c r="BD45" i="213"/>
  <c r="R53" i="213"/>
  <c r="V53" i="213"/>
  <c r="W53" i="213"/>
  <c r="BE36" i="213"/>
  <c r="J38" i="213"/>
  <c r="S42" i="213"/>
  <c r="BL50" i="213"/>
  <c r="C51" i="213"/>
  <c r="BL47" i="213"/>
  <c r="AC44" i="213"/>
  <c r="AG44" i="213"/>
  <c r="AP52" i="213"/>
  <c r="AR30" i="213"/>
  <c r="H51" i="213"/>
  <c r="BE52" i="213"/>
  <c r="AJ53" i="213"/>
  <c r="G49" i="213"/>
  <c r="BK52" i="213"/>
  <c r="H48" i="213"/>
  <c r="R50" i="213"/>
  <c r="BG37" i="213"/>
  <c r="AU44" i="213"/>
  <c r="AI47" i="213"/>
  <c r="R48" i="213"/>
  <c r="E34" i="213"/>
  <c r="BE45" i="213"/>
  <c r="BD42" i="213"/>
  <c r="BH51" i="213"/>
  <c r="AS44" i="213"/>
  <c r="AH50" i="213"/>
  <c r="AK45" i="213"/>
  <c r="V48" i="213"/>
  <c r="BF30" i="213"/>
  <c r="P37" i="213"/>
  <c r="AV31" i="213"/>
  <c r="T42" i="213"/>
  <c r="D35" i="213"/>
  <c r="AE29" i="213"/>
  <c r="AP33" i="213"/>
  <c r="M28" i="213"/>
  <c r="AI30" i="213"/>
  <c r="AG32" i="213"/>
  <c r="BJ34" i="213"/>
  <c r="U37" i="213"/>
  <c r="BM28" i="213"/>
  <c r="AT30" i="213"/>
  <c r="BM34" i="213"/>
  <c r="BD39" i="213"/>
  <c r="BF35" i="213"/>
  <c r="AV46" i="213"/>
  <c r="AK49" i="213"/>
  <c r="I51" i="213"/>
  <c r="G33" i="213"/>
  <c r="AR38" i="213"/>
  <c r="AK42" i="213"/>
  <c r="G50" i="213"/>
  <c r="BB49" i="213"/>
  <c r="Y45" i="213"/>
  <c r="K45" i="213"/>
  <c r="BC45" i="213"/>
  <c r="BL45" i="213"/>
  <c r="AB53" i="213"/>
  <c r="AL37" i="213"/>
  <c r="AZ40" i="213"/>
  <c r="AS41" i="213"/>
  <c r="BA42" i="213"/>
  <c r="AX53" i="213"/>
  <c r="AI53" i="213"/>
  <c r="AU45" i="213"/>
  <c r="AM46" i="213"/>
  <c r="U46" i="213"/>
  <c r="BQ46" i="213"/>
  <c r="AO50" i="213"/>
  <c r="AE45" i="213"/>
  <c r="BE37" i="213"/>
  <c r="AL51" i="213"/>
  <c r="C50" i="213"/>
  <c r="L47" i="213"/>
  <c r="AC53" i="213"/>
  <c r="BN41" i="213"/>
  <c r="Z50" i="213"/>
  <c r="BK40" i="213"/>
  <c r="F52" i="213"/>
  <c r="BL44" i="213"/>
  <c r="AJ46" i="213"/>
  <c r="BD47" i="213"/>
  <c r="AC52" i="213"/>
  <c r="O28" i="213"/>
  <c r="Q49" i="213"/>
  <c r="BN50" i="213"/>
  <c r="BQ50" i="213"/>
  <c r="AF38" i="213"/>
  <c r="E53" i="213"/>
  <c r="Z41" i="213"/>
  <c r="AB35" i="213"/>
  <c r="BA32" i="213"/>
  <c r="AR41" i="213"/>
  <c r="P32" i="213"/>
  <c r="E40" i="213"/>
  <c r="AO31" i="213"/>
  <c r="AY36" i="213"/>
  <c r="X35" i="213"/>
  <c r="AI34" i="213"/>
  <c r="Y39" i="213"/>
  <c r="AE47" i="213"/>
  <c r="BK37" i="213"/>
  <c r="AT45" i="213"/>
  <c r="E51" i="213"/>
  <c r="AI44" i="213"/>
  <c r="V52" i="213"/>
  <c r="BP33" i="213"/>
  <c r="Q42" i="213"/>
  <c r="P52" i="213"/>
  <c r="H44" i="213"/>
  <c r="AS45" i="213"/>
  <c r="AN53" i="213"/>
  <c r="BM44" i="213"/>
  <c r="AF45" i="213"/>
  <c r="AE53" i="213"/>
  <c r="AY52" i="213"/>
  <c r="AD48" i="213"/>
  <c r="G53" i="213"/>
  <c r="L53" i="213"/>
  <c r="AR45" i="213"/>
  <c r="BM45" i="213"/>
  <c r="W47" i="213"/>
  <c r="AV28" i="213"/>
  <c r="H34" i="213"/>
  <c r="BH45" i="213"/>
  <c r="BK48" i="213"/>
  <c r="I46" i="213"/>
  <c r="H47" i="213"/>
  <c r="BA50" i="213"/>
  <c r="AM53" i="213"/>
  <c r="AX52" i="213"/>
  <c r="Y46" i="213"/>
  <c r="BJ45" i="213"/>
  <c r="C29" i="213"/>
  <c r="BA36" i="213"/>
  <c r="AR39" i="213"/>
  <c r="AC28" i="213"/>
  <c r="F42" i="213"/>
  <c r="J52" i="213"/>
  <c r="AP39" i="213"/>
  <c r="V51" i="213"/>
  <c r="BM41" i="213"/>
  <c r="Q41" i="213"/>
  <c r="AS28" i="213"/>
  <c r="AU27" i="213"/>
  <c r="AH37" i="213"/>
  <c r="V29" i="213"/>
  <c r="AG29" i="213"/>
  <c r="AO35" i="213"/>
  <c r="BH40" i="213"/>
  <c r="AO34" i="213"/>
  <c r="S49" i="213"/>
  <c r="Z30" i="213"/>
  <c r="AY41" i="213"/>
  <c r="L45" i="213"/>
  <c r="AW46" i="213"/>
  <c r="Q52" i="213"/>
  <c r="BQ27" i="213"/>
  <c r="I41" i="213"/>
  <c r="Q45" i="213"/>
  <c r="S46" i="213"/>
  <c r="BG47" i="213"/>
  <c r="BC34" i="213"/>
  <c r="AL31" i="213"/>
  <c r="AN35" i="213"/>
  <c r="BQ37" i="213"/>
  <c r="M31" i="213"/>
  <c r="AB37" i="213"/>
  <c r="AE36" i="213"/>
  <c r="Y34" i="213"/>
  <c r="BA47" i="213"/>
  <c r="AE37" i="213"/>
  <c r="Y27" i="213"/>
  <c r="O42" i="213"/>
  <c r="BH32" i="213"/>
  <c r="AU31" i="213"/>
  <c r="L28" i="213"/>
  <c r="AT36" i="213"/>
  <c r="R38" i="213"/>
  <c r="AS47" i="213"/>
  <c r="AA38" i="213"/>
  <c r="AO41" i="213"/>
  <c r="O27" i="213"/>
  <c r="BN39" i="213"/>
  <c r="A39" i="213"/>
  <c r="AU36" i="213"/>
  <c r="AR49" i="213"/>
  <c r="H40" i="213"/>
  <c r="BA51" i="213"/>
  <c r="D51" i="213"/>
  <c r="T32" i="213"/>
  <c r="AT38" i="213"/>
  <c r="BP50" i="213"/>
  <c r="S52" i="213"/>
  <c r="BG46" i="213"/>
  <c r="R45" i="213"/>
  <c r="BI51" i="213"/>
  <c r="BQ28" i="213"/>
  <c r="BK36" i="213"/>
  <c r="AK40" i="213"/>
  <c r="BO34" i="213"/>
  <c r="AL35" i="213"/>
  <c r="BN37" i="213"/>
  <c r="BI39" i="213"/>
  <c r="AO44" i="213"/>
  <c r="AB38" i="213"/>
  <c r="BQ47" i="213"/>
  <c r="AS52" i="213"/>
  <c r="L51" i="213"/>
  <c r="BG42" i="213"/>
  <c r="R51" i="213"/>
  <c r="AO52" i="213"/>
  <c r="BQ45" i="213"/>
  <c r="Y38" i="213"/>
  <c r="BP44" i="213"/>
  <c r="BN48" i="213"/>
  <c r="S44" i="213"/>
  <c r="AS39" i="213"/>
  <c r="M45" i="213"/>
  <c r="AE46" i="213"/>
  <c r="G36" i="213"/>
  <c r="J44" i="213"/>
  <c r="G48" i="213"/>
  <c r="AH33" i="213"/>
  <c r="O32" i="213"/>
  <c r="AT28" i="213"/>
  <c r="AI35" i="213"/>
  <c r="BJ31" i="213"/>
  <c r="C37" i="213"/>
  <c r="BB30" i="213"/>
  <c r="BG28" i="213"/>
  <c r="AU42" i="213"/>
  <c r="BK49" i="213"/>
  <c r="BP30" i="213"/>
  <c r="G42" i="213"/>
  <c r="AD45" i="213"/>
  <c r="BB50" i="213"/>
  <c r="X47" i="213"/>
  <c r="S41" i="213"/>
  <c r="K40" i="213"/>
  <c r="AF48" i="213"/>
  <c r="AB50" i="213"/>
  <c r="BP51" i="213"/>
  <c r="BG48" i="213"/>
  <c r="AG41" i="213"/>
  <c r="BC48" i="213"/>
  <c r="AU46" i="213"/>
  <c r="BG50" i="213"/>
  <c r="K47" i="213"/>
  <c r="E44" i="213"/>
  <c r="AZ37" i="213"/>
  <c r="AG27" i="213"/>
  <c r="U44" i="213"/>
  <c r="U50" i="213"/>
  <c r="AB33" i="213"/>
  <c r="BO46" i="213"/>
  <c r="X39" i="213"/>
  <c r="M38" i="213"/>
  <c r="BC36" i="213"/>
  <c r="AX33" i="213"/>
  <c r="X36" i="213"/>
  <c r="AN32" i="213"/>
  <c r="AS34" i="213"/>
  <c r="K42" i="213"/>
  <c r="X48" i="213"/>
  <c r="AT39" i="213"/>
  <c r="BP46" i="213"/>
  <c r="BJ53" i="213"/>
  <c r="AZ27" i="213"/>
  <c r="O39" i="213"/>
  <c r="AK52" i="213"/>
  <c r="A45" i="213"/>
  <c r="BF46" i="213"/>
  <c r="BC47" i="213"/>
  <c r="AR51" i="213"/>
  <c r="W51" i="213"/>
  <c r="AT50" i="213"/>
  <c r="AP38" i="213"/>
  <c r="AG45" i="213"/>
  <c r="C41" i="213"/>
  <c r="AR27" i="213"/>
  <c r="AY33" i="213"/>
  <c r="BJ36" i="213"/>
  <c r="BJ48" i="213"/>
  <c r="AY42" i="213"/>
  <c r="AR47" i="213"/>
  <c r="AQ41" i="213"/>
  <c r="AT44" i="213"/>
  <c r="I44" i="213"/>
  <c r="AQ42" i="213"/>
  <c r="BK27" i="213"/>
  <c r="A40" i="213"/>
  <c r="K44" i="213"/>
  <c r="AY38" i="213"/>
  <c r="AN52" i="213"/>
  <c r="X51" i="213"/>
  <c r="AF33" i="213"/>
  <c r="BP35" i="213"/>
  <c r="AP30" i="213"/>
  <c r="G38" i="213"/>
  <c r="AM34" i="213"/>
  <c r="AE33" i="213"/>
  <c r="AE50" i="213"/>
  <c r="AL29" i="213"/>
  <c r="BD48" i="213"/>
  <c r="W46" i="213"/>
  <c r="AV49" i="213"/>
  <c r="BJ27" i="213"/>
  <c r="AH38" i="213"/>
  <c r="AR46" i="213"/>
  <c r="AK47" i="213"/>
  <c r="BD53" i="213"/>
  <c r="M46" i="213"/>
  <c r="AD50" i="213"/>
  <c r="J37" i="213"/>
  <c r="AC33" i="213"/>
  <c r="AC47" i="213"/>
  <c r="AW53" i="213"/>
  <c r="AP29" i="213"/>
  <c r="AQ44" i="213"/>
  <c r="AH52" i="213"/>
  <c r="AN51" i="213"/>
  <c r="AA33" i="213"/>
  <c r="BA27" i="213"/>
  <c r="BI29" i="213"/>
  <c r="BP36" i="213"/>
  <c r="AG33" i="213"/>
  <c r="O41" i="213"/>
  <c r="BA29" i="213"/>
  <c r="AZ45" i="213"/>
  <c r="M49" i="213"/>
  <c r="AS38" i="213"/>
  <c r="BO42" i="213"/>
  <c r="BF48" i="213"/>
  <c r="P47" i="213"/>
  <c r="AX47" i="213"/>
  <c r="AL52" i="213"/>
  <c r="Z53" i="213"/>
  <c r="AH51" i="213"/>
  <c r="Y53" i="213"/>
  <c r="BC33" i="213"/>
  <c r="A29" i="213"/>
  <c r="BD32" i="213"/>
  <c r="O40" i="213"/>
  <c r="I38" i="213"/>
  <c r="BI50" i="213"/>
  <c r="Q39" i="213"/>
  <c r="V47" i="213"/>
  <c r="AD51" i="213"/>
  <c r="BN31" i="213"/>
  <c r="X50" i="213"/>
  <c r="H53" i="213"/>
  <c r="AB51" i="213"/>
  <c r="AI52" i="213"/>
  <c r="BI46" i="213"/>
  <c r="AY53" i="213"/>
  <c r="BB52" i="213"/>
  <c r="N47" i="213"/>
  <c r="AR50" i="213"/>
  <c r="BJ50" i="213"/>
  <c r="BB39" i="213"/>
  <c r="M51" i="213"/>
  <c r="BL34" i="213"/>
  <c r="AZ47" i="213"/>
  <c r="F50" i="213"/>
  <c r="AH46" i="213"/>
  <c r="L49" i="213"/>
  <c r="E48" i="213"/>
  <c r="T50" i="213"/>
  <c r="AV41" i="213"/>
  <c r="AH44" i="213"/>
  <c r="P49" i="213"/>
  <c r="K31" i="213"/>
  <c r="Q32" i="213"/>
  <c r="BG38" i="213"/>
  <c r="AI45" i="213"/>
  <c r="I49" i="213"/>
  <c r="C53" i="213"/>
  <c r="AX40" i="213"/>
  <c r="E45" i="213"/>
  <c r="BL29" i="213"/>
  <c r="BN38" i="213"/>
  <c r="AR44" i="213"/>
  <c r="AC48" i="213"/>
  <c r="BI35" i="213"/>
  <c r="AM52" i="213"/>
  <c r="AD49" i="213"/>
  <c r="E42" i="213"/>
  <c r="BC52" i="213"/>
  <c r="AV32" i="213"/>
  <c r="AF49" i="213"/>
  <c r="N50" i="213"/>
  <c r="BG40" i="213"/>
  <c r="H36" i="213"/>
  <c r="Q38" i="213"/>
  <c r="AZ50" i="213"/>
  <c r="J45" i="213"/>
  <c r="AY44" i="213"/>
  <c r="K53" i="213"/>
  <c r="AT42" i="213"/>
  <c r="BM38" i="213"/>
  <c r="BD46" i="213"/>
  <c r="BP32" i="213"/>
  <c r="AD36" i="213"/>
  <c r="H49" i="213"/>
  <c r="BO39" i="213"/>
  <c r="K36" i="213"/>
  <c r="D47" i="213"/>
  <c r="AQ45" i="213"/>
  <c r="BB31" i="213"/>
  <c r="BG41" i="213"/>
  <c r="Z51" i="213"/>
  <c r="M53" i="213"/>
  <c r="AG35" i="213"/>
  <c r="AM42" i="213"/>
  <c r="AW35" i="213"/>
  <c r="BI30" i="213"/>
  <c r="AM38" i="213"/>
  <c r="V35" i="213"/>
  <c r="U40" i="213"/>
  <c r="D38" i="213"/>
  <c r="BN30" i="213"/>
  <c r="BE29" i="213"/>
  <c r="AB41" i="213"/>
  <c r="BR26" i="213"/>
  <c r="AJ51" i="213"/>
  <c r="AJ37" i="213"/>
  <c r="D28" i="213"/>
  <c r="AM40" i="213"/>
  <c r="BF29" i="213"/>
  <c r="AW28" i="213"/>
  <c r="AU35" i="213"/>
  <c r="N31" i="213"/>
  <c r="U41" i="213"/>
  <c r="AC51" i="213"/>
  <c r="BP28" i="213"/>
  <c r="M39" i="213"/>
  <c r="AZ31" i="213"/>
  <c r="AM30" i="213"/>
  <c r="D27" i="213"/>
  <c r="U32" i="213"/>
  <c r="AQ48" i="213"/>
  <c r="AA39" i="213"/>
  <c r="BJ47" i="213"/>
  <c r="BI44" i="213"/>
  <c r="BJ30" i="213"/>
  <c r="BD41" i="213"/>
  <c r="BA44" i="213"/>
  <c r="C46" i="213"/>
  <c r="AC31" i="213"/>
  <c r="AA49" i="213"/>
  <c r="BA45" i="213"/>
  <c r="R28" i="213"/>
  <c r="I42" i="213"/>
  <c r="BN29" i="213"/>
  <c r="D33" i="213"/>
  <c r="P31" i="213"/>
  <c r="P33" i="213"/>
  <c r="AO39" i="213"/>
  <c r="F46" i="213"/>
  <c r="X37" i="213"/>
  <c r="J46" i="213"/>
  <c r="S48" i="213"/>
  <c r="C49" i="213"/>
  <c r="AN42" i="213"/>
  <c r="BP45" i="213"/>
  <c r="G44" i="213"/>
  <c r="R52" i="213"/>
  <c r="G40" i="213"/>
  <c r="T46" i="213"/>
  <c r="AF47" i="213"/>
  <c r="N51" i="213"/>
  <c r="AM44" i="213"/>
  <c r="AZ52" i="213"/>
  <c r="BL51" i="213"/>
  <c r="AS37" i="213"/>
  <c r="AK51" i="213"/>
  <c r="BB51" i="213"/>
  <c r="BO29" i="213"/>
  <c r="H37" i="213"/>
  <c r="BO35" i="213"/>
  <c r="I27" i="213"/>
  <c r="Y35" i="213"/>
  <c r="AM37" i="213"/>
  <c r="N37" i="213"/>
  <c r="A32" i="213"/>
  <c r="Z39" i="213"/>
  <c r="Y48" i="213"/>
  <c r="L42" i="213"/>
  <c r="BF47" i="213"/>
  <c r="C52" i="213"/>
  <c r="AC45" i="213"/>
  <c r="H46" i="213"/>
  <c r="S34" i="213"/>
  <c r="BO37" i="213"/>
  <c r="D44" i="213"/>
  <c r="F45" i="213"/>
  <c r="AQ46" i="213"/>
  <c r="BF50" i="213"/>
  <c r="AW48" i="213"/>
  <c r="BM47" i="213"/>
  <c r="BM53" i="213"/>
  <c r="AR32" i="213"/>
  <c r="N52" i="213"/>
  <c r="AL44" i="213"/>
  <c r="V50" i="213"/>
  <c r="S39" i="213"/>
  <c r="AB49" i="213"/>
  <c r="BB47" i="213"/>
  <c r="J49" i="213"/>
  <c r="AY48" i="213"/>
  <c r="AP34" i="213"/>
  <c r="AS36" i="213"/>
  <c r="BD40" i="213"/>
  <c r="AR36" i="213"/>
  <c r="AE35" i="213"/>
  <c r="G29" i="213"/>
  <c r="AJ33" i="213"/>
  <c r="AX45" i="213"/>
  <c r="AS29" i="213"/>
  <c r="AC41" i="213"/>
  <c r="AE44" i="213"/>
  <c r="Q44" i="213"/>
  <c r="AI29" i="213"/>
  <c r="BK39" i="213"/>
  <c r="AA44" i="213"/>
  <c r="AA45" i="213"/>
  <c r="AR53" i="213"/>
  <c r="AK46" i="213"/>
  <c r="I52" i="213"/>
  <c r="AU33" i="213"/>
  <c r="AQ49" i="213"/>
  <c r="X44" i="213"/>
  <c r="O47" i="213"/>
  <c r="D53" i="213"/>
  <c r="W33" i="213"/>
  <c r="BK41" i="213"/>
  <c r="M41" i="213"/>
  <c r="AL49" i="213"/>
  <c r="BH47" i="213"/>
  <c r="AN45" i="213"/>
  <c r="J48" i="213"/>
  <c r="X45" i="213"/>
  <c r="AY47" i="213"/>
  <c r="AJ27" i="213"/>
  <c r="W37" i="213"/>
  <c r="AL50" i="213"/>
  <c r="BN51" i="213"/>
  <c r="D42" i="213"/>
  <c r="AR52" i="213"/>
  <c r="F51" i="213"/>
  <c r="R32" i="213"/>
  <c r="U28" i="213"/>
  <c r="BB33" i="213"/>
  <c r="C30" i="213"/>
  <c r="BK29" i="213"/>
  <c r="A33" i="213"/>
  <c r="AA52" i="213"/>
  <c r="AN37" i="213"/>
  <c r="BM52" i="213"/>
  <c r="J47" i="213"/>
  <c r="BL49" i="213"/>
  <c r="AT35" i="213"/>
  <c r="AW44" i="213"/>
  <c r="BN46" i="213"/>
  <c r="BK47" i="213"/>
  <c r="BN52" i="213"/>
  <c r="W45" i="213"/>
  <c r="X49" i="213"/>
  <c r="BN53" i="213"/>
  <c r="AK38" i="213"/>
  <c r="AV48" i="213"/>
  <c r="AW51" i="213"/>
  <c r="BJ38" i="213"/>
  <c r="BF45" i="213"/>
  <c r="AQ39" i="213"/>
  <c r="Q28" i="213"/>
  <c r="BN36" i="213"/>
  <c r="BQ32" i="213"/>
  <c r="BB36" i="213"/>
  <c r="Z32" i="213"/>
  <c r="AW27" i="213"/>
  <c r="P44" i="213"/>
  <c r="AM39" i="213"/>
  <c r="AJ44" i="213"/>
  <c r="AW45" i="213"/>
  <c r="AR40" i="213"/>
  <c r="AH47" i="213"/>
  <c r="W50" i="213"/>
  <c r="AW47" i="213"/>
  <c r="AZ48" i="213"/>
  <c r="AL46" i="213"/>
  <c r="P46" i="213"/>
  <c r="L31" i="213"/>
  <c r="N34" i="213"/>
  <c r="BN35" i="213"/>
  <c r="I29" i="213"/>
  <c r="P36" i="213"/>
  <c r="I36" i="213"/>
  <c r="BE42" i="213"/>
  <c r="AO53" i="213"/>
  <c r="AU37" i="213"/>
  <c r="AG50" i="213"/>
  <c r="BE49" i="213"/>
  <c r="Y42" i="213"/>
  <c r="AZ49" i="213"/>
  <c r="BJ52" i="213"/>
  <c r="BG29" i="213"/>
  <c r="BE51" i="213"/>
  <c r="AL45" i="213"/>
  <c r="AU38" i="213"/>
  <c r="A52" i="213"/>
  <c r="AU49" i="213"/>
  <c r="BI37" i="213"/>
  <c r="BA53" i="213"/>
  <c r="AI41" i="213"/>
  <c r="AD37" i="213"/>
  <c r="J28" i="213"/>
  <c r="AL41" i="213"/>
  <c r="AQ29" i="213"/>
  <c r="BO28" i="213"/>
  <c r="C28" i="213"/>
  <c r="F36" i="213"/>
  <c r="AA36" i="213"/>
  <c r="Z33" i="213"/>
  <c r="D45" i="213"/>
  <c r="AP36" i="213"/>
  <c r="V30" i="213"/>
  <c r="F35" i="213"/>
  <c r="M34" i="213"/>
  <c r="V32" i="213"/>
  <c r="C36" i="213"/>
  <c r="G46" i="213"/>
  <c r="BL48" i="213"/>
  <c r="BF32" i="213"/>
  <c r="AI27" i="213"/>
  <c r="V31" i="213"/>
  <c r="AC30" i="213"/>
  <c r="S28" i="213"/>
  <c r="AN41" i="213"/>
  <c r="BH28" i="213"/>
  <c r="J42" i="213"/>
  <c r="AT51" i="213"/>
  <c r="AL48" i="213"/>
  <c r="F40" i="213"/>
  <c r="Z49" i="213"/>
  <c r="O52" i="213"/>
  <c r="I50" i="213"/>
  <c r="AD40" i="213"/>
  <c r="R46" i="213"/>
  <c r="BE53" i="213"/>
  <c r="AY28" i="213"/>
  <c r="AH30" i="213"/>
  <c r="AA34" i="213"/>
  <c r="AO33" i="213"/>
  <c r="I30" i="213"/>
  <c r="BD33" i="213"/>
  <c r="AE42" i="213"/>
  <c r="AB27" i="213"/>
  <c r="F44" i="213"/>
  <c r="AE51" i="213"/>
  <c r="Z44" i="213"/>
  <c r="BC28" i="213"/>
  <c r="BM37" i="213"/>
  <c r="K48" i="213"/>
  <c r="BH53" i="213"/>
  <c r="P45" i="213"/>
  <c r="BP49" i="213"/>
  <c r="AT48" i="213"/>
  <c r="M35" i="213"/>
  <c r="J34" i="213"/>
  <c r="BO44" i="213"/>
  <c r="AA30" i="213"/>
  <c r="AA48" i="213"/>
  <c r="BJ37" i="213"/>
  <c r="AZ35" i="213"/>
  <c r="BB37" i="213"/>
  <c r="AQ40" i="213"/>
  <c r="AZ36" i="213"/>
  <c r="AL27" i="213"/>
  <c r="V34" i="213"/>
  <c r="BQ30" i="213"/>
  <c r="P41" i="213"/>
  <c r="BO47" i="213"/>
  <c r="AS42" i="213"/>
  <c r="AQ47" i="213"/>
  <c r="AJ50" i="213"/>
  <c r="AO37" i="213"/>
  <c r="K39" i="213"/>
  <c r="Q51" i="213"/>
  <c r="AU51" i="213"/>
  <c r="AG51" i="213"/>
  <c r="U49" i="213"/>
  <c r="BO49" i="213"/>
  <c r="P53" i="213"/>
  <c r="H41" i="213"/>
  <c r="BK45" i="213"/>
  <c r="Y44" i="213"/>
  <c r="O31" i="213"/>
  <c r="D29" i="213"/>
  <c r="BQ29" i="213"/>
  <c r="BK31" i="213"/>
  <c r="D39" i="213"/>
  <c r="F33" i="213"/>
  <c r="BF53" i="213"/>
  <c r="AD38" i="213"/>
  <c r="BB53" i="213"/>
  <c r="L48" i="213"/>
  <c r="U38" i="213"/>
  <c r="H29" i="213"/>
  <c r="AD47" i="213"/>
  <c r="AG39" i="213"/>
  <c r="E36" i="213"/>
  <c r="AZ53" i="213"/>
  <c r="AO42" i="213"/>
  <c r="BE40" i="213"/>
  <c r="AB36" i="213"/>
  <c r="BN49" i="213"/>
  <c r="BL53" i="213"/>
  <c r="Q29" i="213"/>
  <c r="N32" i="213"/>
  <c r="BG31" i="213"/>
  <c r="H52" i="213"/>
  <c r="J39" i="213"/>
  <c r="AA46" i="213"/>
  <c r="Q48" i="213"/>
  <c r="AW39" i="213"/>
  <c r="AG47" i="213"/>
  <c r="BO38" i="213"/>
  <c r="AY50" i="213"/>
  <c r="AS48" i="213"/>
  <c r="AA53" i="213"/>
  <c r="AG42" i="213"/>
  <c r="M52" i="213"/>
  <c r="AX29" i="213"/>
  <c r="G41" i="213"/>
  <c r="AA37" i="213"/>
  <c r="AX31" i="213"/>
  <c r="E47" i="213"/>
  <c r="BQ41" i="213"/>
  <c r="A46" i="213"/>
  <c r="T47" i="213"/>
  <c r="D50" i="213"/>
  <c r="R44" i="213"/>
  <c r="E33" i="213"/>
  <c r="AF42" i="213"/>
  <c r="U39" i="213"/>
  <c r="AC37" i="213"/>
  <c r="AF29" i="213"/>
  <c r="V27" i="213"/>
  <c r="Z45" i="213"/>
  <c r="AP48" i="213"/>
  <c r="L40" i="213"/>
  <c r="BJ51" i="213"/>
  <c r="BF40" i="213"/>
  <c r="AM47" i="213"/>
  <c r="AI42" i="213"/>
  <c r="D48" i="213"/>
  <c r="AS49" i="213"/>
  <c r="BD51" i="213"/>
  <c r="N41" i="213"/>
  <c r="L34" i="213"/>
  <c r="AC29" i="213"/>
  <c r="BL33" i="213"/>
  <c r="BO32" i="213"/>
  <c r="BD38" i="213"/>
  <c r="K34" i="213"/>
  <c r="BH48" i="213"/>
  <c r="V39" i="213"/>
  <c r="AV52" i="213"/>
  <c r="AI40" i="213"/>
  <c r="BL46" i="213"/>
  <c r="I53" i="213"/>
  <c r="AM51" i="213"/>
  <c r="T36" i="213"/>
  <c r="AY51" i="213"/>
  <c r="AU50" i="213"/>
  <c r="AC49" i="213"/>
  <c r="Z38" i="213"/>
  <c r="Q30" i="213"/>
  <c r="AZ33" i="213"/>
  <c r="BA40" i="213"/>
  <c r="U48" i="213"/>
  <c r="AY45" i="213"/>
  <c r="C39" i="213"/>
  <c r="AP28" i="213"/>
  <c r="BB40" i="213"/>
  <c r="BQ42" i="213"/>
  <c r="BB34" i="213"/>
  <c r="AV37" i="213"/>
  <c r="BB45" i="213"/>
  <c r="Z52" i="213"/>
  <c r="AV45" i="213"/>
  <c r="W48" i="213"/>
  <c r="AE31" i="213"/>
  <c r="AY30" i="213"/>
  <c r="AN50" i="213"/>
  <c r="BA37" i="213"/>
  <c r="O29" i="213"/>
  <c r="Q31" i="213"/>
  <c r="BM39" i="213"/>
  <c r="X40" i="213"/>
  <c r="W41" i="213"/>
  <c r="BG45" i="213"/>
  <c r="AX44" i="213"/>
  <c r="S29" i="213"/>
  <c r="AT47" i="213"/>
  <c r="BP37" i="213"/>
  <c r="BO52" i="213"/>
  <c r="F30" i="213"/>
  <c r="AQ32" i="213"/>
  <c r="AZ51" i="213"/>
  <c r="BO50" i="213"/>
  <c r="BM50" i="213"/>
  <c r="AJ52" i="213"/>
  <c r="BE47" i="213"/>
  <c r="C38" i="213"/>
  <c r="BF44" i="213"/>
  <c r="AB45" i="213"/>
  <c r="AB48" i="213"/>
  <c r="BE34" i="213"/>
  <c r="AH40" i="213"/>
  <c r="D49" i="213"/>
  <c r="AF28" i="213"/>
  <c r="BE50" i="213"/>
  <c r="AI46" i="213"/>
  <c r="AF53" i="213"/>
  <c r="F34" i="213"/>
  <c r="X53" i="213"/>
  <c r="J27" i="213"/>
  <c r="AV50" i="213"/>
  <c r="S50" i="213"/>
  <c r="AU39" i="213"/>
  <c r="AL39" i="213"/>
  <c r="T35" i="213"/>
  <c r="AG52" i="213"/>
  <c r="Z48" i="213"/>
  <c r="AV30" i="213"/>
  <c r="BD52" i="213"/>
  <c r="BI45" i="213"/>
  <c r="BF27" i="213"/>
  <c r="AV42" i="213"/>
  <c r="BA46" i="213"/>
  <c r="E49" i="213"/>
  <c r="BJ49" i="213"/>
  <c r="K29" i="213"/>
  <c r="AA50" i="213"/>
  <c r="AY32" i="213"/>
  <c r="BN40" i="213"/>
  <c r="AJ45" i="213"/>
  <c r="S40" i="213"/>
  <c r="AF41" i="213"/>
  <c r="M37" i="213"/>
  <c r="AF52" i="213"/>
  <c r="BN27" i="213"/>
  <c r="BH52" i="213"/>
  <c r="BI53" i="213"/>
  <c r="BI33" i="213"/>
  <c r="AD35" i="213"/>
  <c r="N44" i="213"/>
  <c r="AE49" i="213"/>
  <c r="N46" i="213"/>
  <c r="AH28" i="213"/>
  <c r="U30" i="213"/>
  <c r="AO45" i="213"/>
  <c r="AM50" i="213"/>
  <c r="AX46" i="213"/>
  <c r="Q35" i="213"/>
  <c r="A49" i="213"/>
  <c r="AH36" i="213"/>
  <c r="BO33" i="213"/>
  <c r="AX48" i="213"/>
  <c r="C42" i="213"/>
  <c r="AL36" i="213"/>
  <c r="BL40" i="213"/>
  <c r="BA34" i="213"/>
  <c r="AV51" i="213"/>
  <c r="D40" i="213"/>
  <c r="BM30" i="213"/>
  <c r="C32" i="213"/>
  <c r="BC32" i="213"/>
  <c r="AC38" i="213"/>
  <c r="BE44" i="213"/>
  <c r="BO45" i="213"/>
  <c r="BQ49" i="213"/>
  <c r="N33" i="213"/>
  <c r="AF37" i="213"/>
  <c r="BG32" i="213"/>
  <c r="AU52" i="213"/>
  <c r="AN34" i="213"/>
  <c r="AD53" i="213"/>
  <c r="N42" i="213"/>
  <c r="AB34" i="213"/>
  <c r="AT41" i="213"/>
  <c r="O45" i="213"/>
  <c r="U45" i="213"/>
  <c r="S51" i="213"/>
  <c r="AI51" i="213"/>
  <c r="I47" i="213"/>
  <c r="S37" i="213"/>
  <c r="E29" i="213"/>
  <c r="AA42" i="213"/>
  <c r="AN40" i="213"/>
  <c r="M42" i="213"/>
  <c r="A50" i="213"/>
  <c r="BH33" i="213"/>
  <c r="AW50" i="213"/>
  <c r="AT27" i="213"/>
  <c r="BL41" i="213"/>
  <c r="BC53" i="213"/>
  <c r="BN44" i="213"/>
  <c r="BB42" i="213"/>
  <c r="R29" i="213"/>
  <c r="BF36" i="213"/>
  <c r="C35" i="213"/>
  <c r="D37" i="213"/>
  <c r="F47" i="213"/>
  <c r="A30" i="213"/>
  <c r="AP42" i="213"/>
  <c r="Q46" i="213"/>
  <c r="AO36" i="213"/>
  <c r="AR42" i="213"/>
  <c r="BM46" i="213"/>
  <c r="P51" i="213"/>
  <c r="AT34" i="213"/>
  <c r="S53" i="213"/>
  <c r="H50" i="213"/>
  <c r="P40" i="213"/>
  <c r="G47" i="213"/>
  <c r="E50" i="213"/>
  <c r="T39" i="213"/>
  <c r="M48" i="213"/>
  <c r="C34" i="213"/>
  <c r="AH49" i="213"/>
  <c r="BK50" i="213"/>
  <c r="R36" i="213"/>
  <c r="BH50" i="213"/>
  <c r="BG49" i="213"/>
  <c r="AL42" i="213"/>
  <c r="AG28" i="213"/>
  <c r="BL52" i="213"/>
  <c r="C45" i="213"/>
  <c r="AK39" i="213"/>
  <c r="BH38" i="213"/>
  <c r="BG51" i="213"/>
  <c r="AK50" i="213"/>
  <c r="M44" i="213"/>
  <c r="V45" i="213"/>
  <c r="BQ44" i="213"/>
  <c r="G52" i="213"/>
  <c r="AV53" i="213"/>
  <c r="AT53" i="213"/>
  <c r="A44" i="213"/>
  <c r="K52" i="213"/>
  <c r="AI49" i="213"/>
  <c r="K46" i="213"/>
  <c r="E11" i="64" l="1"/>
  <c r="E13" i="64" s="1"/>
  <c r="E11" i="63"/>
  <c r="H9" i="63"/>
  <c r="H11" i="63" s="1"/>
  <c r="H17" i="63" s="1"/>
  <c r="E44" i="295"/>
  <c r="N44" i="12"/>
  <c r="N28" i="10"/>
  <c r="E40" i="291"/>
  <c r="E43" i="291" s="1"/>
  <c r="X47" i="47"/>
  <c r="L14" i="185"/>
  <c r="J43" i="185"/>
  <c r="J42" i="185"/>
  <c r="F64" i="8"/>
  <c r="F66" i="8" s="1"/>
  <c r="E13" i="266"/>
  <c r="V48" i="47"/>
  <c r="V47" i="47"/>
  <c r="V46" i="47"/>
  <c r="V45" i="47"/>
  <c r="Q10" i="12"/>
  <c r="Q15" i="12"/>
  <c r="S15" i="12" s="1"/>
  <c r="Q22" i="12"/>
  <c r="S22" i="12" s="1"/>
  <c r="Q18" i="12"/>
  <c r="S18" i="12" s="1"/>
  <c r="Q14" i="12"/>
  <c r="S14" i="12" s="1"/>
  <c r="Q21" i="12"/>
  <c r="Q13" i="12"/>
  <c r="S13" i="12" s="1"/>
  <c r="Q19" i="12"/>
  <c r="S19" i="12" s="1"/>
  <c r="Q17" i="12"/>
  <c r="Q11" i="12"/>
  <c r="S11" i="12" s="1"/>
  <c r="Q20" i="12"/>
  <c r="S20" i="12" s="1"/>
  <c r="Q16" i="12"/>
  <c r="S16" i="12" s="1"/>
  <c r="Q12" i="12"/>
  <c r="S12" i="12" s="1"/>
  <c r="N41" i="12"/>
  <c r="J44" i="185"/>
  <c r="V11" i="185"/>
  <c r="T42" i="185"/>
  <c r="T45" i="185"/>
  <c r="T47" i="185"/>
  <c r="T43" i="185"/>
  <c r="T44" i="185"/>
  <c r="T46" i="185"/>
  <c r="Z47" i="47"/>
  <c r="Z45" i="47"/>
  <c r="Z48" i="47"/>
  <c r="Z44" i="47"/>
  <c r="E42" i="295"/>
  <c r="AH60" i="285"/>
  <c r="AI60" i="285" s="1"/>
  <c r="E41" i="295"/>
  <c r="H22" i="288"/>
  <c r="H18" i="288"/>
  <c r="H14" i="288"/>
  <c r="AH58" i="285"/>
  <c r="AI58" i="285" s="1"/>
  <c r="X45" i="47"/>
  <c r="D29" i="8"/>
  <c r="L20" i="8"/>
  <c r="F66" i="264"/>
  <c r="M43" i="8"/>
  <c r="M24" i="8"/>
  <c r="M22" i="8"/>
  <c r="M42" i="8"/>
  <c r="M35" i="8"/>
  <c r="M20" i="8"/>
  <c r="M25" i="8"/>
  <c r="M13" i="8"/>
  <c r="M18" i="8"/>
  <c r="M14" i="8"/>
  <c r="M37" i="8"/>
  <c r="M41" i="8"/>
  <c r="M23" i="8"/>
  <c r="M52" i="8"/>
  <c r="M26" i="8"/>
  <c r="M29" i="8"/>
  <c r="M48" i="8"/>
  <c r="M39" i="8"/>
  <c r="M27" i="8"/>
  <c r="M17" i="8"/>
  <c r="M16" i="8"/>
  <c r="M51" i="8"/>
  <c r="M36" i="8"/>
  <c r="M50" i="8"/>
  <c r="M49" i="8"/>
  <c r="M15" i="8"/>
  <c r="G73" i="285"/>
  <c r="H67" i="285"/>
  <c r="J22" i="266"/>
  <c r="Y19" i="12"/>
  <c r="S43" i="185"/>
  <c r="S44" i="185"/>
  <c r="S47" i="185"/>
  <c r="S46" i="185"/>
  <c r="S42" i="185"/>
  <c r="S45" i="185"/>
  <c r="M54" i="8"/>
  <c r="E56" i="8"/>
  <c r="N46" i="12"/>
  <c r="X46" i="47"/>
  <c r="X48" i="47"/>
  <c r="X44" i="47"/>
  <c r="Z43" i="47"/>
  <c r="M34" i="8"/>
  <c r="K12" i="133"/>
  <c r="B12" i="133" s="1"/>
  <c r="G12" i="133" s="1"/>
  <c r="J13" i="133"/>
  <c r="K22" i="266"/>
  <c r="V44" i="47"/>
  <c r="J46" i="185"/>
  <c r="L26" i="10"/>
  <c r="D28" i="10"/>
  <c r="O3" i="4"/>
  <c r="D25" i="248" s="1"/>
  <c r="G44" i="295"/>
  <c r="B9" i="66"/>
  <c r="B100" i="52"/>
  <c r="B109" i="52" s="1"/>
  <c r="E40" i="14"/>
  <c r="E43" i="14" s="1"/>
  <c r="H22" i="12"/>
  <c r="Y22" i="12" s="1"/>
  <c r="H18" i="12"/>
  <c r="Y18" i="12" s="1"/>
  <c r="H14" i="12"/>
  <c r="H19" i="295"/>
  <c r="H15" i="295"/>
  <c r="J41" i="295"/>
  <c r="H11" i="295"/>
  <c r="H21" i="288"/>
  <c r="H17" i="288"/>
  <c r="H13" i="288"/>
  <c r="E32" i="291"/>
  <c r="E35" i="291" s="1"/>
  <c r="O6" i="295" s="1"/>
  <c r="I22" i="12"/>
  <c r="K22" i="12" s="1"/>
  <c r="AC22" i="12" s="1"/>
  <c r="I18" i="12"/>
  <c r="K18" i="12" s="1"/>
  <c r="I14" i="12"/>
  <c r="K14" i="12" s="1"/>
  <c r="AC14" i="12" s="1"/>
  <c r="I19" i="295"/>
  <c r="K19" i="295" s="1"/>
  <c r="I15" i="295"/>
  <c r="K15" i="295" s="1"/>
  <c r="AC15" i="295" s="1"/>
  <c r="I11" i="295"/>
  <c r="K11" i="295" s="1"/>
  <c r="I21" i="288"/>
  <c r="K21" i="288" s="1"/>
  <c r="AC21" i="288" s="1"/>
  <c r="I17" i="288"/>
  <c r="K17" i="288" s="1"/>
  <c r="I13" i="288"/>
  <c r="K13" i="288" s="1"/>
  <c r="AC13" i="288" s="1"/>
  <c r="X22" i="12"/>
  <c r="AC18" i="12"/>
  <c r="T14" i="12"/>
  <c r="AC19" i="295"/>
  <c r="AC11" i="295"/>
  <c r="AC17" i="288"/>
  <c r="AC15" i="12"/>
  <c r="G38" i="52"/>
  <c r="G65" i="52"/>
  <c r="J38" i="52"/>
  <c r="J65" i="52"/>
  <c r="AB46" i="295"/>
  <c r="K50" i="295"/>
  <c r="T48" i="295"/>
  <c r="V55" i="285"/>
  <c r="S55" i="285"/>
  <c r="T55" i="285" s="1"/>
  <c r="F9" i="66"/>
  <c r="O25" i="52"/>
  <c r="D17" i="63"/>
  <c r="D21" i="63" s="1"/>
  <c r="AC16" i="295"/>
  <c r="F36" i="285"/>
  <c r="K71" i="133"/>
  <c r="T19" i="12"/>
  <c r="AC19" i="12"/>
  <c r="AC11" i="12"/>
  <c r="E38" i="52"/>
  <c r="E65" i="52"/>
  <c r="H38" i="52"/>
  <c r="H65" i="52"/>
  <c r="U55" i="285"/>
  <c r="D16" i="64"/>
  <c r="C16" i="156"/>
  <c r="G16" i="156" s="1"/>
  <c r="AC20" i="295"/>
  <c r="AC12" i="295"/>
  <c r="L63" i="133"/>
  <c r="B62" i="133"/>
  <c r="Y8" i="47"/>
  <c r="P8" i="47"/>
  <c r="Z8" i="47" s="1"/>
  <c r="I22" i="288"/>
  <c r="K22" i="288" s="1"/>
  <c r="H20" i="288"/>
  <c r="I18" i="288"/>
  <c r="K18" i="288" s="1"/>
  <c r="H16" i="288"/>
  <c r="I14" i="288"/>
  <c r="K14" i="288" s="1"/>
  <c r="H12" i="288"/>
  <c r="G44" i="288"/>
  <c r="G45" i="288"/>
  <c r="G46" i="288"/>
  <c r="G41" i="288"/>
  <c r="G42" i="288"/>
  <c r="G43" i="288"/>
  <c r="J41" i="288"/>
  <c r="J42" i="288"/>
  <c r="J43" i="288"/>
  <c r="J44" i="288"/>
  <c r="J45" i="288"/>
  <c r="J46" i="288"/>
  <c r="D41" i="288"/>
  <c r="D42" i="288"/>
  <c r="D43" i="288"/>
  <c r="I10" i="288"/>
  <c r="D44" i="288"/>
  <c r="D45" i="288"/>
  <c r="D46" i="288"/>
  <c r="L67" i="285"/>
  <c r="M56" i="285"/>
  <c r="Q11" i="288"/>
  <c r="S11" i="288" s="1"/>
  <c r="Q13" i="288"/>
  <c r="S13" i="288" s="1"/>
  <c r="Q15" i="288"/>
  <c r="S15" i="288" s="1"/>
  <c r="Q17" i="288"/>
  <c r="S17" i="288" s="1"/>
  <c r="T17" i="288" s="1"/>
  <c r="Q19" i="288"/>
  <c r="S19" i="288" s="1"/>
  <c r="Q21" i="288"/>
  <c r="S21" i="288" s="1"/>
  <c r="Q10" i="288"/>
  <c r="Q12" i="288"/>
  <c r="S12" i="288" s="1"/>
  <c r="Q14" i="288"/>
  <c r="S14" i="288" s="1"/>
  <c r="Q16" i="288"/>
  <c r="S16" i="288" s="1"/>
  <c r="Q18" i="288"/>
  <c r="S18" i="288" s="1"/>
  <c r="Q20" i="288"/>
  <c r="S20" i="288" s="1"/>
  <c r="Q22" i="288"/>
  <c r="S22" i="288" s="1"/>
  <c r="I12" i="13"/>
  <c r="H55" i="13"/>
  <c r="H41" i="13"/>
  <c r="H42" i="13"/>
  <c r="H43" i="13"/>
  <c r="H44" i="13"/>
  <c r="H45" i="13"/>
  <c r="H46" i="13"/>
  <c r="I20" i="12"/>
  <c r="K20" i="12" s="1"/>
  <c r="H20" i="12"/>
  <c r="I16" i="12"/>
  <c r="K16" i="12" s="1"/>
  <c r="H16" i="12"/>
  <c r="I12" i="12"/>
  <c r="K12" i="12" s="1"/>
  <c r="H12" i="12"/>
  <c r="F44" i="12"/>
  <c r="F41" i="12"/>
  <c r="F42" i="12"/>
  <c r="F43" i="12"/>
  <c r="F45" i="12"/>
  <c r="F46" i="12"/>
  <c r="G41" i="12"/>
  <c r="G42" i="12"/>
  <c r="G43" i="12"/>
  <c r="G45" i="12"/>
  <c r="G46" i="12"/>
  <c r="G44" i="12"/>
  <c r="I21" i="295"/>
  <c r="K21" i="295" s="1"/>
  <c r="H21" i="295"/>
  <c r="I17" i="295"/>
  <c r="K17" i="295" s="1"/>
  <c r="H17" i="295"/>
  <c r="I13" i="295"/>
  <c r="K13" i="295" s="1"/>
  <c r="H13" i="295"/>
  <c r="I38" i="52"/>
  <c r="I65" i="52"/>
  <c r="E24" i="14"/>
  <c r="E27" i="14" s="1"/>
  <c r="D45" i="295"/>
  <c r="I44" i="295"/>
  <c r="I42" i="295"/>
  <c r="K10" i="295"/>
  <c r="D42" i="295"/>
  <c r="J46" i="295"/>
  <c r="J44" i="295"/>
  <c r="J42" i="295"/>
  <c r="G43" i="295"/>
  <c r="G41" i="295"/>
  <c r="G45" i="295"/>
  <c r="I43" i="52"/>
  <c r="J15" i="52"/>
  <c r="I59" i="52"/>
  <c r="I72" i="52"/>
  <c r="I83" i="52"/>
  <c r="I98" i="52" s="1"/>
  <c r="I107" i="52" s="1"/>
  <c r="V54" i="285"/>
  <c r="S54" i="285"/>
  <c r="I34" i="285"/>
  <c r="AH63" i="285"/>
  <c r="AI63" i="285" s="1"/>
  <c r="AH61" i="285"/>
  <c r="AI61" i="285" s="1"/>
  <c r="AH59" i="285"/>
  <c r="AI59" i="285" s="1"/>
  <c r="AH57" i="285"/>
  <c r="AI57" i="285" s="1"/>
  <c r="F38" i="10"/>
  <c r="N34" i="10"/>
  <c r="E43" i="10"/>
  <c r="M43" i="10" s="1"/>
  <c r="M28" i="10"/>
  <c r="E34" i="10"/>
  <c r="E8" i="8"/>
  <c r="M8" i="8" s="1"/>
  <c r="D9" i="10"/>
  <c r="M9" i="10"/>
  <c r="H47" i="287"/>
  <c r="H48" i="287" s="1"/>
  <c r="H50" i="287" s="1"/>
  <c r="G32" i="156"/>
  <c r="F32" i="156"/>
  <c r="I19" i="288"/>
  <c r="K19" i="288" s="1"/>
  <c r="H19" i="288"/>
  <c r="I15" i="288"/>
  <c r="K15" i="288" s="1"/>
  <c r="H15" i="288"/>
  <c r="I11" i="288"/>
  <c r="K11" i="288" s="1"/>
  <c r="H11" i="288"/>
  <c r="N44" i="295"/>
  <c r="N45" i="295"/>
  <c r="N46" i="295"/>
  <c r="N41" i="295"/>
  <c r="N42" i="295"/>
  <c r="N43" i="295"/>
  <c r="G61" i="133"/>
  <c r="B3" i="66" s="1"/>
  <c r="J10" i="4" s="1"/>
  <c r="B10" i="232"/>
  <c r="G43" i="10"/>
  <c r="O43" i="10" s="1"/>
  <c r="O28" i="10"/>
  <c r="G34" i="10"/>
  <c r="N56" i="8"/>
  <c r="F75" i="8"/>
  <c r="W8" i="47"/>
  <c r="L8" i="47"/>
  <c r="V8" i="47" s="1"/>
  <c r="I20" i="288"/>
  <c r="K20" i="288" s="1"/>
  <c r="I16" i="288"/>
  <c r="K16" i="288" s="1"/>
  <c r="I12" i="288"/>
  <c r="K12" i="288" s="1"/>
  <c r="H10" i="288"/>
  <c r="E44" i="288"/>
  <c r="E45" i="288"/>
  <c r="E46" i="288"/>
  <c r="E41" i="288"/>
  <c r="E42" i="288"/>
  <c r="E43" i="288"/>
  <c r="F41" i="288"/>
  <c r="F42" i="288"/>
  <c r="F43" i="288"/>
  <c r="F44" i="288"/>
  <c r="F45" i="288"/>
  <c r="F46" i="288"/>
  <c r="K50" i="12"/>
  <c r="AB46" i="12" s="1"/>
  <c r="T48" i="12"/>
  <c r="O10" i="295"/>
  <c r="O12" i="295"/>
  <c r="O14" i="295"/>
  <c r="O16" i="295"/>
  <c r="O18" i="295"/>
  <c r="O20" i="295"/>
  <c r="O22" i="295"/>
  <c r="O11" i="295"/>
  <c r="O13" i="295"/>
  <c r="O15" i="295"/>
  <c r="O17" i="295"/>
  <c r="O19" i="295"/>
  <c r="O21" i="295"/>
  <c r="O50" i="295"/>
  <c r="O48" i="295"/>
  <c r="K73" i="285"/>
  <c r="K74" i="285" s="1"/>
  <c r="K24" i="285" s="1"/>
  <c r="N44" i="288"/>
  <c r="N45" i="288"/>
  <c r="N46" i="288"/>
  <c r="N41" i="288"/>
  <c r="N42" i="288"/>
  <c r="N43" i="288"/>
  <c r="J44" i="12"/>
  <c r="J41" i="12"/>
  <c r="J42" i="12"/>
  <c r="J43" i="12"/>
  <c r="J45" i="12"/>
  <c r="J46" i="12"/>
  <c r="I10" i="12"/>
  <c r="D44" i="12"/>
  <c r="D41" i="12"/>
  <c r="D42" i="12"/>
  <c r="D43" i="12"/>
  <c r="D45" i="12"/>
  <c r="D46" i="12"/>
  <c r="E41" i="12"/>
  <c r="E42" i="12"/>
  <c r="E43" i="12"/>
  <c r="E45" i="12"/>
  <c r="E46" i="12"/>
  <c r="H10" i="12"/>
  <c r="E44" i="12"/>
  <c r="AC21" i="12"/>
  <c r="AC17" i="12"/>
  <c r="AC13" i="12"/>
  <c r="F38" i="52"/>
  <c r="F65" i="52"/>
  <c r="D38" i="52"/>
  <c r="O6" i="12"/>
  <c r="D12" i="52"/>
  <c r="D48" i="52" s="1"/>
  <c r="D15" i="11"/>
  <c r="AC22" i="295"/>
  <c r="AC18" i="295"/>
  <c r="AC14" i="295"/>
  <c r="D46" i="295"/>
  <c r="D44" i="295"/>
  <c r="D43" i="295"/>
  <c r="D41" i="295"/>
  <c r="J45" i="295"/>
  <c r="J43" i="295"/>
  <c r="G42" i="295"/>
  <c r="G46" i="295"/>
  <c r="B10" i="66"/>
  <c r="B101" i="52"/>
  <c r="B110" i="52" s="1"/>
  <c r="D56" i="8"/>
  <c r="E32" i="14"/>
  <c r="E35" i="14" s="1"/>
  <c r="F41" i="11"/>
  <c r="F54" i="11"/>
  <c r="Q11" i="295"/>
  <c r="S11" i="295" s="1"/>
  <c r="T11" i="295" s="1"/>
  <c r="Q13" i="295"/>
  <c r="S13" i="295" s="1"/>
  <c r="Q15" i="295"/>
  <c r="S15" i="295" s="1"/>
  <c r="T15" i="295" s="1"/>
  <c r="Q17" i="295"/>
  <c r="S17" i="295" s="1"/>
  <c r="Q19" i="295"/>
  <c r="S19" i="295" s="1"/>
  <c r="T19" i="295" s="1"/>
  <c r="Q21" i="295"/>
  <c r="S21" i="295" s="1"/>
  <c r="Q10" i="295"/>
  <c r="Q12" i="295"/>
  <c r="S12" i="295" s="1"/>
  <c r="X12" i="295" s="1"/>
  <c r="Q14" i="295"/>
  <c r="Q16" i="295"/>
  <c r="S16" i="295" s="1"/>
  <c r="T16" i="295" s="1"/>
  <c r="Q18" i="295"/>
  <c r="Q20" i="295"/>
  <c r="S20" i="295" s="1"/>
  <c r="T20" i="295" s="1"/>
  <c r="Q22" i="295"/>
  <c r="BR46" i="213"/>
  <c r="BR48" i="213"/>
  <c r="BR44" i="213"/>
  <c r="BR45" i="213"/>
  <c r="BR49" i="213"/>
  <c r="BR47" i="213"/>
  <c r="BR34" i="213"/>
  <c r="BR28" i="213"/>
  <c r="BR42" i="213"/>
  <c r="BR35" i="213"/>
  <c r="BR29" i="213"/>
  <c r="BR38" i="213"/>
  <c r="BR52" i="213"/>
  <c r="BR37" i="213"/>
  <c r="BR27" i="213"/>
  <c r="BR36" i="213"/>
  <c r="BR39" i="213"/>
  <c r="BR53" i="213"/>
  <c r="BR31" i="213"/>
  <c r="BR51" i="213"/>
  <c r="BR32" i="213"/>
  <c r="BR41" i="213"/>
  <c r="BR33" i="213"/>
  <c r="BR50" i="213"/>
  <c r="BR30" i="213"/>
  <c r="BR40" i="213"/>
  <c r="F67" i="264" l="1"/>
  <c r="F68" i="264"/>
  <c r="T22" i="12"/>
  <c r="K13" i="133"/>
  <c r="B13" i="133" s="1"/>
  <c r="G13" i="133" s="1"/>
  <c r="J14" i="133"/>
  <c r="E75" i="8"/>
  <c r="M56" i="8"/>
  <c r="G74" i="285"/>
  <c r="G24" i="285" s="1"/>
  <c r="H73" i="285"/>
  <c r="V45" i="185"/>
  <c r="V44" i="185"/>
  <c r="V47" i="185"/>
  <c r="V46" i="185"/>
  <c r="Z11" i="185"/>
  <c r="V42" i="185"/>
  <c r="V43" i="185"/>
  <c r="K41" i="266"/>
  <c r="K31" i="266"/>
  <c r="K24" i="266"/>
  <c r="K13" i="266"/>
  <c r="K23" i="266"/>
  <c r="K21" i="266"/>
  <c r="K15" i="266"/>
  <c r="K32" i="266"/>
  <c r="E17" i="266"/>
  <c r="K17" i="266" s="1"/>
  <c r="K30" i="266"/>
  <c r="K36" i="266"/>
  <c r="S17" i="12"/>
  <c r="T17" i="12" s="1"/>
  <c r="U17" i="12" s="1"/>
  <c r="W17" i="12" s="1"/>
  <c r="Y17" i="12"/>
  <c r="S10" i="12"/>
  <c r="Q45" i="12"/>
  <c r="Q41" i="12"/>
  <c r="Q43" i="12"/>
  <c r="Q42" i="12"/>
  <c r="Q44" i="12"/>
  <c r="Q46" i="12"/>
  <c r="T18" i="12"/>
  <c r="L52" i="8"/>
  <c r="L17" i="8"/>
  <c r="L27" i="8"/>
  <c r="L51" i="8"/>
  <c r="L22" i="8"/>
  <c r="L36" i="8"/>
  <c r="L48" i="8"/>
  <c r="L13" i="8"/>
  <c r="L16" i="8"/>
  <c r="L26" i="8"/>
  <c r="L15" i="8"/>
  <c r="L25" i="8"/>
  <c r="L49" i="8"/>
  <c r="L18" i="8"/>
  <c r="L29" i="8"/>
  <c r="L43" i="8"/>
  <c r="L35" i="8"/>
  <c r="L14" i="8"/>
  <c r="L24" i="8"/>
  <c r="L37" i="8"/>
  <c r="L50" i="8"/>
  <c r="L34" i="8"/>
  <c r="L23" i="8"/>
  <c r="L42" i="8"/>
  <c r="L41" i="8"/>
  <c r="L39" i="8"/>
  <c r="L54" i="8"/>
  <c r="L46" i="185"/>
  <c r="L47" i="185"/>
  <c r="L44" i="185"/>
  <c r="Z14" i="185"/>
  <c r="L45" i="185"/>
  <c r="L42" i="185"/>
  <c r="L43" i="185"/>
  <c r="O26" i="52"/>
  <c r="J26" i="52" s="1"/>
  <c r="J64" i="52" s="1"/>
  <c r="E17" i="63"/>
  <c r="E21" i="63" s="1"/>
  <c r="I23" i="289" s="1"/>
  <c r="F10" i="66"/>
  <c r="F14" i="66" s="1"/>
  <c r="H74" i="285"/>
  <c r="Y19" i="288"/>
  <c r="T21" i="288"/>
  <c r="Y14" i="12"/>
  <c r="S21" i="12"/>
  <c r="T21" i="12" s="1"/>
  <c r="Y21" i="12"/>
  <c r="L45" i="8"/>
  <c r="C175" i="156"/>
  <c r="E16" i="64"/>
  <c r="L28" i="10"/>
  <c r="D34" i="10"/>
  <c r="D43" i="10"/>
  <c r="L43" i="10" s="1"/>
  <c r="N38" i="10"/>
  <c r="F49" i="10"/>
  <c r="I41" i="295"/>
  <c r="I46" i="295"/>
  <c r="I43" i="295"/>
  <c r="I45" i="295"/>
  <c r="H41" i="295"/>
  <c r="V19" i="295"/>
  <c r="U19" i="295"/>
  <c r="W19" i="295" s="1"/>
  <c r="V11" i="295"/>
  <c r="U11" i="295"/>
  <c r="W11" i="295" s="1"/>
  <c r="U20" i="295"/>
  <c r="W20" i="295" s="1"/>
  <c r="X20" i="295" s="1"/>
  <c r="Y20" i="295" s="1"/>
  <c r="V20" i="295"/>
  <c r="U16" i="295"/>
  <c r="W16" i="295" s="1"/>
  <c r="V16" i="295"/>
  <c r="V15" i="295"/>
  <c r="X15" i="295" s="1"/>
  <c r="Y15" i="295" s="1"/>
  <c r="U15" i="295"/>
  <c r="W15" i="295" s="1"/>
  <c r="V21" i="288"/>
  <c r="U21" i="288"/>
  <c r="W21" i="288" s="1"/>
  <c r="V17" i="288"/>
  <c r="U17" i="288"/>
  <c r="W17" i="288" s="1"/>
  <c r="S22" i="295"/>
  <c r="Y22" i="295"/>
  <c r="S18" i="295"/>
  <c r="Y18" i="295"/>
  <c r="S14" i="295"/>
  <c r="Y14" i="295"/>
  <c r="S10" i="295"/>
  <c r="T10" i="295" s="1"/>
  <c r="Q44" i="295"/>
  <c r="Q45" i="295"/>
  <c r="Q46" i="295"/>
  <c r="Q41" i="295"/>
  <c r="Q42" i="295"/>
  <c r="Q43" i="295"/>
  <c r="D22" i="11"/>
  <c r="D31" i="11"/>
  <c r="D55" i="11"/>
  <c r="D21" i="11"/>
  <c r="O11" i="12"/>
  <c r="T11" i="12" s="1"/>
  <c r="O13" i="12"/>
  <c r="T13" i="12" s="1"/>
  <c r="O15" i="12"/>
  <c r="T15" i="12" s="1"/>
  <c r="O17" i="12"/>
  <c r="O19" i="12"/>
  <c r="O21" i="12"/>
  <c r="O50" i="12"/>
  <c r="O10" i="12"/>
  <c r="O12" i="12"/>
  <c r="O14" i="12"/>
  <c r="O16" i="12"/>
  <c r="O18" i="12"/>
  <c r="O20" i="12"/>
  <c r="O22" i="12"/>
  <c r="O48" i="12"/>
  <c r="U21" i="12"/>
  <c r="W21" i="12" s="1"/>
  <c r="V21" i="12"/>
  <c r="H44" i="12"/>
  <c r="H41" i="12"/>
  <c r="H42" i="12"/>
  <c r="H43" i="12"/>
  <c r="H45" i="12"/>
  <c r="H46" i="12"/>
  <c r="I41" i="12"/>
  <c r="I42" i="12"/>
  <c r="I43" i="12"/>
  <c r="I45" i="12"/>
  <c r="I46" i="12"/>
  <c r="I44" i="12"/>
  <c r="K10" i="12"/>
  <c r="O41" i="295"/>
  <c r="O42" i="295"/>
  <c r="O43" i="295"/>
  <c r="O44" i="295"/>
  <c r="O45" i="295"/>
  <c r="O46" i="295"/>
  <c r="U48" i="12"/>
  <c r="W48" i="12" s="1"/>
  <c r="V48" i="12"/>
  <c r="T12" i="288"/>
  <c r="X12" i="288"/>
  <c r="AC12" i="288"/>
  <c r="AC20" i="288"/>
  <c r="AC11" i="288"/>
  <c r="AC15" i="288"/>
  <c r="T19" i="288"/>
  <c r="AC19" i="288"/>
  <c r="W54" i="285"/>
  <c r="X54" i="285" s="1"/>
  <c r="Y54" i="285" s="1"/>
  <c r="Z54" i="285" s="1"/>
  <c r="AA54" i="285" s="1"/>
  <c r="AB54" i="285" s="1"/>
  <c r="AC54" i="285" s="1"/>
  <c r="AD54" i="285" s="1"/>
  <c r="AE54" i="285" s="1"/>
  <c r="AF54" i="285" s="1"/>
  <c r="AG54" i="285" s="1"/>
  <c r="J59" i="52"/>
  <c r="J72" i="52"/>
  <c r="J83" i="52"/>
  <c r="J43" i="52"/>
  <c r="H15" i="287"/>
  <c r="O6" i="288"/>
  <c r="T13" i="295"/>
  <c r="AC13" i="295"/>
  <c r="T17" i="295"/>
  <c r="AC17" i="295"/>
  <c r="T21" i="295"/>
  <c r="AC21" i="295"/>
  <c r="T12" i="12"/>
  <c r="X12" i="12"/>
  <c r="AC12" i="12"/>
  <c r="T16" i="12"/>
  <c r="AC16" i="12"/>
  <c r="T20" i="12"/>
  <c r="AC20" i="12"/>
  <c r="M67" i="285"/>
  <c r="N56" i="285"/>
  <c r="T14" i="288"/>
  <c r="AC14" i="288"/>
  <c r="T18" i="288"/>
  <c r="AC18" i="288"/>
  <c r="T22" i="288"/>
  <c r="X22" i="288"/>
  <c r="AC22" i="288"/>
  <c r="B11" i="232"/>
  <c r="G62" i="133"/>
  <c r="B3" i="11" s="1"/>
  <c r="B17" i="66" s="1"/>
  <c r="T12" i="295"/>
  <c r="K72" i="133"/>
  <c r="H45" i="295"/>
  <c r="H43" i="295"/>
  <c r="X16" i="295"/>
  <c r="Y16" i="295" s="1"/>
  <c r="I22" i="289"/>
  <c r="H21" i="63"/>
  <c r="D22" i="63"/>
  <c r="Y18" i="288"/>
  <c r="Y17" i="288"/>
  <c r="Y21" i="288"/>
  <c r="X11" i="295"/>
  <c r="Y11" i="295" s="1"/>
  <c r="Y19" i="295"/>
  <c r="X19" i="295"/>
  <c r="V14" i="12"/>
  <c r="U14" i="12"/>
  <c r="W14" i="12" s="1"/>
  <c r="V22" i="12"/>
  <c r="U22" i="12"/>
  <c r="W22" i="12" s="1"/>
  <c r="L56" i="8"/>
  <c r="D75" i="8"/>
  <c r="D76" i="8" s="1"/>
  <c r="D14" i="248" s="1"/>
  <c r="D49" i="52"/>
  <c r="D54" i="52" s="1"/>
  <c r="D116" i="52"/>
  <c r="V17" i="12"/>
  <c r="K32" i="285"/>
  <c r="H41" i="288"/>
  <c r="H42" i="288"/>
  <c r="H43" i="288"/>
  <c r="H44" i="288"/>
  <c r="H45" i="288"/>
  <c r="H46" i="288"/>
  <c r="AC16" i="288"/>
  <c r="O34" i="10"/>
  <c r="G38" i="10"/>
  <c r="G49" i="10" s="1"/>
  <c r="L9" i="10"/>
  <c r="D8" i="8"/>
  <c r="L8" i="8" s="1"/>
  <c r="M34" i="10"/>
  <c r="E38" i="10"/>
  <c r="T54" i="285"/>
  <c r="U54" i="285" s="1"/>
  <c r="K44" i="295"/>
  <c r="K45" i="295"/>
  <c r="K46" i="295"/>
  <c r="K41" i="295"/>
  <c r="K42" i="295"/>
  <c r="K43" i="295"/>
  <c r="AC10" i="295"/>
  <c r="Y17" i="295"/>
  <c r="Y21" i="295"/>
  <c r="I41" i="13"/>
  <c r="I42" i="13"/>
  <c r="I43" i="13"/>
  <c r="I44" i="13"/>
  <c r="I45" i="13"/>
  <c r="I46" i="13"/>
  <c r="J12" i="13"/>
  <c r="S10" i="288"/>
  <c r="Q44" i="288"/>
  <c r="Q45" i="288"/>
  <c r="Q46" i="288"/>
  <c r="Q41" i="288"/>
  <c r="Q42" i="288"/>
  <c r="Q43" i="288"/>
  <c r="L73" i="285"/>
  <c r="L74" i="285" s="1"/>
  <c r="L24" i="285" s="1"/>
  <c r="L32" i="285" s="1"/>
  <c r="L34" i="285" s="1"/>
  <c r="I44" i="288"/>
  <c r="I45" i="288"/>
  <c r="I46" i="288"/>
  <c r="I41" i="288"/>
  <c r="I42" i="288"/>
  <c r="I43" i="288"/>
  <c r="K10" i="288"/>
  <c r="L64" i="133"/>
  <c r="B63" i="133"/>
  <c r="O19" i="52"/>
  <c r="D19" i="52" s="1"/>
  <c r="K6" i="289"/>
  <c r="D8" i="289" s="1"/>
  <c r="D11" i="289" s="1"/>
  <c r="I14" i="289"/>
  <c r="U19" i="12"/>
  <c r="W19" i="12" s="1"/>
  <c r="V19" i="12"/>
  <c r="H46" i="295"/>
  <c r="H44" i="295"/>
  <c r="H42" i="295"/>
  <c r="I25" i="52"/>
  <c r="O32" i="52"/>
  <c r="J25" i="52"/>
  <c r="W55" i="285"/>
  <c r="X55" i="285" s="1"/>
  <c r="Y55" i="285" s="1"/>
  <c r="Z55" i="285" s="1"/>
  <c r="AA55" i="285" s="1"/>
  <c r="AB55" i="285" s="1"/>
  <c r="AC55" i="285" s="1"/>
  <c r="AD55" i="285" s="1"/>
  <c r="AE55" i="285" s="1"/>
  <c r="AF55" i="285" s="1"/>
  <c r="AG55" i="285" s="1"/>
  <c r="U48" i="295"/>
  <c r="W48" i="295" s="1"/>
  <c r="V48" i="295"/>
  <c r="Y14" i="288"/>
  <c r="Y22" i="288"/>
  <c r="V18" i="12"/>
  <c r="U18" i="12"/>
  <c r="W18" i="12" s="1"/>
  <c r="F175" i="156" l="1"/>
  <c r="G175" i="156"/>
  <c r="AH55" i="285"/>
  <c r="AI55" i="285" s="1"/>
  <c r="D24" i="11"/>
  <c r="S42" i="12"/>
  <c r="S41" i="12"/>
  <c r="S46" i="12"/>
  <c r="S43" i="12"/>
  <c r="S44" i="12"/>
  <c r="S45" i="12"/>
  <c r="Z42" i="185"/>
  <c r="Z45" i="185"/>
  <c r="Z44" i="185"/>
  <c r="Z47" i="185"/>
  <c r="Z43" i="185"/>
  <c r="Z46" i="185"/>
  <c r="C7" i="264"/>
  <c r="C5" i="264"/>
  <c r="K19" i="63" s="1"/>
  <c r="G32" i="285"/>
  <c r="G34" i="285" s="1"/>
  <c r="H24" i="285"/>
  <c r="H32" i="285" s="1"/>
  <c r="M32" i="52"/>
  <c r="X48" i="12"/>
  <c r="O20" i="52"/>
  <c r="D20" i="52" s="1"/>
  <c r="I15" i="289"/>
  <c r="K14" i="133"/>
  <c r="B14" i="133" s="1"/>
  <c r="G14" i="133" s="1"/>
  <c r="J15" i="133"/>
  <c r="D38" i="10"/>
  <c r="L34" i="10"/>
  <c r="M38" i="10"/>
  <c r="E49" i="10"/>
  <c r="O38" i="10"/>
  <c r="X21" i="12"/>
  <c r="J63" i="52"/>
  <c r="J32" i="52"/>
  <c r="J36" i="52" s="1"/>
  <c r="J40" i="52" s="1"/>
  <c r="I63" i="52"/>
  <c r="D48" i="288"/>
  <c r="D9" i="4"/>
  <c r="G63" i="133"/>
  <c r="B3" i="12" s="1"/>
  <c r="B12" i="232"/>
  <c r="S41" i="288"/>
  <c r="S42" i="288"/>
  <c r="S43" i="288"/>
  <c r="S44" i="288"/>
  <c r="S45" i="288"/>
  <c r="S46" i="288"/>
  <c r="K34" i="285"/>
  <c r="I29" i="289"/>
  <c r="H22" i="289" s="1"/>
  <c r="U12" i="295"/>
  <c r="W12" i="295" s="1"/>
  <c r="V12" i="295"/>
  <c r="Y12" i="295" s="1"/>
  <c r="U18" i="288"/>
  <c r="W18" i="288" s="1"/>
  <c r="V18" i="288"/>
  <c r="M73" i="285"/>
  <c r="M74" i="285" s="1"/>
  <c r="M24" i="285" s="1"/>
  <c r="M32" i="285" s="1"/>
  <c r="M34" i="285" s="1"/>
  <c r="V20" i="12"/>
  <c r="U20" i="12"/>
  <c r="W20" i="12" s="1"/>
  <c r="V12" i="12"/>
  <c r="Y12" i="12" s="1"/>
  <c r="U12" i="12"/>
  <c r="W12" i="12" s="1"/>
  <c r="V17" i="295"/>
  <c r="U17" i="295"/>
  <c r="W17" i="295" s="1"/>
  <c r="O10" i="288"/>
  <c r="T10" i="288" s="1"/>
  <c r="O12" i="288"/>
  <c r="O14" i="288"/>
  <c r="O16" i="288"/>
  <c r="T16" i="288" s="1"/>
  <c r="O18" i="288"/>
  <c r="O20" i="288"/>
  <c r="T20" i="288" s="1"/>
  <c r="O22" i="288"/>
  <c r="O11" i="288"/>
  <c r="T11" i="288" s="1"/>
  <c r="O13" i="288"/>
  <c r="T13" i="288" s="1"/>
  <c r="O15" i="288"/>
  <c r="T15" i="288" s="1"/>
  <c r="O17" i="288"/>
  <c r="X17" i="288" s="1"/>
  <c r="O19" i="288"/>
  <c r="O21" i="288"/>
  <c r="X21" i="288" s="1"/>
  <c r="O50" i="288"/>
  <c r="O48" i="288"/>
  <c r="V19" i="288"/>
  <c r="U19" i="288"/>
  <c r="W19" i="288" s="1"/>
  <c r="O44" i="12"/>
  <c r="O41" i="12"/>
  <c r="O42" i="12"/>
  <c r="O43" i="12"/>
  <c r="O45" i="12"/>
  <c r="O46" i="12"/>
  <c r="U13" i="12"/>
  <c r="W13" i="12" s="1"/>
  <c r="V13" i="12"/>
  <c r="X18" i="12"/>
  <c r="X48" i="295"/>
  <c r="X19" i="12"/>
  <c r="I17" i="289"/>
  <c r="J15" i="289" s="1"/>
  <c r="C26" i="290" s="1"/>
  <c r="E19" i="52"/>
  <c r="D63" i="52"/>
  <c r="D22" i="52"/>
  <c r="B64" i="133"/>
  <c r="L65" i="133"/>
  <c r="K44" i="288"/>
  <c r="K45" i="288"/>
  <c r="K46" i="288"/>
  <c r="K41" i="288"/>
  <c r="K42" i="288"/>
  <c r="K43" i="288"/>
  <c r="AC10" i="288"/>
  <c r="K12" i="13"/>
  <c r="J41" i="13"/>
  <c r="J43" i="13"/>
  <c r="J45" i="13"/>
  <c r="J42" i="13"/>
  <c r="J44" i="13"/>
  <c r="J46" i="13"/>
  <c r="U10" i="295"/>
  <c r="V10" i="295"/>
  <c r="X17" i="12"/>
  <c r="X14" i="12"/>
  <c r="C178" i="156"/>
  <c r="H22" i="63"/>
  <c r="K73" i="133"/>
  <c r="U22" i="288"/>
  <c r="W22" i="288" s="1"/>
  <c r="V22" i="288"/>
  <c r="U14" i="288"/>
  <c r="W14" i="288" s="1"/>
  <c r="V14" i="288"/>
  <c r="N67" i="285"/>
  <c r="O56" i="285"/>
  <c r="V16" i="12"/>
  <c r="U16" i="12"/>
  <c r="W16" i="12" s="1"/>
  <c r="V21" i="295"/>
  <c r="U21" i="295"/>
  <c r="W21" i="295" s="1"/>
  <c r="V13" i="295"/>
  <c r="U13" i="295"/>
  <c r="W13" i="295" s="1"/>
  <c r="H21" i="287"/>
  <c r="H31" i="287"/>
  <c r="H22" i="287"/>
  <c r="H55" i="287"/>
  <c r="AH54" i="285"/>
  <c r="AI54" i="285" s="1"/>
  <c r="U12" i="288"/>
  <c r="W12" i="288" s="1"/>
  <c r="V12" i="288"/>
  <c r="Y12" i="288" s="1"/>
  <c r="T10" i="12"/>
  <c r="K41" i="12"/>
  <c r="K42" i="12"/>
  <c r="K43" i="12"/>
  <c r="K45" i="12"/>
  <c r="K46" i="12"/>
  <c r="K44" i="12"/>
  <c r="AC10" i="12"/>
  <c r="U15" i="12"/>
  <c r="W15" i="12" s="1"/>
  <c r="V15" i="12"/>
  <c r="U11" i="12"/>
  <c r="W11" i="12" s="1"/>
  <c r="V11" i="12"/>
  <c r="D34" i="11"/>
  <c r="D35" i="11" s="1"/>
  <c r="D37" i="11" s="1"/>
  <c r="S41" i="295"/>
  <c r="S42" i="295"/>
  <c r="S43" i="295"/>
  <c r="S44" i="295"/>
  <c r="S45" i="295"/>
  <c r="S46" i="295"/>
  <c r="T14" i="295"/>
  <c r="T18" i="295"/>
  <c r="T22" i="295"/>
  <c r="X22" i="295"/>
  <c r="J18" i="133" l="1"/>
  <c r="K15" i="133"/>
  <c r="B15" i="133" s="1"/>
  <c r="G15" i="133" s="1"/>
  <c r="H34" i="285"/>
  <c r="G36" i="285"/>
  <c r="I36" i="285" s="1"/>
  <c r="J36" i="285" s="1"/>
  <c r="K36" i="285" s="1"/>
  <c r="L36" i="285" s="1"/>
  <c r="M36" i="285" s="1"/>
  <c r="D65" i="11"/>
  <c r="J12" i="66" s="1"/>
  <c r="E20" i="52"/>
  <c r="F20" i="52" s="1"/>
  <c r="G20" i="52" s="1"/>
  <c r="D64" i="52"/>
  <c r="D70" i="52" s="1"/>
  <c r="D74" i="52" s="1"/>
  <c r="J14" i="289"/>
  <c r="L38" i="10"/>
  <c r="D49" i="10"/>
  <c r="T45" i="295"/>
  <c r="X15" i="12"/>
  <c r="Y15" i="12" s="1"/>
  <c r="X13" i="12"/>
  <c r="Y13" i="12" s="1"/>
  <c r="X11" i="12"/>
  <c r="Y11" i="12" s="1"/>
  <c r="X14" i="288"/>
  <c r="H24" i="287"/>
  <c r="H65" i="287" s="1"/>
  <c r="V10" i="12"/>
  <c r="T41" i="12"/>
  <c r="T42" i="12"/>
  <c r="T43" i="12"/>
  <c r="T45" i="12"/>
  <c r="T46" i="12"/>
  <c r="U10" i="12"/>
  <c r="T44" i="12"/>
  <c r="U18" i="295"/>
  <c r="W18" i="295" s="1"/>
  <c r="V18" i="295"/>
  <c r="H20" i="52"/>
  <c r="H34" i="287"/>
  <c r="H35" i="287" s="1"/>
  <c r="H37" i="287" s="1"/>
  <c r="X13" i="295"/>
  <c r="Y13" i="295" s="1"/>
  <c r="X21" i="295"/>
  <c r="X16" i="12"/>
  <c r="Y16" i="12" s="1"/>
  <c r="N73" i="285"/>
  <c r="N74" i="285" s="1"/>
  <c r="N24" i="285" s="1"/>
  <c r="F178" i="156"/>
  <c r="G178" i="156"/>
  <c r="T42" i="295"/>
  <c r="W10" i="295"/>
  <c r="X10" i="295" s="1"/>
  <c r="K41" i="13"/>
  <c r="K43" i="13"/>
  <c r="K45" i="13"/>
  <c r="K42" i="13"/>
  <c r="K44" i="13"/>
  <c r="K46" i="13"/>
  <c r="U10" i="288"/>
  <c r="T44" i="288"/>
  <c r="T45" i="288"/>
  <c r="T46" i="288"/>
  <c r="V10" i="288"/>
  <c r="T41" i="288"/>
  <c r="T42" i="288"/>
  <c r="T43" i="288"/>
  <c r="B65" i="133"/>
  <c r="L66" i="133"/>
  <c r="E22" i="52"/>
  <c r="F19" i="52"/>
  <c r="X19" i="288"/>
  <c r="V13" i="288"/>
  <c r="U13" i="288"/>
  <c r="W13" i="288" s="1"/>
  <c r="O41" i="288"/>
  <c r="O42" i="288"/>
  <c r="O43" i="288"/>
  <c r="O44" i="288"/>
  <c r="O45" i="288"/>
  <c r="O46" i="288"/>
  <c r="X17" i="295"/>
  <c r="X20" i="12"/>
  <c r="Y20" i="12" s="1"/>
  <c r="X18" i="288"/>
  <c r="F17" i="11"/>
  <c r="F32" i="11" s="1"/>
  <c r="E11" i="52"/>
  <c r="D50" i="288"/>
  <c r="I48" i="288"/>
  <c r="K48" i="288" s="1"/>
  <c r="K23" i="289"/>
  <c r="K15" i="289" s="1"/>
  <c r="D15" i="289" s="1"/>
  <c r="U22" i="295"/>
  <c r="W22" i="295" s="1"/>
  <c r="V22" i="295"/>
  <c r="U14" i="295"/>
  <c r="W14" i="295" s="1"/>
  <c r="V14" i="295"/>
  <c r="O67" i="285"/>
  <c r="P56" i="285"/>
  <c r="T43" i="295"/>
  <c r="T41" i="295"/>
  <c r="T46" i="295"/>
  <c r="T44" i="295"/>
  <c r="G64" i="133"/>
  <c r="B13" i="232"/>
  <c r="C24" i="290"/>
  <c r="D28" i="290" s="1"/>
  <c r="J17" i="289"/>
  <c r="V15" i="288"/>
  <c r="U15" i="288"/>
  <c r="W15" i="288" s="1"/>
  <c r="V11" i="288"/>
  <c r="U11" i="288"/>
  <c r="W11" i="288" s="1"/>
  <c r="U20" i="288"/>
  <c r="W20" i="288" s="1"/>
  <c r="V20" i="288"/>
  <c r="U16" i="288"/>
  <c r="W16" i="288" s="1"/>
  <c r="V16" i="288"/>
  <c r="H24" i="289"/>
  <c r="H25" i="289"/>
  <c r="H26" i="289"/>
  <c r="I30" i="289"/>
  <c r="H27" i="289"/>
  <c r="H23" i="289"/>
  <c r="C15" i="156"/>
  <c r="C84" i="156"/>
  <c r="J70" i="52"/>
  <c r="J74" i="52" s="1"/>
  <c r="J19" i="133" l="1"/>
  <c r="K18" i="133"/>
  <c r="B18" i="133" s="1"/>
  <c r="G18" i="133" s="1"/>
  <c r="B3" i="266" s="1"/>
  <c r="H3" i="266" s="1"/>
  <c r="X20" i="288"/>
  <c r="Y20" i="288" s="1"/>
  <c r="X16" i="288"/>
  <c r="Y16" i="288" s="1"/>
  <c r="H67" i="287"/>
  <c r="C116" i="156" s="1"/>
  <c r="H29" i="289"/>
  <c r="X14" i="295"/>
  <c r="Y10" i="295"/>
  <c r="J75" i="52"/>
  <c r="J77" i="52"/>
  <c r="J79" i="52"/>
  <c r="J78" i="52"/>
  <c r="J81" i="52" s="1"/>
  <c r="J76" i="52"/>
  <c r="G15" i="156"/>
  <c r="F15" i="156"/>
  <c r="X11" i="288"/>
  <c r="Y11" i="288" s="1"/>
  <c r="X15" i="288"/>
  <c r="Y15" i="288" s="1"/>
  <c r="B3" i="295"/>
  <c r="P67" i="285"/>
  <c r="Q56" i="285"/>
  <c r="K50" i="288"/>
  <c r="AB46" i="288" s="1"/>
  <c r="T48" i="288"/>
  <c r="X13" i="288"/>
  <c r="Y13" i="288" s="1"/>
  <c r="G19" i="52"/>
  <c r="F22" i="52"/>
  <c r="G65" i="133"/>
  <c r="B3" i="291" s="1"/>
  <c r="B14" i="232"/>
  <c r="V44" i="288"/>
  <c r="V45" i="288"/>
  <c r="V46" i="288"/>
  <c r="V41" i="288"/>
  <c r="V42" i="288"/>
  <c r="V43" i="288"/>
  <c r="W10" i="288"/>
  <c r="X10" i="288" s="1"/>
  <c r="U41" i="288"/>
  <c r="U42" i="288"/>
  <c r="U43" i="288"/>
  <c r="U44" i="288"/>
  <c r="U45" i="288"/>
  <c r="U46" i="288"/>
  <c r="U45" i="295"/>
  <c r="U43" i="295"/>
  <c r="U41" i="295"/>
  <c r="V42" i="295"/>
  <c r="V46" i="295"/>
  <c r="V44" i="295"/>
  <c r="I20" i="52"/>
  <c r="H26" i="52" s="1"/>
  <c r="H64" i="52" s="1"/>
  <c r="X18" i="295"/>
  <c r="X44" i="295" s="1"/>
  <c r="D44" i="289"/>
  <c r="O73" i="285"/>
  <c r="O74" i="285" s="1"/>
  <c r="O24" i="285" s="1"/>
  <c r="D76" i="52"/>
  <c r="D77" i="52"/>
  <c r="D78" i="52"/>
  <c r="D79" i="52"/>
  <c r="D75" i="52"/>
  <c r="D81" i="52" s="1"/>
  <c r="B66" i="133"/>
  <c r="L67" i="133"/>
  <c r="U46" i="295"/>
  <c r="U44" i="295"/>
  <c r="U42" i="295"/>
  <c r="W41" i="295"/>
  <c r="W42" i="295"/>
  <c r="W43" i="295"/>
  <c r="W44" i="295"/>
  <c r="W45" i="295"/>
  <c r="W46" i="295"/>
  <c r="V43" i="295"/>
  <c r="V41" i="295"/>
  <c r="V45" i="295"/>
  <c r="N32" i="285"/>
  <c r="U44" i="12"/>
  <c r="W10" i="12"/>
  <c r="U41" i="12"/>
  <c r="U42" i="12"/>
  <c r="U43" i="12"/>
  <c r="U45" i="12"/>
  <c r="U46" i="12"/>
  <c r="V41" i="12"/>
  <c r="V42" i="12"/>
  <c r="V43" i="12"/>
  <c r="V45" i="12"/>
  <c r="V46" i="12"/>
  <c r="V44" i="12"/>
  <c r="X10" i="12"/>
  <c r="J20" i="133" l="1"/>
  <c r="K19" i="133"/>
  <c r="B19" i="133" s="1"/>
  <c r="G19" i="133" s="1"/>
  <c r="B3" i="10" s="1"/>
  <c r="J3" i="10" s="1"/>
  <c r="D26" i="52"/>
  <c r="X44" i="288"/>
  <c r="X45" i="288"/>
  <c r="X46" i="288"/>
  <c r="X41" i="288"/>
  <c r="X42" i="288"/>
  <c r="X43" i="288"/>
  <c r="Y10" i="288"/>
  <c r="O32" i="285"/>
  <c r="O34" i="285" s="1"/>
  <c r="W44" i="12"/>
  <c r="W41" i="12"/>
  <c r="W42" i="12"/>
  <c r="W43" i="12"/>
  <c r="W45" i="12"/>
  <c r="W46" i="12"/>
  <c r="B67" i="133"/>
  <c r="L68" i="133"/>
  <c r="F116" i="156"/>
  <c r="G116" i="156"/>
  <c r="F26" i="52"/>
  <c r="F64" i="52" s="1"/>
  <c r="F15" i="11"/>
  <c r="E12" i="52"/>
  <c r="U48" i="288"/>
  <c r="W48" i="288" s="1"/>
  <c r="V48" i="288"/>
  <c r="Q67" i="285"/>
  <c r="R56" i="285"/>
  <c r="X43" i="295"/>
  <c r="X41" i="295"/>
  <c r="X45" i="295"/>
  <c r="X41" i="12"/>
  <c r="X42" i="12"/>
  <c r="X43" i="12"/>
  <c r="X45" i="12"/>
  <c r="X46" i="12"/>
  <c r="X44" i="12"/>
  <c r="Y10" i="12"/>
  <c r="N34" i="285"/>
  <c r="B15" i="232"/>
  <c r="G66" i="133"/>
  <c r="B3" i="185" s="1"/>
  <c r="I22" i="52"/>
  <c r="I26" i="52"/>
  <c r="G26" i="52"/>
  <c r="G64" i="52" s="1"/>
  <c r="E26" i="52"/>
  <c r="E64" i="52" s="1"/>
  <c r="W41" i="288"/>
  <c r="W42" i="288"/>
  <c r="W43" i="288"/>
  <c r="W44" i="288"/>
  <c r="W45" i="288"/>
  <c r="W46" i="288"/>
  <c r="G22" i="52"/>
  <c r="H19" i="52"/>
  <c r="F25" i="52" s="1"/>
  <c r="P73" i="285"/>
  <c r="P74" i="285" s="1"/>
  <c r="P24" i="285" s="1"/>
  <c r="P32" i="285" s="1"/>
  <c r="P34" i="285" s="1"/>
  <c r="Y41" i="295"/>
  <c r="Y42" i="295"/>
  <c r="Y43" i="295"/>
  <c r="Y44" i="295"/>
  <c r="AB43" i="295" s="1"/>
  <c r="Y45" i="295"/>
  <c r="Y46" i="295"/>
  <c r="X42" i="295"/>
  <c r="X46" i="295"/>
  <c r="J21" i="133" l="1"/>
  <c r="K20" i="133"/>
  <c r="B20" i="133" s="1"/>
  <c r="G20" i="133" s="1"/>
  <c r="B3" i="8" s="1"/>
  <c r="J3" i="8" s="1"/>
  <c r="E25" i="52"/>
  <c r="X48" i="288"/>
  <c r="F63" i="52"/>
  <c r="F32" i="52"/>
  <c r="F36" i="52" s="1"/>
  <c r="F40" i="52" s="1"/>
  <c r="G25" i="52"/>
  <c r="N36" i="285"/>
  <c r="O36" i="285" s="1"/>
  <c r="P36" i="285" s="1"/>
  <c r="Y44" i="12"/>
  <c r="AB43" i="12" s="1"/>
  <c r="AB44" i="12" s="1"/>
  <c r="Y41" i="12"/>
  <c r="Y42" i="12"/>
  <c r="Y43" i="12"/>
  <c r="Y45" i="12"/>
  <c r="Y46" i="12"/>
  <c r="Q73" i="285"/>
  <c r="Q74" i="285" s="1"/>
  <c r="Q24" i="285" s="1"/>
  <c r="Q32" i="285" s="1"/>
  <c r="Q34" i="285" s="1"/>
  <c r="D25" i="52"/>
  <c r="D32" i="52" s="1"/>
  <c r="D36" i="52" s="1"/>
  <c r="D40" i="52" s="1"/>
  <c r="F31" i="11"/>
  <c r="F55" i="11"/>
  <c r="G67" i="133"/>
  <c r="B3" i="156" s="1"/>
  <c r="B16" i="232"/>
  <c r="E32" i="52"/>
  <c r="E36" i="52" s="1"/>
  <c r="E40" i="52" s="1"/>
  <c r="E63" i="52"/>
  <c r="H25" i="52"/>
  <c r="H22" i="52"/>
  <c r="I64" i="52"/>
  <c r="I32" i="52"/>
  <c r="I36" i="52" s="1"/>
  <c r="I40" i="52" s="1"/>
  <c r="R67" i="285"/>
  <c r="S56" i="285"/>
  <c r="L69" i="133"/>
  <c r="B68" i="133"/>
  <c r="Y41" i="288"/>
  <c r="Y42" i="288"/>
  <c r="Y43" i="288"/>
  <c r="Y44" i="288"/>
  <c r="AB43" i="288" s="1"/>
  <c r="Y45" i="288"/>
  <c r="Y46" i="288"/>
  <c r="J30" i="133" l="1"/>
  <c r="K21" i="133"/>
  <c r="B21" i="133" s="1"/>
  <c r="G21" i="133" s="1"/>
  <c r="J24" i="133"/>
  <c r="B17" i="232"/>
  <c r="G68" i="133"/>
  <c r="S67" i="285"/>
  <c r="T56" i="285"/>
  <c r="I70" i="52"/>
  <c r="H63" i="52"/>
  <c r="H32" i="52"/>
  <c r="H36" i="52" s="1"/>
  <c r="H40" i="52" s="1"/>
  <c r="H96" i="52" s="1"/>
  <c r="D46" i="52"/>
  <c r="E46" i="52" s="1"/>
  <c r="D96" i="52"/>
  <c r="Q36" i="285"/>
  <c r="G32" i="52"/>
  <c r="G36" i="52" s="1"/>
  <c r="G40" i="52" s="1"/>
  <c r="G63" i="52"/>
  <c r="E96" i="52"/>
  <c r="L70" i="133"/>
  <c r="B69" i="133"/>
  <c r="R73" i="285"/>
  <c r="R74" i="285"/>
  <c r="R24" i="285" s="1"/>
  <c r="R32" i="285" s="1"/>
  <c r="R34" i="285" s="1"/>
  <c r="K22" i="289"/>
  <c r="K14" i="289" s="1"/>
  <c r="D14" i="289" s="1"/>
  <c r="D17" i="289" s="1"/>
  <c r="I96" i="52"/>
  <c r="E70" i="52"/>
  <c r="E100" i="52" s="1"/>
  <c r="F70" i="52"/>
  <c r="I101" i="52" l="1"/>
  <c r="J25" i="133"/>
  <c r="K24" i="133"/>
  <c r="B24" i="133" s="1"/>
  <c r="G24" i="133" s="1"/>
  <c r="E74" i="52"/>
  <c r="K30" i="133"/>
  <c r="B30" i="133" s="1"/>
  <c r="G30" i="133" s="1"/>
  <c r="B3" i="47" s="1"/>
  <c r="J31" i="133"/>
  <c r="F79" i="52"/>
  <c r="F78" i="52"/>
  <c r="F77" i="52"/>
  <c r="F76" i="52"/>
  <c r="F75" i="52"/>
  <c r="F74" i="52"/>
  <c r="E78" i="52"/>
  <c r="E77" i="52"/>
  <c r="E79" i="52"/>
  <c r="E104" i="52"/>
  <c r="E103" i="52"/>
  <c r="E105" i="52"/>
  <c r="E76" i="52"/>
  <c r="E102" i="52"/>
  <c r="E101" i="52"/>
  <c r="E75" i="52"/>
  <c r="E50" i="288"/>
  <c r="D19" i="289"/>
  <c r="D27" i="289"/>
  <c r="L71" i="133"/>
  <c r="B70" i="133"/>
  <c r="E51" i="52"/>
  <c r="E52" i="52" s="1"/>
  <c r="E55" i="52" s="1"/>
  <c r="F45" i="52"/>
  <c r="F48" i="52" s="1"/>
  <c r="G70" i="52"/>
  <c r="G74" i="52" s="1"/>
  <c r="R36" i="285"/>
  <c r="E45" i="52"/>
  <c r="E48" i="52" s="1"/>
  <c r="D51" i="52"/>
  <c r="H70" i="52"/>
  <c r="H74" i="52" s="1"/>
  <c r="H100" i="52"/>
  <c r="V56" i="285"/>
  <c r="T67" i="285"/>
  <c r="U56" i="285"/>
  <c r="B18" i="232"/>
  <c r="G69" i="133"/>
  <c r="F46" i="52"/>
  <c r="G46" i="52" s="1"/>
  <c r="F96" i="52"/>
  <c r="F105" i="52" s="1"/>
  <c r="D100" i="52"/>
  <c r="D103" i="52"/>
  <c r="D102" i="52"/>
  <c r="D105" i="52"/>
  <c r="D104" i="52"/>
  <c r="D101" i="52"/>
  <c r="G96" i="52"/>
  <c r="I78" i="52"/>
  <c r="I79" i="52"/>
  <c r="I103" i="52"/>
  <c r="I104" i="52"/>
  <c r="I105" i="52"/>
  <c r="I77" i="52"/>
  <c r="I102" i="52"/>
  <c r="I76" i="52"/>
  <c r="I74" i="52"/>
  <c r="I100" i="52"/>
  <c r="I75" i="52"/>
  <c r="S73" i="285"/>
  <c r="S74" i="285" s="1"/>
  <c r="S24" i="285" s="1"/>
  <c r="S32" i="285" s="1"/>
  <c r="S34" i="285" s="1"/>
  <c r="E81" i="52" l="1"/>
  <c r="K31" i="133"/>
  <c r="B31" i="133" s="1"/>
  <c r="G31" i="133" s="1"/>
  <c r="B3" i="172" s="1"/>
  <c r="J32" i="133"/>
  <c r="K25" i="133"/>
  <c r="B25" i="133" s="1"/>
  <c r="G25" i="133" s="1"/>
  <c r="J26" i="133"/>
  <c r="G100" i="52"/>
  <c r="F81" i="52"/>
  <c r="I81" i="52"/>
  <c r="G51" i="52"/>
  <c r="G52" i="52" s="1"/>
  <c r="G55" i="52" s="1"/>
  <c r="H45" i="52"/>
  <c r="H48" i="52" s="1"/>
  <c r="H46" i="52"/>
  <c r="E113" i="52"/>
  <c r="D113" i="52"/>
  <c r="E111" i="52"/>
  <c r="D111" i="52"/>
  <c r="E109" i="52"/>
  <c r="D109" i="52"/>
  <c r="F52" i="52"/>
  <c r="G45" i="52"/>
  <c r="G48" i="52" s="1"/>
  <c r="F51" i="52"/>
  <c r="D110" i="52"/>
  <c r="E110" i="52"/>
  <c r="D114" i="52"/>
  <c r="D119" i="52" s="1"/>
  <c r="F114" i="52"/>
  <c r="F119" i="52" s="1"/>
  <c r="E114" i="52"/>
  <c r="E119" i="52" s="1"/>
  <c r="D112" i="52"/>
  <c r="E112" i="52"/>
  <c r="V67" i="285"/>
  <c r="W56" i="285"/>
  <c r="H103" i="52"/>
  <c r="H78" i="52"/>
  <c r="H79" i="52"/>
  <c r="H77" i="52"/>
  <c r="H104" i="52"/>
  <c r="H105" i="52"/>
  <c r="H102" i="52"/>
  <c r="H76" i="52"/>
  <c r="H75" i="52"/>
  <c r="H101" i="52"/>
  <c r="D52" i="52"/>
  <c r="D55" i="52" s="1"/>
  <c r="D57" i="52" s="1"/>
  <c r="S36" i="285"/>
  <c r="F49" i="52"/>
  <c r="F116" i="52"/>
  <c r="F54" i="52"/>
  <c r="L72" i="133"/>
  <c r="B71" i="133"/>
  <c r="D22" i="289"/>
  <c r="D23" i="289"/>
  <c r="D35" i="289" s="1"/>
  <c r="F100" i="52"/>
  <c r="F101" i="52"/>
  <c r="F104" i="52"/>
  <c r="T73" i="285"/>
  <c r="U73" i="285" s="1"/>
  <c r="U67" i="285"/>
  <c r="H81" i="52"/>
  <c r="E49" i="52"/>
  <c r="E54" i="52" s="1"/>
  <c r="E57" i="52" s="1"/>
  <c r="E116" i="52"/>
  <c r="D117" i="52" s="1"/>
  <c r="G103" i="52"/>
  <c r="G104" i="52"/>
  <c r="G79" i="52"/>
  <c r="G77" i="52"/>
  <c r="G78" i="52"/>
  <c r="G105" i="52"/>
  <c r="H114" i="52" s="1"/>
  <c r="H119" i="52" s="1"/>
  <c r="G102" i="52"/>
  <c r="G76" i="52"/>
  <c r="G75" i="52"/>
  <c r="G101" i="52"/>
  <c r="G70" i="133"/>
  <c r="B19" i="232"/>
  <c r="H50" i="288"/>
  <c r="I50" i="288"/>
  <c r="F102" i="52"/>
  <c r="F103" i="52"/>
  <c r="H112" i="52" s="1"/>
  <c r="F55" i="52" l="1"/>
  <c r="K32" i="133"/>
  <c r="B32" i="133" s="1"/>
  <c r="G32" i="133" s="1"/>
  <c r="B3" i="53" s="1"/>
  <c r="J33" i="133"/>
  <c r="G111" i="52"/>
  <c r="G109" i="52"/>
  <c r="J27" i="133"/>
  <c r="K27" i="133" s="1"/>
  <c r="B27" i="133" s="1"/>
  <c r="G27" i="133" s="1"/>
  <c r="K26" i="133"/>
  <c r="B26" i="133" s="1"/>
  <c r="G26" i="133" s="1"/>
  <c r="G81" i="52"/>
  <c r="U74" i="285"/>
  <c r="G113" i="52"/>
  <c r="T74" i="285"/>
  <c r="T24" i="285" s="1"/>
  <c r="H110" i="52"/>
  <c r="F57" i="52"/>
  <c r="E50" i="295"/>
  <c r="D85" i="52"/>
  <c r="D87" i="52"/>
  <c r="D89" i="52"/>
  <c r="E50" i="12"/>
  <c r="D86" i="52"/>
  <c r="D88" i="52"/>
  <c r="D90" i="52"/>
  <c r="T50" i="288"/>
  <c r="E20" i="232"/>
  <c r="T32" i="285"/>
  <c r="D20" i="266" s="1"/>
  <c r="U24" i="285"/>
  <c r="U32" i="285" s="1"/>
  <c r="B20" i="232"/>
  <c r="G71" i="133"/>
  <c r="E21" i="232"/>
  <c r="W67" i="285"/>
  <c r="X56" i="285"/>
  <c r="I112" i="52"/>
  <c r="F112" i="52"/>
  <c r="I114" i="52"/>
  <c r="I119" i="52" s="1"/>
  <c r="I110" i="52"/>
  <c r="F110" i="52"/>
  <c r="G49" i="52"/>
  <c r="G54" i="52" s="1"/>
  <c r="G57" i="52" s="1"/>
  <c r="G116" i="52"/>
  <c r="F109" i="52"/>
  <c r="I109" i="52"/>
  <c r="F111" i="52"/>
  <c r="I111" i="52"/>
  <c r="F113" i="52"/>
  <c r="I113" i="52"/>
  <c r="H49" i="52"/>
  <c r="H54" i="52" s="1"/>
  <c r="H116" i="52"/>
  <c r="E86" i="52"/>
  <c r="E88" i="52"/>
  <c r="E90" i="52"/>
  <c r="E85" i="52"/>
  <c r="E87" i="52"/>
  <c r="E89" i="52"/>
  <c r="D29" i="289"/>
  <c r="D34" i="289"/>
  <c r="L73" i="133"/>
  <c r="B73" i="133" s="1"/>
  <c r="G73" i="133" s="1"/>
  <c r="B72" i="133"/>
  <c r="V73" i="285"/>
  <c r="V74" i="285" s="1"/>
  <c r="V24" i="285" s="1"/>
  <c r="G112" i="52"/>
  <c r="G114" i="52"/>
  <c r="G119" i="52" s="1"/>
  <c r="D120" i="52"/>
  <c r="G110" i="52"/>
  <c r="H109" i="52"/>
  <c r="H111" i="52"/>
  <c r="H113" i="52"/>
  <c r="I45" i="52"/>
  <c r="I48" i="52" s="1"/>
  <c r="H51" i="52"/>
  <c r="I46" i="52"/>
  <c r="K33" i="133" l="1"/>
  <c r="B33" i="133" s="1"/>
  <c r="G33" i="133" s="1"/>
  <c r="B3" i="15" s="1"/>
  <c r="J34" i="133"/>
  <c r="E92" i="52"/>
  <c r="I51" i="52"/>
  <c r="I52" i="52" s="1"/>
  <c r="I55" i="52" s="1"/>
  <c r="I57" i="52" s="1"/>
  <c r="J45" i="52"/>
  <c r="J48" i="52" s="1"/>
  <c r="V32" i="285"/>
  <c r="I49" i="52"/>
  <c r="I54" i="52" s="1"/>
  <c r="I116" i="52"/>
  <c r="H52" i="52"/>
  <c r="H55" i="52" s="1"/>
  <c r="H57" i="52" s="1"/>
  <c r="D36" i="289"/>
  <c r="D38" i="289"/>
  <c r="D39" i="289"/>
  <c r="D42" i="289" s="1"/>
  <c r="D47" i="289" s="1"/>
  <c r="D49" i="289" s="1"/>
  <c r="D37" i="289"/>
  <c r="G86" i="52"/>
  <c r="G88" i="52"/>
  <c r="G90" i="52"/>
  <c r="G85" i="52"/>
  <c r="G87" i="52"/>
  <c r="G89" i="52"/>
  <c r="W73" i="285"/>
  <c r="B3" i="294"/>
  <c r="B3" i="39"/>
  <c r="B3" i="173"/>
  <c r="B3" i="41"/>
  <c r="J25" i="39" s="1"/>
  <c r="B3" i="38"/>
  <c r="V50" i="288"/>
  <c r="U50" i="288"/>
  <c r="W50" i="288" s="1"/>
  <c r="H50" i="12"/>
  <c r="D50" i="12"/>
  <c r="H50" i="295"/>
  <c r="D50" i="295"/>
  <c r="I50" i="295" s="1"/>
  <c r="B21" i="232"/>
  <c r="G72" i="133"/>
  <c r="X67" i="285"/>
  <c r="Y56" i="285"/>
  <c r="T34" i="285"/>
  <c r="B3" i="233"/>
  <c r="B3" i="217"/>
  <c r="B3" i="235"/>
  <c r="B3" i="2"/>
  <c r="B3" i="189"/>
  <c r="B3" i="234"/>
  <c r="B3" i="5"/>
  <c r="D92" i="52"/>
  <c r="F85" i="52"/>
  <c r="F87" i="52"/>
  <c r="F89" i="52"/>
  <c r="F86" i="52"/>
  <c r="F88" i="52"/>
  <c r="F90" i="52"/>
  <c r="J37" i="133" l="1"/>
  <c r="K34" i="133"/>
  <c r="B34" i="133" s="1"/>
  <c r="G34" i="133" s="1"/>
  <c r="D40" i="289"/>
  <c r="I40" i="289" s="1"/>
  <c r="H85" i="52"/>
  <c r="H87" i="52"/>
  <c r="H89" i="52"/>
  <c r="H86" i="52"/>
  <c r="H88" i="52"/>
  <c r="H90" i="52"/>
  <c r="I86" i="52"/>
  <c r="I88" i="52"/>
  <c r="I90" i="52"/>
  <c r="I85" i="52"/>
  <c r="I87" i="52"/>
  <c r="I89" i="52"/>
  <c r="F92" i="52"/>
  <c r="U34" i="285"/>
  <c r="T36" i="285"/>
  <c r="X73" i="285"/>
  <c r="T50" i="12"/>
  <c r="X50" i="288"/>
  <c r="Y50" i="288" s="1"/>
  <c r="AB42" i="288" s="1"/>
  <c r="AB45" i="288" s="1"/>
  <c r="AB47" i="288" s="1"/>
  <c r="W74" i="285"/>
  <c r="W24" i="285" s="1"/>
  <c r="G92" i="52"/>
  <c r="I49" i="289"/>
  <c r="F9" i="4"/>
  <c r="F12" i="4" s="1"/>
  <c r="J49" i="52"/>
  <c r="J54" i="52" s="1"/>
  <c r="J57" i="52" s="1"/>
  <c r="J20" i="266"/>
  <c r="D26" i="266"/>
  <c r="Y67" i="285"/>
  <c r="Z56" i="285"/>
  <c r="T50" i="295"/>
  <c r="I50" i="12"/>
  <c r="P23" i="4" s="1"/>
  <c r="P22" i="292"/>
  <c r="V34" i="285"/>
  <c r="K37" i="133" l="1"/>
  <c r="B37" i="133" s="1"/>
  <c r="G37" i="133" s="1"/>
  <c r="B3" i="57" s="1"/>
  <c r="J38" i="133"/>
  <c r="Y73" i="285"/>
  <c r="Y74" i="285" s="1"/>
  <c r="Y24" i="285" s="1"/>
  <c r="M9" i="4"/>
  <c r="D21" i="248" s="1"/>
  <c r="C19" i="156"/>
  <c r="F17" i="4"/>
  <c r="C20" i="156" s="1"/>
  <c r="G20" i="156" s="1"/>
  <c r="U50" i="12"/>
  <c r="W50" i="12" s="1"/>
  <c r="V50" i="12"/>
  <c r="X74" i="285"/>
  <c r="X24" i="285" s="1"/>
  <c r="X32" i="285" s="1"/>
  <c r="X34" i="285" s="1"/>
  <c r="V36" i="285"/>
  <c r="I92" i="52"/>
  <c r="V50" i="295"/>
  <c r="U50" i="295"/>
  <c r="W50" i="295" s="1"/>
  <c r="Z67" i="285"/>
  <c r="AA56" i="285"/>
  <c r="J26" i="266"/>
  <c r="D28" i="266"/>
  <c r="J85" i="52"/>
  <c r="M85" i="52" s="1"/>
  <c r="J87" i="52"/>
  <c r="M87" i="52" s="1"/>
  <c r="J89" i="52"/>
  <c r="M89" i="52" s="1"/>
  <c r="J86" i="52"/>
  <c r="M86" i="52" s="1"/>
  <c r="J88" i="52"/>
  <c r="M88" i="52" s="1"/>
  <c r="J90" i="52"/>
  <c r="M90" i="52" s="1"/>
  <c r="W32" i="285"/>
  <c r="H92" i="52"/>
  <c r="J39" i="133" l="1"/>
  <c r="K38" i="133"/>
  <c r="B38" i="133" s="1"/>
  <c r="G38" i="133" s="1"/>
  <c r="B3" i="59" s="1"/>
  <c r="X50" i="295"/>
  <c r="Y50" i="295" s="1"/>
  <c r="AB42" i="295" s="1"/>
  <c r="AB45" i="295" s="1"/>
  <c r="AB47" i="295" s="1"/>
  <c r="M92" i="52"/>
  <c r="O92" i="52" s="1"/>
  <c r="D8" i="248" s="1"/>
  <c r="D9" i="66"/>
  <c r="D12" i="66"/>
  <c r="H12" i="66" s="1"/>
  <c r="L12" i="66" s="1"/>
  <c r="D10" i="66"/>
  <c r="H10" i="66" s="1"/>
  <c r="P5" i="66" s="1"/>
  <c r="P6" i="66" s="1"/>
  <c r="Q6" i="66" s="1"/>
  <c r="D12" i="248" s="1"/>
  <c r="D11" i="66"/>
  <c r="H11" i="66" s="1"/>
  <c r="Y32" i="285"/>
  <c r="Y34" i="285" s="1"/>
  <c r="X50" i="12"/>
  <c r="Y50" i="12" s="1"/>
  <c r="AB42" i="12" s="1"/>
  <c r="AB45" i="12" s="1"/>
  <c r="AB47" i="12" s="1"/>
  <c r="D18" i="248" s="1"/>
  <c r="W34" i="285"/>
  <c r="W36" i="285" s="1"/>
  <c r="X36" i="285" s="1"/>
  <c r="Y36" i="285" s="1"/>
  <c r="Z36" i="285" s="1"/>
  <c r="J92" i="52"/>
  <c r="Z73" i="285"/>
  <c r="Z74" i="285"/>
  <c r="Z24" i="285" s="1"/>
  <c r="Z32" i="285" s="1"/>
  <c r="Z34" i="285" s="1"/>
  <c r="J28" i="266"/>
  <c r="D43" i="266"/>
  <c r="D34" i="266"/>
  <c r="AA67" i="285"/>
  <c r="AB56" i="285"/>
  <c r="F19" i="156"/>
  <c r="G19" i="156"/>
  <c r="J42" i="133" l="1"/>
  <c r="K39" i="133"/>
  <c r="B39" i="133" s="1"/>
  <c r="G39" i="133" s="1"/>
  <c r="J43" i="266"/>
  <c r="D47" i="266"/>
  <c r="F9" i="292"/>
  <c r="F12" i="292" s="1"/>
  <c r="M11" i="292" s="1"/>
  <c r="F10" i="4"/>
  <c r="F21" i="4"/>
  <c r="J21" i="4" s="1"/>
  <c r="AB67" i="285"/>
  <c r="AC56" i="285"/>
  <c r="J34" i="266"/>
  <c r="D38" i="266"/>
  <c r="J38" i="266" s="1"/>
  <c r="H9" i="66"/>
  <c r="D14" i="66"/>
  <c r="D20" i="66" s="1"/>
  <c r="D10" i="248" s="1"/>
  <c r="I9" i="1" s="1"/>
  <c r="AA73" i="285"/>
  <c r="AA74" i="285" s="1"/>
  <c r="AA24" i="285" s="1"/>
  <c r="J43" i="133" l="1"/>
  <c r="K42" i="133"/>
  <c r="B42" i="133" s="1"/>
  <c r="G42" i="133" s="1"/>
  <c r="B3" i="63" s="1"/>
  <c r="AA32" i="285"/>
  <c r="AB73" i="285"/>
  <c r="AB74" i="285" s="1"/>
  <c r="AB24" i="285" s="1"/>
  <c r="AB32" i="285" s="1"/>
  <c r="AB34" i="285" s="1"/>
  <c r="AC67" i="285"/>
  <c r="AD56" i="285"/>
  <c r="K43" i="133" l="1"/>
  <c r="B43" i="133" s="1"/>
  <c r="G43" i="133" s="1"/>
  <c r="B3" i="64" s="1"/>
  <c r="J46" i="133"/>
  <c r="AC73" i="285"/>
  <c r="AC74" i="285" s="1"/>
  <c r="AC24" i="285" s="1"/>
  <c r="AC32" i="285" s="1"/>
  <c r="AC34" i="285" s="1"/>
  <c r="AD67" i="285"/>
  <c r="AE56" i="285"/>
  <c r="AA34" i="285"/>
  <c r="K46" i="133" l="1"/>
  <c r="B46" i="133" s="1"/>
  <c r="G46" i="133" s="1"/>
  <c r="B3" i="290" s="1"/>
  <c r="F9" i="289" s="1"/>
  <c r="J47" i="133"/>
  <c r="F8" i="289"/>
  <c r="F14" i="289"/>
  <c r="F15" i="289"/>
  <c r="AD73" i="285"/>
  <c r="AD74" i="285" s="1"/>
  <c r="AD24" i="285" s="1"/>
  <c r="AD32" i="285" s="1"/>
  <c r="AA36" i="285"/>
  <c r="AB36" i="285" s="1"/>
  <c r="AC36" i="285" s="1"/>
  <c r="AE67" i="285"/>
  <c r="AF56" i="285"/>
  <c r="K47" i="133" l="1"/>
  <c r="B47" i="133" s="1"/>
  <c r="G47" i="133" s="1"/>
  <c r="B3" i="287" s="1"/>
  <c r="F44" i="289" s="1"/>
  <c r="J48" i="133"/>
  <c r="AD34" i="285"/>
  <c r="AF67" i="285"/>
  <c r="AG56" i="285"/>
  <c r="AE73" i="285"/>
  <c r="AE74" i="285" s="1"/>
  <c r="AE24" i="285" s="1"/>
  <c r="AD36" i="285"/>
  <c r="J49" i="133" l="1"/>
  <c r="K48" i="133"/>
  <c r="B48" i="133" s="1"/>
  <c r="G48" i="133" s="1"/>
  <c r="B3" i="288" s="1"/>
  <c r="J17" i="287" s="1"/>
  <c r="J32" i="287" s="1"/>
  <c r="AE32" i="285"/>
  <c r="AE34" i="285" s="1"/>
  <c r="AE36" i="285" s="1"/>
  <c r="AH24" i="285"/>
  <c r="AF73" i="285"/>
  <c r="AF74" i="285" s="1"/>
  <c r="AF24" i="285" s="1"/>
  <c r="AF32" i="285" s="1"/>
  <c r="AF34" i="285" s="1"/>
  <c r="AG67" i="285"/>
  <c r="AH56" i="285"/>
  <c r="AI56" i="285" s="1"/>
  <c r="K49" i="133" l="1"/>
  <c r="B49" i="133" s="1"/>
  <c r="G49" i="133" s="1"/>
  <c r="B3" i="13" s="1"/>
  <c r="J50" i="133"/>
  <c r="AG73" i="285"/>
  <c r="AH73" i="285" s="1"/>
  <c r="AI73" i="285" s="1"/>
  <c r="AH67" i="285"/>
  <c r="AH32" i="285"/>
  <c r="AI32" i="285" s="1"/>
  <c r="AI24" i="285"/>
  <c r="AF36" i="285"/>
  <c r="K50" i="133" l="1"/>
  <c r="B50" i="133" s="1"/>
  <c r="G50" i="133" s="1"/>
  <c r="B3" i="14" s="1"/>
  <c r="J51" i="133"/>
  <c r="AG74" i="285"/>
  <c r="AG24" i="285" s="1"/>
  <c r="AG32" i="285" s="1"/>
  <c r="E20" i="266" s="1"/>
  <c r="AH74" i="285"/>
  <c r="AI74" i="285" s="1"/>
  <c r="AI67" i="285"/>
  <c r="AG34" i="285" l="1"/>
  <c r="AH34" i="285" s="1"/>
  <c r="AI34" i="285" s="1"/>
  <c r="J52" i="133"/>
  <c r="K51" i="133"/>
  <c r="B51" i="133" s="1"/>
  <c r="G51" i="133" s="1"/>
  <c r="J30" i="39"/>
  <c r="J15" i="287"/>
  <c r="K20" i="266"/>
  <c r="E26" i="266"/>
  <c r="AG36" i="285"/>
  <c r="K52" i="133" l="1"/>
  <c r="B52" i="133" s="1"/>
  <c r="G52" i="133" s="1"/>
  <c r="J53" i="133"/>
  <c r="J55" i="287"/>
  <c r="J31" i="287"/>
  <c r="K26" i="266"/>
  <c r="E28" i="266"/>
  <c r="K53" i="133" l="1"/>
  <c r="B53" i="133" s="1"/>
  <c r="G53" i="133" s="1"/>
  <c r="J54" i="133"/>
  <c r="E34" i="266"/>
  <c r="K28" i="266"/>
  <c r="E43" i="266"/>
  <c r="J55" i="133" l="1"/>
  <c r="K54" i="133"/>
  <c r="B54" i="133" s="1"/>
  <c r="G54" i="133" s="1"/>
  <c r="K43" i="266"/>
  <c r="E47" i="266"/>
  <c r="E38" i="266"/>
  <c r="K38" i="266" s="1"/>
  <c r="K34" i="266"/>
  <c r="J56" i="133" l="1"/>
  <c r="K55" i="133"/>
  <c r="B55" i="133" s="1"/>
  <c r="G55" i="133" s="1"/>
  <c r="K56" i="133" l="1"/>
  <c r="B56" i="133" s="1"/>
  <c r="G56" i="133" s="1"/>
  <c r="J57" i="133"/>
  <c r="K57" i="133" s="1"/>
  <c r="B57" i="133" s="1"/>
  <c r="G57" i="13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Knowcraft Common</author>
  </authors>
  <commentList>
    <comment ref="C8" authorId="0" shapeId="0" xr:uid="{00000000-0006-0000-0100-000001000000}">
      <text>
        <r>
          <rPr>
            <b/>
            <sz val="9"/>
            <color indexed="81"/>
            <rFont val="Tahoma"/>
            <family val="2"/>
          </rPr>
          <t>Knowcraft Common:</t>
        </r>
        <r>
          <rPr>
            <sz val="9"/>
            <color indexed="81"/>
            <rFont val="Tahoma"/>
            <family val="2"/>
          </rPr>
          <t xml:space="preserve">
Please add reference to ASC 718 in case of FV.</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Ruchit Shah</author>
  </authors>
  <commentList>
    <comment ref="J20" authorId="0" shapeId="0" xr:uid="{00000000-0006-0000-0700-000001000000}">
      <text>
        <r>
          <rPr>
            <b/>
            <sz val="9"/>
            <color indexed="81"/>
            <rFont val="Tahoma"/>
            <family val="2"/>
          </rPr>
          <t>Ruchit Shah:</t>
        </r>
        <r>
          <rPr>
            <sz val="9"/>
            <color indexed="81"/>
            <rFont val="Tahoma"/>
            <family val="2"/>
          </rPr>
          <t xml:space="preserve">
Linked to Workpapers Sheet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Nishma Shah</author>
  </authors>
  <commentList>
    <comment ref="B58" authorId="0" shapeId="0" xr:uid="{00000000-0006-0000-0800-000001000000}">
      <text>
        <r>
          <rPr>
            <b/>
            <sz val="9"/>
            <color indexed="81"/>
            <rFont val="Tahoma"/>
            <family val="2"/>
          </rPr>
          <t xml:space="preserve">No Workpapers to be shown in outline and not to be attached with the package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Knowcraft Common</author>
  </authors>
  <commentList>
    <comment ref="B13" authorId="0" shapeId="0" xr:uid="{00000000-0006-0000-1400-000001000000}">
      <text>
        <r>
          <rPr>
            <b/>
            <sz val="9"/>
            <color indexed="81"/>
            <rFont val="Tahoma"/>
            <family val="2"/>
          </rPr>
          <t>Knowcraft Common:</t>
        </r>
        <r>
          <rPr>
            <sz val="9"/>
            <color indexed="81"/>
            <rFont val="Tahoma"/>
            <family val="2"/>
          </rPr>
          <t xml:space="preserve">
Group/remove if no warrants for any Class. Else, show as 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Priyadarshini Pant</author>
    <author>Knowcraft Common</author>
  </authors>
  <commentList>
    <comment ref="D10" authorId="0" shapeId="0" xr:uid="{00000000-0006-0000-1500-000001000000}">
      <text>
        <r>
          <rPr>
            <b/>
            <sz val="9"/>
            <color indexed="81"/>
            <rFont val="Tahoma"/>
            <family val="2"/>
          </rPr>
          <t>Priyadarshini Pant:</t>
        </r>
        <r>
          <rPr>
            <sz val="9"/>
            <color indexed="81"/>
            <rFont val="Tahoma"/>
            <family val="2"/>
          </rPr>
          <t xml:space="preserve">
I think some shares were raised after prev VD. Please check and footnote accordingly.</t>
        </r>
      </text>
    </comment>
    <comment ref="B27" authorId="1" shapeId="0" xr:uid="{00000000-0006-0000-1500-000002000000}">
      <text>
        <r>
          <rPr>
            <b/>
            <sz val="9"/>
            <color indexed="81"/>
            <rFont val="Tahoma"/>
            <family val="2"/>
          </rPr>
          <t>Knowcraft Common:</t>
        </r>
        <r>
          <rPr>
            <sz val="9"/>
            <color indexed="81"/>
            <rFont val="Tahoma"/>
            <family val="2"/>
          </rPr>
          <t xml:space="preserve">
Delete if non-cumulative.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I9" authorId="0" shapeId="0" xr:uid="{00000000-0006-0000-1B00-000001000000}">
      <text>
        <r>
          <rPr>
            <b/>
            <sz val="9"/>
            <color indexed="81"/>
            <rFont val="Tahoma"/>
            <family val="2"/>
          </rPr>
          <t>Windows User:</t>
        </r>
        <r>
          <rPr>
            <sz val="9"/>
            <color indexed="81"/>
            <rFont val="Tahoma"/>
            <family val="2"/>
          </rPr>
          <t xml:space="preserve">
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Harpreet Singh</author>
  </authors>
  <commentList>
    <comment ref="M32" authorId="0" shapeId="0" xr:uid="{00000000-0006-0000-1F00-000001000000}">
      <text>
        <r>
          <rPr>
            <sz val="9"/>
            <color indexed="81"/>
            <rFont val="Tahoma"/>
            <family val="2"/>
          </rPr>
          <t>Check formulae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I9" authorId="0" shapeId="0" xr:uid="{00000000-0006-0000-2400-000001000000}">
      <text>
        <r>
          <rPr>
            <b/>
            <sz val="9"/>
            <color indexed="81"/>
            <rFont val="Tahoma"/>
            <family val="2"/>
          </rPr>
          <t>Windows User:</t>
        </r>
        <r>
          <rPr>
            <sz val="9"/>
            <color indexed="81"/>
            <rFont val="Tahoma"/>
            <family val="2"/>
          </rPr>
          <t xml:space="preserve">
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KC</author>
  </authors>
  <commentList>
    <comment ref="AF7" authorId="0" shapeId="0" xr:uid="{00000000-0006-0000-3900-000001000000}">
      <text>
        <r>
          <rPr>
            <b/>
            <sz val="9"/>
            <color indexed="81"/>
            <rFont val="Tahoma"/>
            <family val="2"/>
          </rPr>
          <t>KC:</t>
        </r>
        <r>
          <rPr>
            <sz val="9"/>
            <color indexed="81"/>
            <rFont val="Tahoma"/>
            <family val="2"/>
          </rPr>
          <t xml:space="preserve">
Add Phase of lead drug</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Harpreet Singh</author>
  </authors>
  <commentList>
    <comment ref="T13" authorId="0" shapeId="0" xr:uid="{00000000-0006-0000-3A00-000001000000}">
      <text>
        <r>
          <rPr>
            <b/>
            <sz val="9"/>
            <color indexed="81"/>
            <rFont val="Tahoma"/>
            <family val="2"/>
          </rPr>
          <t xml:space="preserve">Estimates
</t>
        </r>
      </text>
    </comment>
    <comment ref="U13" authorId="0" shapeId="0" xr:uid="{00000000-0006-0000-3A00-000002000000}">
      <text>
        <r>
          <rPr>
            <b/>
            <sz val="9"/>
            <color indexed="81"/>
            <rFont val="Tahoma"/>
            <family val="2"/>
          </rPr>
          <t xml:space="preserve">Estimates
</t>
        </r>
      </text>
    </comment>
    <comment ref="AC13" authorId="0" shapeId="0" xr:uid="{00000000-0006-0000-3A00-000003000000}">
      <text>
        <r>
          <rPr>
            <b/>
            <sz val="9"/>
            <color indexed="81"/>
            <rFont val="Tahoma"/>
            <family val="2"/>
          </rPr>
          <t xml:space="preserve">Estimates
</t>
        </r>
      </text>
    </comment>
    <comment ref="AD13" authorId="0" shapeId="0" xr:uid="{00000000-0006-0000-3A00-000004000000}">
      <text>
        <r>
          <rPr>
            <b/>
            <sz val="9"/>
            <color indexed="81"/>
            <rFont val="Tahoma"/>
            <family val="2"/>
          </rPr>
          <t xml:space="preserve">Estimates
</t>
        </r>
      </text>
    </comment>
    <comment ref="AE13" authorId="0" shapeId="0" xr:uid="{00000000-0006-0000-3A00-000005000000}">
      <text>
        <r>
          <rPr>
            <b/>
            <sz val="9"/>
            <color indexed="81"/>
            <rFont val="Tahoma"/>
            <family val="2"/>
          </rPr>
          <t xml:space="preserve">Estimates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Dhara Shah</author>
    <author>Windows User</author>
  </authors>
  <commentList>
    <comment ref="AA8" authorId="0" shapeId="0" xr:uid="{00000000-0006-0000-3D00-000001000000}">
      <text>
        <r>
          <rPr>
            <b/>
            <sz val="9"/>
            <color indexed="81"/>
            <rFont val="Tahoma"/>
            <family val="2"/>
          </rPr>
          <t>Dhara Shah:</t>
        </r>
        <r>
          <rPr>
            <sz val="9"/>
            <color indexed="81"/>
            <rFont val="Tahoma"/>
            <family val="2"/>
          </rPr>
          <t xml:space="preserve">
Do not delete. This is an array formula, so please adjust (Ctrl+Shift+Enter) if range changes</t>
        </r>
      </text>
    </comment>
    <comment ref="E58" authorId="1" shapeId="0" xr:uid="{00000000-0006-0000-3D00-000002000000}">
      <text>
        <r>
          <rPr>
            <b/>
            <sz val="9"/>
            <color indexed="81"/>
            <rFont val="Tahoma"/>
            <family val="2"/>
          </rPr>
          <t>Windows User:</t>
        </r>
        <r>
          <rPr>
            <sz val="9"/>
            <color indexed="81"/>
            <rFont val="Tahoma"/>
            <family val="2"/>
          </rPr>
          <t xml:space="preserve">
MSCI emerging markets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KC</author>
  </authors>
  <commentList>
    <comment ref="B137" authorId="0" shapeId="0" xr:uid="{00000000-0006-0000-3E00-000001000000}">
      <text>
        <r>
          <rPr>
            <b/>
            <sz val="9"/>
            <color indexed="81"/>
            <rFont val="Tahoma"/>
            <family val="2"/>
          </rPr>
          <t>KC:</t>
        </r>
        <r>
          <rPr>
            <sz val="9"/>
            <color indexed="81"/>
            <rFont val="Tahoma"/>
            <family val="2"/>
          </rPr>
          <t xml:space="preserve">
Company has become Private as of 02/28/17 (Closed Date)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KC</author>
  </authors>
  <commentList>
    <comment ref="B137" authorId="0" shapeId="0" xr:uid="{00000000-0006-0000-4000-000001000000}">
      <text>
        <r>
          <rPr>
            <b/>
            <sz val="9"/>
            <color indexed="81"/>
            <rFont val="Tahoma"/>
            <family val="2"/>
          </rPr>
          <t>KC:</t>
        </r>
        <r>
          <rPr>
            <sz val="9"/>
            <color indexed="81"/>
            <rFont val="Tahoma"/>
            <family val="2"/>
          </rPr>
          <t xml:space="preserve">
Company has become Private as of 02/28/17 (Closed Date)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Priyadarshini Pant</author>
  </authors>
  <commentList>
    <comment ref="B42" authorId="0" shapeId="0" xr:uid="{00000000-0006-0000-4300-000001000000}">
      <text>
        <r>
          <rPr>
            <b/>
            <sz val="9"/>
            <color indexed="81"/>
            <rFont val="Tahoma"/>
            <family val="2"/>
          </rPr>
          <t>Priyadarshini Pant:</t>
        </r>
        <r>
          <rPr>
            <sz val="9"/>
            <color indexed="81"/>
            <rFont val="Tahoma"/>
            <family val="2"/>
          </rPr>
          <t xml:space="preserve">
Make sure to update this whenever WACC CAPM is used.</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Knowcraft Common</author>
  </authors>
  <commentList>
    <comment ref="B15" authorId="0" shapeId="0" xr:uid="{00000000-0006-0000-4600-000001000000}">
      <text>
        <r>
          <rPr>
            <b/>
            <sz val="9"/>
            <color indexed="81"/>
            <rFont val="Tahoma"/>
            <family val="2"/>
          </rPr>
          <t>Knowcraft Common:</t>
        </r>
        <r>
          <rPr>
            <sz val="9"/>
            <color indexed="81"/>
            <rFont val="Tahoma"/>
            <family val="2"/>
          </rPr>
          <t xml:space="preserve">
Group if PWERM WACC or CAPM WACC is used</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Priyadarshini Pant</author>
    <author>Knowcraft Common</author>
    <author>Harsh Mansatta</author>
  </authors>
  <commentList>
    <comment ref="B4" authorId="0" shapeId="0" xr:uid="{00000000-0006-0000-4700-000001000000}">
      <text>
        <r>
          <rPr>
            <b/>
            <sz val="9"/>
            <color indexed="81"/>
            <rFont val="Tahoma"/>
            <family val="2"/>
          </rPr>
          <t>Priyadarshini Pant:</t>
        </r>
        <r>
          <rPr>
            <sz val="9"/>
            <color indexed="81"/>
            <rFont val="Tahoma"/>
            <family val="2"/>
          </rPr>
          <t xml:space="preserve">
Update this sheet, and the Exhibit name based on the project.</t>
        </r>
      </text>
    </comment>
    <comment ref="F6" authorId="1" shapeId="0" xr:uid="{00000000-0006-0000-4700-000002000000}">
      <text>
        <r>
          <rPr>
            <b/>
            <sz val="9"/>
            <color indexed="81"/>
            <rFont val="Tahoma"/>
            <family val="2"/>
          </rPr>
          <t>Knowcraft Common:</t>
        </r>
        <r>
          <rPr>
            <sz val="9"/>
            <color indexed="81"/>
            <rFont val="Tahoma"/>
            <family val="2"/>
          </rPr>
          <t xml:space="preserve">
</t>
        </r>
      </text>
    </comment>
    <comment ref="J6" authorId="1" shapeId="0" xr:uid="{00000000-0006-0000-4700-000003000000}">
      <text>
        <r>
          <rPr>
            <b/>
            <sz val="9"/>
            <color indexed="81"/>
            <rFont val="Tahoma"/>
            <family val="2"/>
          </rPr>
          <t>Knowcraft Common:</t>
        </r>
        <r>
          <rPr>
            <sz val="9"/>
            <color indexed="81"/>
            <rFont val="Tahoma"/>
            <family val="2"/>
          </rPr>
          <t xml:space="preserve">
</t>
        </r>
      </text>
    </comment>
    <comment ref="G117" authorId="2" shapeId="0" xr:uid="{00000000-0006-0000-4700-000004000000}">
      <text>
        <r>
          <rPr>
            <b/>
            <sz val="9"/>
            <color indexed="81"/>
            <rFont val="Tahoma"/>
            <family val="2"/>
          </rPr>
          <t>Harsh Mansatta:</t>
        </r>
        <r>
          <rPr>
            <sz val="9"/>
            <color indexed="81"/>
            <rFont val="Tahoma"/>
            <family val="2"/>
          </rPr>
          <t xml:space="preserve">
Marketed in Japan
http://www.servier.com/content/taiho-pharmaceutical-co-ltd-and-servier-enter-license-agreement-development-and</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KC</author>
  </authors>
  <commentList>
    <comment ref="AI9" authorId="0" shapeId="0" xr:uid="{00000000-0006-0000-4800-000001000000}">
      <text>
        <r>
          <rPr>
            <b/>
            <sz val="9"/>
            <color indexed="81"/>
            <rFont val="Tahoma"/>
            <family val="2"/>
          </rPr>
          <t>=CIQ($C13, "IQ_TOTAL_REV", IQ_LTM, $E$13, $AH$2, $AH$1, $AH$3, $AH$4)*1000</t>
        </r>
      </text>
    </comment>
    <comment ref="AJ9" authorId="0" shapeId="0" xr:uid="{00000000-0006-0000-4800-000002000000}">
      <text>
        <r>
          <rPr>
            <b/>
            <sz val="9"/>
            <color indexed="81"/>
            <rFont val="Tahoma"/>
            <family val="2"/>
          </rPr>
          <t>=CIQ($C13, "IQ_EBITDA", IQ_LTM, $E$13, $AH$2, $AH$1, $AH$3, $AH$4)*1000</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KC</author>
  </authors>
  <commentList>
    <comment ref="X8" authorId="0" shapeId="0" xr:uid="{00000000-0006-0000-4900-000001000000}">
      <text>
        <r>
          <rPr>
            <b/>
            <sz val="9"/>
            <color indexed="81"/>
            <rFont val="Tahoma"/>
            <family val="2"/>
          </rPr>
          <t>=CIQ(C11, "IQ_CASH_EQUIV", , F11, , , "USD")*1000</t>
        </r>
      </text>
    </comment>
    <comment ref="AA8" authorId="0" shapeId="0" xr:uid="{00000000-0006-0000-4900-000002000000}">
      <text>
        <r>
          <rPr>
            <b/>
            <sz val="9"/>
            <color indexed="81"/>
            <rFont val="Tahoma"/>
            <family val="2"/>
          </rPr>
          <t>=CIQ($C11, "IQ_TOTAL_REV", IQ_LTM, $F11, $X$2, $X$1, $X$3, $X$4)*1000</t>
        </r>
      </text>
    </comment>
    <comment ref="AB8" authorId="0" shapeId="0" xr:uid="{00000000-0006-0000-4900-000003000000}">
      <text>
        <r>
          <rPr>
            <b/>
            <sz val="9"/>
            <color indexed="81"/>
            <rFont val="Tahoma"/>
            <family val="2"/>
          </rPr>
          <t>=CIQ($C12, "IQ_EBITDA", IQ_LTM, $F12, $X$2, $X$1, $X$3, $X$4)*1000</t>
        </r>
      </text>
    </comment>
    <comment ref="Y9" authorId="0" shapeId="0" xr:uid="{00000000-0006-0000-4900-000004000000}">
      <text>
        <r>
          <rPr>
            <b/>
            <sz val="9"/>
            <color indexed="81"/>
            <rFont val="Tahoma"/>
            <family val="2"/>
          </rPr>
          <t>=CIQ(C11, "IQ_TOTAL_DEBT", , F11, , , "USD")*1000</t>
        </r>
      </text>
    </comment>
  </commentList>
</comments>
</file>

<file path=xl/sharedStrings.xml><?xml version="1.0" encoding="utf-8"?>
<sst xmlns="http://schemas.openxmlformats.org/spreadsheetml/2006/main" count="9054" uniqueCount="2961">
  <si>
    <t>(in thousands of USD)</t>
  </si>
  <si>
    <t>Discount for Lack of Voting Rights</t>
  </si>
  <si>
    <t>Studies</t>
  </si>
  <si>
    <t>Pub. Date</t>
  </si>
  <si>
    <t>Time Period</t>
  </si>
  <si>
    <t>Companies</t>
  </si>
  <si>
    <t>Indicated Discount*</t>
  </si>
  <si>
    <t>Masulis, Wang, Xie</t>
  </si>
  <si>
    <t>1995-2003</t>
  </si>
  <si>
    <t>Houlihan, Lokey, Howard &amp; Zukin</t>
  </si>
  <si>
    <t>Cox &amp; Roden</t>
  </si>
  <si>
    <t>1984-1999</t>
  </si>
  <si>
    <t>Ettelson Study</t>
  </si>
  <si>
    <t>n/a</t>
  </si>
  <si>
    <t>1993-1998</t>
  </si>
  <si>
    <t>Smith/Amoako-Adu Study</t>
  </si>
  <si>
    <t>1988-1992</t>
  </si>
  <si>
    <t>Zingales</t>
  </si>
  <si>
    <t>1984-1990</t>
  </si>
  <si>
    <t>O'Shea &amp; Siwicki</t>
  </si>
  <si>
    <t>1988-1990</t>
  </si>
  <si>
    <t>SEC Study</t>
  </si>
  <si>
    <t>2.0%-8.0%</t>
  </si>
  <si>
    <t>Lease, McConnell &amp; Mickkelson</t>
  </si>
  <si>
    <t>1940-1978</t>
  </si>
  <si>
    <t>Mean (Excl. SEC Study)</t>
  </si>
  <si>
    <t>Median (Excl. SEC Study)</t>
  </si>
  <si>
    <t>Mean (Excl. SEC Study + Cox &amp; Roden)</t>
  </si>
  <si>
    <t>Median (Excl. SEC Study + Cox &amp; Roden)</t>
  </si>
  <si>
    <t>Court Cases</t>
  </si>
  <si>
    <t>Discount Allowed*</t>
  </si>
  <si>
    <t>Estate of Simplot v. Commissioner</t>
  </si>
  <si>
    <t>Barnes v. Commissioner</t>
  </si>
  <si>
    <t>Kosman v. Commissioner</t>
  </si>
  <si>
    <t>Estate of Newhouse v. Commissioner</t>
  </si>
  <si>
    <t>Estate of Joyce C. Hall v. Commissioner</t>
  </si>
  <si>
    <t>Estate of Clara S. Roeder Winkler v. Commissioner</t>
  </si>
  <si>
    <t>The Northern Trust Company v. Commissioner</t>
  </si>
  <si>
    <t>Ahmanson Foundation v. United States</t>
  </si>
  <si>
    <t>Wallace v. United States</t>
  </si>
  <si>
    <t>Estate of Alvin Thalheimer v. Commissioner (1977)</t>
  </si>
  <si>
    <t>Estate of Alvin Thalheimer v. Commissioner (1974)</t>
  </si>
  <si>
    <t>Jacod S. Kamborian v. Commissioner</t>
  </si>
  <si>
    <t>Mean</t>
  </si>
  <si>
    <t>Median</t>
  </si>
  <si>
    <t>Source: Stout Risius Ross: Price Differentials Between Voting and Nonvoting Stock</t>
  </si>
  <si>
    <t xml:space="preserve">*To the extent the outcome of the study was an indicated premium, the premium was converted to </t>
  </si>
  <si>
    <t>an implied discount (premium / (1+premium)).</t>
  </si>
  <si>
    <t>Price Differentials Between Voting &amp; Nonvoting Stock</t>
  </si>
  <si>
    <t>Study</t>
  </si>
  <si>
    <t>Discount</t>
  </si>
  <si>
    <t>Pre-1990</t>
  </si>
  <si>
    <t>Post-1990</t>
  </si>
  <si>
    <t>SEC overall average</t>
  </si>
  <si>
    <t>FMV Opinions, Inc.</t>
  </si>
  <si>
    <t>Gelman</t>
  </si>
  <si>
    <t>Management Planning, Inc.</t>
  </si>
  <si>
    <t>Trout</t>
  </si>
  <si>
    <t>Bajaj, et al.</t>
  </si>
  <si>
    <t>Moroney</t>
  </si>
  <si>
    <t>Johnson</t>
  </si>
  <si>
    <t>Maher</t>
  </si>
  <si>
    <t>Columbia Financial Advisors</t>
  </si>
  <si>
    <t>Standard Research Consultants</t>
  </si>
  <si>
    <t>Silber</t>
  </si>
  <si>
    <t>Willamette Management Associates</t>
  </si>
  <si>
    <t>Pre-1990 mean discount</t>
  </si>
  <si>
    <t>Post-1990 mean discount</t>
  </si>
  <si>
    <t>Summary Of Restricted Stock Studies</t>
  </si>
  <si>
    <t>Beta</t>
  </si>
  <si>
    <t>Reference</t>
  </si>
  <si>
    <t>Duration (Years)</t>
  </si>
  <si>
    <t>Risk-Free Rate</t>
  </si>
  <si>
    <t>Dividend Yield</t>
  </si>
  <si>
    <t>Volatility</t>
  </si>
  <si>
    <t>(sigma^2)*T</t>
  </si>
  <si>
    <t>v</t>
  </si>
  <si>
    <t>A</t>
  </si>
  <si>
    <t>B</t>
  </si>
  <si>
    <t>Calculated DLOM</t>
  </si>
  <si>
    <t>Protective Put (European)</t>
  </si>
  <si>
    <t>Starting Price</t>
  </si>
  <si>
    <t>Strike Price</t>
  </si>
  <si>
    <t>Years to Maturity</t>
  </si>
  <si>
    <t>D1</t>
  </si>
  <si>
    <t>D2</t>
  </si>
  <si>
    <t>Footnotes:</t>
  </si>
  <si>
    <t>Val Date</t>
  </si>
  <si>
    <t>(in millions of USD)</t>
  </si>
  <si>
    <t>Conversion</t>
  </si>
  <si>
    <t>H</t>
  </si>
  <si>
    <t>Capitalization</t>
  </si>
  <si>
    <t>Asset Volatility Key Terms</t>
  </si>
  <si>
    <t>Asset Volatility Calculations</t>
  </si>
  <si>
    <t>Market Cap</t>
  </si>
  <si>
    <t>Debt</t>
  </si>
  <si>
    <t>Pref.</t>
  </si>
  <si>
    <t>Min. Int.</t>
  </si>
  <si>
    <t>Total Debt, Pref., MI</t>
  </si>
  <si>
    <t>MVIC</t>
  </si>
  <si>
    <t>Cash &amp; Equiv.</t>
  </si>
  <si>
    <t>Ent. Value</t>
  </si>
  <si>
    <t>Term</t>
  </si>
  <si>
    <t>Equity Vol.</t>
  </si>
  <si>
    <t>Variance</t>
  </si>
  <si>
    <t>N(D1)</t>
  </si>
  <si>
    <t>N(D2)</t>
  </si>
  <si>
    <t>Call Value</t>
  </si>
  <si>
    <t>Ticker</t>
  </si>
  <si>
    <t>EV</t>
  </si>
  <si>
    <t>Check</t>
  </si>
  <si>
    <t>High</t>
  </si>
  <si>
    <t>Low</t>
  </si>
  <si>
    <t xml:space="preserve">Mean </t>
  </si>
  <si>
    <t>1st Quartile</t>
  </si>
  <si>
    <t>3rd Quartile</t>
  </si>
  <si>
    <t>Source: Capital IQ</t>
  </si>
  <si>
    <t>Equity Volatility</t>
  </si>
  <si>
    <t>Years Lookback</t>
  </si>
  <si>
    <t>CIQ Formula</t>
  </si>
  <si>
    <t>IQ_PRICE_VOL_HIST_3MTH</t>
  </si>
  <si>
    <t>IQ_PRICE_VOL_HIST_6MTH</t>
  </si>
  <si>
    <t>IQ_PRICE_VOL_HIST_YR</t>
  </si>
  <si>
    <t>IQ_PRICE_VOL_HIST_2YR</t>
  </si>
  <si>
    <t>IQ_PRICE_VOL_HIST_5YR</t>
  </si>
  <si>
    <t>Risk-Free Rates</t>
  </si>
  <si>
    <t>Term (Years)</t>
  </si>
  <si>
    <t>Description</t>
  </si>
  <si>
    <t>Cap IQ</t>
  </si>
  <si>
    <t>Min</t>
  </si>
  <si>
    <t>Max</t>
  </si>
  <si>
    <t>IQ36183813</t>
  </si>
  <si>
    <t>IQ36183816</t>
  </si>
  <si>
    <t>IQ36183819</t>
  </si>
  <si>
    <t>IQ36183822</t>
  </si>
  <si>
    <t>IQ36183825</t>
  </si>
  <si>
    <t>IQ36183828</t>
  </si>
  <si>
    <t>IQ36183831</t>
  </si>
  <si>
    <t>IQ36183834</t>
  </si>
  <si>
    <t>IQ36183837</t>
  </si>
  <si>
    <t>IQ36183840</t>
  </si>
  <si>
    <t>IQ36183843</t>
  </si>
  <si>
    <t>Term Same As Risk-Free Rate Duration</t>
  </si>
  <si>
    <t>Interpolated Risk-Free Rate</t>
  </si>
  <si>
    <t>(in thousands of USD, except price per share)</t>
  </si>
  <si>
    <t>Valuation Summary</t>
  </si>
  <si>
    <t>Enterprise Value</t>
  </si>
  <si>
    <t>Equity Value</t>
  </si>
  <si>
    <t>Allocation of Value</t>
  </si>
  <si>
    <t>Common Stock</t>
  </si>
  <si>
    <t>Approach</t>
  </si>
  <si>
    <t>Option Pricing Method</t>
  </si>
  <si>
    <t>PWERM</t>
  </si>
  <si>
    <t>Primary</t>
  </si>
  <si>
    <t xml:space="preserve">Concluded Price Per Share (Non-Marketable, Minority) </t>
  </si>
  <si>
    <t>Allocation Methodology</t>
  </si>
  <si>
    <t>Historical Income Statement</t>
  </si>
  <si>
    <t>Historical Balance Sheet</t>
  </si>
  <si>
    <t>Revenue</t>
  </si>
  <si>
    <t>Total</t>
  </si>
  <si>
    <t>Gross Profit</t>
  </si>
  <si>
    <t>Operating Expenses</t>
  </si>
  <si>
    <t>General &amp; Administrative</t>
  </si>
  <si>
    <t>Sales &amp; Marketing</t>
  </si>
  <si>
    <t>Research &amp; Development</t>
  </si>
  <si>
    <t>Depreciation &amp; Amortization</t>
  </si>
  <si>
    <t>Other Expenses</t>
  </si>
  <si>
    <t>EBITDA</t>
  </si>
  <si>
    <t>EBIT</t>
  </si>
  <si>
    <t>Time in Period</t>
  </si>
  <si>
    <t>1 Year</t>
  </si>
  <si>
    <t>Cost of Sales (Goods Sold)</t>
  </si>
  <si>
    <t>Operating Income</t>
  </si>
  <si>
    <t>Interest Income/Expense, Net</t>
  </si>
  <si>
    <t>Other Income/Expense, Net</t>
  </si>
  <si>
    <t>Nonrecurring Loss</t>
  </si>
  <si>
    <t>Pre-Tax Income (Loss)</t>
  </si>
  <si>
    <t>Income Taxes</t>
  </si>
  <si>
    <t>Net Income (Loss)</t>
  </si>
  <si>
    <t>Other Items:</t>
  </si>
  <si>
    <t>Capital Expenditures</t>
  </si>
  <si>
    <t>(1) Reflects financial information as of [DATE}, which Management indicated was the latest available as of the Valuation Date.</t>
  </si>
  <si>
    <t>Assets</t>
  </si>
  <si>
    <t>Current Assets</t>
  </si>
  <si>
    <t>Cash &amp; Equivalents</t>
  </si>
  <si>
    <t>Accounts Receivable</t>
  </si>
  <si>
    <t>Inventory</t>
  </si>
  <si>
    <t>Prepaid Expenses</t>
  </si>
  <si>
    <t>Other Current Assets</t>
  </si>
  <si>
    <t>Net Fixed Assets</t>
  </si>
  <si>
    <t>Intangible Assets</t>
  </si>
  <si>
    <t>Other Assets</t>
  </si>
  <si>
    <t>Total Current Assets</t>
  </si>
  <si>
    <t>Total Assets</t>
  </si>
  <si>
    <t>Liabilities &amp; Shareholders' Equity</t>
  </si>
  <si>
    <t>Current Liabilities</t>
  </si>
  <si>
    <t>Accounts Payable</t>
  </si>
  <si>
    <t>Current Maturities</t>
  </si>
  <si>
    <t>Accrued Expenses</t>
  </si>
  <si>
    <t>Other Current Liabilities</t>
  </si>
  <si>
    <t>Total Current Liabilities</t>
  </si>
  <si>
    <t>Long-Term Debt, Net of Current Portion</t>
  </si>
  <si>
    <t>Deferred Liabilities</t>
  </si>
  <si>
    <t>Other Long-Term Liabilities</t>
  </si>
  <si>
    <t>Total Liabilities</t>
  </si>
  <si>
    <t>Goodwill</t>
  </si>
  <si>
    <t>Deferred Financing Cost</t>
  </si>
  <si>
    <t>Short-Term Investments</t>
  </si>
  <si>
    <t>Long-Term Investments</t>
  </si>
  <si>
    <t>Common</t>
  </si>
  <si>
    <t xml:space="preserve">Preferred </t>
  </si>
  <si>
    <t>Additional Paid In Capital</t>
  </si>
  <si>
    <t>Retained Earnings</t>
  </si>
  <si>
    <t>Treasury Stock</t>
  </si>
  <si>
    <t>Shareholders' Equity</t>
  </si>
  <si>
    <t>Total Liabilities &amp; Shareholders' Equity</t>
  </si>
  <si>
    <t>Total Shareholders' Equity</t>
  </si>
  <si>
    <t>CHECK</t>
  </si>
  <si>
    <t>Summary</t>
  </si>
  <si>
    <t>Excess Cash</t>
  </si>
  <si>
    <t>Less: Required Cash</t>
  </si>
  <si>
    <t>Total Cash &amp; Cash Equivalents</t>
  </si>
  <si>
    <t>Total Debt</t>
  </si>
  <si>
    <t>(2)</t>
  </si>
  <si>
    <t>(1)</t>
  </si>
  <si>
    <t>50% to 70%</t>
  </si>
  <si>
    <t>50% to 100%</t>
  </si>
  <si>
    <t>40% to 60%</t>
  </si>
  <si>
    <t>35% to 50%</t>
  </si>
  <si>
    <t>30% to 50%</t>
  </si>
  <si>
    <t>30% to 40%</t>
  </si>
  <si>
    <t>25% to 35%</t>
  </si>
  <si>
    <t>20% to 35%</t>
  </si>
  <si>
    <t>20% to 30%</t>
  </si>
  <si>
    <t xml:space="preserve">Stage of Development </t>
  </si>
  <si>
    <t>Start Up (5)</t>
  </si>
  <si>
    <t>Early Development (6)</t>
  </si>
  <si>
    <t>Expansion (7)</t>
  </si>
  <si>
    <t>Bridge/IPO (8)</t>
  </si>
  <si>
    <t>Equity</t>
  </si>
  <si>
    <t>Cost of Capital</t>
  </si>
  <si>
    <t>Weighting</t>
  </si>
  <si>
    <t>Weighted Cost</t>
  </si>
  <si>
    <t>Cost of Debt</t>
  </si>
  <si>
    <t>Capital Structure Components</t>
  </si>
  <si>
    <t>Tax Rate</t>
  </si>
  <si>
    <t>Post-Tax Cost Of Debt</t>
  </si>
  <si>
    <t>Cost of Equity</t>
  </si>
  <si>
    <t>Unlevered Beta</t>
  </si>
  <si>
    <t>Re-Levered Beta</t>
  </si>
  <si>
    <t>Market Risk Premium</t>
  </si>
  <si>
    <t>&lt;A&gt;</t>
  </si>
  <si>
    <t>&lt;B&gt;</t>
  </si>
  <si>
    <t>&lt;A&gt;*&lt;B&gt;</t>
  </si>
  <si>
    <t>Equity Risk Premium</t>
  </si>
  <si>
    <t>Size Premium</t>
  </si>
  <si>
    <t>Unsystematic Risk Premium</t>
  </si>
  <si>
    <t>Calculated Cost of Equity</t>
  </si>
  <si>
    <t>Calculated</t>
  </si>
  <si>
    <t>Applied</t>
  </si>
  <si>
    <t>Moody's BAA Rate</t>
  </si>
  <si>
    <t>LINK UP</t>
  </si>
  <si>
    <t>(3)</t>
  </si>
  <si>
    <t>(4)</t>
  </si>
  <si>
    <t>(5)</t>
  </si>
  <si>
    <t>Index</t>
  </si>
  <si>
    <t>Frequency</t>
  </si>
  <si>
    <t>M</t>
  </si>
  <si>
    <t>W</t>
  </si>
  <si>
    <t>^SPX</t>
  </si>
  <si>
    <t>^FTSE</t>
  </si>
  <si>
    <t>^XTO</t>
  </si>
  <si>
    <t>Beta Lookback (Years)</t>
  </si>
  <si>
    <t>Levered Beta</t>
  </si>
  <si>
    <t>Start Date</t>
  </si>
  <si>
    <t>D/MVIC</t>
  </si>
  <si>
    <t>E/MVIC</t>
  </si>
  <si>
    <t>Beta Calculation</t>
  </si>
  <si>
    <t>Shares</t>
  </si>
  <si>
    <t>Value</t>
  </si>
  <si>
    <t>Weighted Average Cost of Capital - CAPM-Based</t>
  </si>
  <si>
    <t>(6)</t>
  </si>
  <si>
    <t>(7)</t>
  </si>
  <si>
    <t>(8)</t>
  </si>
  <si>
    <t>LTM-1</t>
  </si>
  <si>
    <t>LTM</t>
  </si>
  <si>
    <t>Calendar Year</t>
  </si>
  <si>
    <t>Multiples</t>
  </si>
  <si>
    <t>NCY</t>
  </si>
  <si>
    <t>Gross</t>
  </si>
  <si>
    <t>Net Income</t>
  </si>
  <si>
    <t>Margins</t>
  </si>
  <si>
    <t>IQ_GROSS_MARGIN</t>
  </si>
  <si>
    <t>IQ_EBITDA_MARGIN</t>
  </si>
  <si>
    <t>IQ_EBIT_MARGIN</t>
  </si>
  <si>
    <t>IQ_NI_MARGIN</t>
  </si>
  <si>
    <t>CapIQ Formulas</t>
  </si>
  <si>
    <t>LTM-2</t>
  </si>
  <si>
    <t>Capex as % of Revenue</t>
  </si>
  <si>
    <t>Close Date</t>
  </si>
  <si>
    <t>Target</t>
  </si>
  <si>
    <t>% Sought</t>
  </si>
  <si>
    <t>CIQ ID</t>
  </si>
  <si>
    <t>Stake</t>
  </si>
  <si>
    <t>LTM Multiple</t>
  </si>
  <si>
    <t>LTM Performance</t>
  </si>
  <si>
    <t>NTM Performance</t>
  </si>
  <si>
    <t>NTM Multiple</t>
  </si>
  <si>
    <t>1 Week</t>
  </si>
  <si>
    <t>1 Month</t>
  </si>
  <si>
    <t>Premium</t>
  </si>
  <si>
    <t>Warrants</t>
  </si>
  <si>
    <t xml:space="preserve">Options Outstanding </t>
  </si>
  <si>
    <t>Option Pool Remaining</t>
  </si>
  <si>
    <t>Grand Total</t>
  </si>
  <si>
    <t>Conversion Ratio</t>
  </si>
  <si>
    <t>Common Stock Equivalents (CSEs)</t>
  </si>
  <si>
    <t>Redemption</t>
  </si>
  <si>
    <t xml:space="preserve">Dividend Rate </t>
  </si>
  <si>
    <t>Participating Preferred</t>
  </si>
  <si>
    <t>Anti-Dilution</t>
  </si>
  <si>
    <t>No</t>
  </si>
  <si>
    <t>Wtd. Avg.</t>
  </si>
  <si>
    <t>Date Raised</t>
  </si>
  <si>
    <t>Participation Cap Multiple</t>
  </si>
  <si>
    <t>Accrued Dividend as of Valuation Date</t>
  </si>
  <si>
    <t>DLOM</t>
  </si>
  <si>
    <t>Allocable Value</t>
  </si>
  <si>
    <t>Time to Liquidity (Years)</t>
  </si>
  <si>
    <t>Option Pricing Model Assumptions</t>
  </si>
  <si>
    <t>Breakpoint Calculations</t>
  </si>
  <si>
    <t>Liquidation Preference Seniority</t>
  </si>
  <si>
    <t>Liq. Pref</t>
  </si>
  <si>
    <t>Liquidation Preference</t>
  </si>
  <si>
    <t>Shares Outstanding</t>
  </si>
  <si>
    <t>Strike/Stock Price</t>
  </si>
  <si>
    <t>Less: Exercise Proceeds</t>
  </si>
  <si>
    <t>Calculated Breakpoint</t>
  </si>
  <si>
    <t>Allocation</t>
  </si>
  <si>
    <t>Tranche Calculation</t>
  </si>
  <si>
    <t>Range (Low)</t>
  </si>
  <si>
    <t>Range (High)</t>
  </si>
  <si>
    <t>Black Scholes Call (Low)</t>
  </si>
  <si>
    <t>Black Scholes Call (High)</t>
  </si>
  <si>
    <t>Tranche Value</t>
  </si>
  <si>
    <t>D1 Low</t>
  </si>
  <si>
    <t>D1 High</t>
  </si>
  <si>
    <t>D2 Low</t>
  </si>
  <si>
    <t>D2 High</t>
  </si>
  <si>
    <t>Tranche Allocation</t>
  </si>
  <si>
    <t>Value Conclusion</t>
  </si>
  <si>
    <t>Value/Share</t>
  </si>
  <si>
    <t>Conclusion</t>
  </si>
  <si>
    <t>Option Pricing Method - Implied Value Per Share</t>
  </si>
  <si>
    <t>Valuation Date</t>
  </si>
  <si>
    <t>Exit Multiple</t>
  </si>
  <si>
    <t>Remaining Allocable Value</t>
  </si>
  <si>
    <t>Exercise Proceeds</t>
  </si>
  <si>
    <t>Original Issue Price</t>
  </si>
  <si>
    <t>Template Date</t>
  </si>
  <si>
    <t>Template Inputs</t>
  </si>
  <si>
    <t>Industry - Primary</t>
  </si>
  <si>
    <t>Industry - Niche</t>
  </si>
  <si>
    <t>Project ID</t>
  </si>
  <si>
    <t>Client name</t>
  </si>
  <si>
    <t>Valuation date</t>
  </si>
  <si>
    <t>Engagement lead</t>
  </si>
  <si>
    <t>Engagement analyst</t>
  </si>
  <si>
    <t>Effective tax rate</t>
  </si>
  <si>
    <t>Sr. No.</t>
  </si>
  <si>
    <t>CIQ Ticker</t>
  </si>
  <si>
    <t>Summary Valuation Results</t>
  </si>
  <si>
    <t xml:space="preserve">for </t>
  </si>
  <si>
    <t>Privileged and Confidential</t>
  </si>
  <si>
    <t xml:space="preserve">Forecasting | Modeling | Valuation | Market Assessment
</t>
  </si>
  <si>
    <t>Date Prepared:</t>
  </si>
  <si>
    <t>Scope of valuation</t>
  </si>
  <si>
    <t>Company Name</t>
  </si>
  <si>
    <t>Filing</t>
  </si>
  <si>
    <t>Currency</t>
  </si>
  <si>
    <t>F</t>
  </si>
  <si>
    <t>USD</t>
  </si>
  <si>
    <t>Revenue Analysis</t>
  </si>
  <si>
    <t>EBITDA Analysis</t>
  </si>
  <si>
    <t>Discount Rates</t>
  </si>
  <si>
    <t>Capitalization Summary</t>
  </si>
  <si>
    <t>Asian Put</t>
  </si>
  <si>
    <t>Appendices</t>
  </si>
  <si>
    <t>v2T</t>
  </si>
  <si>
    <t>vT</t>
  </si>
  <si>
    <t>Finnerty</t>
  </si>
  <si>
    <t>Concluded DLOM</t>
  </si>
  <si>
    <t>Type of Client</t>
  </si>
  <si>
    <t>Values</t>
  </si>
  <si>
    <t>Total Trans. Value</t>
  </si>
  <si>
    <t>Price/Book Value</t>
  </si>
  <si>
    <t>Price/Net Income</t>
  </si>
  <si>
    <t>Target Segment</t>
  </si>
  <si>
    <t>Summary of Restricted Stock Studies</t>
  </si>
  <si>
    <t>Interpolation - OPM</t>
  </si>
  <si>
    <t>Interpolation - DLOM</t>
  </si>
  <si>
    <t>DLOM Term (Years)</t>
  </si>
  <si>
    <t>OPM Term (Years)</t>
  </si>
  <si>
    <t>Angel</t>
  </si>
  <si>
    <t>Common A</t>
  </si>
  <si>
    <t>Common B</t>
  </si>
  <si>
    <t>Common Warrants</t>
  </si>
  <si>
    <t xml:space="preserve">Common Options </t>
  </si>
  <si>
    <t>Series 1</t>
  </si>
  <si>
    <t>Series 2</t>
  </si>
  <si>
    <t>Series 3</t>
  </si>
  <si>
    <t>Series 4</t>
  </si>
  <si>
    <t>Series A</t>
  </si>
  <si>
    <t>Series A-1</t>
  </si>
  <si>
    <t>Series A-2</t>
  </si>
  <si>
    <t>Series A-3</t>
  </si>
  <si>
    <t>Series A-4</t>
  </si>
  <si>
    <t>Series A-5</t>
  </si>
  <si>
    <t>Series B</t>
  </si>
  <si>
    <t>Series B-1</t>
  </si>
  <si>
    <t>Series B-2</t>
  </si>
  <si>
    <t>Series B-3</t>
  </si>
  <si>
    <t>Series C</t>
  </si>
  <si>
    <t>Series C-1</t>
  </si>
  <si>
    <t>Series C-2</t>
  </si>
  <si>
    <t>Series C-3</t>
  </si>
  <si>
    <t>Series D</t>
  </si>
  <si>
    <t>Series E</t>
  </si>
  <si>
    <t>Series F</t>
  </si>
  <si>
    <t>Series FF</t>
  </si>
  <si>
    <t>Series G</t>
  </si>
  <si>
    <t>Series D-1</t>
  </si>
  <si>
    <t>Series D-2</t>
  </si>
  <si>
    <t>Series F-1</t>
  </si>
  <si>
    <t>Share Class</t>
  </si>
  <si>
    <t>Estimated</t>
  </si>
  <si>
    <t>Series D-3</t>
  </si>
  <si>
    <t>Series E-1</t>
  </si>
  <si>
    <t>Series E-2</t>
  </si>
  <si>
    <t>Series E-3</t>
  </si>
  <si>
    <t>Series F-2</t>
  </si>
  <si>
    <t>Series F-3</t>
  </si>
  <si>
    <t>Input #1</t>
  </si>
  <si>
    <t>Input #2</t>
  </si>
  <si>
    <t>Input #3</t>
  </si>
  <si>
    <t>Input #4</t>
  </si>
  <si>
    <t>Select Type</t>
  </si>
  <si>
    <t>Expected Options Grant</t>
  </si>
  <si>
    <t>Yes</t>
  </si>
  <si>
    <t>Duration as of Valuation Date</t>
  </si>
  <si>
    <t>Dividend Inclusion</t>
  </si>
  <si>
    <t>Dividend Declaration</t>
  </si>
  <si>
    <t>Cumulative</t>
  </si>
  <si>
    <t>Non-Cumulative</t>
  </si>
  <si>
    <t>Not Declared</t>
  </si>
  <si>
    <t>Simple</t>
  </si>
  <si>
    <t>Compounding</t>
  </si>
  <si>
    <t>Total Investment</t>
  </si>
  <si>
    <t>Duration as of OPM Exit</t>
  </si>
  <si>
    <t>Accrued Dividend at OPM Exit</t>
  </si>
  <si>
    <t>Total Liquidation Preference</t>
  </si>
  <si>
    <t>Liquidation Preference Per Share</t>
  </si>
  <si>
    <t>Options/Warrants</t>
  </si>
  <si>
    <t>Shares Outstanding / Converted to Common Stock</t>
  </si>
  <si>
    <t>Last Financial Year Ending</t>
  </si>
  <si>
    <t>Descending Order Only</t>
  </si>
  <si>
    <t>Price / Earnings Analysis</t>
  </si>
  <si>
    <t>Pending points:</t>
  </si>
  <si>
    <t>Probability of exit</t>
  </si>
  <si>
    <t>POTs</t>
  </si>
  <si>
    <t>Capped participation</t>
  </si>
  <si>
    <t>Formatting</t>
  </si>
  <si>
    <t>Guideline</t>
  </si>
  <si>
    <t>Per share price</t>
  </si>
  <si>
    <t>Currency format
Two decimal precision
If it is $0.00, then change to three decimal precision</t>
  </si>
  <si>
    <t>Discount rate</t>
  </si>
  <si>
    <t>Discount factor</t>
  </si>
  <si>
    <t>Any number or dollar value</t>
  </si>
  <si>
    <t>Blue color font</t>
  </si>
  <si>
    <t>Hardcoded value/number (not applicable for text)</t>
  </si>
  <si>
    <t>Other points</t>
  </si>
  <si>
    <t>Do not use any name managers</t>
  </si>
  <si>
    <t>GCM</t>
  </si>
  <si>
    <t>Add multiple summary sheet</t>
  </si>
  <si>
    <t>Add discounting factor</t>
  </si>
  <si>
    <t>OPM</t>
  </si>
  <si>
    <t>Common breakpoint functionality</t>
  </si>
  <si>
    <t>GTM</t>
  </si>
  <si>
    <t>Per share value for each class</t>
  </si>
  <si>
    <t>Hybrid</t>
  </si>
  <si>
    <t>NEW to add</t>
  </si>
  <si>
    <t>Test volatility</t>
  </si>
  <si>
    <t>&lt;&lt;--- Don’t Change</t>
  </si>
  <si>
    <t>Phase Ib</t>
  </si>
  <si>
    <t>Phase II</t>
  </si>
  <si>
    <t>Scenarios</t>
  </si>
  <si>
    <t>Phase</t>
  </si>
  <si>
    <t>Date</t>
  </si>
  <si>
    <t>IPO - Late</t>
  </si>
  <si>
    <t>Dissolution</t>
  </si>
  <si>
    <t>NA</t>
  </si>
  <si>
    <t>Phase I</t>
  </si>
  <si>
    <t>Phase III</t>
  </si>
  <si>
    <t>Done</t>
  </si>
  <si>
    <t>Price / Net Book Value Analysis</t>
  </si>
  <si>
    <t>Earnings</t>
  </si>
  <si>
    <t>Total Equity</t>
  </si>
  <si>
    <t>added more functionality such that n/a appears after last breakpoint. Need to test on live project</t>
  </si>
  <si>
    <t>Control Premium Summary</t>
  </si>
  <si>
    <t>Mergerstat data</t>
  </si>
  <si>
    <t>Please confirm if this needs to be added</t>
  </si>
  <si>
    <t>Outline</t>
  </si>
  <si>
    <t>Exhibit Number</t>
  </si>
  <si>
    <t>Option Pricing Method - Breakpoints &amp; Allocation</t>
  </si>
  <si>
    <t>Notes &amp; Assumptions</t>
  </si>
  <si>
    <t>Section</t>
  </si>
  <si>
    <t>Importance</t>
  </si>
  <si>
    <t>Questions</t>
  </si>
  <si>
    <t>Response</t>
  </si>
  <si>
    <t>Notes/Assumptions</t>
  </si>
  <si>
    <t>Questions/Clarifications/Open Items</t>
  </si>
  <si>
    <t>Source</t>
  </si>
  <si>
    <t>Status</t>
  </si>
  <si>
    <t>Difference</t>
  </si>
  <si>
    <t>Difference %</t>
  </si>
  <si>
    <t>File Name</t>
  </si>
  <si>
    <t>CompanyABC VD 12.31.14 Draft Exhibits_v1</t>
  </si>
  <si>
    <t>CompanyABC VD 12.31.12 Draft Exhibits_v1</t>
  </si>
  <si>
    <t>Part I</t>
  </si>
  <si>
    <t>DLOM Type</t>
  </si>
  <si>
    <t>Part II</t>
  </si>
  <si>
    <t>OPM Details</t>
  </si>
  <si>
    <t>Asset Volatility</t>
  </si>
  <si>
    <t>Equity Volatility Selection Type</t>
  </si>
  <si>
    <t>PWERM Values</t>
  </si>
  <si>
    <t>PWERM Weighting</t>
  </si>
  <si>
    <t>Approaches Used</t>
  </si>
  <si>
    <t>Enterprise Value - Values</t>
  </si>
  <si>
    <t>Guideline Public Company Method</t>
  </si>
  <si>
    <t>Guideline Transactions Method</t>
  </si>
  <si>
    <t>Income Approach - Gordon Growth</t>
  </si>
  <si>
    <t>Income Approach - Exit Multiple</t>
  </si>
  <si>
    <t>Cost Approach</t>
  </si>
  <si>
    <t>OPM Backsolve</t>
  </si>
  <si>
    <t>PWERM Implied Equity</t>
  </si>
  <si>
    <t>Enterprise Value - Multiples</t>
  </si>
  <si>
    <t>Enterprise Value - Weightings</t>
  </si>
  <si>
    <t>Part III</t>
  </si>
  <si>
    <t>Revenues</t>
  </si>
  <si>
    <t>Cash and Equivalents</t>
  </si>
  <si>
    <t>Total Invested Capital</t>
  </si>
  <si>
    <t>Workpapers</t>
  </si>
  <si>
    <t>Automated TOC with Workpapers</t>
  </si>
  <si>
    <t>Automated PDF with or w/o Workpapers</t>
  </si>
  <si>
    <t>Mehul</t>
  </si>
  <si>
    <t>Graphs from VRC report page 13</t>
  </si>
  <si>
    <t>Sensitivity in OPM</t>
  </si>
  <si>
    <t>Cap Table - Pie of Pie Chart</t>
  </si>
  <si>
    <t>not created graph for R&amp;D Exp</t>
  </si>
  <si>
    <t xml:space="preserve">Created Pie of Pie chart (added some dummy data using RANDBETWEEN formula) </t>
  </si>
  <si>
    <t>Graph - Price (High/Low) in Equity Vol tab</t>
  </si>
  <si>
    <t>Series Seed</t>
  </si>
  <si>
    <t>Company ABC, Inc.</t>
  </si>
  <si>
    <t>DO NOT DELETE</t>
  </si>
  <si>
    <t>One decimal precision
If it is 0.0%, then change to two decimal precision</t>
  </si>
  <si>
    <t>One decimal precision
If it is 0.00, then change to three decimal precision</t>
  </si>
  <si>
    <t>One decimal precision, if it is 0.0, then change to two decimal precision. Don’t put $ sign</t>
  </si>
  <si>
    <t>Label Format #1</t>
  </si>
  <si>
    <t>Label Format #2</t>
  </si>
  <si>
    <t>Label Format #3</t>
  </si>
  <si>
    <t>(in thousands of USD and shares, except price per share)</t>
  </si>
  <si>
    <t>(in millions of USD, except price per share)</t>
  </si>
  <si>
    <t>Label Format #4</t>
  </si>
  <si>
    <t>Label Format #5</t>
  </si>
  <si>
    <t>&lt;- input final value of common stock</t>
  </si>
  <si>
    <t>Exhibit Labeling</t>
  </si>
  <si>
    <t xml:space="preserve">Rate of Return By Stage of Development </t>
  </si>
  <si>
    <t xml:space="preserve">Capitalization Table </t>
  </si>
  <si>
    <t xml:space="preserve">Economic Rights Summary </t>
  </si>
  <si>
    <t>Comparative Sheet</t>
  </si>
  <si>
    <t>Capex</t>
  </si>
  <si>
    <t>(1) Based on discussions with Management and reflects cash required for operations.</t>
  </si>
  <si>
    <t>Net Working Capital</t>
  </si>
  <si>
    <t>Stock Price</t>
  </si>
  <si>
    <t>Stock price</t>
  </si>
  <si>
    <t>Prior valuation date</t>
  </si>
  <si>
    <t>Descending EV order for comps</t>
  </si>
  <si>
    <t>Update</t>
  </si>
  <si>
    <t>For the Period Ending December 31,</t>
  </si>
  <si>
    <t>As of December 31,</t>
  </si>
  <si>
    <t>Financial Performance (Actual &amp; Estimates)</t>
  </si>
  <si>
    <t>Actual</t>
  </si>
  <si>
    <t>Financial Performance (Actual)</t>
  </si>
  <si>
    <t>Control Premium</t>
  </si>
  <si>
    <t>Average</t>
  </si>
  <si>
    <t>Selected Control Premium (Common)</t>
  </si>
  <si>
    <t>Market Trends since Previous Valuation</t>
  </si>
  <si>
    <t>Guideline Public Companies</t>
  </si>
  <si>
    <t>Previous Valuation</t>
  </si>
  <si>
    <t>Current Valuation</t>
  </si>
  <si>
    <t>Guideline Public Companies' Revenue Multiples</t>
  </si>
  <si>
    <t>Guideline Public Companies' EBITDA Multiples</t>
  </si>
  <si>
    <t>Guideline Public Companies' Price Multiples</t>
  </si>
  <si>
    <t>Guideline Public Companies' Margins &amp; Cash Flow Metrics</t>
  </si>
  <si>
    <t>Guideline Public Companies' Descriptions</t>
  </si>
  <si>
    <t>Guideline Transactions' Multiples Analysis</t>
  </si>
  <si>
    <t>Guideline Transactions' Target Descriptions</t>
  </si>
  <si>
    <t>Target Companies</t>
  </si>
  <si>
    <t>VD</t>
  </si>
  <si>
    <t>LAST FYE-1</t>
  </si>
  <si>
    <t>LAST FYE</t>
  </si>
  <si>
    <t>CY+1</t>
  </si>
  <si>
    <t>CY+2</t>
  </si>
  <si>
    <t>CY+3</t>
  </si>
  <si>
    <t>Previous Valuation VD</t>
  </si>
  <si>
    <t>CIQ_ID</t>
  </si>
  <si>
    <t>NAME</t>
  </si>
  <si>
    <t>EXCHANGE</t>
  </si>
  <si>
    <t>FY_END</t>
  </si>
  <si>
    <t>FIRST_PRICE_DATE</t>
  </si>
  <si>
    <t>EBITDA_LTM</t>
  </si>
  <si>
    <t>BETA_5YR</t>
  </si>
  <si>
    <t>BETA_2YR</t>
  </si>
  <si>
    <t>BETA_1YR</t>
  </si>
  <si>
    <t>EFF_TAX</t>
  </si>
  <si>
    <t>CAGR_REV_2YR</t>
  </si>
  <si>
    <t>CAGR_REV_3YR</t>
  </si>
  <si>
    <t>CAGR_REV_5YR</t>
  </si>
  <si>
    <t>CAGR_EBITDA_2YR</t>
  </si>
  <si>
    <t>CAGR_EBITDA_3YR</t>
  </si>
  <si>
    <t>CAGR_EBITDA_5YR</t>
  </si>
  <si>
    <t>Dep &amp; Amort % Rev</t>
  </si>
  <si>
    <t>Term (years)</t>
  </si>
  <si>
    <t>Risk Free Rate</t>
  </si>
  <si>
    <t>BAA Rate</t>
  </si>
  <si>
    <t>IQ2668642</t>
  </si>
  <si>
    <t>Prime Rate</t>
  </si>
  <si>
    <t>%USPMRT</t>
  </si>
  <si>
    <t>CY2017</t>
  </si>
  <si>
    <t>CY2018</t>
  </si>
  <si>
    <t>Comparable Public Companies (Primary)</t>
  </si>
  <si>
    <t>Year 1</t>
  </si>
  <si>
    <t>Year 2</t>
  </si>
  <si>
    <t>Year 3</t>
  </si>
  <si>
    <t>Year 4</t>
  </si>
  <si>
    <t>Year 5</t>
  </si>
  <si>
    <t>NasdaqGM</t>
  </si>
  <si>
    <t>NM</t>
  </si>
  <si>
    <t>NasdaqGS</t>
  </si>
  <si>
    <t>(Invalid Identifier)</t>
  </si>
  <si>
    <t>United States Treasury Constant Maturity - 1 Month</t>
  </si>
  <si>
    <t>United States Treasury Constant Maturity - 3 Month</t>
  </si>
  <si>
    <t>United States Treasury Constant Maturity - 6 Month</t>
  </si>
  <si>
    <t>United States Treasury Constant Maturity - 1 Year</t>
  </si>
  <si>
    <t>United States Treasury Constant Maturity - 2 Year</t>
  </si>
  <si>
    <t>United States Treasury Constant Maturity - 3 Year</t>
  </si>
  <si>
    <t>United States Treasury Constant Maturity - 5 Year</t>
  </si>
  <si>
    <t>United States Treasury Constant Maturity - 7 Year</t>
  </si>
  <si>
    <t>United States Treasury Constant Maturity - 10 Year</t>
  </si>
  <si>
    <t>United States Treasury Constant Maturity - 20 Year</t>
  </si>
  <si>
    <t>United States Treasury Constant Maturity - 30 Year</t>
  </si>
  <si>
    <t>Rev_LTM-2</t>
  </si>
  <si>
    <t>Rev_LTM-1</t>
  </si>
  <si>
    <t>Rev_LTM</t>
  </si>
  <si>
    <t>EBITDA_LTM-2</t>
  </si>
  <si>
    <t>EBITDA_LTM-1</t>
  </si>
  <si>
    <t>EBITDA_2014</t>
  </si>
  <si>
    <t>EBITDA_2015</t>
  </si>
  <si>
    <t>EBITDA_2016</t>
  </si>
  <si>
    <t>EBITDA_2017</t>
  </si>
  <si>
    <t>EBITDA_2018</t>
  </si>
  <si>
    <t>Exhibit F.2</t>
  </si>
  <si>
    <t>Majority</t>
  </si>
  <si>
    <t>Gross Margin</t>
  </si>
  <si>
    <t>NWC</t>
  </si>
  <si>
    <t>NasdaqCM</t>
  </si>
  <si>
    <t>Biotechnology</t>
  </si>
  <si>
    <t>Start date</t>
  </si>
  <si>
    <t>bluebird bio, Inc.</t>
  </si>
  <si>
    <t>Voyager Therapeutics, Inc.</t>
  </si>
  <si>
    <t>PlasmaTech Biopharmaceuticals, Inc. (nka:Abeona Therapeutics Inc.)</t>
  </si>
  <si>
    <t>Abeona Therapeutics LLC</t>
  </si>
  <si>
    <t>IQTR296628817</t>
  </si>
  <si>
    <t>Abeona Therapeutics LLC, a biopharmaceutical company, focuses on developing and delivering gene therapy and plasma-based products for severe and life-threatening rare diseases. It engages in developing adeno-associated viral (AAV)-based gene therapies for MPS III (Sanfilippo syndrome), which involves a one-time delivery of a normal copy of the defective gene to cells of the central nervous system to reverse the effects of the genetic errors that cause the disease. The company offers ABO-101 and ABO-102, which induce cells in the central nervous system and peripheral organs to produce the missing enzymes and help repair damage caused to the cells; ABO-201 for Juvenile Batten Disease (JBD); and ABO-301 (AAV LK19 FANCC), an AAV-based gene therapy for the delivery of a normal copy of the defective gene to cells of the hematopoietic or blood system to reverse the effects of the genetic errors that cause Fanconi anemia. It also provides Salt Diafiltration Process (SDF) that focuses on the ethanol-free extraction of therapeutic biologics from human plasma, including PTB-101 SDF Alpha (alpha1-proteinase inhibitor) for chronic augmentation and maintenance therapy in adults; and PTB-201 SDF IVIG for autoimmune, infectious, and idiopathic diseases. The company was founded in 2013 and is based in Cleveland, Ohio. As of May 15, 2015, Abeona Therapeutics LLC operates as a subsidiary of Abeona Therapeutics Inc.</t>
  </si>
  <si>
    <t>BioMarin Pharmaceutical Inc.</t>
  </si>
  <si>
    <t>Cash</t>
  </si>
  <si>
    <t>1-Largest</t>
  </si>
  <si>
    <t>premium</t>
  </si>
  <si>
    <t>Mid-cap, 3-5</t>
  </si>
  <si>
    <t>Low-cap, 6-8</t>
  </si>
  <si>
    <t>Micro-cap, 9-10</t>
  </si>
  <si>
    <t>Breakdown of Deciles 1-10</t>
  </si>
  <si>
    <t>10-Smallest</t>
  </si>
  <si>
    <t>Breakdown of the 10th Decile</t>
  </si>
  <si>
    <t>10a</t>
  </si>
  <si>
    <t>10b-Smallest</t>
  </si>
  <si>
    <t>Long-horizon expected equity risk premium (supply-side) : historical equity risk premium
minus price-to-earnings ratio calculated using three-year average earnings</t>
  </si>
  <si>
    <t>Teaching Note 9-288-006 (Boston: Harvard Business School Publishing, 1989).</t>
  </si>
  <si>
    <t>School Publishing, 1998).</t>
  </si>
  <si>
    <t>to be used substantially for product development, prototype testing, and test marketing.</t>
  </si>
  <si>
    <t>and for which further technical risk is deemed minimal, although commercial risk may be significant.</t>
  </si>
  <si>
    <t>testing, as well as bridge financing in anticipation of a later IPO.</t>
  </si>
  <si>
    <t>Version</t>
  </si>
  <si>
    <t>LFR</t>
  </si>
  <si>
    <t>CY+4</t>
  </si>
  <si>
    <t>CY2019</t>
  </si>
  <si>
    <t>Latest filing date</t>
  </si>
  <si>
    <t>REV_CY2017</t>
  </si>
  <si>
    <t>REV_CY2018</t>
  </si>
  <si>
    <t>REV_CY2019</t>
  </si>
  <si>
    <t xml:space="preserve"> NWC as % of Revenue</t>
  </si>
  <si>
    <t>Stockprice_EQ_PVD</t>
  </si>
  <si>
    <t>Marketcap_EQ_PVD</t>
  </si>
  <si>
    <t>Debt_EQ_PVD</t>
  </si>
  <si>
    <t>PFD_EQ_PVD</t>
  </si>
  <si>
    <t>MIN_INT_PVD</t>
  </si>
  <si>
    <t>Cash_EQ_PVD</t>
  </si>
  <si>
    <t>DLOM (1)</t>
  </si>
  <si>
    <t>Acquirer</t>
  </si>
  <si>
    <t xml:space="preserve"> Year - 2016</t>
  </si>
  <si>
    <t>EBITDA Margin</t>
  </si>
  <si>
    <t>EBIT Margin</t>
  </si>
  <si>
    <t>Net Income Margin</t>
  </si>
  <si>
    <t>Business Description</t>
  </si>
  <si>
    <t>Beta Look back year</t>
  </si>
  <si>
    <t>Moody's Bond Yield Avg - BAA Rated Corporates</t>
  </si>
  <si>
    <t>CIQ numbers</t>
  </si>
  <si>
    <t>Unlinked numbers</t>
  </si>
  <si>
    <t>CIQ Check</t>
  </si>
  <si>
    <t>M&amp;A</t>
  </si>
  <si>
    <t>Line Items</t>
  </si>
  <si>
    <t>Count</t>
  </si>
  <si>
    <t>Preclinical</t>
  </si>
  <si>
    <t>NasdaqGS:ONCE</t>
  </si>
  <si>
    <t>IQ249341857</t>
  </si>
  <si>
    <t>Spark Therapeutics, Inc.</t>
  </si>
  <si>
    <t>Spark Therapeutics, Inc. focuses on the development of gene therapy products for patients suffering from debilitating genetic diseases. The company develops SPK-RPE65, which is in Phase III clinical trial for the treatment of genetic blinding conditions called inherited retinal diseases caused by non sex-linked, autosomal recessive, or mutations in the RPE65 gene; and SPK-CHM that is in Phase I/II clinical trial for the treatment of choroideremia. It is also developing SPK-FIX program for hemophilia B; SPK-FVIII program to treat hemophilia A; SPK-TPP1 program for the treatment of a form of Batten disease; RhoNova for the treatment of rhodopsin-linked autosomal dominant retinitis pigmentosa; and SPK-LHON for treating Leber hereditary optic neuropathy, as well as preclinical programs in development for the treatment of Huntington's disease and other neurodegenerative diseases. The company has collaboration agreement with Pfizer, Inc. for the development and commercialization of SPK-FIX product candidates in its gene therapy program for the treatment of hemophilia B. Spark Therapeutics, Inc. was founded in 2013 and is headquartered in Philadelphia, Pennsylvania.</t>
  </si>
  <si>
    <t>NasdaqGM:CRSP</t>
  </si>
  <si>
    <t>IQ262549448</t>
  </si>
  <si>
    <t>CRISPR Therapeutics AG</t>
  </si>
  <si>
    <t>CRISPR Therapeutics AG focuses on the development of transformative gene-based medicines for serious diseases using its proprietary CRISPR/Cas9 gene-editing platform. The CRISPR/Cas9 technology allows for changes to genomic DNA. The company has strategic collaborations with Bayer AG and Vertex Pharmaceuticals to develop CRISPR-based therapeutics in other diseases. It operates in Switzerland, the United States, and the United Kingdom. CRISPR Therapeutics AG is headquartered in Basel, Switzerland.</t>
  </si>
  <si>
    <t>NasdaqGM:WVE</t>
  </si>
  <si>
    <t>IQ256557334</t>
  </si>
  <si>
    <t>WAVE Life Sciences Ltd.</t>
  </si>
  <si>
    <t>WAVE Life Sciences Ltd., a preclinical biopharmaceutical company, designs, develops, and commercializes nucleic acid therapeutic candidates. The company is developing nucleic acid therapeutics that target genetic defects to either reduce the expression of disease-promoting proteins or transform the production of dysfunctional mutant proteins into the production of functional proteins. Its advanced therapeutic programs are in Huntington’s disease, Duchenne muscular dystrophy (DMD), and inflammatory bowel disease (IBD). In Huntington’s disease, it has programs targeting HTT SNP-1 and HTT SNP-2; in DMD, targeting Exon 51; and in IBD, targeting SMAD7. The company also has product candidates in its programs targeting HTT SNP-1 and Exon 51. In addition, it has late-stage discovery programs in epidermolysis bullosa simplex, targeting KRT14 SNP-1 and KRT14 SNP-2, as well as in DMD, focuses on an additional DMD target, AcRIIb. The company has a research, license, and option agreement with Pfizer Inc. for the discovery, development, and commercialization of stereopure oligonucleotide therapeutics. WAVE Life Sciences Ltd. was founded in 2012 and is based in Cambridge, Massachusetts.</t>
  </si>
  <si>
    <t>NasdaqGS:RGNX</t>
  </si>
  <si>
    <t>IQ130641748</t>
  </si>
  <si>
    <t>Regenxbio Inc.</t>
  </si>
  <si>
    <t>REGENXBIO Inc., a biotechnology company, focuses on the development, commercialization, and licensing of recombinant adeno-associated virus (AAV) gene therapy. The company’s development programs include RGX-501, a product candidate for the treatment of homozygous familial hypercholesterolemia, which uses the AAV8 vector to deliver the human low-density lipoprotein receptor gene to liver cells; and RGX-111, a product candidate for the treatment of Mucopolysaccharidosis Type I, which uses the AAV9 vector to deliver the human a-l-iduronidase gene to the central nervous system (CNS). Its programs also include RGX-121, a product candidate for the treatment of Mucopolysaccharidosis Type II that uses the AAV9 vector to deliver the human iduronate-2-sulfatase gene to the CNS; RGX-314, a product candidate for the treatment of wet age-related macular degeneration; and RGX-321, a product candidate for the treatment of X-linked retinitis pigmentosa. The company was formerly known as REGENX Biosciences, LLC and changed its name to REGENXBIO Inc. in September 2014. REGENXBIO Inc. was founded in 2008 and is headquartered in Rockville, Maryland.</t>
  </si>
  <si>
    <t>NasdaqGS:EDIT</t>
  </si>
  <si>
    <t>IQ252050056</t>
  </si>
  <si>
    <t>Editas Medicine, Inc.</t>
  </si>
  <si>
    <t>Editas Medicine, Inc. operates as a genome editing company. It focuses on treating patients with genetically defined diseases by correcting their disease causing genes. It is developing a proprietary genome editing platform based on CRISPR/Cas9 technology to target genetically defined diseases with an initial focus on debilitating illnesses where there are no approved treatments. Editas Medicine, Inc. has a collaboration agreement with Adverum Biotechnologies, Inc. to explore the delivery of genome editing medicines for the treatment of inherited retinal diseases. The company was formerly known as Gengine, Inc. and changed its name to Editas Medicine Inc. in November 2013. Editas Medicine, Inc. was founded in 2013 and is headquartered in Cambridge, Massachusetts.</t>
  </si>
  <si>
    <t>NasdaqGS:NK</t>
  </si>
  <si>
    <t>IQ262241549</t>
  </si>
  <si>
    <t>NantKwest, Inc.</t>
  </si>
  <si>
    <t>NantKwest, Inc., a biotechnology company, engages in developing immunotherapeutic agents for various clinical conditions in the United States. The company’s product candidates include activated natural killer candidates for the treatment of virally-induced cancers, such as human papilloma virus induced cervical, and head and neck cancers; ebola; and serious viral, fungal, and bacterial infections, as well as that is in Phase II clinical trials for the treatment of polyoma virus induced merkel cell carcinoma. It is also developing high-affinity natural killer product candidates primarily for the treatment of solid tumors, breast cancer, multiple myeloma, lymphoma, and colorectal cancer; and target activated natural killer product candidates for the treatment of breast cancer, non-hodgkin lymphoma, and myelodysplastic syndrome. The company has a co-development agreement with Altor BioScience Corporation to collaborate on the development of therapeutic applications combining Altor’s proprietary IL-15 superagonist (ALT-803) and its single-chain T cell receptor/IL-2 fusion protein products with the company’s proprietary NK cell therapy platforms for oncology indications. The company was formerly known as Conkwest, Inc. and changed its name to NantKwest, Inc. in July 2015. NantKwest, Inc. was founded in 2002 and is headquartered in San Diego, California.</t>
  </si>
  <si>
    <t>NasdaqGM:NTLA</t>
  </si>
  <si>
    <t>IQ277799796</t>
  </si>
  <si>
    <t>Intellia Therapeutics Inc.</t>
  </si>
  <si>
    <t>Intellia Therapeutics Inc., a gene editing company, focuses on the development of therapeutics utilizing a biological tool known as the CRISPR/Cas9 system. The company develops in vivo programs focused on liver diseases, including transthyretin amyloidosis, alpha-1 antitrypsin deficiency, hepatitis B virus, and inborn errors of metabolism; and ex vivo applications of the technology in chimeric antigen receptor T cell and hematopoietic stem cell product candidates. It has a strategic collaboration and license agreement with Novartis focused on the development of new ex vivo CRISPR/Cas9-based therapies. Intellia Therapeutics Inc. was formerly known as AZRN, Inc. and changed its name to Intellia Therapeutics Inc. in July 2014. The company was founded in 2014 and is headquartered in Cambridge, Massachusetts.</t>
  </si>
  <si>
    <t>NasdaqGM:BOLD</t>
  </si>
  <si>
    <t>IQ243223852</t>
  </si>
  <si>
    <t>Audentes Therapeutics, Inc.</t>
  </si>
  <si>
    <t>Audentes Therapeutics, Inc., a biotechnology company, focuses on developing and commercializing gene therapy products for patients suffering from diseases caused by single gene defects in the United States. The company is developing four products, including AT132 for the treatment of X-linked myotubular myopathy; AT342 for the treatment of crigler-najjar syndrome type 1; AT307 for the treatment of the CASQ2 subtype of catecholaminergic polymorphic ventricular tachycardia; and AT982 for the treatment of pompe disease. Audentes Therapeutics, Inc. has a collaboration with the University of Pennsylvania to develop AT342, an AAV gene therapy for Crigler-Najjar Syndrome, an inherited, metabolic liver disease. The company was founded in 2012 and is based in San Francisco, California.</t>
  </si>
  <si>
    <t>NasdaqGS:SYRS</t>
  </si>
  <si>
    <t>IQ236291486</t>
  </si>
  <si>
    <t>Syros Pharmaceuticals, Inc.</t>
  </si>
  <si>
    <t>Syros Pharmaceuticals, Inc., a biopharmaceutical company, focuses on developing treatments for cancer and immune-mediated diseases, and building a pipeline of gene control medicines. It intends to begin a Phase II clinical trial for its lead product candidate, SY-1425 (tamibarotene); and to initiate a Phase I/II clinical trial for its SY-1365 candidate, initially for the treatment of acute leukemia. Syros Pharmaceuticals, Inc. The company was formerly known as LS22, Inc. Syros Pharmaceuticals, Inc. was founded in 2011 and is based in Cambridge, Massachusetts.</t>
  </si>
  <si>
    <t>NasdaqGM:IMDZ</t>
  </si>
  <si>
    <t>Fate Therapeutics, Inc.</t>
  </si>
  <si>
    <t>NasdaqCM:PZRX</t>
  </si>
  <si>
    <t>IQ41693120</t>
  </si>
  <si>
    <t>PhaseRx, Inc.</t>
  </si>
  <si>
    <t>PhaseRx, Inc., a biopharmaceutical company, engages in developing a portfolio of mRNA products to correct life-threatening inherited liver diseases in children. Its initial product development focus is on urea cycle disorders, a group of rare genetic diseases that generally present before the age of 12 and are characterized by the body's inability to remove ammonia from the blood. The company's i-ERT approach is enabled by its proprietary Hybrid mRNA Technology platform and is applicable to various inherited liver diseases. Its product pipeline includes PRX-OTC for Ornithine Transarbamylase deficiency; PRX-ASL for Argininosuccinate Lyase deficiency; and PRX-ASS1 for Argininosuccinatesynthetase 1 deficiency. The company was incorporated in 2006 and is headquartered in Seattle, Washington.</t>
  </si>
  <si>
    <t>RXi Pharmaceuticals Corporation</t>
  </si>
  <si>
    <t xml:space="preserve">Based on information published in the AICPA Practice Aid under Appendix B. </t>
  </si>
  <si>
    <t>James L. Plummer, QED Report on Venture Capital Financial Analysis (Palo Alto: QED Research, Inc., 1987).</t>
  </si>
  <si>
    <t xml:space="preserve">Daniel R. Scherlis and William A. Sahlman, “A Method for Valuing High-Risk, Long Term, Investments: The Venture Capital Method,” Harvard Business School </t>
  </si>
  <si>
    <t xml:space="preserve">William A. Sahlman, Howard H. Stevenson, Amar V. Bhide, et al., “Financing Entrepreneurial Ventures,” Business Fundamental Series (Boston: Harvard Business </t>
  </si>
  <si>
    <t xml:space="preserve">As described in the publications referenced herein, Start Up-stage investments typically are made in enterprises that are less than a year old. The venture funding is </t>
  </si>
  <si>
    <t xml:space="preserve">As described in the publications referenced herein, Early Development-stage investments are made in enterprises that have developed prototypes that appear viable </t>
  </si>
  <si>
    <t>As described in the publications referenced herein, enterprises in the Expansion stage usually have shipped some product to consumers (including beta versions).</t>
  </si>
  <si>
    <t xml:space="preserve">As described in the publications referenced herein, Bridge/IPO-stage financing covers such activities as pilot plant construction, production design, and production </t>
  </si>
  <si>
    <t>Outliers above</t>
  </si>
  <si>
    <t>Outliers below</t>
  </si>
  <si>
    <t>Debt reflects senior debt based on the balance sheet as of the Valuation Date.</t>
  </si>
  <si>
    <t>Debt reflects senior debt based on the balance sheet as of the Valuation Date plus the value of liquidation preferences under the OPM for preferred stock.</t>
  </si>
  <si>
    <t>Difference (in Months)</t>
  </si>
  <si>
    <t>Capital structure weighting based on observations of the Guideline Public Companies, as well as company-specific considerations.</t>
  </si>
  <si>
    <t>Based on consideration of the average bond yield for the Moody's Baa Rated Index as of the Valuation Date, and company-specific considerations.</t>
  </si>
  <si>
    <t>Re-levered based on the capital structure weighting portrayed herein.</t>
  </si>
  <si>
    <t xml:space="preserve">Based on the </t>
  </si>
  <si>
    <t>Based on information provided by Management.</t>
  </si>
  <si>
    <t>Licensing Deals - Oncology Small Molecule and Bi-specific Antibodies</t>
  </si>
  <si>
    <t>Completed Date</t>
  </si>
  <si>
    <t>Deal Type</t>
  </si>
  <si>
    <t>Licensee</t>
  </si>
  <si>
    <t>Licensor</t>
  </si>
  <si>
    <t>Stage of Development</t>
  </si>
  <si>
    <t>Deal Value</t>
  </si>
  <si>
    <t>Upfront Payment</t>
  </si>
  <si>
    <t>Upfront as a % of Deal Value</t>
  </si>
  <si>
    <t>Discovery &amp; Preclinical</t>
  </si>
  <si>
    <t>In-licensed</t>
  </si>
  <si>
    <t>TRACON Pharmaceuticals, Inc.</t>
  </si>
  <si>
    <t>Johnson &amp; Johnson</t>
  </si>
  <si>
    <t>http://www.biocentury.com/companies/tracon_pharmaceuticals_inc</t>
  </si>
  <si>
    <t>https://globenewswire.com/news-release/2016/09/28/875255/0/en/TRACON-Pharmaceuticals-Announces-a-Strategic-Licensing-Collaboration-for-Two-Janssen-Oncology-Assets-and-a-5-Million-Equity-Investment-from-Johnson-Johnson-Innovation-JJDC-Inc.html</t>
  </si>
  <si>
    <t>Tarveda Therapeutics, Inc.</t>
  </si>
  <si>
    <t>Madrigal Pharmaceuticals, Inc.</t>
  </si>
  <si>
    <t>https://globenewswire.com/news-release/2016/09/19/872784/0/en/Madrigal-Pharmaceuticals-and-Tarveda-Therapeutics-Announce-Exclusive-License-Agreement-for-HSP90-Drug-Conjugate-Oncology-Platform.html</t>
  </si>
  <si>
    <t>Pfizer Inc.</t>
  </si>
  <si>
    <t>OncoImmune, Inc.</t>
  </si>
  <si>
    <t>http://www.businesswire.com/news/home/20160915005151/en/OncoImmune-Announces-Option-License-Agreement-Pfizer</t>
  </si>
  <si>
    <t>Les Laboratoires Servier</t>
  </si>
  <si>
    <t>Sorrento Therapeutics</t>
  </si>
  <si>
    <t>http://www.servier.com/content/sorrento-and-servier-enter-exclusive-worldwide-license-and-collaboration-agreement</t>
  </si>
  <si>
    <t>Syndax Pharmaceuticals</t>
  </si>
  <si>
    <t>UCB</t>
  </si>
  <si>
    <t>http://www.biocentury.com/companies/syndax_pharmaceuticals_inc</t>
  </si>
  <si>
    <t>Novartis</t>
  </si>
  <si>
    <t>Xencor, Inc.</t>
  </si>
  <si>
    <t>http://www.xencor.com/pipeline/xmab-14045/</t>
  </si>
  <si>
    <t>Aptose Biosciences Inc.</t>
  </si>
  <si>
    <t>CrystalGenomics, Inc.</t>
  </si>
  <si>
    <t>http://www.biocentury.com/companies/aptose_biosciences_inc</t>
  </si>
  <si>
    <t>ProNAi Therapeutics, Inc.</t>
  </si>
  <si>
    <t>Carna Biosciences, Inc.</t>
  </si>
  <si>
    <t>MacroGenics, Inc.</t>
  </si>
  <si>
    <t>http://ir.macrogenics.com/releasedetail.cfm?releaseid=971495</t>
  </si>
  <si>
    <t>AbbVie Inc.</t>
  </si>
  <si>
    <t>arGEN-X N.V.</t>
  </si>
  <si>
    <t>http://argen-x.com/en-GB/news-internal/argenx-and-abbvie-to-collaborate-on-argx-115-against-novel-immuno-oncology-target/109/</t>
  </si>
  <si>
    <t>Takeda</t>
  </si>
  <si>
    <t>Mersana Therapeutics</t>
  </si>
  <si>
    <t>Merck &amp; Co., Inc.</t>
  </si>
  <si>
    <t>Cancer Research Technology Limited</t>
  </si>
  <si>
    <t>Celgene Corporation</t>
  </si>
  <si>
    <t>Lycera Corp.</t>
  </si>
  <si>
    <t>Curis, Inc.</t>
  </si>
  <si>
    <t>Aurigene Discovery Technologies Limited</t>
  </si>
  <si>
    <t>Eli Lilly and Company</t>
  </si>
  <si>
    <t>Innovent Biologics</t>
  </si>
  <si>
    <t>https://investor.lilly.com/releasedetail.cfm?releaseid=936083</t>
  </si>
  <si>
    <t>Horizon Discovery Group Plc</t>
  </si>
  <si>
    <t>Servier Laboratories Limited</t>
  </si>
  <si>
    <t>Astellas Pharma Inc.</t>
  </si>
  <si>
    <t>Chromocell Corporation</t>
  </si>
  <si>
    <t>BIND Therapeutics, Inc.</t>
  </si>
  <si>
    <t>Amgen, Inc.</t>
  </si>
  <si>
    <t>EvaluatePharma</t>
  </si>
  <si>
    <t>AstraZeneca Plc</t>
  </si>
  <si>
    <t>Sosei</t>
  </si>
  <si>
    <t>http://www.biocentury.com/products/htl1071</t>
  </si>
  <si>
    <t>https://www.astrazeneca.com/media-centre/press-releases/2015/astrazeneca-heptares-therapeutics-immuno-oncology-treatments-06082015.html</t>
  </si>
  <si>
    <t>Sanofi S.A.</t>
  </si>
  <si>
    <t>Regeneron Pharmaceuticals, Inc.</t>
  </si>
  <si>
    <t>http://investor.regeneron.com/releasedetail.cfm?releaseid=924069</t>
  </si>
  <si>
    <t>Bayer HealthCare AG</t>
  </si>
  <si>
    <t>Sprint Bioscience AB</t>
  </si>
  <si>
    <t>Five Prime Therapeutics</t>
  </si>
  <si>
    <t>Inhibrx LLC</t>
  </si>
  <si>
    <t>http://www.fiercebiotech.com/partnering/five-prime-bets-up-to-452-5m-on-inhibrx-s-cancer-antibodies</t>
  </si>
  <si>
    <t>Tiziana Life Sciences Plc</t>
  </si>
  <si>
    <t>Cardiff University</t>
  </si>
  <si>
    <t>F. Hoffmann-La Roche Ltd.</t>
  </si>
  <si>
    <t>Curadev Pharma Private Limited</t>
  </si>
  <si>
    <t>Discovery</t>
  </si>
  <si>
    <t>Novartis AG</t>
  </si>
  <si>
    <t>Aduro Biotech Inc.</t>
  </si>
  <si>
    <t>http://www.biocentury.com/products/adu-s100</t>
  </si>
  <si>
    <t>Genmab A/S</t>
  </si>
  <si>
    <t>iDD Biotech</t>
  </si>
  <si>
    <t>http://www.fiercebiotech.com/financials/genmab-buys-idd-antibody-assets-drops-adc-co-development-rights</t>
  </si>
  <si>
    <t>MultiCell Immunotherapeutics, Inc.</t>
  </si>
  <si>
    <t>Calithera Biosciences, Inc.; High Point Pharmaceuticals, LLC</t>
  </si>
  <si>
    <t>vTv Therapeutics Inc</t>
  </si>
  <si>
    <t>OXIS International, Inc.</t>
  </si>
  <si>
    <t>ID4 Pharma, LLC</t>
  </si>
  <si>
    <t>iTeos Therapeutics SA</t>
  </si>
  <si>
    <t>Ignyta, Inc.</t>
  </si>
  <si>
    <t>Nerviano Medical Sciences S.r.l.</t>
  </si>
  <si>
    <t>TG Therapeutics, Inc.</t>
  </si>
  <si>
    <t>Ligand Pharmaceuticals, Inc.</t>
  </si>
  <si>
    <t>Cascadian Therapeutics Inc</t>
  </si>
  <si>
    <t>Sentinel Oncology Limited</t>
  </si>
  <si>
    <t>BeiGene(Beijing) Co.,Ltd; Merck Serono SA</t>
  </si>
  <si>
    <t>Merck Serono SA</t>
  </si>
  <si>
    <t>BeiGene(Beijing) Co.,Ltd</t>
  </si>
  <si>
    <t>Novo Nordisk A/S</t>
  </si>
  <si>
    <t>Pharmacyclics, Inc.</t>
  </si>
  <si>
    <t>Novogen</t>
  </si>
  <si>
    <t>F. Hoffmann-La Roche AG</t>
  </si>
  <si>
    <t>http://www.prnewswire.com/news-releases/novogen-licenses-phase-ii-ready-molecule-from-genentech-for-development-in-glioblastoma-300353888.html</t>
  </si>
  <si>
    <t>Hanmi Pharmaceutical</t>
  </si>
  <si>
    <t>http://www.fiercebiotech.com/biotech/genentech-south-korean-pharma-up-to-910m-raf-inhibitor-deal</t>
  </si>
  <si>
    <t>CANbridge Life Sciences</t>
  </si>
  <si>
    <t>AVEO Oncology</t>
  </si>
  <si>
    <t>https://www.firstwordpharma.com/node/1367347?tsid=17</t>
  </si>
  <si>
    <t>HUYA Bioscience International, LLC</t>
  </si>
  <si>
    <t>Eisai Co., Ltd.</t>
  </si>
  <si>
    <t>Knight Therapeutics Inc.</t>
  </si>
  <si>
    <t>Antibe Therapeutics, Inc.</t>
  </si>
  <si>
    <t>Palobiofarma, S.L.</t>
  </si>
  <si>
    <t>Incyte Corporation</t>
  </si>
  <si>
    <t>Jiangsu Hengrui Medicine</t>
  </si>
  <si>
    <t>http://www.businesswire.com/news/home/20150902005208/en/Incyte-Announces-Global-License-Agreement-Jiangsu-Hengrui</t>
  </si>
  <si>
    <t>Agios Pharmaceuticals, Inc.</t>
  </si>
  <si>
    <t>Array BioPharma Inc.</t>
  </si>
  <si>
    <t>Rhizen Pharmaceuticals S.A.</t>
  </si>
  <si>
    <t>Verastem, Inc.</t>
  </si>
  <si>
    <t>The Scripps Research Institute</t>
  </si>
  <si>
    <t>Genentech, Inc.</t>
  </si>
  <si>
    <t>Helsinn Group</t>
  </si>
  <si>
    <t>MEI Pharma</t>
  </si>
  <si>
    <t>https://www.helsinn.com/news-and-events/helsinn-group-and-mei-pharma-enter-strategic-agreement-for-the-development-of-pracinostat-for-the-treatment-myeloid-leukemia-and-other-diseases/</t>
  </si>
  <si>
    <t>SciClone Pharmaceuticals, Inc.</t>
  </si>
  <si>
    <t>Ability Pharmaceuticals, S.L.</t>
  </si>
  <si>
    <t>Dong-A ST Co., Ltd.</t>
  </si>
  <si>
    <t>Tobira Therapeutics, Inc.</t>
  </si>
  <si>
    <t>Novel Pain Therapeutics</t>
  </si>
  <si>
    <t>Immune Pharmaceuticals Inc.</t>
  </si>
  <si>
    <t>Boehringer Ingelheim GmbH</t>
  </si>
  <si>
    <t>Hanmi Pharmaceuticals, Co. Ltd.</t>
  </si>
  <si>
    <t>Pint Pharma GmbH</t>
  </si>
  <si>
    <t>Onxeo SA</t>
  </si>
  <si>
    <t>http://www.biocentury.com/companies/onxeo_sa</t>
  </si>
  <si>
    <t>Yissum Research Development Company of the Hebrew University of Jerusalem Ltd.</t>
  </si>
  <si>
    <t>A. Menarini Industrie Farmaceutiche Riunite Srl</t>
  </si>
  <si>
    <t>4SC AG</t>
  </si>
  <si>
    <t>RedHill Biopharma Ltd.</t>
  </si>
  <si>
    <t>Apogee Biotechnology Corporation</t>
  </si>
  <si>
    <t>Kura Oncology, Inc.</t>
  </si>
  <si>
    <t>http://www.kuraoncology.com/kuraoncology-announces-license-agreement-with-janssen-biotech-for-development-and-commercialization-of-tipifarnib-closes-58-4-million-private-placement-and-completes-merger/</t>
  </si>
  <si>
    <t>Spectrum Pharmaceuticals, Inc.</t>
  </si>
  <si>
    <t>Corvus Pharmaceuticals, Inc.</t>
  </si>
  <si>
    <t>Vernalis Plc</t>
  </si>
  <si>
    <t>Hapten Sciences, Inc.</t>
  </si>
  <si>
    <t>Kyowa Hakko Kirin Co., Ltd.</t>
  </si>
  <si>
    <t>Syndax Pharmaceuticals, Inc.</t>
  </si>
  <si>
    <t>Janssen Pharmaceutica N.V.</t>
  </si>
  <si>
    <t>Ophthotech Corp.</t>
  </si>
  <si>
    <t>AVEO Pharmaceuticals, Inc.</t>
  </si>
  <si>
    <t>Waterstone Pharmaceutical (HK) Limited</t>
  </si>
  <si>
    <t>Scynexis, Inc.</t>
  </si>
  <si>
    <t>Luye Pharma Group Ltd.</t>
  </si>
  <si>
    <t>Solasia Pharma K.K.</t>
  </si>
  <si>
    <t>ZIOPHARM Oncology, Inc.</t>
  </si>
  <si>
    <t>Wilex AG</t>
  </si>
  <si>
    <t>Link Health Group</t>
  </si>
  <si>
    <t>Hutchison China MediTech Limited</t>
  </si>
  <si>
    <t>Les Laboratoires Servier SAS</t>
  </si>
  <si>
    <t>EOS S.p.A. (Inactive)</t>
  </si>
  <si>
    <t>Daiichi Sankyo Europe GmbH</t>
  </si>
  <si>
    <t>Nektar Therapeutics</t>
  </si>
  <si>
    <t>Janssen Biotech, Inc.</t>
  </si>
  <si>
    <t>Tesaro, Inc.</t>
  </si>
  <si>
    <t>Ipsen S.A.</t>
  </si>
  <si>
    <t>Exelixis, Inc.</t>
  </si>
  <si>
    <t>http://www.fiercebiotech.com/partnering/ipsen-bets-up-to-855m-on-exelixis-once-failed-cancer-drug</t>
  </si>
  <si>
    <t>Sucampo Pharma, Ltd.</t>
  </si>
  <si>
    <t>Cancer Prevention Pharmaceuticals, Inc.</t>
  </si>
  <si>
    <t>EUSA Pharma (UK) Limited</t>
  </si>
  <si>
    <t>BioMarin Pharmaceutical</t>
  </si>
  <si>
    <t>http://www.pfizer.com/news/press-release/press-release-detail/pfizer_to_acquire_medivation</t>
  </si>
  <si>
    <t>Pharmstandard</t>
  </si>
  <si>
    <t>Cipher Pharmaceuticals Inc.</t>
  </si>
  <si>
    <t>Can-Fite BioPharma Ltd.</t>
  </si>
  <si>
    <t>Lexicon Pharmaceuticals, Inc.</t>
  </si>
  <si>
    <t>Sinopharm Holding A-Think Pharmaceutical Co., Ltd.</t>
  </si>
  <si>
    <t>Aeterna Zentaris Inc.</t>
  </si>
  <si>
    <t>Soligenix, Inc.</t>
  </si>
  <si>
    <t>New York University; Yeda Research and Development Company Ltd.</t>
  </si>
  <si>
    <t>Baxter International Inc.</t>
  </si>
  <si>
    <t>Merrimack Pharmaceuticals, Inc.</t>
  </si>
  <si>
    <t>PharmaEngine, Inc.</t>
  </si>
  <si>
    <t>Infinity Pharmaceuticals, Inc.</t>
  </si>
  <si>
    <t>Daiichi Sankyo Company, Limited</t>
  </si>
  <si>
    <t>Charleston Laboratories, Inc.</t>
  </si>
  <si>
    <t>Galena Biopharma, Inc.</t>
  </si>
  <si>
    <t>Monosol Rx, LLC</t>
  </si>
  <si>
    <t>Tillotts Pharma AG</t>
  </si>
  <si>
    <t>Baxalta Incorporated</t>
  </si>
  <si>
    <t>CTI BioPharma Corp.</t>
  </si>
  <si>
    <t>Mundipharma International Ltd</t>
  </si>
  <si>
    <t>Allos Therapeutics, Inc. (Inactive)</t>
  </si>
  <si>
    <t>NDA and Marketed</t>
  </si>
  <si>
    <t>Ariad Pharmaceuticals, Inc.</t>
  </si>
  <si>
    <t>Marketed</t>
  </si>
  <si>
    <t>http://www.businesswire.com/news/home/20160509005515/en/Incyte-ARIAD-Announce-Agreement-Incyte-Acquire-ARIAD%E2%80%99s</t>
  </si>
  <si>
    <t>Kyowa Kirin International Plc</t>
  </si>
  <si>
    <t>TRPHARM Ilac Sanayi Tic. A.S</t>
  </si>
  <si>
    <t>Taiho Pharmaceutical Co., Ltd.</t>
  </si>
  <si>
    <t>Harbin Gloria Pharmaceuticals Co., Ltd</t>
  </si>
  <si>
    <t>Sucampo Pharmaceuticals, Inc.</t>
  </si>
  <si>
    <t>http://www.fiercepharma.com/pharma-asia/sucampo-and-harbin-gloria-pharmaceuticals-enter-into-licensing-agreement-for-amitiza-r</t>
  </si>
  <si>
    <t>Teva Pharmaceutical Industries Ltd.</t>
  </si>
  <si>
    <t>Eagle Pharmaceuticals, Inc.</t>
  </si>
  <si>
    <t>NDA</t>
  </si>
  <si>
    <t>http://www.tevapharm.com/news/teva_and_eagle_pharmaceuticals_announce_teva_s_license_to_commercialize_eagle_s_bendamustine_rapid_infusion_product_02_15.aspx</t>
  </si>
  <si>
    <t>Takeda Pharmaceutical Company Limited</t>
  </si>
  <si>
    <t>Development Stage Not Available</t>
  </si>
  <si>
    <t>Jubilant Biosys Ltd.</t>
  </si>
  <si>
    <t>Harvard University</t>
  </si>
  <si>
    <t>F. Hoffmann-La Roche Ltd.; Hoffmann-La Roche Inc.</t>
  </si>
  <si>
    <t>Blueprint Medicines Corporation</t>
  </si>
  <si>
    <t>Arvinas, Inc.</t>
  </si>
  <si>
    <t>Chaperone Therapeutics, Inc.</t>
  </si>
  <si>
    <t>Senhwa Biosciences, Inc.</t>
  </si>
  <si>
    <t>Almac Discovery Limited</t>
  </si>
  <si>
    <t>Fortress Biotech, Inc.</t>
  </si>
  <si>
    <t>Suzhou Neupharma Co., Ltd.</t>
  </si>
  <si>
    <t>Clevexel Pharma SAS</t>
  </si>
  <si>
    <t>SATT South East</t>
  </si>
  <si>
    <t>Repligen Corporation</t>
  </si>
  <si>
    <t>Merck Serono GmbH</t>
  </si>
  <si>
    <t>Centro Nacional de Investigaciones Oncologicas</t>
  </si>
  <si>
    <t>Loxo Oncology, Inc.</t>
  </si>
  <si>
    <t>Ruthigen, Inc. (Inactive)</t>
  </si>
  <si>
    <t>Oculus Innovative Sciences, Inc.</t>
  </si>
  <si>
    <t>BioNTech AG</t>
  </si>
  <si>
    <t>4SC Discovery GmbH</t>
  </si>
  <si>
    <t>Initial Public Offerings Data</t>
  </si>
  <si>
    <t>IPO - METRICS (BIOPHARMA)</t>
  </si>
  <si>
    <t>Development</t>
  </si>
  <si>
    <t>IPO</t>
  </si>
  <si>
    <t>Offering Price at IPO</t>
  </si>
  <si>
    <t>Price Range</t>
  </si>
  <si>
    <t>Trading Price after 1 month of listing</t>
  </si>
  <si>
    <t>Shares Offered</t>
  </si>
  <si>
    <t>Shares After IPO</t>
  </si>
  <si>
    <t>Pre-IPO 
Equity Value</t>
  </si>
  <si>
    <t>Market Cap after 1 month of listing - Pre IPO shares</t>
  </si>
  <si>
    <t>First Sale Date</t>
  </si>
  <si>
    <t>30 days from first listing date</t>
  </si>
  <si>
    <t>Company ID</t>
  </si>
  <si>
    <t>Post IPO Value</t>
  </si>
  <si>
    <t>Public Companies</t>
  </si>
  <si>
    <t>Company Ticker</t>
  </si>
  <si>
    <t>ID</t>
  </si>
  <si>
    <t>Ra Pharmaceuticals, Inc.</t>
  </si>
  <si>
    <t>NasdaqGM:RARX</t>
  </si>
  <si>
    <t>IQTR403436222</t>
  </si>
  <si>
    <t>IQ58798789</t>
  </si>
  <si>
    <t>Ra Pharmaceuticals, Inc., a clinical-stage biopharmaceutical company, engages in the discovery and development of novel therapeutics for the treatment of diseases caused by excessive or uncontrolled activation of the complement system. Its peptide chemistry platform delivers enables the production of synthetic macrocyclic peptides that combine the diversity and specificity of antibodies with the pharmacological properties of small molecules. The company’s lead product candidate is RA101495, an injection into the tissue under the skin for the treatment of paroxysmal nocturnal hemoglobinuria (PNH). It also develops Factor D inhibition for age-related macular degeneration and geographic atrophy; Oral C5 inhibitor for refractory generalized myasthenia gravis, lupus nephritis, and central nervous system (CNS) diseases; C1s inhibition for autoimmune/CNS diseases. The company has multi-target collaboration and license agreement with Merck &amp; Co., Inc. Ra Pharmaceuticals, Inc. was founded in 2008 and is based in Cambridge, Massachusetts.</t>
  </si>
  <si>
    <t>IQTR383418153</t>
  </si>
  <si>
    <t>AzurRx BioPharma, Inc.</t>
  </si>
  <si>
    <t>NasdaqCM:AZRX</t>
  </si>
  <si>
    <t>IQTR374467498</t>
  </si>
  <si>
    <t>IQ261738327</t>
  </si>
  <si>
    <t>AzurRx BioPharma, Inc. engages in the research and development of non-systemic biologics for the treatment of patients with gastrointestinal disorders. Its product pipeline consists of two therapeutic proteins under development, including MS1819, an autologous yeast recombinant lipase for exocrine pancreatic insufficiency associated with chronic pancreatitis and cystic fibrosis; and AZX1101, a recombinant ß-lactamase combination of bacterial origin for the prevention of hospital-acquired infections, as well as antibiotic-associated diarrhea. The company was incorporated in 2014 and is based in Brooklyn, New York.</t>
  </si>
  <si>
    <t>Novan, Inc.</t>
  </si>
  <si>
    <t>NasdaqGM:NOVN</t>
  </si>
  <si>
    <t>IQTR381637523</t>
  </si>
  <si>
    <t>IQ115977469</t>
  </si>
  <si>
    <t>Novan, Inc., a clinical-stage drug development company, focuses on the development and commercialization of nitric oxide-based therapies in dermatology. Its lead product candidate is SB204, a cosmetically elegant topical gel that targets multiple mechanisms of action for the treatment of acne vulgaris. The company’s product candidates also include SB206, SB208, and SB414, which are targeted toward the treatment of either a specific microorganism or inflammatory components of disease pathology. Novan, Inc. was founded in 2006 and is headquartered in Durham, North Carolina.</t>
  </si>
  <si>
    <t>Protagonist Therapeutics, Inc.</t>
  </si>
  <si>
    <t>NasdaqGM:PTGX</t>
  </si>
  <si>
    <t>IQTR373820913</t>
  </si>
  <si>
    <t>IQ129263324</t>
  </si>
  <si>
    <t>Protagonist Therapeutics, Inc., a clinical-stage biopharmaceutical company, focuses on discovering and developing peptide-based new chemical entities to address significant unmet medical needs. Its product candidates include PTG-100, which has first-in-class potential as an oral, a4b7 integrin-specific antagonist peptide for the treatment of inflammatory bowel disease (IBD); PTG-200, a gastrointestinal-restricted peptide product candidate for the treatment of IBD; and PTG-300, an injectable hepcidin mimetic peptide for the treatment of iron overload disorders, such as transfusion-dependent b-Thalassemia, hereditary hemochromatosis, and sickle cell disease. The company was founded in 2006 and is headquartered in Milpitas, California.</t>
  </si>
  <si>
    <t>Gemphire Therapeutics Inc.</t>
  </si>
  <si>
    <t>NasdaqGM:GEMP</t>
  </si>
  <si>
    <t>IQTR331335499</t>
  </si>
  <si>
    <t>IQ290658496</t>
  </si>
  <si>
    <t>Gemphire Therapeutics Inc., a clinical-stage biopharmaceutical company, focuses on developing and commercializing therapies for the treatment of dyslipidemia cardiovascular disease. Its product candidate is gemcabene (CI-1027), an oral therapy for patients who are unable to achieve normal levels of LDL-C or triglycerides with currently approved therapies. The company was founded in 2008 and is headquartered in Northville, Michigan.</t>
  </si>
  <si>
    <t>Kadmon Holdings, LLC</t>
  </si>
  <si>
    <t>NYSE:KDMN</t>
  </si>
  <si>
    <t>IQTR377971681</t>
  </si>
  <si>
    <t>IQ114935891</t>
  </si>
  <si>
    <t>Kadmon Holdings, LLC, a biopharmaceutical company, discovers, develops, and commercializes small molecules and biologics to address unmet medical needs. The company markets and distributes a portfolio of branded generic ribavirin products for chronic hepatitis C virus infection; co-promotes a product for chronic weight management; distributes products for chorea, cytomegalovirus retinitis, and for the prevention of CMV disease. It is also developing product candidates in autoimmune and fibrotic diseases, oncology, and genetic diseases. The company is headquartered in New York, New York.</t>
  </si>
  <si>
    <t>IQTR321225694</t>
  </si>
  <si>
    <t>IQTR345618574</t>
  </si>
  <si>
    <t>Selecta Biosciences, Inc.</t>
  </si>
  <si>
    <t>NasdaqGM:SELB</t>
  </si>
  <si>
    <t>IQTR342393493</t>
  </si>
  <si>
    <t>IQ53339386</t>
  </si>
  <si>
    <t>Selecta Biosciences, Inc., a clinical-stage biotechnology company, develops targeted therapies that use immunomodulators encapsulated in nanoparticles to induce antigen-specific immune responses to prevent and treat disease. The company focus is on developing and commercializing differentiated therapies that are designed to modulate the immune system to effectively and safely treat rare diseases by mitigating the formation of anti-drug antibodies in response to life-sustaining biologic drugs. Its lead product candidate is SEL-212 for the treatment of refractory and chronic tophaceous gout. The company serves customers in the United States and internationally. Selecta Biosciences, Inc. was founded in 2007 and is headquartered in Watertown, Massachusetts.</t>
  </si>
  <si>
    <t>Moleculin Biotech, Inc.</t>
  </si>
  <si>
    <t>NasdaqCM:MBRX</t>
  </si>
  <si>
    <t>IQTR324310661</t>
  </si>
  <si>
    <t>IQ320105606</t>
  </si>
  <si>
    <t>Moleculin Biotech, Inc., a preclinical and clinical-stage pharmaceutical company, focuses on the development of anti-cancer drug candidates. Its lead drug candidate is liposomal Annamycin, an anthracycline intended for the treatment of relapsed or refractory acute myeloid leukemia. The company also develops other drugs, including WP1066 Portfolio, a portfolio of small molecules targeting the modulation of transcription factors involved in cancer; and WP1122 Portfolio, a suite of molecules targeting the metabolic processes involved in cancer and glioblastoma. Moleculin Biotech, Inc. was founded in 2015 and is headquartered in Houston, Texas.</t>
  </si>
  <si>
    <t>Reata Pharmaceuticals, Inc.</t>
  </si>
  <si>
    <t>NasdaqGM:RETA</t>
  </si>
  <si>
    <t>IQTR321226326</t>
  </si>
  <si>
    <t>IQ6966894</t>
  </si>
  <si>
    <t>Reata Pharmaceuticals, Inc., a clinical stage biopharmaceutical company, focuses on identifying, developing, and commercializing product candidates that modulate the activity of key regulatory proteins involved in the biology of mitochondrial function, oxidative stress, and inflammation to address the unmet medical needs of patients with various serious or life-threatening diseases. The company focuses on drugs with novel mechanisms of action that modulate regulatory proteins called transcription factors. Its lead product candidates include bardoxolone methyl and RTA 408, which are members of a class of small molecules called antioxidant inflammation modulators. It is involved in LARIAT, a Phase II study of bardoxolone methyl for the treatment of pulmonary arterial hypertension and pulmonary hypertension due to interstitial lung disease. RTA 408 is in Phase II clinical development for the treatment of multiple diseases, including Friedreich’s ataxia and mitochondrial myopathies. Reata Pharmaceuticals, Inc. was formerly known as Reata Discovery, Inc. and changed its name to Reata Pharmaceuticals, Inc. in May 2005. The company was founded in 2002 and is headquartered in Irving, Texas.</t>
  </si>
  <si>
    <t>Merus B.V.</t>
  </si>
  <si>
    <t>NasdaqGM:MRUS</t>
  </si>
  <si>
    <t>IQTR314642761</t>
  </si>
  <si>
    <t>IQ24929296</t>
  </si>
  <si>
    <t>Merus B.V., a clinical-stage immuno-oncology company, engages in developing bispecific antibody therapeutics. Its lead bispecific antibody candidate is MCLA-128, which is in Phase I/II clinical trials in Europe for the treatment of various solid tumors, including breast, colorectal, and ovarian cancers. The company also develops MCLA-117, a bispecific antibody candidate that is expected to commence a Phase I/II clinical trial for the treatment of patients with acute myeloid leukemia, as well as for the treatment of myelodysplastic syndrome in pre-clinical studies. Its pre-clinical bispecific antibody candidates include MCLA-134, MCLA-114, and MCLA-145, as well as other early research projects. The company has a strategic collaboration with Gustave Roussy to develop innovative bispecific antibodies for therapeutic immuno-oncology applications. Merus B.V. was founded in 2003 and is headquartered in Utrecht, the Netherlands.</t>
  </si>
  <si>
    <t>IQTR340252019</t>
  </si>
  <si>
    <t>Oncobiologics, Inc.</t>
  </si>
  <si>
    <t>NasdaqGM:ONS</t>
  </si>
  <si>
    <t>IQTR322256741</t>
  </si>
  <si>
    <t>IQ145859589</t>
  </si>
  <si>
    <t>Oncobiologics, Inc., a clinical-stage biopharmaceutical company, focuses on identifying, developing, manufacturing, and commercializing complex biosimilar therapeutics in the disease areas of immunology and oncology. It engages in developing ONS-3010, an adalimumab (Humira) biosimilar, which is in Phase 1 clinical trial. Humira is a subcutaneous injectable monoclonal antibody (mAb) that binds to tumor necrosis factor-alpha. The company also develops ONS-1045, a bevacizumab (Avastin) biosimilar that has completed a Phase 1 clinical trial. Avastin is a mAb administered by infusion that interferes with tumor growth by binding to vascular endothelial growth factor. In addition, it develops ONS-1050, a trastuzumab (Herceptin) biosimilar. Herceptin is a mAb administered by infusion that binds to human epidermal growth factor receptor 2. Further, the company develops ONS-4010, a biosimilar to denosumab (Prolia/Xgeva), has cell lines developed with clone selection completed. Oncobiologics, Inc. has collaboration and license agreements with Selexis SA; IPCA Laboratories Limited; Laboratories Liomont, S.A. de C.V.; and Zhejiang Huahai Pharmaceutical Co., Ltd. The company was founded in 2010 and is headquartered in Cranbury, New Jersey.</t>
  </si>
  <si>
    <t>IQTR330695573</t>
  </si>
  <si>
    <t>Spring Bank Pharmaceuticals, Inc.</t>
  </si>
  <si>
    <t>NasdaqCM:SBPH</t>
  </si>
  <si>
    <t>IQTR321347619</t>
  </si>
  <si>
    <t>IQ108747575</t>
  </si>
  <si>
    <t>Aeglea Biotherapeutics, Inc.</t>
  </si>
  <si>
    <t>NasdaqGM:AGLE</t>
  </si>
  <si>
    <t>IQTR304173186</t>
  </si>
  <si>
    <t>IQ253892234</t>
  </si>
  <si>
    <t>Aeglea Biotherapeutics, Inc., a biopharmaceutical company, engages in developing engineered human enzymes for the treatment of inborn errors of metabolism and cancer. It develops AERase/AEB1102, an amino acid for the degradation of arginine in the circulation, as well as for the treatment of hyperargininemia and cancer; and AECase/AEB3103, an engineered and PEGylated human cysteine/cystine degrading enzyme that increases oxidative stress through glutathione depletion for treatment of hematologic and solid malignancies. The company also engages in developing AEMase/AEB2109, an engineered human enzyme that degrades methionine for the treatment of solid tumors; and AEB4104, an engineered human enzyme that degrades homocysteine in the circulation for the treatment of inborn error of metabolism homocystinuria. It has a strategic partnership with KBI Biopharma. Aeglea Biotherapeutics, Inc. was formerly known as Aeglea BioTherapeutics Holdings, LLC. The company was founded in 2013 and is based in Austin, Texas.</t>
  </si>
  <si>
    <t>NasdaqGM:CRVS</t>
  </si>
  <si>
    <t>Phase I/Ib</t>
  </si>
  <si>
    <t>IQTR321229945</t>
  </si>
  <si>
    <t>IQ279359732</t>
  </si>
  <si>
    <t>Corvus Pharmaceuticals, Inc., a clinical stage biopharmaceutical company, focuses on the development and commercialization of immuno-oncology therapies that are designed to harness the immune system to attack cancer cells. Its lead product candidate is CPI-444, an oral, small molecule antagonist of the A2A receptor that plan to initiate a Phase 1/1b clinical trial for adenosine, an immune checkpoint. The company also develops a product candidate, an anti-CD73 monoclonal antibody that inhibits the production of adenosine. Corvus Pharmaceuticals, Inc. was founded in 2014 and is based in Burlingame, California.</t>
  </si>
  <si>
    <t>NasdaqGS:SNDX</t>
  </si>
  <si>
    <t>IQTR321228672</t>
  </si>
  <si>
    <t>IQ27240138</t>
  </si>
  <si>
    <t>Syndax Pharmaceuticals, Inc., a late-stage biopharmaceutical company, focuses on the development and commercialization of therapeutics in oncology. The company’s lead product candidate is entinostat, an epigenetic therapy for treatment-resistant cancers, such as breast cancer and lung cancer, as well as other indications comprising solid tumors and hematological malignancies. Its Entinostat is an oral histone deacetylase inhibitor that targets cancer cell growth and resistance pathways that limit the effectiveness and durability of cancer therapies. The company has a collaborative research and development agreement with the National Cancer Institute; and Genentech. Syndax Pharmaceuticals, Inc. was founded in 2005 and is headquartered in Waltham, Massachusetts.</t>
  </si>
  <si>
    <t>AveXis, Inc.</t>
  </si>
  <si>
    <t>NasdaqGS:AVXS</t>
  </si>
  <si>
    <t>IQTR322268720</t>
  </si>
  <si>
    <t>IQ259659904</t>
  </si>
  <si>
    <t>AveXis, Inc., a clinical-stage gene therapy company, engages in developing and commercializing novel treatments for patients suffering from rare and life-threatening neurological genetic diseases. Its initial product candidate is AVXS-101, a gene therapy product candidate that is in a Phase I clinical trial for the treatment of spinal muscular atrophy Type 1. The company also intends to identify, acquire, develop, and commercialize gene therapy product candidates for the treatment of other rare and life-threatening neurological genetic diseases. It has strategic collaboration and license agreements with Nationwide Children's Hospital; The Research Institute at Nationwide Children's Hospital; REGENXBIO Inc.; and Asklepios Biopharmaceutical, Inc. The company was formerly known as BioLife Cell Bank, Inc. and changed its name to AveXis, Inc. in January 2014. AveXis, Inc. was founded in 2010 and is headquartered in Bannockburn, Illinois.</t>
  </si>
  <si>
    <t>Proteostasis Therapeutics, Inc.</t>
  </si>
  <si>
    <t>NasdaqGM:PTI</t>
  </si>
  <si>
    <t>IQTR320299118</t>
  </si>
  <si>
    <t>IQ46008307</t>
  </si>
  <si>
    <t>Proteostasis Therapeutics, Inc., a biopharmaceutical company, develops therapeutics to treat protein conformational diseases. Its lead product candidate is PTI-428, an orally bioavailable cystic fibrosis transmembrane conductance regulator modulator belonging to the amplifier class. The company is also developing PTI-NC-733, a novel combination therapy; and PTI-130 for the treatment of chronic obstructive pulmonary disease. It has strategic alliance with Biogen New Ventures Inc. to enhance the clearance of misfolded aggregation-prone proteins in neurodegenerative diseases, such as in Alzheimer’s and Parkinson’s disease; and Astellas Pharma Inc. to research, develop, and commercialize therapies targeting unfolded protein response. The company was formerly known as Proteoguard, Inc. and changed its name to Proteostasis Therapeutics, Inc. in September 2007. Proteostasis Therapeutics, Inc. was founded in 2006 and is based in Cambridge, Massachusetts.</t>
  </si>
  <si>
    <t>IQTR321228585</t>
  </si>
  <si>
    <t>Axsome Therapeutics, Inc.</t>
  </si>
  <si>
    <t>NasdaqCM:AXSM</t>
  </si>
  <si>
    <t>IQTR313935119</t>
  </si>
  <si>
    <t>IQ241907563</t>
  </si>
  <si>
    <t>Axsome Therapeutics, Inc., a clinical stage biopharmaceutical company, develops therapies for the management and treatment of central nervous system disorders. Its product candidates include AXS-02, which is in Phase III trial for the treatment of complex regional pain syndrome, knee osteoarthritis, and chronic low back pain; and AXS-05 that is in Phase III trial for the treatment of resistant depression and agitation in patients with Alzheimer's disease. The company is also developing AXS-06 for the treatment of chronic pain disorders. Axsome Therapeutics, Inc. was founded in 2012 and is based in New York, New York.</t>
  </si>
  <si>
    <t>NasdaqGS:VYGR</t>
  </si>
  <si>
    <t>IQTR313272598</t>
  </si>
  <si>
    <t>IQ256887902</t>
  </si>
  <si>
    <t>IQTR313273040</t>
  </si>
  <si>
    <t>MyoKardia, Inc.</t>
  </si>
  <si>
    <t>NasdaqGS:MYOK</t>
  </si>
  <si>
    <t>IQTR312333034</t>
  </si>
  <si>
    <t>IQ217502341</t>
  </si>
  <si>
    <t>MyoKardia, Inc., a clinical stage biopharmaceutical company, engages in discovering, developing, and commercializing therapies for the treatment of serious and neglected rare cardiovascular diseases. Its lead product candidate is MYK-461, a small molecule that is in three Phase I clinical trials designed to reduce excessive cardiac muscle contractility leading to hypertrophic cardiomyopathy (HCM). The company also develops DCM-1, a drug compound that treats heritable dilated cardiomyopathy (DCM) by restoring normal contractility in the diseased DCM heart. In addition, it develops HCM-2, a product candidate to reduce cardiac muscle contractility to normal levels in HCM patients; and LUS-1, a product candidate, which is intended to counteract a muscle disruption that results in impaired relaxation of the heart. The company has a strategic collaboration with Sanofi S.A. MyoKardia, Inc. was founded in 2012 and is headquartered in South San Francisco, California.</t>
  </si>
  <si>
    <t>Dimension Therapeutics, Inc.</t>
  </si>
  <si>
    <t>NasdaqGS:DMTX</t>
  </si>
  <si>
    <t>Phase I/II</t>
  </si>
  <si>
    <t>IQTR311391393</t>
  </si>
  <si>
    <t>IQ249256428</t>
  </si>
  <si>
    <t>Dimension Therapeutics, Inc., a gene therapy platform company, focuses on discovering and developing therapeutic products for people living with rare diseases associated with the liver and caused by genetic mutations. The company's pipeline of programs includes DTX101, a lead gene therapy product candidate designed to deliver Factor IX, gene expression in patients with hemophilia B; DTX201, a gene therapy program for the treatment of hemophilia A; DTX301, a gene therapy product candidate for the treatment of patients with ornithine transcarbamylase deficiency; and DTX401, a gene therapy program for the treatment of patients with glycogen storage disease type Ia, a disease that arises from a defect in glucose-6-phosphatase. Dimension Therapeutics, Inc. was founded in 2013 and is based Cambridge, Massachusetts.</t>
  </si>
  <si>
    <t>Cerecor Inc.</t>
  </si>
  <si>
    <t>NasdaqCM:CERC</t>
  </si>
  <si>
    <t>IQTR303906594</t>
  </si>
  <si>
    <t>IQ145313032</t>
  </si>
  <si>
    <t>Cerecor Inc., a clinical-stage biopharmaceutical company, develops drugs to treat patients with neurological and psychiatric disorders. It develops CERC-301 that is in Phase II development stage for the adjunctive treatment of patients with major depressive disorder (MDD); CERC-501, which is in Phase II development stage for the adjunctive treatment of MDD, as well as to treat substance use disorders; and CERC-406 that is in preclinical stage to treat residual cognitive impairment symptoms in patients with MDD. The company was formerly known as Ceregen Corporation and changed its name to Cerecor Inc. in March 2011. Cerecor Inc. was founded in 2011 and is headquartered in Baltimore, Maryland.</t>
  </si>
  <si>
    <t>CytomX Therapeutics, Inc.</t>
  </si>
  <si>
    <t>NasdaqGS:CTMX</t>
  </si>
  <si>
    <t>IQTR310274522</t>
  </si>
  <si>
    <t>IQ60504284</t>
  </si>
  <si>
    <t>CytomX Therapeutics, Inc. operates as an oncology-focused biopharmaceutical company in the United States. The company develops novel class of antibody therapeutics based on its Probody technology platform that address clinically-validated cancer targets in immuno-oncology, such as PD-L1, as well as novel targets, comprising CD-166. In addition, it has strategic collaborations with Bristol-Myers Squibb Company, Pfizer Inc., ImmunoGen, Inc., and The University of Texas M. D. Anderson Cancer Center to develop selected Probody therapeutics. The company was founded in 2008 and is headquartered in South San Francisco, California.</t>
  </si>
  <si>
    <t>Aclaris Therapeutics, Inc.</t>
  </si>
  <si>
    <t>NasdaqGS:ACRS</t>
  </si>
  <si>
    <t>IQTR309467401</t>
  </si>
  <si>
    <t>IQ216879819</t>
  </si>
  <si>
    <t>Aclaris Therapeutics, Inc., a clinical-stage specialty pharmaceutical company, focuses on identifying, developing, and commercializing topical drugs to address various needs in dermatology. Its lead drug candidate is A-101, a hydrogen peroxide topical solution that has completed three Phase II clinical trials for the treatment of seborrheic keratosis (SK), a common non-malignant skin tumor. The company is also developing A-101 as a prescription treatment for common warts; and A-102, a proprietary topical gel dosage form of hydrogen peroxide for the treatment of SK and common warts. Aclaris Therapeutics, Inc. was founded in 2012 and is headquartered in Malvern, Pennsylvania.</t>
  </si>
  <si>
    <t>Mirna Therapeutics, Inc.</t>
  </si>
  <si>
    <t>NasdaqGM:MIRN</t>
  </si>
  <si>
    <t>IQTR309896167</t>
  </si>
  <si>
    <t>IQ44204418</t>
  </si>
  <si>
    <t>Edge Therapeutics, Inc.</t>
  </si>
  <si>
    <t>NasdaqGS:EDGE</t>
  </si>
  <si>
    <t>IQTR309361963</t>
  </si>
  <si>
    <t>IQ65059725</t>
  </si>
  <si>
    <t>Edge Therapeutics, Inc., a clinical-stage biotechnology company, discovers, develops, and commercializes hospital-based therapies for acute life-threatening neurological conditions. Its lead product includes EG-1962, a polymer-based microparticle used for the treatment of aneurysmal subarachnoid hemorrhage. The company also develops EG-1964 for the management of chronic subdural hematoma as a prophylactic treatment to prevent recurrent bleeding. The company was founded in 2009 and is headquartered in Berkeley Heights, New Jersey.</t>
  </si>
  <si>
    <t>IQTR309463048</t>
  </si>
  <si>
    <t>Global Blood Therapeutics, Inc.</t>
  </si>
  <si>
    <t>NasdaqGS:GBT</t>
  </si>
  <si>
    <t>IQTR306277984</t>
  </si>
  <si>
    <t>IQ208736100</t>
  </si>
  <si>
    <t>Global Blood Therapeutics, Inc., a biopharmaceutical company, engages in the discovery, development, and commercialization of novel therapeutics to treat grievous blood-based disorders. Its product candidate is GBT440, a hemoglobin modifier that binds to hemoglobin molecules, which is in double-blind Phase I/II clinical trial indicated for the treatment of sickle cell disease. The company also focuses on developing an oral prophylactic therapy for hypoxemic pulmonary disorders and hereditary angioedema. The company was founded in 2011 and is headquartered in South San Francisco, California.</t>
  </si>
  <si>
    <t>Aimmune Therapeutics, Inc.</t>
  </si>
  <si>
    <t>NasdaqGS:AIMT</t>
  </si>
  <si>
    <t>IQTR306081128</t>
  </si>
  <si>
    <t>IQ241653204</t>
  </si>
  <si>
    <t>Aimmune Therapeutics, Inc., a clinical-stage biopharmaceutical company, engages in the development of desensitization treatments for peanut and other food allergies. Its Characterized Oral Desensitization Immunotherapy includes AR101, a product in Phase 3 registration trial for the treatment of peanut allergy in children and adults. The company was formerly known as Allergen Research Corporation and changed its name to Aimmune Therapeutics, Inc. in May 2015. The company was founded in 2011 and is headquartered in Brisbane, California.</t>
  </si>
  <si>
    <t>Zynerba Pharmaceuticals, Inc.</t>
  </si>
  <si>
    <t>NasdaqGM:ZYNE</t>
  </si>
  <si>
    <t>IQTR305532739</t>
  </si>
  <si>
    <t>IQ35650772</t>
  </si>
  <si>
    <t>Zynerba Pharmaceuticals, Inc., a specialty pharmaceutical company, focuses on developing and commercializing proprietary synthetic cannabinoid therapeutics formulated for transdermal delivery. Its products candidates include ZYN002, which is in Phase I clinical trial for the treatment of refractory epilepsy, Fragile X syndrome, and osteoarthritis; and ZYN001 that is in preclinical stage for the treatment of fibromyalgia and peripheral neuropathic pain. The company was formerly known as AllTranz, Inc. and changed its name to Zynerba Pharmaceuticals, Inc. in August 2014. The company was founded in 2007 and is headquartered in Devon, Pennsylvania.</t>
  </si>
  <si>
    <t>IQTR304568199</t>
  </si>
  <si>
    <t>Neos Therapeutics, Inc.</t>
  </si>
  <si>
    <t>NasdaqGM:NEOS</t>
  </si>
  <si>
    <t>IQTR304502176</t>
  </si>
  <si>
    <t>IQ6774144</t>
  </si>
  <si>
    <t>Neos Therapeutics, Inc., a pharmaceutical company, engages in the development, manufacture, and commercialization of products for the treatment of attention deficit hyperactivity disorder (ADHD) using its drug delivery technologies. Its product candidates are extended-release (XR) medications in orally disintegrating tablets or liquid suspension dosage forms. The company manufactures and markets generic Tussionex, a hydrocodone polistirex and chlorpheniramine polistirex XR liquid suspension product indicated for the relief of cough and upper respiratory symptoms associated with allergies or colds in adults and children of six years of age and older. Its product candidates include Adzenys XR-ODT amphetamine for the treatment of ADHD; Cotempla XR-ODT methylphenidate for the treatment of ADHD; and NT-0201 amphetamine XR liquid suspension for the treatment of ADHD. The company is headquartered in Grand Prairie, Texas.</t>
  </si>
  <si>
    <t>Chiasma, Inc.</t>
  </si>
  <si>
    <t>NasdaqGS:CHMA</t>
  </si>
  <si>
    <t>IQTR304056961</t>
  </si>
  <si>
    <t>IQ136932688</t>
  </si>
  <si>
    <t>Chiasma, Inc., a late-stage biopharmaceutical company, focuses on developing and commercializing oral forms of therapies for patients suffering from orphan diseases. Its product candidate is octreotide capsules or MYCAPSSA, which has completed Phase III clinical trial for the treatment of acromegaly, a condition that results in the body’s production of excess growth hormone. Chiasma, Inc. was founded in 2001 and is headquartered in Newton, Massachusetts.</t>
  </si>
  <si>
    <t>Seres Therapeutics, Inc.</t>
  </si>
  <si>
    <t>NasdaqGS:MCRB</t>
  </si>
  <si>
    <t>IQTR302344120</t>
  </si>
  <si>
    <t>IQ222388947</t>
  </si>
  <si>
    <t>Seres Therapeutics, Inc., a microbiome therapeutics platform company, focuses on the development of biological drugs designed to restore health by repairing the function of a dysbiotic microbiome. Its lead product candidate is SER-109, a bacterial spore ecology, which has completed open label Phase Ib/2 clinical study for the prevention of further recurrences of Clostridium difficile infection (CDI). The company also develops SER-287 that is in phase Ib clinical study to treat inflammatory bowel disease, including ulcerative colitis. Its product candidates in pre-clinical development comprise SER-262, an Ecobiotic microbiome therapeutic designed to be used following antibiotic treatment of primary CDI; and SER-155 for the prevention of transplant-related mortality. Seres Therapeutics, Inc. has a strategic collaboration with Nestle Health Science and Memorial Sloan Kettering Cancer Center; and a collaboration agreement with the University of Pennsylvania. The company was formerly known as Seres Health, Inc. and changed its name to Seres Therapeutics, Inc. in May 2015. Seres Therapeutics, Inc. was founded in 2010 and is headquartered in Cambridge, Massachusetts.</t>
  </si>
  <si>
    <t>Catabasis Pharmaceuticals, Inc.</t>
  </si>
  <si>
    <t>NasdaqGM:CATB</t>
  </si>
  <si>
    <t>IQTR301144514</t>
  </si>
  <si>
    <t>IQ100802824</t>
  </si>
  <si>
    <t>Ritter Pharmaceuticals, Inc.</t>
  </si>
  <si>
    <t>NasdaqCM:RTTR</t>
  </si>
  <si>
    <t>Phase IIb</t>
  </si>
  <si>
    <t>IQTR304897666</t>
  </si>
  <si>
    <t>IQ62102047</t>
  </si>
  <si>
    <t>Ritter Pharmaceuticals, Inc. develops novel therapeutic products that modulate the human gut microbiome to treat gastrointestinal diseases. Its lead product candidate is RP-G28, a novel microbiome modulator, which is under development for the reduction of symptoms associated with lactose intolerance. The company’s RP-G28 is designed to stimulate the growth of lactose-metabolizing bacteria in the colon, thereby adapting the gut microbiome to assist in digesting the lactose that reaches the large intestine. Its RP-G28 has been studied in a Phase 2a clinical trial. The company was formerly known as Ritter Natural Sciences, LLC and changed its name to Ritter Pharmaceuticals, Inc. in September 2008. Ritter Pharmaceuticals, Inc. was founded in 2004 and is headquartered in Los Angeles, California.</t>
  </si>
  <si>
    <t>Nivalis Therapeutics, Inc.</t>
  </si>
  <si>
    <t>NasdaqGM:NVLS</t>
  </si>
  <si>
    <t>IQTR301140352</t>
  </si>
  <si>
    <t>IQ49900317</t>
  </si>
  <si>
    <t>Nivalis Therapeutics, Inc., a clinical stage pharmaceutical company, focuses on the discovery, development, and commercialization of product candidates for patients with cystic fibrosis (CF). CF is a life-shortening genetic disease. Its lead product candidate is N91115, a small molecule that is in Phase II clinical trial, which addresses a defect in cystic fibrosis transmembrane conductance regulator (CFTR), resulting from mutations in the CFTR gene. The company was formerly known as N30 Pharmaceuticals, Inc. and changed its name to Nivalis Therapeutics, Inc. in February 2015. Nivalis Therapeutics, Inc. was founded in 2007 and is headquartered in Boulder, Colorado.</t>
  </si>
  <si>
    <t>NasdaqGS:LIFE</t>
  </si>
  <si>
    <t>Phase Ib/II</t>
  </si>
  <si>
    <t>IQTR290493275</t>
  </si>
  <si>
    <t>IQ33940575</t>
  </si>
  <si>
    <t>aTyr Pharma, Inc., a biotherapeutics company, engages in the discovery and clinical development of Physiocrine-based therapeutics for patients suffering from severe and rare diseases. The company develops Resolaris, which is in Phase Ib/II clinical trials for treating adult patients with facioscapulohumeral muscular dystrophy (FSHD), a rare genetic myopathy with an immune component; patients with early onset FSHD; and adult patients with limb-girdle muscular dystrophy 2B or FSHD. In addition, the company is developing iMod.Fc, a preclinical immuno-modulatory domain program. The company was founded in 2005 and is headquartered in San Diego, California.</t>
  </si>
  <si>
    <t>Collegium Pharmaceutical, Inc.</t>
  </si>
  <si>
    <t>NasdaqGS:COLL</t>
  </si>
  <si>
    <t>IQTR290256723</t>
  </si>
  <si>
    <t>IQ7490189</t>
  </si>
  <si>
    <t>Collegium Pharmaceutical, Inc., a specialty pharmaceutical company, develops and commercializes abuse-deterrent products that incorporate its DETERx platform technology for the treatment of chronic pain and other diseases. Its lead product candidate is Xtampza, an oral formulation of oxycodone. The company is also developing COL-195, a hydrocodone for the treatment of chronic pain; COL-172, an oxymorphone for the treatment of chronic pain; COL-196, a morphine formulation to treat pain; and COL-171, a proprietary preclinical DETERx methylphenidate formulation for the treatment of attention deficit hyperactivity disorder. The company was formerly known as Collegium Pharmaceuticals, Inc. and changed its name to Collegium Pharmaceutical, Inc. in October 2003. Collegium Pharmaceutical, Inc. was incorporated in 2002 and is headquartered in Canton, Massachusetts.</t>
  </si>
  <si>
    <t>CoLucid Pharmaceuticals, Inc.</t>
  </si>
  <si>
    <t>NasdaqGM:CLCD</t>
  </si>
  <si>
    <t>IQTR289898966</t>
  </si>
  <si>
    <t>IQ25521313</t>
  </si>
  <si>
    <t>CoLucid Pharmaceuticals, Inc., a biopharmaceutical company, develops small molecules for the acute treatment of migraine. Its lead product candidate is Lasmiditan, an oral tablet that is in Phase III clinical program for the acute treatment of migraine headaches in adults. The company is also developing IV lasmiditan, which is in Phase II clinical trial for the acute treatment of headache pain associated with migraine in adults in emergency room and other urgent care settings. CoLucid Pharmaceuticals, Inc. was founded in 2005 and is headquartered in Cambridge, Massachusetts.</t>
  </si>
  <si>
    <t>Verseon Corporation</t>
  </si>
  <si>
    <t>AIM:VSN</t>
  </si>
  <si>
    <t>IQTR293131470</t>
  </si>
  <si>
    <t>IQ134732546</t>
  </si>
  <si>
    <t>Verseon Corporation, a pharmaceutical company, designs and develops novel therapeutics for various diseases in the United States. It conducts drug discovery programs in the areas of anticoagulation, diabetic macular edema, and oncology. The company is involved in developing oral antico-agulants for various cardiovascular indications with novel pharmacology; potent kallikrein inhibitors for the treatment of diabetic macular edema delivered through topical eye drops; and novel angiogenesis inhibitors for the treatment of solid organ tumors. Verseon Corporation was founded in 2002 and is headquartered in Fremont, California.</t>
  </si>
  <si>
    <t>NasdaqGS:BPMC</t>
  </si>
  <si>
    <t>IQTR289171754</t>
  </si>
  <si>
    <t>IQ129802746</t>
  </si>
  <si>
    <t>Viking Therapeutics, Inc.</t>
  </si>
  <si>
    <t>NasdaqCM:VKTX</t>
  </si>
  <si>
    <t>IQTR267166243</t>
  </si>
  <si>
    <t>IQ246791410</t>
  </si>
  <si>
    <t>Viking Therapeutics, Inc., a clinical-stage biopharmaceutical company, focuses on the development of therapies for metabolic and endocrine disorders. Its lead clinical program includes VK0612, an orally available drug candidate for the treatment of type 2 diabetes. The company is also developing VK5211, an orally available drug candidate, which is in a Phase II clinical trial for acute rehabilitation following non-elective hip fracture surgery. In addition, it is developing VK0214, a novel liver-selective thyroid hormone receptor beta agonist for lipid disorders, such as dyslipidemia and nonalcoholic steatohepatitis, as well as VK2809, an orally available, tissue, and receptor-subtype selective agonist of the thyroid beta receptor that is entering Phase II development for the treatment of patients with hypercholesterolemia and fatty liver disease. Viking Therapeutics, Inc. was founded in 2012 and is headquartered in San Diego, California.</t>
  </si>
  <si>
    <t>KemPharm, Inc.</t>
  </si>
  <si>
    <t>NasdaqGM:KMPH</t>
  </si>
  <si>
    <t>IQTR288193402</t>
  </si>
  <si>
    <t>IQ65059726</t>
  </si>
  <si>
    <t>KemPharm, Inc., a clinical-stage specialty pharmaceutical company, discovers and develops new proprietary prodrugs in the United States. Its advanced product candidate is KP201/APAP, which consists of KP201 prodrug of hydrocodone formulated in combination with acetaminophen (APAP). The company is also developing KP201/APAP as an immediate release (IR) product candidate for the treatment of acute pain, as well as engages in designing KP201/APAP with abuse-deterrent properties to address the epidemic of opioid abuse. The company is also involved in developing KP201/IR (APAP-free), an IR formulation of KP201 without APAP for the short-term management of acute pain; KP511/ER, a prodrug of hydromorphone for the management of pain; KP415, a prodrug of methylphenidate for the treatment of attention deficit hyperactivity disorders; KP606/IR, an IR abuse-deterrent opioid product for the management of moderate to severe pain; and KP746, a prodrug of oxymorphone for the management of moderate to severe pain. KemPharm, Inc. was founded in 2006 and is headquartered in Coralville, Iowa.</t>
  </si>
  <si>
    <t>Cidara Therapeutics, Inc.</t>
  </si>
  <si>
    <t>NasdaqGM:CDTX</t>
  </si>
  <si>
    <t>IQTR288432499</t>
  </si>
  <si>
    <t>IQ266264552</t>
  </si>
  <si>
    <t>Cidara Therapeutics, Inc., a biopharmaceutical company, focuses on the discovery, development, and commercialization of novel anti-infectives for the treatment of various diseases. Its lead product candidate is CD101 IV, a novel molecule in the echinocandin class of antifungals for the treatment and prevention of systemic Candida infections. The company also develops CD101 topical, a topical formulation of CD101 for the treatment of recurrent vulvovaginal candidiasis, a prevalent mucosal infection. In addition, it develops a proprietary immunotherapy technology platform, Cloudbreak, which is used to create compounds designed to direct a patient’s immune cells to attack and eliminate pathogens that cause infectious disease, as well as engages in evaluating Cloudbreak candidates for the treatment of invasive fungal infections, including aspergillosis, an infection caused by the fungal pathogen. The company was formerly known as K2 Therapeutics, Inc. and changed its name to Cidara Therapeutics, Inc. in June 2014. Cidara Therapeutics, Inc. was founded in 2012 and is based in San Diego, California.</t>
  </si>
  <si>
    <t>Aduro BioTech, Inc.</t>
  </si>
  <si>
    <t>NasdaqGS:ADRO</t>
  </si>
  <si>
    <t>IQTR288194671</t>
  </si>
  <si>
    <t>IQ2983625</t>
  </si>
  <si>
    <t>XBiotech, Inc.</t>
  </si>
  <si>
    <t>NasdaqGS:XBIT</t>
  </si>
  <si>
    <t>IQTR283478395</t>
  </si>
  <si>
    <t>IQ216818432</t>
  </si>
  <si>
    <t>XBiotech, Inc., a clinical-stage biopharmaceutical company, engages in discovering and developing True Human monoclonal antibodies for treating various diseases. Its lead product is MABp1, which is also known as Xilonix, a novel anti-cancer agent, which has completed Phase III clinical trial in Europe for the treatment of advanced colorectal cancer. MABp1 targets and neutralizes interleukin-1 alpha. XBiotech, Inc. was founded in 2005 and is headquartered in Austin, Texas.</t>
  </si>
  <si>
    <t>Inotek Pharmaceuticals Corporation</t>
  </si>
  <si>
    <t>NasdaqGM:ITEK</t>
  </si>
  <si>
    <t>IQTR276120901</t>
  </si>
  <si>
    <t>IQ9637643</t>
  </si>
  <si>
    <t>Inotek Pharmaceuticals Corporation, a clinical-stage biopharmaceutical company, focuses on the discovery, development, and commercialization of therapies for glaucoma and other diseases of the eye in the United States. The company’s lead product candidate includes Trabodenoson, a monotherapy that is in Phase III clinical trials for lowering IOP by restoring the eye’s natural pressure control mechanism. It is also developing Trabodenoson plus Latanoprost, a fixed-dose combination prostaglandin analogue, which has completed the Phase II clinical trials for IOP-lowering in patients who have previously had inadequate response to latanoprost, as well as Trabodenoson monotherapy that is in pre-clinical studies for the treatment of optic neuropathy and degenerative retinal diseases. The company was founded in 1999 and is headquartered in Lexington, Massachusetts.</t>
  </si>
  <si>
    <t>Bellerophon Therapeutics, Inc.</t>
  </si>
  <si>
    <t>NasdaqGM:BLPH</t>
  </si>
  <si>
    <t>IQTR281906643</t>
  </si>
  <si>
    <t>IQ257337347</t>
  </si>
  <si>
    <t>Bellerophon Therapeutics, Inc., a clinical-stage therapeutics company, focuses on the development of products at the intersection of drugs and devices that address unmet medical needs in the treatment of cardiopulmonary diseases. Its product candidates include INOpulse, a pulsatile nitric oxide delivery device, which has completed Phase II clinical trials for the treatment of pulmonary arterial hypertension, as well as in Phase II clinical trials to treat pulmonary hypertension associated with chronic obstructive pulmonary diseases; and bioabsorbable cardiac matrix, a medical device for the prevention of congestive heart failure. Bellerophon Therapeutics, Inc. was founded in 2009 and is headquartered in Warren, New Jersey.</t>
  </si>
  <si>
    <t>Eyegate Pharmaceuticals, Inc.</t>
  </si>
  <si>
    <t>NasdaqCM:EYEG</t>
  </si>
  <si>
    <t>IQTR269361921</t>
  </si>
  <si>
    <t>IQ27817978</t>
  </si>
  <si>
    <t>Eyegate Pharmaceuticals, Inc., a clinical-stage specialty pharmaceutical company, focuses on developing and commercializing therapeutics and drug delivery systems for treating eye diseases. The company is developing EGP-437 that has completed Phase III clinical trials in anterior uveitis for the treatment of various inflammatory conditions of the eye, including uveitis, a debilitating form of intraocular inflammation of the anterior portion of the uvea. It is also developing Eyegate II drug delivery system. Eyegate Pharmaceuticals, Inc. is based in Waltham, Massachusetts.</t>
  </si>
  <si>
    <t>IQTR280838614</t>
  </si>
  <si>
    <t>NasdaqGM:TCON</t>
  </si>
  <si>
    <t>IQTR280759863</t>
  </si>
  <si>
    <t>IQ33915710</t>
  </si>
  <si>
    <t>TRACON Pharmaceuticals, Inc., a clinical stage biopharmaceutical company, focuses on the development and commercialization of novel targeted therapeutics for cancer, wet age-related macular degeneration, and fibrotic diseases. Its lead product candidate is TRC105, which is in Phase II clinical trials for oncology indications, including soft tissue sarcoma, renal cell carcinoma, glioblastoma, and hepatocellular carcinoma. The company’s other product candidates comprise TRC205, an endoglin antibody that is in preclinical stage for the treatment of fibrotic diseases; and TRC102, a small molecule, which is in clinical development for the treatment of lung cancer and glioblastoma. TRACON Pharmaceuticals, Inc. has collaboration agreements with National Cancer Institute and Santen. The company was formerly known as Lexington Pharmaceuticals, Inc. and changed its name to TRACON Pharmaceuticals, Inc. in March 2005. TRACON Pharmaceuticals, Inc. was founded in 2004 and is headquartered in San Diego, California.</t>
  </si>
  <si>
    <t>Flex Pharma, Inc.</t>
  </si>
  <si>
    <t>NasdaqGM:FLKS</t>
  </si>
  <si>
    <t>IQTR280758231</t>
  </si>
  <si>
    <t>IQ261970466</t>
  </si>
  <si>
    <t>Zosano Pharma Corporation</t>
  </si>
  <si>
    <t>NasdaqCM:ZSAN</t>
  </si>
  <si>
    <t>IQTR266728076</t>
  </si>
  <si>
    <t>IQ29535235</t>
  </si>
  <si>
    <t>Zosano Pharma Corporation, a clinical stage specialty pharmaceutical company, develops a proprietary transdermal microneedle patch system to deliver drug formulations through the skin for the treatment of various indications. The company’s product candidate is ZP-Triptan, a proprietary formulation of zolmitriptan used for the treatment of migraine, which has completed a Phase I clinical trial. Its product candidates also include ZP-PTH, a proprietary formulation of teriparatide that is used for the treatment of severe osteoporosis; and ZP-Glucagon, a proprietary formulation of glucagon that is intended for the emergency rescue of patients suffering from life-threatening, severe hypoglycemia. The company was founded in 2006 and is headquartered in Fremont, California.</t>
  </si>
  <si>
    <t>Bellicum Pharmaceuticals, Inc.</t>
  </si>
  <si>
    <t>NasdaqGM:BLCM</t>
  </si>
  <si>
    <t>IQTR277811569</t>
  </si>
  <si>
    <t>IQ29554867</t>
  </si>
  <si>
    <t>Bellicum Pharmaceuticals, Inc., a clinical stage biopharmaceutical company, focuses on discovering and developing novel cellular immunotherapies for the treatment of hematological cancers, solid tumors, and orphan inherited blood disorders in the United States and internationally. Its clinical product candidate is BPX-501, an adjunct T-cell therapy in multiple Phase I/II clinical trials, administered after allogeneic hematopoietic stem cell transplantation. The company’s preclinical product candidates include BPX-601, a chimeric antigen receptor (CAR-T) product candidate for treating solid tumors expressing the prostate stem cell antigen; BPX-701, a TCR product candidate for the treatment of solid tumors expressing the preferentially-expressed antigen in melanoma; and BPX-401, a CAR-T product candidate for the treatment of hematological cancers that express the CD19 antigen. The company has a research collaboration agreement with Holland's Leiden University Medical Center to discover and validate natural high-affinity T cell receptor product candidates targeting various cancers. Bellicum Pharmaceuticals, Inc. was founded in 2004 and is headquartered in Houston, Texas.</t>
  </si>
  <si>
    <t>Juno Therapeutics Inc.</t>
  </si>
  <si>
    <t>NasdaqGS:JUNO</t>
  </si>
  <si>
    <t>IQTR277411036</t>
  </si>
  <si>
    <t>IQ252447310</t>
  </si>
  <si>
    <t>Juno Therapeutics, Inc., a biopharmaceutical company, engages in developing cell-based cancer immunotherapies. The company develops cell-based cancer immunotherapies based on its chimeric antigen receptor and T cell receptor technologies to genetically engineer T cells to recognize and kill cancer cells. Its clinical stage CD19 product candidates include JCAR015 that is in Phase II clinical trials for adult patients with relapsed/refractory B cell acute lymphoblastic leukemia (r/r ALL); JCAR017, which is in Phase I/II trials for pediatric patients with r/r ALL; and JCAR014 that is in Phase I/II trials to treat various B cell malignancies in patients relapsed or refractory to standard therapies. The company’s additional product candidates comprise CD22, a cell surface protein expressed on B lymphocytes; CD171, a cell-surface adhesion molecule to treat neuroblastoma; MUC-16, a protein for treating ovarian cancers; IL-12, a cytokine to overcome the inhibitory effects; ROR-1, a protein for the treatment of non-small cell lung, triple negative breast, pancreatic, and prostate cancers; and WT-1, an intracellular protein that is in Phase I/II clinical trials to treat adult myeloid leukemia and non-small cell lung, breast, pancreatic, ovarian, and colorectal cancers. Juno Therapeutics, Inc. has collaboration agreements with Celgene Corporation, Editas Medicine, Inc., Fate Therapeutics, Inc., MedImmune Limited, and Memorial Sloan Kettering Cancer Center. The company was formerly known as FC Therapeutics, Inc. and changed its name to Juno Therapeutics, Inc. in October 2013. Juno Therapeutics, Inc. was founded in 2013 and is headquartered in Seattle, Washington.</t>
  </si>
  <si>
    <t>Phase IIa</t>
  </si>
  <si>
    <t>ENXTAM:PBD</t>
  </si>
  <si>
    <t>NasdaqGM:PRTO</t>
  </si>
  <si>
    <t>BOVESPA:OFSA3</t>
  </si>
  <si>
    <t>NasdaqGS:ATRA</t>
  </si>
  <si>
    <t>NasdaqGS:DERM</t>
  </si>
  <si>
    <t>NasdaqGS:CALA</t>
  </si>
  <si>
    <t>NasdaqGM:VBLT</t>
  </si>
  <si>
    <t>NasdaqGM:VTAE</t>
  </si>
  <si>
    <t>NasdaqGM:TKAI</t>
  </si>
  <si>
    <t>NasdaqGM:AFMD</t>
  </si>
  <si>
    <t>NasdaqGM:OTIC</t>
  </si>
  <si>
    <t>NasdaqGM:EARS</t>
  </si>
  <si>
    <t>NasdaqGM:LOXO</t>
  </si>
  <si>
    <t>NasdaqGM:MRNS</t>
  </si>
  <si>
    <t>NasdaqGM:ORPN</t>
  </si>
  <si>
    <t>NasdaqCM:CFRX</t>
  </si>
  <si>
    <t>NasdaqGM:OCUL</t>
  </si>
  <si>
    <t>AMEX:PFNX</t>
  </si>
  <si>
    <t>Intersect ENT, Inc.</t>
  </si>
  <si>
    <t>NasdaqGM:XENT</t>
  </si>
  <si>
    <t>IQTR266643354</t>
  </si>
  <si>
    <t>IQ37464681</t>
  </si>
  <si>
    <t>NasdaqGM:SAGE</t>
  </si>
  <si>
    <t>Roka Bioscience, Inc.</t>
  </si>
  <si>
    <t>NasdaqGM:ROKA</t>
  </si>
  <si>
    <t>IQTR264238438</t>
  </si>
  <si>
    <t>IQ65148484</t>
  </si>
  <si>
    <t>CareDx, Inc</t>
  </si>
  <si>
    <t>NasdaqGM:CDNA</t>
  </si>
  <si>
    <t>IQTR265379464</t>
  </si>
  <si>
    <t>IQ9985914</t>
  </si>
  <si>
    <t>CareDx, Inc., a molecular diagnostics company, focuses on the discovery, development, and commercialization of diagnostic surveillance solutions for transplant patients in the United States and internationally. The company’s commercialized testing solution includes the AlloMap heart transplant molecular test (AlloMap), a gene expression test that helps clinicians monitor and identify heart transplant recipients with stable graft function who have a low probability of moderate/severe acute cellular rejection. It is also developing AlloSure, a next-generation sequencing-based test to detect donor-derived cell-free DNA after transplantation. The company markets its AlloMap solution to healthcare providers through its direct sales force that targets transplant centers and their physicians, coordinators, and nurse practitioners. The company was formerly known as XDx, Inc. and changed its name to CareDx, Inc. in March 2014. CareDx, Inc. was incorporated in 1998 and is headquartered in Brisbane, California.</t>
  </si>
  <si>
    <t>NasdaqCM:GBIM</t>
  </si>
  <si>
    <t>NasdaqGM:NERV</t>
  </si>
  <si>
    <t>NasdaqGS:AMPH</t>
  </si>
  <si>
    <t>Kite Pharma, Inc.</t>
  </si>
  <si>
    <t>NasdaqGS:KITE</t>
  </si>
  <si>
    <t>IQTR264099256</t>
  </si>
  <si>
    <t>IQ128240703</t>
  </si>
  <si>
    <t>Kite Pharma, Inc., a clinical-stage biopharmaceutical company, focuses on the development and commercialization of novel cancer immunotherapy products. The company is developing a pipeline of engineered autologous cell therapy-based product candidates for the treatment of solid and hematological malignancies. Its lead product candidate is KTE-C19, a chimeric antigen receptors (CAR)-based therapy that is in Phase 2 clinical trials for the treatment of patients with refractory diffuse large B cell lymphoma, including primary mediastinal B cell lymphoma and transformed follicular lymphoma. The company is also conducting a Phase 2 clinical trial of KTE-C19 on patients with relapsed/refractory mantle cell lymphoma; a Phase 1-2 clinical trial of KTE-C19 on adult patients with relapsed/refractory acute lymphoblastic leukemia; and a Phase 1-2 clinical trial of KTE-C19 in pediatric patients with relapsed/refractory. In addition, it engages in developing T cell receptors-based therapies, which targets self-antigens, viral antigens, and neo-antigens. The company has a research collaboration and license agreement with Amgen Inc. to develop and commercialize various CAR-based product candidates; collaboration agreements with the Surgery Branch of the National Cancer Institute and bluebird bio, Inc.; cooperative research and development agreements with the U.S. Department of Health and Human Services; a license agreement with Cabaret Biotech Ltd.; a license and research agreement with Alpine Immune Sciences, Inc.; and a clinical trial collaboration agreement with Genentech to evaluate the safety and efficacy of KTE-C19, in combination with atezolizumab in patients with non-Hodgkin lymphoma. Kite Pharma, Inc. was founded in 2009 and is headquartered in Santa Monica, California.</t>
  </si>
  <si>
    <t>NasdaqGM:ARDX</t>
  </si>
  <si>
    <t>NasdaqGM:PARN</t>
  </si>
  <si>
    <t>NasdaqGS:ZFGN</t>
  </si>
  <si>
    <t>NasdaqGM:RDUS</t>
  </si>
  <si>
    <t>NasdaqGM:AGRX</t>
  </si>
  <si>
    <t>NasdaqGM:ALDR</t>
  </si>
  <si>
    <t>NasdaqGM:SCYX</t>
  </si>
  <si>
    <t>NasdaqCM:ALDX</t>
  </si>
  <si>
    <t>NasdaqGM:CERU</t>
  </si>
  <si>
    <t>NasdaqGM:ADMS</t>
  </si>
  <si>
    <t>NasdaqGM:CORI</t>
  </si>
  <si>
    <t>NasdaqGM:AGTC</t>
  </si>
  <si>
    <t>NasdaqGM:MDWD</t>
  </si>
  <si>
    <t>NasdaqGS:VSAR</t>
  </si>
  <si>
    <t>NasdaqGM:AKBA</t>
  </si>
  <si>
    <t>NasdaqCM:DPRX</t>
  </si>
  <si>
    <t>NasdaqCM:GLMD</t>
  </si>
  <si>
    <t>NasdaqGM:AKAO</t>
  </si>
  <si>
    <t>NasdaqGS:VWR</t>
  </si>
  <si>
    <t>NasdaqGM:AAVL</t>
  </si>
  <si>
    <t>NYSE:CTLT</t>
  </si>
  <si>
    <t>NasdaqGM:ZSPH</t>
  </si>
  <si>
    <t>OIP</t>
  </si>
  <si>
    <t>Implied Value</t>
  </si>
  <si>
    <t>Backsolve --&gt;</t>
  </si>
  <si>
    <t>Label Format #6</t>
  </si>
  <si>
    <t>(in USD or Shares)</t>
  </si>
  <si>
    <t>Per Share Value Summary</t>
  </si>
  <si>
    <t>Concluded Common Stock Price</t>
  </si>
  <si>
    <t>Methodology Summary</t>
  </si>
  <si>
    <t>Primary Methodology</t>
  </si>
  <si>
    <t>Confirming Methodology</t>
  </si>
  <si>
    <t>Event Timings</t>
  </si>
  <si>
    <t>Approaches Summary</t>
  </si>
  <si>
    <t>WACC Summary</t>
  </si>
  <si>
    <t>Cost of Capital Type</t>
  </si>
  <si>
    <t>Concluded Cost of Capital</t>
  </si>
  <si>
    <t>Forward Looking Equity Risk Premium</t>
  </si>
  <si>
    <t xml:space="preserve">Equity Risk Premium </t>
  </si>
  <si>
    <t xml:space="preserve">Equity Size Premium </t>
  </si>
  <si>
    <t>Company-Specific Risk Premium</t>
  </si>
  <si>
    <t xml:space="preserve">Preferred (Debt-Like Component) </t>
  </si>
  <si>
    <t xml:space="preserve">Preferred (Equity-Like Component) </t>
  </si>
  <si>
    <t xml:space="preserve">Equity (Common + Granted Options/Warrants) </t>
  </si>
  <si>
    <t>Cost of Capital (Enterprise Level - Portfolio)</t>
  </si>
  <si>
    <t>LTM Metrics Summary</t>
  </si>
  <si>
    <t>Forecast Summary</t>
  </si>
  <si>
    <t>Most Recent Round</t>
  </si>
  <si>
    <t>Round Date</t>
  </si>
  <si>
    <t>Most Recent Round Price</t>
  </si>
  <si>
    <t>Most Recent Raise</t>
  </si>
  <si>
    <t>Most Recent Pre-Money Valuation</t>
  </si>
  <si>
    <t>Most Recent Post-Money Valuation</t>
  </si>
  <si>
    <t>Total Shares Outstanding</t>
  </si>
  <si>
    <t>Last Options Granted Strike Price</t>
  </si>
  <si>
    <t>Common as a % of Latest Preferred Round</t>
  </si>
  <si>
    <t>OPM Term to Exit (Years)</t>
  </si>
  <si>
    <t>OPM Term to Exit (Date)</t>
  </si>
  <si>
    <t>Updated upto:</t>
  </si>
  <si>
    <t>Implied Discount for Lack of Control ("DLOC") - Common</t>
  </si>
  <si>
    <t>Based on the 25th segment ranked by sales for the Duff &amp; Phelps, LLC Risk Premium Report 2016.</t>
  </si>
  <si>
    <t>Pre-Tax Cost of Debt</t>
  </si>
  <si>
    <t>#</t>
  </si>
  <si>
    <t>M&amp;A - Early</t>
  </si>
  <si>
    <t>Template Model</t>
  </si>
  <si>
    <t>Date of Update</t>
  </si>
  <si>
    <t>Updated by</t>
  </si>
  <si>
    <t>Sheet</t>
  </si>
  <si>
    <t>Cell</t>
  </si>
  <si>
    <t>Comments (if any)</t>
  </si>
  <si>
    <t>Last Modified</t>
  </si>
  <si>
    <t>Priya</t>
  </si>
  <si>
    <t>OPM 2</t>
  </si>
  <si>
    <t>C24</t>
  </si>
  <si>
    <t>Removed duplicate reference for footnote 1</t>
  </si>
  <si>
    <t>WACC CAPM</t>
  </si>
  <si>
    <t>B42</t>
  </si>
  <si>
    <t>Added note to update unsystematic risk premium whenever WACC CAPM is used</t>
  </si>
  <si>
    <t>PWERM, Comparitive Sheet</t>
  </si>
  <si>
    <t>Various</t>
  </si>
  <si>
    <t>Fixed the basis as 3 for all YEARFRAC formulas through a global search.</t>
  </si>
  <si>
    <t>Q6</t>
  </si>
  <si>
    <t>Added “ROUND” formula</t>
  </si>
  <si>
    <t>Capital IQ DATA</t>
  </si>
  <si>
    <t>T13, T14</t>
  </si>
  <si>
    <t>Fixed the link to cell B4</t>
  </si>
  <si>
    <t>B49, B50</t>
  </si>
  <si>
    <t>Added footnote</t>
  </si>
  <si>
    <t>Company ABC IRC 409a VD MM.DD.YY Draft Exhibits YYYY.MM.DD_v4</t>
  </si>
  <si>
    <t>Asset Volatility - Comps</t>
  </si>
  <si>
    <t>Asset Volatility - Company (For OPM)</t>
  </si>
  <si>
    <t>Asset Volatility - Company (For DLOM)</t>
  </si>
  <si>
    <t>Harshit</t>
  </si>
  <si>
    <t>Volatility check Val Summ</t>
  </si>
  <si>
    <t>WACC - PWERM</t>
  </si>
  <si>
    <t>Removed Macro</t>
  </si>
  <si>
    <t>Volatility check in out of print area</t>
  </si>
  <si>
    <t>Corrected calculation of Options (Treasury Method) and Common Stock Equity</t>
  </si>
  <si>
    <t>D15</t>
  </si>
  <si>
    <t>Updated formatting</t>
  </si>
  <si>
    <t>Row X</t>
  </si>
  <si>
    <t>Label Format #7</t>
  </si>
  <si>
    <t>(in millions of USD, except stock price)</t>
  </si>
  <si>
    <t>Harsh</t>
  </si>
  <si>
    <t>Market Trends</t>
  </si>
  <si>
    <t>Z4</t>
  </si>
  <si>
    <t>Changed label to (in millions of USD, except stock price)</t>
  </si>
  <si>
    <t>Row 238 onwards</t>
  </si>
  <si>
    <t>Treasury Method calculation</t>
  </si>
  <si>
    <t>H19, J19</t>
  </si>
  <si>
    <t>Fixed the formula for WACC to include Options/Warrants (Treasury Method)</t>
  </si>
  <si>
    <t>smallest (in millions)</t>
  </si>
  <si>
    <t>largest (in millions)</t>
  </si>
  <si>
    <t xml:space="preserve"> Year - 2017</t>
  </si>
  <si>
    <t>WACC - CAPM</t>
  </si>
  <si>
    <t>D&amp;P 2017</t>
  </si>
  <si>
    <t>A46:H67, B40, B41</t>
  </si>
  <si>
    <t>Important Points to Note</t>
  </si>
  <si>
    <t>1) Linking of Debt</t>
  </si>
  <si>
    <t>a) PWERM: PV of Debt Like component for differn. DLOM</t>
  </si>
  <si>
    <t>b) OPM: Debt as in Val. Summ.</t>
  </si>
  <si>
    <t>c) DLOM_OPM: Val sum + Tranche Value of LP</t>
  </si>
  <si>
    <t>d) Hybrid OPM: Debt as in Val Summ.</t>
  </si>
  <si>
    <t>e) Hybrid OPM_DLOM: PV of Debt Like component from PWERM</t>
  </si>
  <si>
    <t>2) Linking for EV</t>
  </si>
  <si>
    <t>a) PWERM: Equity Value in PWERM - Excess Cash + Debt</t>
  </si>
  <si>
    <t>b) OPM: Equity Value in OPM -Excess Cash + Debt</t>
  </si>
  <si>
    <t>c) DLOM_OPM: Equity Value in OPM -Excess Cash + Debt</t>
  </si>
  <si>
    <t>d) Hybrid OPM: Weighted Average Equity Value in Hybrid OPM -Excess Cash + Debt</t>
  </si>
  <si>
    <t>d) Hybrid OPM_DLOM: Weighted Average Equity Value in Hybrid OPM -Excess Cash + Debt</t>
  </si>
  <si>
    <t>Product (if applicable)</t>
  </si>
  <si>
    <t>Milestone Payment (if applicable)</t>
  </si>
  <si>
    <t>Probability of Dissolution (captured in OPM)</t>
  </si>
  <si>
    <t>Year 6</t>
  </si>
  <si>
    <t>Year 7</t>
  </si>
  <si>
    <t>Year 8</t>
  </si>
  <si>
    <t>Outline - Workpapers</t>
  </si>
  <si>
    <t>Workpaper Number</t>
  </si>
  <si>
    <t>Workpaper Labeling</t>
  </si>
  <si>
    <t>Post-IPO 
Equity Value</t>
  </si>
  <si>
    <t>Comparable Equity Value After 30 Days</t>
  </si>
  <si>
    <t>% Change in Equity Value</t>
  </si>
  <si>
    <t>BD</t>
  </si>
  <si>
    <t>Discovery / IND / Preclinical</t>
  </si>
  <si>
    <t>IND Filed</t>
  </si>
  <si>
    <t>IND Filing</t>
  </si>
  <si>
    <t>Blueprint Medicines Corporation, a biopharmaceutical company, develops drugs of small molecule kinase inhibitors that target genomic drivers in various cancers and rare genetic diseases. Its lead drug candidates include BLU-285, which targets KIT Exon 17 mutants and PDGFRa D842V, abnormally active receptor tyrosine kinase mutants for patients with systemic mastocytosis, a myeloproliferative disorder of the mast cells, and defined subsets of patients with gastrointestinal stromal tumor; and BLU-554, an orally available, potent, selective, and irreversible inhibitor of the kinase FGFR4. It is also developing BLU-667, a drug candidate that targets RET, a receptor tyrosine kinase that can become abnormally activated by mutations or translocations; and RET resistant mutants that would arise from treatment with first generation therapies, as well as candidates as inhibitors of neurotrophic tyrosine receptor kinase (NTRK) and predicted NTRK resistant mutants. In addition, the company is developing programs that target oncology and rare genetic diseases. The company has agreement with Alexion Pharma Holding to research, develop, and commercialize drug candidates for an undisclosed activated kinase target, which is the cause of a rare genetic disease. The company was formerly known as Hoyle Pharmaceuticals, Inc. and changed its name to Blueprint Medicines Corporation in June 2011. Blueprint Medicines Corporation was founded in 2008 and is headquartered in Cambridge, Massachusetts.</t>
  </si>
  <si>
    <t>Flex Pharma, Inc., a biotechnology company, develops and commercializes products for the treatment of nocturnal leg cramps, muscle cramps, spasms, and spasticity associated with neuromuscular conditions; and exercise-associated muscle cramps. The company develops its products based on the mechanism of muscle cramp inhibition. Flex Pharma, Inc. was founded in 2014 and is headquartered in Boston, Massachusetts.</t>
  </si>
  <si>
    <t>Phase I / I/Ib / I/IIa / Ib / Ib/II</t>
  </si>
  <si>
    <t>Jounce Therapeutics, Inc.</t>
  </si>
  <si>
    <t>NasdaqGS:JNCE</t>
  </si>
  <si>
    <t>IQTR414739851</t>
  </si>
  <si>
    <t>AnaptysBio, Inc.</t>
  </si>
  <si>
    <t>NasdaqGS:ANAB</t>
  </si>
  <si>
    <t xml:space="preserve"> IQTR311061881</t>
  </si>
  <si>
    <t>IQTR311061881</t>
  </si>
  <si>
    <t>Phase I/IIa</t>
  </si>
  <si>
    <t>Voyager Therapeutics, Inc., a clinical-stage gene therapy company, focuses on the development of treatments for patients suffering from severe diseases of the central nervous system. The company’s lead clinical candidate is the VY-AADC01, which is in Phase Ib clinical trial for the treatment of advanced Parkinson's disease. Its preclinical programs comprise VY-SOD101 for a monogenic form of amyotrophic lateral sclerosis; VY-FXN01 for Friedreich's ataxia; VY-HTT01 for Huntington’s disease; and VY-SMN101 for spinal muscular atrophy. The company has strategic collaboration agreements with Genzyme Corporation and the University of Massachusetts; and a research collaboration agreement with CHDI Foundation, Inc. to advance its VY-HTT01 program, an adeno-associated virus-mediated gene-silencing therapy for Huntington’s disease. Voyager Therapeutics, Inc. was founded in 2013 and is headquartered in Cambridge, Massachusetts.</t>
  </si>
  <si>
    <t>Mirna Therapeutics, Inc., a clinical-stage biopharmaceutical company, develops a pipeline of microRNA-based oncology therapeutics. The company is developing mimics of naturally occurring microRNAs (miR) that are designed to restore tumor suppressor activity and aid appropriate anti-tumor immune response. Its lead product candidate is MRX34, a mimic of naturally occurring microRNA-34 encapsulated in a liposomal nanoparticle formulation which is in Phase 1 clinical trial for the treatment of cancer. The company’s preclinical product candidates include miR-215 for the treatment of esophageal, kidney, and multiple myeloma cancers; miR-101 for the treatment of bladder, gastric, lung, and ovarian cancers; miR-16 for the treatment of chronic lymphocytic leukemia and lymphoma cancers; and let-7 for the treatment of prostate, pancreatic, and melanoma cancers. It has strategic partnerships and license agreements with Asuragen, Inc.; Marina Biotech, Inc.; the Yale University; the University of Zurich; Rosetta Genomics Ltd.; the Cancer Prevention and Research Institute of Texas; and Polymun Scientific Immunbiologische Forschung GmbH. The company was founded in 2007 and is headquartered in Austin, Texas. Mirna Therapeutics, Inc. operates as a subsidiary of Asuragen, Inc.</t>
  </si>
  <si>
    <t>Catabasis Pharmaceuticals, Inc., a clinical-stage biopharmaceutical company, focuses on the discovery, development, and commercialization of therapeutics to treat inflammatory and metabolic diseases. Its product pipeline includes CAT-1004, an oral small molecule that has completed Phase 1 clinical trials for the treatment of duchenne muscular dystrophy (DMD); CAT-2054, which is in Phase I clinical trial for the treatment of hypercholesterolemia in patients for whom existing treatments are insufficient; and CAT-2003 that has completed Phase IIa trials for the treatment of patients with elevated triglycerides or hypertriglyceridemia. It is also developing CAT-4001 that is in preclinical stage for the treatment for severe, rare neurodegenerative diseases, such as Friedreich's ataxia and amyotrophic lateral sclerosis. The company has collaboration agreements with dystrophy association for the development of CAT-1004, a treatment for DMD; and Sarepta Therapeutics, Inc. to explore a combination drug treatment approach for DMD. Catabasis Pharmaceuticals, Inc. was founded in 2008 and is based in Cambridge, Massachusetts.</t>
  </si>
  <si>
    <t>aTyr Pharma, Inc.</t>
  </si>
  <si>
    <t>Adaptimmune Therapeutics plc</t>
  </si>
  <si>
    <t>NasdaqGS:ADAP</t>
  </si>
  <si>
    <t>IQTR290492678</t>
  </si>
  <si>
    <t>IQ113495056</t>
  </si>
  <si>
    <t>Adaptimmune Therapeutics plc, a clinical-stage biopharmaceutical company, focuses on the provision of cancer immunotherapy products based on its T-cell receptor platform. Its platform enables to identify cancer targets; find and genetically engineer T-cell receptors (TCR); and produce TCR therapeutic candidates for administration to patients. The company’s lead program includes NY-ESO cancer antigen, which is in Phase 1/2 clinical trials for the treatment of patients with solid tumors, as well as hematological cancer types, including synovial sarcoma and multiple myeloma. Adaptimmune Therapeutics plc is also developing MAGE A-10 TCR that is in Phase 1/2 clinical trials for the treatment of non-small cell lung cancer and other solid tumors; and Alpha Fetoprotein TCR therapeutic candidate that has completed preclinical testing for targeting a peptide associated with hepatocellular carcinoma. It has a strategic collaboration and licensing agreement with GlaxoSmithKline for the development and commercialization of the NY-ESO TCR program; and strategic alliance with MD Anderson Cancer Center for the development of adoptive T-cell therapies for various cancers. The company also has a clinical trial collaboration agreement with Merck &amp; Co., Inc. for the assessment of NY-ESO specific peptide enhanced affinity receptor T-cell therapy in combination with anti-programmed death-1 inhibitor in patients with multiple myeloma. Adaptimmune Therapeutics plc was founded in 2014 and is headquartered in Abingdon, the United Kingdom.</t>
  </si>
  <si>
    <t>Phase II / IIa / IIb / II/III</t>
  </si>
  <si>
    <t>Tocagen Inc.</t>
  </si>
  <si>
    <t>NasdaqGS:TOCA</t>
  </si>
  <si>
    <t>Phase II/III</t>
  </si>
  <si>
    <t>IQTR423020775</t>
  </si>
  <si>
    <t>IQ47097690</t>
  </si>
  <si>
    <t>Tocagen Inc., a clinical-stage company, focuses on developing gene therapy candidates to activate a patient’s immune system against their cancer in the United States. The company is developing Toca 511 &amp; Toca FC that is in Phase II/III clinical trial for patients with recurrent high grade glioma (HGG); and Phase Ib clinical trial for the intravenous treatment of metastatic colorectal, pancreatic, breast, lung, melanoma, and renal cancers, as well as in preclinical stage for newly diagnosed HGG. It is also developing other retroviral replicating vectors to deliver genes to cancer cells against validated immunotherapy targets, such as the checkpoint protein PD-L1. The company was founded in 2007 and is headquartered in San Diego, California.</t>
  </si>
  <si>
    <t>ObsEva SA</t>
  </si>
  <si>
    <t>NasdaqGS:OBSV</t>
  </si>
  <si>
    <t>IQTR414750474</t>
  </si>
  <si>
    <t>ObsEva SA, a clinical-stage biopharmaceutical company, focuses on the development and commercialization of novel therapeutics for women between the ages of 15 and 49 suffering from reproductive health and pregnancy. The company intends to develop treatments for treating endometriosis, uterine fibroids, and preterm labor. It is developing OBE2109, an oral gonadotropin-releasing hormone receptor antagonist for the treatment of pain associated with endometriosis and heavy menstrual bleeding associated with uterine fibroids in pre-menopausal women; OBE001, an oral oxytocin receptor antagonist to improve clinical pregnancy and live birth rates in women undergoing IVF; and OBE022, an oral and selective prostaglandin F2a receptor antagonist, as a once daily treatment for preterm labor in weeks 24 to 34 of pregnancy. The company was founded in 2012 and is headquartered in Plan-les-Ouates, Switzerland.</t>
  </si>
  <si>
    <t>ObsEva_SA_-_Form_F-1A(Jan-23-2017)</t>
  </si>
  <si>
    <t>pg. 10</t>
  </si>
  <si>
    <t>Pg. 1</t>
  </si>
  <si>
    <t>IQ245335894</t>
  </si>
  <si>
    <t>ObsEva SA, a clinical-stage biopharmaceutical company, focuses on the development and commercialization of novel therapeutics for women between the ages of 15 and 49 suffering from reproductive health and pregnancy. The company intends to develop treatments for treating endometriosis, uterine fibroids, and preterm labor. It is developing OBE2109, an oral gonadotropin-releasing hormone receptor antagonist for the treatment of pain associated with endometriosis and heavy menstrual bleeding associated with uterine fibroids in pre-menopausal women; OBE001, an oral oxytocin receptor antagonist to improve clinical pregnancy and live birth rates in women undergoing IVF; and OBE022, an oral and selective prostaglandin F2a receptor antagonist, as a once daily treatment for preterm labor in weeks 24 to 34 of pregnancy. The company was founded in 2012 and is headquartered in Geneva, Switzerland.</t>
  </si>
  <si>
    <t>Spring Bank Pharmaceuticals, Inc., a clinical-stage biopharmaceutical company, engages in the discovery and development of a class of therapeutics using its proprietary small molecule nucleic acid hybrid (SMNH) chemistry platform. Its SMNH compounds are small segments of nucleic acids that are design to target and modulate the activity of specific proteins implicated in various disease states. The company’s lead product candidate is SB 9200, which completed a Phase 1 clinical trial for the treatment of chronic hepatitis B virus and respiratory syncytial virus. It also develops preclinical product candidates, such as SB 9400, SB 9941 and SB 9946 for RNA viral diseases. The company has a collaborative agreement with Arrowhead Pharmaceuticals Inc. to perform studies on Arrowhead’s ARC-520 and Spring Bank’s SB 9200 for the treatment of chronic Hepatitis B (HBV); and has clinical trial collaboration with Gilead Sciences for a HBV Phase II clinical study with Spring Bank's SB 9200 in combination with VireadÂ (tenofovir disoproxil fumarate) for HBV patients. The company was formerly known as Spring Bank Technologies, Inc. and changed its name to Spring Bank Pharmaceuticals, Inc. in May 2008. Spring Bank Pharmaceuticals, Inc. was founded in 2002 and is headquartered in Milford, Massachusetts.</t>
  </si>
  <si>
    <t>Aduro BioTech, Inc., a clinical-stage immunotherapy company, focuses on the discovery, development, and commercialization that transform the treatment of challenging diseases. Its lead product candidate is CRS-207, an immuno-oncology therapy, which is in a Phase IIb clinical trial for the treatment of metastatic pancreatic cancer, unresectable malignant pleural mesothelioma, and ovarian cancer. The company also offers STING Pathway Activator product candidates that are synthetic small molecule immune modulators, which target and activate Stimulator of Interferon Genes receptor under collaboration with Novartis Pharmaceuticals Corporation; and develops monoclonal antibodies with the potential to yield immunotherapy. Aduro BioTech, Inc. also has a collaboration agreement with Janssen Biotech, Inc. to develop drugs for the treatment of prostate and lung cancers. The company was formerly known as Oncologic, Inc. and changed its name to Aduro BioTech, Inc. in June 2008. Aduro BioTech, Inc. was founded in 2000 and is headquartered in Berkeley, California.</t>
  </si>
  <si>
    <t>NasdaqGS:BLUE</t>
  </si>
  <si>
    <t>IQTR240095442</t>
  </si>
  <si>
    <t>IQ28921</t>
  </si>
  <si>
    <t>bluebird bio, Inc., a clinical-stage biotechnology company, focuses on developing transformative gene therapies for severe genetic and rare diseases. Its product candidates include Lenti-D, which is in phase II/III clinical studies for the treatment of cerebral adrenoleukodystrophy, a rare, hereditary neurological disorder; and LentiGlobin that is in phase I/II clinical studies for the treatment of beta-thalassemia major and severe sickle cell disease (SCD) in France, as well as a phase I study in the United States for the treatment of severe SCD. The company’s lead chimeric antigen receptor T cell-based product candidate is bb2121, which is in phase I clinical trials for the treatment of relapsed and refractory multiple myeloma. bluebird bio, Inc. has a strategic collaboration with Celgene Corporation to discover, develop, and commercialize disease-altering gene therapies in oncology; and Kite Pharma, Inc. to develop and commercialize second generation T cell receptor product candidates against the human papillomavirus type 16 E6 oncoprotein. The company was formerly known as Genetix Pharmaceuticals, Inc., and changed its name to bluebird bio, Inc. in September 2010. bluebird bio, Inc. was founded in 1992 and is headquartered in Cambridge, Massachusetts.</t>
  </si>
  <si>
    <t>Phase III and NDA Filed</t>
  </si>
  <si>
    <t>BeyondSpring Inc.</t>
  </si>
  <si>
    <t>NasdaqCM:BYSI</t>
  </si>
  <si>
    <t>IQTR409737963</t>
  </si>
  <si>
    <t>IQ409784135</t>
  </si>
  <si>
    <t>BeyondSpring Inc., a clinical stage biopharmaceutical company, focuses on the development of cancer therapies. The company is advancing its lead asset, Plinabulin, into a Phase 2/3 clinical trial for the reduction of docetaxel chemotherapy-induced severe, grade 4 neutropenia; a Phase 2/3 clinical trial for the prevention of non-docetaxel chemotherapy-induced severe, grade 4 neutropenia; and a Phase 3 clinical trial as an anticancer agent in combination with docetaxel in advanced NSCLC. BeyondSpring Inc. was founded in 2010 and is headquartered in New York, New York.</t>
  </si>
  <si>
    <t>Source: http://www.nasdaq.com/markets/ipos/company/beyondspring-inc-1008377-82102</t>
  </si>
  <si>
    <t>Clearside BioMedical, Inc.</t>
  </si>
  <si>
    <t>NasdaqGM:CLSD</t>
  </si>
  <si>
    <t xml:space="preserve"> IQTR321712938</t>
  </si>
  <si>
    <t>Clearside BioMedical, Inc., a biopharmaceutical company, develops drug therapies to treat chronic blinding diseases of the eye. Its products include CLS-1001 for the treatment of macular edema associated with non-infectious uveitis; CLS-1003 for the treatment of macular edema associated with retinal vein occlusion; and CLS-1002 program for the treatment of wet age-related macular degeneration. The company was founded in 2011 and is headquartered in Alpharetta, Georgia.</t>
  </si>
  <si>
    <t>NDA Filed</t>
  </si>
  <si>
    <t>Overall Metrics</t>
  </si>
  <si>
    <t>IPO - METRICS</t>
  </si>
  <si>
    <t>Offer Date</t>
  </si>
  <si>
    <t>Post IPO</t>
  </si>
  <si>
    <t>Post IPO + 30 Days</t>
  </si>
  <si>
    <t>Enterprise</t>
  </si>
  <si>
    <t>Multiple</t>
  </si>
  <si>
    <t xml:space="preserve">Multiple </t>
  </si>
  <si>
    <t xml:space="preserve"> Value</t>
  </si>
  <si>
    <t>iRhythm Technologies, Inc.</t>
  </si>
  <si>
    <t>NasdaqGM:IRTC</t>
  </si>
  <si>
    <t>IQTR402652323</t>
  </si>
  <si>
    <t>IQ34159879</t>
  </si>
  <si>
    <t>Obalon Therapeutics, Inc.</t>
  </si>
  <si>
    <t>NasdaqGM:OBLN</t>
  </si>
  <si>
    <t>IQTR383379322</t>
  </si>
  <si>
    <t>IQ41660644</t>
  </si>
  <si>
    <t>Tactile Systems Technology, Inc.</t>
  </si>
  <si>
    <t>NasdaqGM:TCMD</t>
  </si>
  <si>
    <t>IQTR323391525</t>
  </si>
  <si>
    <t>IQ6233509</t>
  </si>
  <si>
    <t>Pulse Biosciences, Inc.</t>
  </si>
  <si>
    <t>NasdaqCM:PLSE</t>
  </si>
  <si>
    <t>IQTR340039751</t>
  </si>
  <si>
    <t>IQ276735354</t>
  </si>
  <si>
    <t>PAVmed Inc.</t>
  </si>
  <si>
    <t>NasdaqCM:PAVM</t>
  </si>
  <si>
    <t>IQTR324054248</t>
  </si>
  <si>
    <t>IQ277974005</t>
  </si>
  <si>
    <t>Penumbra, Inc.</t>
  </si>
  <si>
    <t>NYSE:PEN</t>
  </si>
  <si>
    <t>IQTR309360508</t>
  </si>
  <si>
    <t>IQ28688621</t>
  </si>
  <si>
    <t>ConforMIS, Inc.</t>
  </si>
  <si>
    <t>NasdaqGS:CFMS</t>
  </si>
  <si>
    <t>IQTR301965169</t>
  </si>
  <si>
    <t>IQ22001832</t>
  </si>
  <si>
    <t>Glaukos Corporation</t>
  </si>
  <si>
    <t>NYSE:GKOS</t>
  </si>
  <si>
    <t>IQTR301015306</t>
  </si>
  <si>
    <t>IQ3131592</t>
  </si>
  <si>
    <t>AirXpanders, Inc.</t>
  </si>
  <si>
    <t>ASX:AXP</t>
  </si>
  <si>
    <t>IQTR300922266</t>
  </si>
  <si>
    <t>IQ30348884</t>
  </si>
  <si>
    <t>Invuity, Inc.</t>
  </si>
  <si>
    <t>NasdaqGM:IVTY</t>
  </si>
  <si>
    <t>IQTR291764631</t>
  </si>
  <si>
    <t>IQ52419231</t>
  </si>
  <si>
    <t>EndoChoice Holdings, Inc.</t>
  </si>
  <si>
    <t>IQ276305745</t>
  </si>
  <si>
    <t>IQTR296178104</t>
  </si>
  <si>
    <t>Avinger, Inc.</t>
  </si>
  <si>
    <t>NasdaqGM:AVGR</t>
  </si>
  <si>
    <t>IQTR280838605</t>
  </si>
  <si>
    <t>IQ98560456</t>
  </si>
  <si>
    <t>Entellus Medical, Inc.</t>
  </si>
  <si>
    <t>NasdaqGM:ENTL</t>
  </si>
  <si>
    <t>IQTR280524672</t>
  </si>
  <si>
    <t>IQ35555971</t>
  </si>
  <si>
    <t>Second Sight Medical Products, Inc.</t>
  </si>
  <si>
    <t>NasdaqCM:EYES</t>
  </si>
  <si>
    <t>IQTR276205620</t>
  </si>
  <si>
    <t>IQ7715922</t>
  </si>
  <si>
    <t>Nevro Corp.</t>
  </si>
  <si>
    <t>NYSE:NVRO</t>
  </si>
  <si>
    <t>IQTR273843042</t>
  </si>
  <si>
    <t>IQ30485592</t>
  </si>
  <si>
    <t>Great Basin Scientific, Inc.</t>
  </si>
  <si>
    <t>IQ49442390</t>
  </si>
  <si>
    <t>IQTR269958834</t>
  </si>
  <si>
    <t>IRadimed Corporation</t>
  </si>
  <si>
    <t>NasdaqCM:IRMD</t>
  </si>
  <si>
    <t>IQTR268366521</t>
  </si>
  <si>
    <t>IQ22110569</t>
  </si>
  <si>
    <t>K2M Group Holdings, Inc.</t>
  </si>
  <si>
    <t>NasdaqGS:KTWO</t>
  </si>
  <si>
    <t>IQTR260414996</t>
  </si>
  <si>
    <t>IQ260414991</t>
  </si>
  <si>
    <t>Lombard Medical, Inc.</t>
  </si>
  <si>
    <t>NasdaqGM:EVAR</t>
  </si>
  <si>
    <t>IQTR260150572</t>
  </si>
  <si>
    <t>IQ20947639</t>
  </si>
  <si>
    <t>TriVascular Technologies, Inc.</t>
  </si>
  <si>
    <t>IQ42894289</t>
  </si>
  <si>
    <t>IQTR260150583</t>
  </si>
  <si>
    <t>Semler Scientific, Inc.</t>
  </si>
  <si>
    <t>IQ248606993</t>
  </si>
  <si>
    <t>IQTR251548850</t>
  </si>
  <si>
    <t>Inogen, Inc.</t>
  </si>
  <si>
    <t>NasdaqGS:INGN</t>
  </si>
  <si>
    <t>IQTR252184099</t>
  </si>
  <si>
    <t>IQ7701753</t>
  </si>
  <si>
    <t>Amedica Corporation</t>
  </si>
  <si>
    <t>NasdaqCM:AMDA</t>
  </si>
  <si>
    <t>IQTR250068893</t>
  </si>
  <si>
    <t>IQ7282516</t>
  </si>
  <si>
    <t>Tandem Diabetes Care, Inc.</t>
  </si>
  <si>
    <t>NasdaqGM:TNDM</t>
  </si>
  <si>
    <t>IQTR247854082</t>
  </si>
  <si>
    <t>IQ46368713</t>
  </si>
  <si>
    <t>Veracyte, Inc.</t>
  </si>
  <si>
    <t>NasdaqGM:VCYT</t>
  </si>
  <si>
    <t>IQTR247100680</t>
  </si>
  <si>
    <t>IQ42154124</t>
  </si>
  <si>
    <t>Updated As on</t>
  </si>
  <si>
    <t>( Source:Neotract VD 3/31/17)</t>
  </si>
  <si>
    <t>IPO - METRICS (DIAGNOSTICS)</t>
  </si>
  <si>
    <t>Fulgent Genetics, Inc.</t>
  </si>
  <si>
    <t>NasdaqGM:FLGT</t>
  </si>
  <si>
    <t>IQTR382674010</t>
  </si>
  <si>
    <t>IQ315621345</t>
  </si>
  <si>
    <t>Fulgent Genetics, Inc., a technology company, focuses on providing genetic testing services to physicians with clinically actionable diagnostic information. The company’s technology platform integrates data comparison and suppression algorithms, learning software, and genetic diagnostics tools and integrated laboratory processes. It primarily serves hospitals and medical institutions. The company was formerly known as Fulgent Diagnostics, Inc. and changed its name to Fulgent Genetics, Inc. in August 2016. Fulgent Genetics, Inc. was founded in 2011 and is headquartered in Temple City, California.</t>
  </si>
  <si>
    <t>NantHealth, Inc.</t>
  </si>
  <si>
    <t>NasdaqGS:NH</t>
  </si>
  <si>
    <t>IQTR334962584</t>
  </si>
  <si>
    <t>IQ222554189</t>
  </si>
  <si>
    <t>NantHealth, Inc. operates as an evidence-based personalized healthcare company. The company engages in converging science and technology through an integrated clinical platform to provide health information at the point of care for critical illnesses. It develops NantHealth solutions, an adaptive learning system, including molecular profiling solution, software, middleware, and hardware systems infrastructure that collects, indexes, analyzes, and interprets various molecular, clinical, operational, and financial data points derived from novel and traditional sources to enhance decision-making. The company’s products include Genomic Proteomic Spectrometry (GPS) Cancer molecular profile that integrates whole genome and transcriptome sequencing, and quantitative proteomics; GPS Cancer Report, a clinical cancer platform; and eviti, a decision support oncology solution. It also develops GPS in rare diseases and chronic illnesses. In addition, the company offers Nant Operating System (NantOS) and NantOS apps that include proprietary methods and algorithms, including patient portal and health heritage NantOS apps, care coordination and real-time connectivity NantOS apps, Provider Portal NantOS App, Care Coordination NantOS App Suite, Referral Management NantOS App, and Secure Messaging NantOS App, as well as cancer genome browser for healthcare providers and payors, self-insured employers, and biopharmaceutical companies. Further, it provides real-time clinical learning NantOS, NantOS Apps, and engagement services comprising outcomes analytics, value monitor NantOS App, population health assessment NantOS App suite, Mission Control patient engagement services, and home health services; and NaviNet Open, a multi-tenant payor portal. The company was formerly known as Nant Health, LLC and changed its name to NantHealth, Inc. in June 2016. The company was founded in 2010 and is headquartered in Culver City, California. NantHealth, Inc. is a subsidiary of NantWorks, LLC.</t>
  </si>
  <si>
    <t>HTG Molecular Diagnostics, Inc.</t>
  </si>
  <si>
    <t>NasdaqCM:HTGM</t>
  </si>
  <si>
    <t>IQTR280838156</t>
  </si>
  <si>
    <t>IQ1519732</t>
  </si>
  <si>
    <t>HTG Molecular Diagnostics, Inc. develops and markets technology platforms that facilitate the routine use of complex molecular profiling. The company’s HTG Edge and HTG EdgeSeq platforms consist of instrumentation, consumables, and software analytics that are used in molecular profiling applications, including tumor profiling, biomarker development and prospectively, and molecular diagnostic testing. The company’s platforms automate the molecular profiling of genes and gene activity using its nuclease protection chemistry on various biological samples. It provides molecular profiling panels targeting late stage drug development programs with potential breakthrough therapies, such as immuno-oncology. HTG Molecular Diagnostics, Inc. distributes its instruments and consumables directly in the United States and Europe; and through distributors or sales agents in parts of Europe and internationally. The company was formerly known as HTG, Inc. and changed its name to HTG Molecular Diagnostics, Inc. in March 2011. HTG Molecular Diagnostics, Inc. was incorporated in 1997 and is based in Tucson, Arizona.</t>
  </si>
  <si>
    <t>Capnia, Inc.</t>
  </si>
  <si>
    <t>NasdaqCM:CAPN</t>
  </si>
  <si>
    <t>IQTR276752870</t>
  </si>
  <si>
    <t>IQ2520553</t>
  </si>
  <si>
    <t>Capnia, Inc. develops and commercializes neonatology devices, diagnostics, and therapeutics platform based on its proprietary technology for precision metering of gas flow primarily in the United States. The company offers CoSense, an end-tidal carbon monoxide monitor, for the diagnosis of excessive hemolysis, a condition in which red blood cells degrade rapidly. It also develops Serenz, a handheld device that delivers non-inhaled carbon dioxide topically to the nasal mucosa for the treatment of symptoms of allergic rhinitis. In addition, the company provides NeoPip T-piece resuscitator and related consumables, which delivers consistent pre-set inspiratory pressure and positive end-expiratory pressures; temperature probes; scales; surgical tables; and patient surfaces for inpatient and ambulatory neonatal markets. Capnia, Inc. was founded in 1999 and is headquartered in Redwood City, California.</t>
  </si>
  <si>
    <t>T2 Biosystems, Inc.</t>
  </si>
  <si>
    <t>NasdaqGM:TTOO</t>
  </si>
  <si>
    <t>IQTR267235469</t>
  </si>
  <si>
    <t>IQ30844795</t>
  </si>
  <si>
    <t>T2 Biosystems, Inc., an in vitro diagnostics company, develops diagnostic products and product candidates in the United States. It provides T2 Magnetic Resonance platform that enables detection of pathogens, biomarkers, and other abnormalities in various unpurified patient sample types, including whole blood, plasma, serum, saliva, sputum, and urine. The company also offers T2Dx, a bench-top instrument for sepsis, Lyme disease, and other applications, as well as T2Candida panel for the detection of candida species in human whole blood specimens. In addition, it is developing T2Bacteria, a multiplex diagnostic panel that detects various bacterial pathogens associated with sepsis; T2Lyme for the detection of various strains of Lyme disease-causing bacteria; and T2Plex, an integrated instrument for hemostasis applications, as well as T2HemoStat panel, a panel of diagnostic tests that can provide data across the hemostasis spectrum, including measurements of fibrinogen, platelet activity, and clot lysis. The company has collaboration agreement with Canon U.S. Life Sciences, Inc. to develop a novel diagnostic test panel to detect Lyme disease, a tick-borne illness; and Allergan Sales, LLC for the direct detection diagnostic test panel that adds additional bacteria species to the existing T2Bacteria product candidate and testing drug resistance directly in whole blood. T2 Biosystems, Inc. was founded in 2006 and is headquartered in Lexington, Massachusetts.</t>
  </si>
  <si>
    <t>Veracyte, Inc. operates as a molecular diagnostics company in the United States. The company uses genomic technology to resolve diagnostic ambiguity. It offers Afirma Thyroid FNA Analysis solution for use in thyroid cancer diagnosis; cytopathology testing services; and the Afirma Malignancy Classifiers to manage thyroid nodule patients. The company’s products also include Percepta Bronchial Genomic Classifier solution for use in lung cancer screening and diagnosis; and Envisia Genomic Classifier solution for idiopathic pulmonary fibrosis. It sells its products through its product specialists, institutional channel managers, account managers, and clinical science specialists. The company was formerly known as Calderome, Inc. and changed its name to Veracyte, Inc. in March 2008. Veracyte, Inc. was incorporated in 2006 and is headquartered in South San Francisco, California.</t>
  </si>
  <si>
    <t>Foundation Medicine, Inc.</t>
  </si>
  <si>
    <t>NasdaqGS:FMI</t>
  </si>
  <si>
    <t>IQTR243766734</t>
  </si>
  <si>
    <t>IQ100846258</t>
  </si>
  <si>
    <t>Foundation Medicine, Inc. provides various molecular information products in the United States. The company’s molecular information platform includes proprietary methods and algorithms to analyze specimens across various types of cancer, as well as for incorporating that information into clinical care; and offers genomic information about each patient’s individual cancer, enabling physicians to optimize treatments in clinical practice and biopharmaceutical companies to develop targeted oncology therapies. It provides clinical products, such as FoundationOne for solid tumors; FoundationOne Heme for blood-based cancers, or hematologic malignancies, including leukemia, lymphoma, and myeloma, as well as sarcomas and pediatric cancers; Foundation Assay for Circulating Tumor; FoundationFocus CDxBRCA, a diagnostic assay to aid in identifying women with ovarian cancer. The company also offers FoundationCORE, a knowledgebase to publish scientific and medical advances, and foster relationships throughout the oncology community. In addition, it has strategic collaboration agreements with WuXi PharmaTech Inc.; F. Hoffmann-La Roche Ltd.; and Genentech, Inc. The company was founded in 2009 and is headquartered in Cambridge, Massachusetts. Foundation Medicine, Inc. is a subsidiary of Roche Holdings, Inc.</t>
  </si>
  <si>
    <t>Intrexon Corporation</t>
  </si>
  <si>
    <t>NYSE:XON</t>
  </si>
  <si>
    <t>IQTR242653724</t>
  </si>
  <si>
    <t>IQ22365961</t>
  </si>
  <si>
    <t>Intrexon Corporation operates in the synthetic biology field in the United States. The company, through a suite of proprietary and complementary technologies, designs, builds, and regulates gene programs, which are DNA sequences that consist of key genetic components. Its technologies include UltraVector gene design and fabrication platform, and its associated library of modular DNA components; Cell Systems Informatics; RheoSwitch inducible gene switch; AttSite Recombinases; Protein Engineering; Laser-Enabled Analysis and Processing; and ActoBiotics platform. It also provides reproductive technologies and other genetic processes to cattle breeders and producers; genetic preservation and cloning technologies; genetically engineered swine for medical and genetic research; biological insect control solutions; technologies for non-browning apple without the use of any flavor-altering chemical or antioxidant additives; commercial aquaculture products; and artwork, children's toys, and novelty goods that are derived from living organisms or enabled by synthetic biology. The company serves health, food, energy, environment, and consumer sectors. Intrexon Corporation has collaboration and license agreements with Ares Trading S.A.; ZIOPHARM Oncology, Inc.; Oragenics, Inc.; Fibrocell Science, Inc.; Genopaver, LLC; S &amp; I Ophthalmic, LLC; OvaXon, LLC; Intrexon Energy Partners, LLC; Persea Bio, LLC; Thrive Agrobiotics, Inc.; Intrexon Energy Partners II, LLC; and others. The company was formerly known as Genomatix Ltd. and changed its name to Intrexon Corporation in 2005. Intrexon Corporation was founded in 1998 and is based in Germantown, Maryland.</t>
  </si>
  <si>
    <t>(Source: Biodesix VS 4/12/17)</t>
  </si>
  <si>
    <t>First Pricing Date</t>
  </si>
  <si>
    <t>Hybrid OPM</t>
  </si>
  <si>
    <t>Total Value</t>
  </si>
  <si>
    <t>Previous VD</t>
  </si>
  <si>
    <t>Interpolation - Hybrid OPM</t>
  </si>
  <si>
    <t>Hybrid DLOM</t>
  </si>
  <si>
    <t>Interpolation - Hybrid DLOM</t>
  </si>
  <si>
    <t>Reasons (if any)</t>
  </si>
  <si>
    <t>List of Checks</t>
  </si>
  <si>
    <t>Value Check</t>
  </si>
  <si>
    <t>Hist BS</t>
  </si>
  <si>
    <t>IRC 409A Common Stock Independent Appraisal</t>
  </si>
  <si>
    <t>DO NOT DELETE -&gt;&gt;</t>
  </si>
  <si>
    <t>Check for Balance sheet total match</t>
  </si>
  <si>
    <t>Beta Cal</t>
  </si>
  <si>
    <t>Update this if not taking median</t>
  </si>
  <si>
    <t>OPM Asset Vol Check</t>
  </si>
  <si>
    <t>Asset Vol</t>
  </si>
  <si>
    <t>All CIQ Checks</t>
  </si>
  <si>
    <t>Difference in CIQ and Manually calculated Ent. Value</t>
  </si>
  <si>
    <t>Time to Exit</t>
  </si>
  <si>
    <t>Additional Time to Cash Flow</t>
  </si>
  <si>
    <t>Duration</t>
  </si>
  <si>
    <t>Asset Volatility - OPM</t>
  </si>
  <si>
    <t>Asset Volatility - OPM DLOM</t>
  </si>
  <si>
    <t>Discount for Lack of Marketability</t>
  </si>
  <si>
    <t>Check for difference in tranche value in OPM1 and value assigned in OPM2</t>
  </si>
  <si>
    <t>Risk Free Rates</t>
  </si>
  <si>
    <t>Added more RFR calculations for PWERM scenarios and Hybrid OPM/DLOM</t>
  </si>
  <si>
    <t>Class Volatility</t>
  </si>
  <si>
    <t>Added Class Volatility Sheet</t>
  </si>
  <si>
    <t>CapIQ Sheets</t>
  </si>
  <si>
    <t>Updated CapIQ sheets (linked/unlinked) to reflect 8 year equity volatility</t>
  </si>
  <si>
    <t>Updated sheet to reflect 8 year equity volatility</t>
  </si>
  <si>
    <t>Added Hybrid DLOM sheet for all Preferred Series and Common Stock</t>
  </si>
  <si>
    <t>Added Hybrid OPM Sheet and Hybrid OPM 1 and Hybrid OPM 2</t>
  </si>
  <si>
    <t>Added DLOMs for PWERM scenarios</t>
  </si>
  <si>
    <t>Rows 147 - 149</t>
  </si>
  <si>
    <t xml:space="preserve">Added row for DLOM </t>
  </si>
  <si>
    <t>Asset Volatilities</t>
  </si>
  <si>
    <t>Added different Asset Volatility sheets for PWERM scenarios, OPM and DLOM</t>
  </si>
  <si>
    <t>Updated Look up formula in column Q to consider equity volatility for 8 years</t>
  </si>
  <si>
    <t>OPM 1</t>
  </si>
  <si>
    <t>Check for difference between allocable value and total value after tranche allocation</t>
  </si>
  <si>
    <t>Shares Pre-IPO</t>
  </si>
  <si>
    <t>Gross Proceeds</t>
  </si>
  <si>
    <t>Development Phase</t>
  </si>
  <si>
    <t>Post-IPO Value</t>
  </si>
  <si>
    <t>Kindly update the Revenue, Ebitda, EV details outside print area from CapIQ</t>
  </si>
  <si>
    <t>NasdaqGM:AXSM</t>
  </si>
  <si>
    <t>LTM Revenue</t>
  </si>
  <si>
    <t>LTM EBITDA</t>
  </si>
  <si>
    <t>EV/LTM Revenue</t>
  </si>
  <si>
    <t>EV/LTM EBITDA</t>
  </si>
  <si>
    <t>Jounce Therapeutics, Inc., a clinical stage immunotherapy company, focuses on developing therapies that enable the immune system to attack tumors. Its lead product candidate, JTX-2011, is a clinical stage monoclonal antibody that binds to and activates ICOS, a protein on the surface of certain T cells commonly found in various solid tumors. The company is also developing JTX-4014, an anti-PD-1 antibody. Jounce Therapeutics, Inc. has a master research and collaboration agreement with Celgene Corporation focused on developing and commercializing biologic immunotherapies. The company was incorporated in 2012 and is based in Cambridge, Massachusetts.</t>
  </si>
  <si>
    <t>AnaptysBio, Inc., a clinical stage biotechnology company, engages in developing antibody product candidates focused on unmet medical needs in inflammation. The company’s proprietary anti-inflammatory pipeline includes ANB020, an anti-interleukin-33 antibody for the treatment of moderate-to-severe adult atopic dermatitis, severe adult peanut allergy, and severe adult eosinophilic asthma; ANB019, an anti-interleukin-36R antibody for the treatment of rare inflammatory diseases, including generalized pustular psoriasis and palmo-plantar pustular psoriasis; and a portfolio of checkpoint receptor agonist antibodies for the treatment of certain autoimmune diseases. It also has an immuno-oncology partnership with TESARO, Inc. and TESARO Development, Inc. to develop and commercialize an anti-PD-1 antagonist antibody (TSR-042) and an anti-TIM-3 antagonist antibody (TSR-022), which are under clinical development; and an inflammation partnership with Celgene Corporation to develop an anti-PD-1 checkpoint agonist antibody (CC-90006) that is in clinical stage. The company was formerly known as Anaptys Biosciences, Inc. and changed its name to AnaptysBio, Inc. in July 2006. AnaptysBio, Inc. was founded in 2005 and is based in San Diego, California.</t>
  </si>
  <si>
    <t>Ovid Therapeutics Inc.</t>
  </si>
  <si>
    <t>NasdaqGS:OVID</t>
  </si>
  <si>
    <t>IQTR427443869</t>
  </si>
  <si>
    <t>IQ288870432</t>
  </si>
  <si>
    <t>Ovid Therapeutics Inc., a biopharmaceutical company, develops impactful medicines for patients and families with neurological disorders in the United States. The company is developing OV101, a drug candidate that is in Phase II clinical trial for adults with angelman syndrome; and Phase I clinical trial for adolescents with angelman syndrome or fragile X syndrome, as well as in preclinical development stage for pediatrics with angelman syndrome. It is also developing OV935, a drug candidate that is in Phase I trial for rare epileptic encephalopathies; preclinical-stage compounds for rare epilepsy disorders; and OV102, an intravenous formulation for indications in the hospital setting. The company has collaboration agreement with Takeda Pharmaceutical Company Limited. Ovid Therapeutics Inc. was founded in 2014 and is based in New York, New York.</t>
  </si>
  <si>
    <t>Biohaven Pharmaceutical Holding Company Ltd.</t>
  </si>
  <si>
    <t>NYSE:BHVN</t>
  </si>
  <si>
    <t>IQTR427064468</t>
  </si>
  <si>
    <t>Biohaven Pharmaceutical Holding Company Ltd., a clinical-stage biopharmaceutical company, develops product candidates to treat neurological diseases, including rare disorders. Its advanced product candidate includes rimegepant, which is intended to initiate two Phase III clinical trials for the acute treatment of migraine; and trigriluzole, which is in a Phase II/III clinical trial used for the treatment of ataxias with an initial focus on spinocerebellar ataxia. The company also develops BHV-3500 for the prevention of chronic and episodic migraine; BHV-0223 for the treatment of amyotrophic lateral sclerosis, a neurodegenerative disease that affects nerve cells in the brain and spinal cord; and BHV-5000 for the treatment of symptoms associated with Rett syndrome, such as breathing irregularities. Biohaven Pharmaceutical Holding Company Ltd. was founded in 2013 and is based in New Haven, Connecticut. Biohaven Pharmaceutical Holding Company Ltd. is a subsidiary of Portage Biotech Inc.</t>
  </si>
  <si>
    <t>IQ253781980</t>
  </si>
  <si>
    <t>Upfront Value</t>
  </si>
  <si>
    <t>Contingent Payments</t>
  </si>
  <si>
    <t>Updated metrics calcs for Phase II</t>
  </si>
  <si>
    <t>Transactions</t>
  </si>
  <si>
    <t>Updated Exhibits to include upfront and contingent payments and CapIQ sheet as well</t>
  </si>
  <si>
    <t>Checklist</t>
  </si>
  <si>
    <t>Added check for common value conclusion</t>
  </si>
  <si>
    <t>ValSumm</t>
  </si>
  <si>
    <t>Common Concluded Value check</t>
  </si>
  <si>
    <t>Deciphera Pharmaceuticals, Inc.</t>
  </si>
  <si>
    <t>NasdaqGS:DCPH</t>
  </si>
  <si>
    <t>IQTR536237706</t>
  </si>
  <si>
    <t>IQ8221694</t>
  </si>
  <si>
    <t>Deciphera Pharmaceuticals, Inc., a clinical-stage biopharmaceutical company, develops drugs to enhance the lives of cancer patients by addressing key mechanisms of drug resistance that limit the rate and durability of response of various cancer therapies. The company develops DCC-2618, a pan-KIT and pan-PDGFRa inhibitor for the treatment of gastrointestinal stromal tumors, advanced systemic mastocytosis, gliomas, and other solid tumors. It is also developing immunokinase inhibitors comprising DCC-3014 for treatment of solid tumors and hematologic malignancies; and Rebastinib to treat breast cancer, as well as to investigate in combination with chemotherapy and checkpoint inhibitors. The company was founded in 2003 and is headquartered in Waltham, Massachusetts.</t>
  </si>
  <si>
    <t>Krystal Biotech, Inc.</t>
  </si>
  <si>
    <t>NasdaqCM:KRYS</t>
  </si>
  <si>
    <t>IQTR534966200</t>
  </si>
  <si>
    <t>IQ534062888</t>
  </si>
  <si>
    <t>Krystal Biotech, Inc., a gene therapy company, develops and commercializes pharmaceutical products for patients suffering from dermatological diseases. The company’s lead product candidate includes KB103, which is in preclinical studies to treat dystrophic epidermolysis bullosa, a genetic disease. It also develops KB104 that is in preclinical studies to treat Netherton syndrome, a severe form of ichthyosis, which is a family of genetic skin disorders. The company was formerly known as Krystal Biotech, LLC and changed its name to Krystal Biotech, Inc. in March 2017. Krystal Biotech, Inc. was founded in 2015 and is based in Pittsburgh, Pennsylvania.</t>
  </si>
  <si>
    <t>Mersana Therapeutics, Inc.</t>
  </si>
  <si>
    <t>NasdaqGS:MRSN</t>
  </si>
  <si>
    <t>IQTR432836998</t>
  </si>
  <si>
    <t>IQ1623526</t>
  </si>
  <si>
    <t>Mersana Therapeutics, Inc. is a biotechnology company that discovers, engineers, and develops antibody drug conjugates to cure various cancers. The company develops immune conjugate therapies to create drugs that enhance patients’ lives. It offers XMT-1522, a drug therapy for tumor models that express relatively low amounts of the HER2 protein; and human anti-HER2 antibody used in XMT-1522. Mersana Therapeutics, Inc. has strategic alliances with Takeda Pharmaceutical Company Limited; Merck Serono; and Asana BioSciences. The company was formerly known as Nanopharma Corp. and changed its name to Mersana Therapeutics, Inc. in November 2005. Mersana Therapeutics, Inc. was founded in 2001 and is based in Cambridge, Massachusetts.</t>
  </si>
  <si>
    <t>G1 Therapeutics, Inc.</t>
  </si>
  <si>
    <t>NasdaqGS:GTHX</t>
  </si>
  <si>
    <t>IQTR427746064</t>
  </si>
  <si>
    <t>IQ141112421</t>
  </si>
  <si>
    <t>G1 Therapeutics, Inc., a clinical-stage biopharmaceutical company, focuses on the discovery and development of novel therapeutics for the treatment of cancer in the United States. It is developing trilaciclib, an intravenous cyclin-dependent kinases (CDK) 4/6 inhibitor that is in Phase Ib/IIa clinical trials for patients with small cell lung cancer, as well as Phase II clinical trial for patients with triple-negative breast cancer; G1T38, an oral CDK4/6 inhibitor that is Phase I/II clinical trial for the treatment of breast cancer; and G1T48, an oral selective estrogen receptor degrader that is in preclinical development stage. The company was founded in 2008 and is headquartered in Research Triangle Park, North Carolina.</t>
  </si>
  <si>
    <t>Arsanis, Inc.</t>
  </si>
  <si>
    <t>NasdaqGM:ASNS</t>
  </si>
  <si>
    <t>IQTR541132486</t>
  </si>
  <si>
    <t>IQ113807139</t>
  </si>
  <si>
    <t>Arsanis, Inc., a clinical-stage biopharmaceutical company, focuses on applying monoclonal antibody (mAb) immunotherapies to address serious infectious diseases. Its lead product candidate is ASN100, a first-in-class mAb therapeutic in Phase II clinical development for the prevention of staphylococcus aureus pneumonia. The company’s preclinical pipeline comprises mAbs targeting multiple serious bacterial and viral pathogens, including respiratory syncytial virus. Arsanis, Inc. was founded in 2010 and is headquartered in Waltham, Massachusetts.</t>
  </si>
  <si>
    <t xml:space="preserve"> -   </t>
  </si>
  <si>
    <t>InflaRx N.V.</t>
  </si>
  <si>
    <t>NasdaqGS:IFRX</t>
  </si>
  <si>
    <t>IQTR540630710</t>
  </si>
  <si>
    <t>IQ42434000</t>
  </si>
  <si>
    <t>InflaRx GmbH, a clinical-stage biopharmaceutical company, focuses on discovering and developing inhibitors using C5a technology in the United States. Its C5a is an inflammatory mediator involved in the enhancement of a variety of autoimmune and other inflammatory diseases. The company is involved developing IFX-1, a novel intravenously delivered first-in-class anti-C5a monoclonal antibody for the treatment of hidradenitis suppurativa, a rare and chronic debilitating systemic inflammatory skin disease; ANCA-associated vasculitis, a rare and life-threatening autoimmune disease; and other chronic/autoimmune diseases, as well as IFX-2 for the treatment of chronic inflammation and autoimmune diseases. It has co-development agreement with Beijing Defengrei Biotechnology Co. Ltd. The company was founded in 2007 and is headquartered in Jena, Germany.</t>
  </si>
  <si>
    <t>Apellis Pharmaceuticals, Inc.</t>
  </si>
  <si>
    <t>NasdaqGS:APLS</t>
  </si>
  <si>
    <t>IQTR540638771</t>
  </si>
  <si>
    <t>IQ106524288</t>
  </si>
  <si>
    <t>Apellis Pharmaceuticals, Inc., a clinical-stage biopharmaceutical company, focuses on the discovery and development of therapeutic compounds for autoimmune and inflammatory diseases. Its lead product candidates include APL-2 and APL-1, to treat paroxysmal nocturnal hemoglobinuria, geographic atrophy, intermediate age-related macular degeneration, and chronic obstructive pulmonary disease. The company develops APL-2 for subcutaneous injection, which is an injection into the tissue under the skin, and for intravitreal injection that is an injection into the eye, as well as APL-1 for inhaled administration. Apellis Pharmaceuticals, Inc. was founded in 2009 and is based in Crestwood, Kentucky.</t>
  </si>
  <si>
    <t>Sienna Biopharmaceuticals, Inc.</t>
  </si>
  <si>
    <t>NasdaqGS:SNNA</t>
  </si>
  <si>
    <t>IQTR529222527</t>
  </si>
  <si>
    <t>Sienna Biopharmaceuticals, Inc., a clinical-stage biopharmaceutical company, discovers, develops, and commercializes topical products for medical dermatology and aesthetics markets in North America. The company’s lead product candidates include SNA-120, a TrkA inhibitor, which is in Phase 2b clinical development for the treatment of pruritus, itch, and neurogenic inflammation associated with psoriasis; and SNA-125, a dual JAK3/TrkA inhibitor that is in pre-clinical study for the treatment of atopic dermatitis, psoriasis, and pruritus. It also develops SNA-001, a photoparticle therapy, which is in pivotal clinical trials for the treatment of acne vulgaris and the reduction of unwanted light-pigmented hair. The company was formerly known as Sienna Labs, Inc. and changed its name to Sienna Biopharmaceuticals, Inc. in February 2016. Sienna Biopharmaceuticals, Inc. was founded in 2010 and is headquartered in Westlake Village, California.</t>
  </si>
  <si>
    <t>Aileron Therapeutics, Inc.</t>
  </si>
  <si>
    <t>NasdaqGM:ALRN</t>
  </si>
  <si>
    <t>IQTR432976538</t>
  </si>
  <si>
    <t>Aileron Therapeutics, Inc., a clinical-stage biopharmaceutical company, engages in developing and commercializing a novel class of therapeutics in the United States. The company’s lead product includes ALRN-6924, a stapled peptide that in Phase I clinical trial for the treatment of advanced solid tumors or lymphomas; Phase IIa clinical trial for the treatment of peripheral T-cell lymphoma; Phase I clinical trial for the treatment of acute myeloid leukemia (AML) and advanced myelodysplastic syndrome (MDS); and Phase II b trial for the treatment of AML/MDS in combination with cytosine arabinoside. It is also developing next generation wild type p53 reactivator that is in preclinical stage for the treatment of solid and liquid tumors. The company was formerly known as Renegade Therapeutics, Inc. and changed its name to Aileron Therapeutics, Inc. in February 2007. Aileron Therapeutics, Inc. was founded in 2001 and is based in Cambridge, Massachusetts.</t>
  </si>
  <si>
    <t>Avenue Therapeutics, Inc.</t>
  </si>
  <si>
    <t>NasdaqCM:ATXI</t>
  </si>
  <si>
    <t>IQTR429154251</t>
  </si>
  <si>
    <t>IQ310815442</t>
  </si>
  <si>
    <t>Avenue Therapeutics, Inc., a specialty pharmaceutical company, acquires, licenses, develops, and commercializes an intravenous formulation of tramadol HCI principally for use in the acute/intensive care hospital setting. Its product candidate is IV Tramadol for the treatment of post-operative pain. The company was founded in 2015 and is based in New York, New York. Avenue Therapeutics, Inc. is a subsidiary of Fortress Biotech, Inc.</t>
  </si>
  <si>
    <t>Rhythm Pharmaceuticals, Inc.</t>
  </si>
  <si>
    <t>NasdaqGM:RYTM</t>
  </si>
  <si>
    <t>IQTR537128527</t>
  </si>
  <si>
    <t>IQ309184792</t>
  </si>
  <si>
    <t>Rhythm Pharmaceuticals, Inc., a biopharmaceutical company, develops and commercializes peptide therapeutics for the treatment of rare genetic disorders of obesity in the United States. Its lead product candidate is Setmelanotide, a melanocortin-4 receptor agonist that is in Phase III clinical trials for treating POMC deficiency obesity and leptin receptor deficiency obesity; and Phase II clinical trials for treating Bardet-Biedl syndrome, Alström syndrome, POMC heterozygous deficiency obesity, and POMC epigenetic disorders. The company was formerly known as Rhythm Metabolic, Inc. and changed its name to Rhythm Pharmaceuticals, Inc. in October 2015. Rhythm Pharmaceuticals, Inc. was founded in 2008 and is based in Boston, Massachusetts. Rhythm Pharmaceuticals, Inc. is a subsidiary of Motus Therapeutics, Inc.</t>
  </si>
  <si>
    <t>Kala Pharmaceuticals, Inc.</t>
  </si>
  <si>
    <t>NasdaqGS:KALA</t>
  </si>
  <si>
    <t>IQTR435392692</t>
  </si>
  <si>
    <t>Kala Pharmaceuticals, Inc., a biopharmaceutical company, focuses on the development and commercialization of therapies using its proprietary nanoparticle-based Mucus Penetrating Particles technology. The company’s product candidates include KPI-121 1.0%, which has completed Phase 3 clinical trials for the treatment of inflammation and pain following ocular surgery; and KPI-121 0.25% that is in Phase 3 clinical trials for the temporary relief of the signs and symptoms of dry eye disease. It also develops KPI-285, a receptor kinase inhibitor, which is in preclinical studies for the treatment of various retinal diseases. The company was formerly known as Hanes Newco, Inc. and changed its name to Kala Pharmaceuticals, Inc. in December 2009. Kala Pharmaceuticals, Inc. was founded in 2009 and is headquartered in Waltham, Massachusetts.</t>
  </si>
  <si>
    <t>Dova Pharmaceuticals, Inc.</t>
  </si>
  <si>
    <t>NasdaqGM:DOVA</t>
  </si>
  <si>
    <t>IQTR432976288</t>
  </si>
  <si>
    <t>IQ402827501</t>
  </si>
  <si>
    <t>Dova Pharmaceuticals, Inc., a pharmaceutical company, focuses on acquiring, developing, and commercializing drug candidates for thrombocytopenia diseases. Its drug candidate includes avatrombopag, an orally administered thrombopoietin receptor agonist that has completed Phase III clinical trials for the treatment of thrombocytopenia in patients with chronic liver diseases. The company was founded in 2016 and is based in Durham, North Carolina.</t>
  </si>
  <si>
    <t>Athenex, Inc.</t>
  </si>
  <si>
    <t>NasdaqGS:ATNX</t>
  </si>
  <si>
    <t>IQTR430744691</t>
  </si>
  <si>
    <t>IQ23828956</t>
  </si>
  <si>
    <t>Athenex, Inc., a biopharmaceutical company, engages in the discovery, development, and commercialization of therapies for the treatment of cancer. Its Orascovery product candidates include Oraxol, an oral dosage form, which is in a Phase III trial in metastatic breast cancer for the treatment of advanced gastric cancer; Oratecan, an anticancer agent that is in a Phase 1 study for the treatment of colorectal, lung, ovarian, cervical, pancreatic, upper gastrointestinal, and brain cancer; Oradoxel, an anticancer agent, which is in a Phase 1 clinical study in the treatment of breast, prostate, gastric, head and neck, and lung cancer; and Oratopo, an anticancer for the treatment of cervical, ovarian ,and lung cancer. The company also develops KX-01, a compound, which is in Phase 3 study for the treatment of for actinic keratosis; and KX-02 for the treatment of gliomas. The company was formerly known as Kinex Pharmaceuticals LLC and changed its name to Athenex, Inc. in August 2015. Athenex, Inc. was founded in 2003 and is based in Buffalo, New York.</t>
  </si>
  <si>
    <t>Data Source fromTranslateBio VD 12/13/17</t>
  </si>
  <si>
    <t>Updated IPO Biopharma sheet and metrics' formula</t>
  </si>
  <si>
    <t>IPO Biopharma</t>
  </si>
  <si>
    <t>Switch for Quartiles</t>
  </si>
  <si>
    <t>Denali Therapeutics Inc.</t>
  </si>
  <si>
    <t>NasdaqGS:DNLI</t>
  </si>
  <si>
    <t>IQTR543594545</t>
  </si>
  <si>
    <t>IQ301283598</t>
  </si>
  <si>
    <t>Denali Therapeutics Inc., a biopharmaceutical company, engages in discovering and developing therapeutics for neurodegenerative diseases in the United States. The company’s lead LRRK2 product candidates includes the DNL201, a small molecule inhibitor that is in Phase I clinical trials, as well as DNL151, a small molecule inhibitor, which is in preclinical development stage for the treatment of Parkinson’s disease. It is also developing therapeutics for the treatment of Parkinson’s, dementia with Lewy bodies, and multiple system atrophy; amyotrophic lateral sclerosis; and mucopolysaccharidosis type II patients. The company was formerly known as SPR Pharma Inc. and changed its name to Denali Therapeutics Inc. in March 2015. Denali Therapeutics Inc. was incorporated in 2013 and is headquartered in South San Francisco, California.</t>
  </si>
  <si>
    <t>Odonate Therapeutics, Inc.</t>
  </si>
  <si>
    <t>NasdaqGS:ODT</t>
  </si>
  <si>
    <t>IQTR543593762</t>
  </si>
  <si>
    <t>IQ541399578</t>
  </si>
  <si>
    <t>Odonate Therapeutics, Inc., a pharmaceutical company, develops therapeutics to enhance the lives of patients with cancer in the United States. It is developing Tesetaxel, a novel chemotherapy agent that has completed Phase II clinical trials for patients with advanced or metastatic breast cancer. The company was founded in 2013 and is based in San Diego, California.</t>
  </si>
  <si>
    <t>Spero Therapeutics, Inc.</t>
  </si>
  <si>
    <t>NasdaqGS:SPRO</t>
  </si>
  <si>
    <t>IQTR539897682</t>
  </si>
  <si>
    <t>IQ240573619</t>
  </si>
  <si>
    <t>Spero Therapeutics, Inc., a clinical-stage biopharmaceutical company, focuses on identifying, developing, and commercializing novel treatments for multi-drug resistant (MDR) bacterial infections in the United States. It is developing SPR994, an oral carbapenem-class antibiotic for use in adults to treat MDR gram-negative infections; SPR741 that has completed Phase I clinical trial to treat MDR gram-negative infections in the hospital setting; SPR206, an agent that is in preclinical development stage to disrupt the outer membrane of gram-negative bacteria; and SPR720, an oral antibiotic that is in preclinical development stage for the treatment of pulmonary non-tuberculous mycobacterial infections. The company was founded in 2013 and is headquartered in Cambridge, Massachusetts.</t>
  </si>
  <si>
    <t>Nightstar Therapeutics Plc</t>
  </si>
  <si>
    <t>NasdaqGS:NITE</t>
  </si>
  <si>
    <t>IQTR536125357</t>
  </si>
  <si>
    <t>IQ270062348</t>
  </si>
  <si>
    <t>Nightstar Therapeutics Limited, a clinical-stage gene therapy company, focuses on developing and commercializing novel one-time treatments for patients suffering from rare inherited retinal diseases. The company’s lead product candidate includes NSR-REP1 that has completed Phase 1/2 clinical trial for the treatment of patients with choroideremia. It is also developing NSR-RPGR that is in Phase 1/2 clinical trial for the treatment of patients with X-linked retinitis pigmentosa, an inherited X-linked recessive retinal disease; and NSR-BEST1, which is in preclinical development for the treatment of Best vitelliform macular dystrophy. The company has a collaboration agreement with University of Oxford for the assistance in conducting clinical trials with its retinal gene therapy candidates; and Preceyes B.V. for the development of a high-precision drug delivery technology in the eye. The company was founded in 2013 and is headquartered in London, the United Kingdom.</t>
  </si>
  <si>
    <t>Zymeworks Inc.</t>
  </si>
  <si>
    <t>TSX:ZYME</t>
  </si>
  <si>
    <t>IQTR426421320</t>
  </si>
  <si>
    <t>IQ43279463</t>
  </si>
  <si>
    <t>Zymeworks Inc., a clinical-stage biopharmaceutical company, engages in the discovery, development, and commercialization of bio-therapeutics for the treatment of cancer in Canada. The company’s lead product candidate include ZW25, a novel bispecific antibody that is in Phase I clinical trial for the treatment of breast, gastric, and ovarian cancers. It is also developing ZW33, a bispecific anti-human epidermal growth factor receptor 2 antibody-drug conjugate that is in preclinical development stage for the treatment of breast and ovarian cancers. The company has strategic partnerships with Merck Sharp &amp; Dohme Research Ltd., Eli Lilly and Company, Celgene Corporation and Celgene Alpine Investment Co. LLC, GlaxoSmithKline Intellectual Property Development Limited, and Daiichi Sankyo Co., Ltd. Zymeworks Inc. was founded in 2003 and is headquartered in Vancouver, Canada.</t>
  </si>
  <si>
    <t>Allena Pharmaceuticals, Inc.</t>
  </si>
  <si>
    <t>NasdaqGS:ALNA</t>
  </si>
  <si>
    <t>IQTR539897184</t>
  </si>
  <si>
    <t>IQ143094845</t>
  </si>
  <si>
    <t>Allena Pharmaceuticals, Inc., a late-stage clinical biopharmaceutical company, engages in developing and commercializing oral enzyme therapeutics to treat patients with rare and severe metabolic, and kidney disorders in the United States. The company’s lead product candidate includes ALLN-177, an oral enzyme therapeutic for the treatment of enteric hyperoxaluria, a metabolic disorder commonly associated with kidney stones in adults. It is also involved in developing ALLN-346 for patients with hyperuricemia and moderate to severe chronic kidney diseases. The company was incorporated in 2011 and is headquartered in Newton, Massachusetts.</t>
  </si>
  <si>
    <t>Clementia Pharmaceuticals Inc.</t>
  </si>
  <si>
    <t>NasdaqGS:CMTA</t>
  </si>
  <si>
    <t>IQTR528893150</t>
  </si>
  <si>
    <t>IQ253931396</t>
  </si>
  <si>
    <t>Clementia Pharmaceuticals Inc., a clinical stage biopharmaceutical company, develops disease-modifying treatments for patients suffering from debilitating bone and other diseases. Its lead product candidate is palovarotene, an oral small molecule that binds and activates retinoic acid receptor gamma, and prevents abnormal new bone formation, as well as scar tissue formation in various tissues in animal models. The company is developing palovarotene for the treatment of fibrodysplasia ossificans progressiva and multiple osteochondroma, as well as has one Phase III and Phase II/III trials for two separate indications. Clementia Pharmaceuticals Inc. was founded in 2010 and is based in Montreal, Canada.</t>
  </si>
  <si>
    <t>IQ21766697</t>
  </si>
  <si>
    <t>Urogen Pharma Ltd.</t>
  </si>
  <si>
    <t>NasdaqGM:URGN</t>
  </si>
  <si>
    <t>IQTR427059627</t>
  </si>
  <si>
    <t>IQ240702165</t>
  </si>
  <si>
    <t>UroGen Pharma Ltd., a clinical stage biopharmaceutical company, focuses on developing therapies for urological pathologies. Its lead product candidates, MitoGel and VesiGel are formulations of the chemotherapy drug Mitomycin C, a generic drug which is currently used off-label for urothelial cancer treatment only in a water-based formulation as an adjuvant, or supplemental post-surgery, therapy. The company is developing its product candidates as chemoablation agents, which are designed to remove tumors by non-surgical means, to treat several forms of non-muscle invasive urothelial cancer, including low-grade upper tract urothelial carcinoma, and low-grade bladder cancer. UroGen Pharma Ltd. was incorporated in 2004 and is headquartered in Ra’anana, Israel.</t>
  </si>
  <si>
    <t>Acceleron Pharma Inc.</t>
  </si>
  <si>
    <t>NasdaqGM:XLRN</t>
  </si>
  <si>
    <t>IQTR244238745</t>
  </si>
  <si>
    <t>IQ9004482</t>
  </si>
  <si>
    <t>Acceleron Pharma Inc., a clinical stage biopharmaceutical company, focuses on the discovery, development, and commercialization of therapeutics for serious and rare diseases. Its therapeutic candidates include luspatercept to treat anemia and associated complications in patients with myelodysplastic syndromes and beta-thalassemia; and sotatercept for chronic kidney diseases. The company’s therapeutic candidates also include dalantercept, a tyrosine kinase inhibitor, which is in phase II clinical trials for renal cell carcinoma; and ACE-083 that is in phase II clinical trials for facioscapulohumeral dystrophy. It has collaboration, license, and option agreement with Celgene Corporation. The company was formerly known as Phoenix Pharma, Inc. Acceleron Pharma Inc. was founded in 2003 and is headquartered in Cambridge, Massachusetts.</t>
  </si>
  <si>
    <t>Phase III, NDA Filed and Marketed</t>
  </si>
  <si>
    <t>scPharmaceuticals Inc.</t>
  </si>
  <si>
    <t>NasdaqGS:SCPH</t>
  </si>
  <si>
    <t>IQTR541328196</t>
  </si>
  <si>
    <t>IQ247375245</t>
  </si>
  <si>
    <t>scPharmaceuticals Inc., biopharmaceutical company, engages in the development and commercialization of transformative pharmaceutical products. The company’s under development products are for heart failure and infectious diseases that include Furoscix that is for treatment of worsening or decompensated heart failure outside of the inpatient setting. scPharmaceuticals Inc. formerly known as scPharmaceuticals LLC. and changed its name to scPharmaceuticals Inc. in March 2014. The company was founded 2013 and is based in Burlington, Massachusetts.</t>
  </si>
  <si>
    <t>NuCana plc</t>
  </si>
  <si>
    <t>NasdaqGS:NCNA</t>
  </si>
  <si>
    <t>IQTR536245896</t>
  </si>
  <si>
    <t>IQ50918463</t>
  </si>
  <si>
    <t>NuCana plc, a biopharmaceutical company, engages in the development of products for the treatment of cancer. The company is developing Acelarin that is in Phase I clinical trials for the treatment of advanced metastatic solid tumors; that is in Phase Ib clinical trials for the treatment of recurrent ovarian cancer; in Phase II clinical trials for the treatment of patients with platinum-resistant ovarian cancer; and in Phase Ib clinical trials for the treatment of patients with biliary cancer. The company is also developing NUC-3373, which is in Phase I clinical trials for the treatment of patients with advanced solid tumors, as well as for the treatment of colorectal and breast cancer; and NUC-7738, a nucleoside analog that is in preclinical studies for the treatment of solid tumors and hematology. It has a research, collaboration, and license agreement with Cardiff University and University College Cardiff Consultants Ltd; and an assignment, license, and collaboration agreement with Cardiff ProTides Ltd. The company was formerly known as NuCana BioMed Limited and changed its name to NuCana plc in August 2017. The company was incorporated in 1997 and is headquartered in Edinburgh, the United Kingdom.</t>
  </si>
  <si>
    <t>Zai Lab Limited</t>
  </si>
  <si>
    <t>NasdaqGM:ZLAB</t>
  </si>
  <si>
    <t>IQTR534418027</t>
  </si>
  <si>
    <t>IQ271123063</t>
  </si>
  <si>
    <t>Zai Lab Limited, a biopharmaceutical company, engages in discovering or licensing, developing, and commercializing proprietary therapeutics for oncology, and autoimmune and infectious disease therapies in China. Its drug candidates include ZL-2306, a poly ADP ribose polymerase 1/2 inhibitor for the treatment of ovarian, breast, and lung cancers; ZL-2401, an antibiotic for the treatment of acute bacterial skin/skin structure infections, community-acquired bacterial pneumonias, and urinary tract infections; ZL-2301 that is Phase II clinical trial for the treatment of hepatocellular carcinoma; ZL-3101, a novel steroid-sparing topical product that is in Phase II clinical trial for the treatment of eczema and psoriasis; ZL-2302 for the treatment of non-small cell lung cancer; and ZL-1101, an anti-OX40 antagonistic antibody for the treatment of graft-versus-host disease or systemic lupus erythematosus. The company was founded in 2013 and is headquartered in Shanghai, China.</t>
  </si>
  <si>
    <t>Akcea Therapeutics, Inc.</t>
  </si>
  <si>
    <t>NasdaqGS:AKCA</t>
  </si>
  <si>
    <t>IQTR424659349</t>
  </si>
  <si>
    <t>IQ306140818</t>
  </si>
  <si>
    <t>Akcea Therapeutics Inc., a late-stage biopharmaceutical company, focuses on developing and commercializing drugs to treat patients with cardiometabolic diseases caused by lipid disorders in the United States and internationally. It develops Volanesorsen, which has completed Phase 3 clinical study for the treatment of familial chylomicronemia syndrome; and that is in Phase 3 clinical study for the treatment of familial partial lipodystrophy. The company also develops AKCEA-APO(a)-LRx, which has completed Phase 2b clinical study for treating patients suffering with hyperlipoproteinemia; AKCEA-ANGPTL3-LRx that has completed Phase 1/2 clinical study for the treatment of multiple lipid disorders; and AKCEA-APOCIII-LRx, which is in Phase 1/2 study for the treatment of cardiovascular disease driven by high triglycerides. It has strategic collaboration with Novartis Pharma AG. The company was incorporated in 2014 and is headquartered in Cambridge, Massachusetts. Akcea Therapeutics Inc. is a subsidiary of Ionis Pharmaceuticals, Inc.</t>
  </si>
  <si>
    <t>Added header in cell X7 of all asset volatility sheets</t>
  </si>
  <si>
    <t>Added checks for enterprise value in all asset volatility sheets</t>
  </si>
  <si>
    <t>&lt;- Check</t>
  </si>
  <si>
    <t>Enterprise Value Check between two approaches</t>
  </si>
  <si>
    <t>Backsolve</t>
  </si>
  <si>
    <t>Phase of the Comparable Product</t>
  </si>
  <si>
    <t>Comp.1 and Trans. 1</t>
  </si>
  <si>
    <t>Added columns for comparable technology and Phases</t>
  </si>
  <si>
    <t>Added Class Volatility checks</t>
  </si>
  <si>
    <t>Added check for Hybrid OPM backsolve</t>
  </si>
  <si>
    <t>WACC</t>
  </si>
  <si>
    <t>Updated D&amp;P studies for 2018</t>
  </si>
  <si>
    <t xml:space="preserve"> Year - 2018</t>
  </si>
  <si>
    <t>Based on the Duff &amp; Phelps 2018 Valuation Handbook.</t>
  </si>
  <si>
    <t>Based on the Duff &amp; Phelps 2018 Valuation Handbook - 10th decile companies.</t>
  </si>
  <si>
    <t>Manan</t>
  </si>
  <si>
    <t>Total Shares Outstanding / Converted to Common Stock</t>
  </si>
  <si>
    <t>Breakpoint Value</t>
  </si>
  <si>
    <t>Total Allocation</t>
  </si>
  <si>
    <t>Total Tranche Value</t>
  </si>
  <si>
    <t>Label changes to cells E7, B34, B81, B85, B138, B168</t>
  </si>
  <si>
    <t>Added upper border to the breakpoint value calculations</t>
  </si>
  <si>
    <t>OPM 1 Hybrid</t>
  </si>
  <si>
    <t>Row 85</t>
  </si>
  <si>
    <t>Added Upper border to the Total Liabilities &amp; Shareholder's Equity calculation</t>
  </si>
  <si>
    <t>Row 56</t>
  </si>
  <si>
    <t>Added outliers in the formulas for Stock Price, Market Cap and Enterprise Value</t>
  </si>
  <si>
    <t>X11 to Z37</t>
  </si>
  <si>
    <t>WACC PWERM</t>
  </si>
  <si>
    <t>Updated format of cells F15 and F17</t>
  </si>
  <si>
    <t>Updated format for calculations in Row 11 and Row 15</t>
  </si>
  <si>
    <t>Removed Extra space (row) below Footnote.</t>
  </si>
  <si>
    <t>Cap Table</t>
  </si>
  <si>
    <t>The Total for Common Options/Warrants and Preferred Warrants were made bold.</t>
  </si>
  <si>
    <t>Font color updated for Values and Shares columns.</t>
  </si>
  <si>
    <t>OPM 2 (Hybrid)</t>
  </si>
  <si>
    <t>Kritika</t>
  </si>
  <si>
    <t>Val Summ</t>
  </si>
  <si>
    <t>Added Hybrid Method conclusions in off-print, added latest pref value conclusions from all three methods in off-print</t>
  </si>
  <si>
    <t>Removed additional term and updated PV factor calculations</t>
  </si>
  <si>
    <t>Exit Prob</t>
  </si>
  <si>
    <t>Cell B58 bold</t>
  </si>
  <si>
    <t>Based on discussions with Management</t>
  </si>
  <si>
    <t>Backsolved based on latest round of financing</t>
  </si>
  <si>
    <t>Updated format of cells E7:E13</t>
  </si>
  <si>
    <t>Updated RFR reference</t>
  </si>
  <si>
    <t>Tranche Ownership Percentage</t>
  </si>
  <si>
    <t>Total Tranche Ownership Percentage</t>
  </si>
  <si>
    <t>Incremental Value (Difference between Breakpoints)</t>
  </si>
  <si>
    <t>Incremental Value Allocation</t>
  </si>
  <si>
    <t>Price per Share at Each Breakpoint</t>
  </si>
  <si>
    <t>Off-print area; per share checks added, allocation % moved inside print area and labels updated based on Jeff's comments</t>
  </si>
  <si>
    <t>Hist IS</t>
  </si>
  <si>
    <t>Border removed from cells B9:C9</t>
  </si>
  <si>
    <t>Updated border format in line with common size</t>
  </si>
  <si>
    <t xml:space="preserve">General </t>
  </si>
  <si>
    <t>Couple of FN references across sheets</t>
  </si>
  <si>
    <t>Added additional term reference</t>
  </si>
  <si>
    <t>For certain Guideline Public Companies that were not public beyond the selected period, no historical volatility is available for the selected term. As such, we considered the latest available historical volatility for the purposes of this analysis. These companies are highlighted in gray.</t>
  </si>
  <si>
    <t>For certain Guideline Public Companies, equity volatility was not meaningful since they were listed less than a year before the Valuation Date (highlighted in blue and marked as "NM"). We have not considered these Guideline Public Companies for the purposes of calculating volatilities.</t>
  </si>
  <si>
    <t>Hybrid OPM 1</t>
  </si>
  <si>
    <t>Same edits as above</t>
  </si>
  <si>
    <t>IPO Biopharma_Old</t>
  </si>
  <si>
    <t>Deleted this tab</t>
  </si>
  <si>
    <t>Added footnotes #3 and #4</t>
  </si>
  <si>
    <t>Longstaff Lookback Put Analysis</t>
  </si>
  <si>
    <t>Put Value (i)</t>
  </si>
  <si>
    <t>Calculated DLOM (ii) = (i) / (1 + i )</t>
  </si>
  <si>
    <t>Rows 53-66</t>
  </si>
  <si>
    <t>Added Longstaff DLOM formula</t>
  </si>
  <si>
    <t>Updated alignment for the headers</t>
  </si>
  <si>
    <t>Added the Exit Type list in the off-print section for the drill down below the PWERM scenarios.</t>
  </si>
  <si>
    <t>Updated the logo</t>
  </si>
  <si>
    <t>Title and Separators</t>
  </si>
  <si>
    <t xml:space="preserve">Manan </t>
  </si>
  <si>
    <t>Updated the reconciliation calculations for the Implied Equity Value in the off-print section below</t>
  </si>
  <si>
    <t>Added a corresponding check to the above</t>
  </si>
  <si>
    <t>Cell R11</t>
  </si>
  <si>
    <t>Updated Total Labels in cells B46, B70, B101 and B133</t>
  </si>
  <si>
    <t>Set the Outlier Above to 150.0% as default</t>
  </si>
  <si>
    <t>Checks for Volatilities MVIC</t>
  </si>
  <si>
    <t>Updated the formula for MVIC calculation in the DLOM row for all the asset volatilities tabs</t>
  </si>
  <si>
    <t>Added EV checks for all the asset volatilities tabs</t>
  </si>
  <si>
    <t>Percentage Change in Market</t>
  </si>
  <si>
    <t>Market Trends Since Previous Valuation</t>
  </si>
  <si>
    <t xml:space="preserve">Dhawaj </t>
  </si>
  <si>
    <t xml:space="preserve">Template </t>
  </si>
  <si>
    <t>Changed font to Georgia and font size 11</t>
  </si>
  <si>
    <r>
      <t xml:space="preserve">Plummer </t>
    </r>
    <r>
      <rPr>
        <sz val="10"/>
        <color rgb="FFFFFFFF"/>
        <rFont val="Georgia"/>
        <family val="1"/>
      </rPr>
      <t>(2)</t>
    </r>
  </si>
  <si>
    <r>
      <t>Scherlis &amp; Sahlman</t>
    </r>
    <r>
      <rPr>
        <sz val="10"/>
        <color rgb="FFFFFFFF"/>
        <rFont val="Georgia"/>
        <family val="1"/>
      </rPr>
      <t xml:space="preserve"> (3)</t>
    </r>
  </si>
  <si>
    <r>
      <t>Sahlman &amp; Others</t>
    </r>
    <r>
      <rPr>
        <sz val="10"/>
        <color rgb="FFFFFFFF"/>
        <rFont val="Georgia"/>
        <family val="1"/>
      </rPr>
      <t xml:space="preserve"> (4)</t>
    </r>
  </si>
  <si>
    <r>
      <t>Shareholders</t>
    </r>
    <r>
      <rPr>
        <sz val="10"/>
        <color rgb="FFFFFFFF"/>
        <rFont val="Georgia"/>
        <family val="1"/>
      </rPr>
      <t xml:space="preserve"> (1)</t>
    </r>
  </si>
  <si>
    <r>
      <t xml:space="preserve">Features </t>
    </r>
    <r>
      <rPr>
        <sz val="10"/>
        <color theme="1"/>
        <rFont val="Georgia"/>
        <family val="1"/>
      </rPr>
      <t>(1)</t>
    </r>
  </si>
  <si>
    <r>
      <t xml:space="preserve">Asset Vol. </t>
    </r>
    <r>
      <rPr>
        <sz val="10"/>
        <rFont val="Georgia"/>
        <family val="1"/>
      </rPr>
      <t>(1)</t>
    </r>
  </si>
  <si>
    <r>
      <t xml:space="preserve">The derivation of asset volatilities was estimated based on the methodologies outlined in Crosbie's paper entitled </t>
    </r>
    <r>
      <rPr>
        <i/>
        <sz val="10"/>
        <color theme="1"/>
        <rFont val="Georgia"/>
        <family val="1"/>
      </rPr>
      <t>Modeling Default Risk</t>
    </r>
    <r>
      <rPr>
        <sz val="10"/>
        <color theme="1"/>
        <rFont val="Georgia"/>
        <family val="1"/>
      </rPr>
      <t>.</t>
    </r>
  </si>
  <si>
    <t>Nishant</t>
  </si>
  <si>
    <t>Changed font size to 10</t>
  </si>
  <si>
    <t>Updated formula to capture NM for outliers</t>
  </si>
  <si>
    <t>Anchal</t>
  </si>
  <si>
    <t>Medikine, Inc.</t>
  </si>
  <si>
    <t>Recurring</t>
  </si>
  <si>
    <t>Pre-money value (pre-Series Seed 2)</t>
  </si>
  <si>
    <t>Post-money value (post-Series Seed 2)</t>
  </si>
  <si>
    <t>Pre Series Seed 2 # of Fully Diluted Shares</t>
  </si>
  <si>
    <t>Series Seed 2 price per share</t>
  </si>
  <si>
    <t>Series Seed 1 Conversion Price Trigger</t>
  </si>
  <si>
    <t>Series Seed 1 Purchase Price</t>
  </si>
  <si>
    <t>PRE-SEED 2</t>
  </si>
  <si>
    <t>SEED 2</t>
  </si>
  <si>
    <t>POST-SEED 2</t>
  </si>
  <si>
    <t xml:space="preserve"> Name</t>
  </si>
  <si>
    <t>Common Outstanding</t>
  </si>
  <si>
    <t>Common Stock Options</t>
  </si>
  <si>
    <t>Series Seed 1 Preferred</t>
  </si>
  <si>
    <t xml:space="preserve">Series Seed 1 Conversion Adjustment </t>
  </si>
  <si>
    <t>Series Seed 2 Investment</t>
  </si>
  <si>
    <t>Series Seed 2 Shares</t>
  </si>
  <si>
    <t>Fully-Diluted Shares</t>
  </si>
  <si>
    <t>Fully-Diluted %</t>
  </si>
  <si>
    <t>William J. Dower</t>
  </si>
  <si>
    <t>Michael C. Needels</t>
  </si>
  <si>
    <t>Ronald W. Barrett</t>
  </si>
  <si>
    <t>Management Totals</t>
  </si>
  <si>
    <t>Larry Mattheakis</t>
  </si>
  <si>
    <t>Emily Tate</t>
  </si>
  <si>
    <t>Non-Management Common</t>
  </si>
  <si>
    <t>Steve Cwirla</t>
  </si>
  <si>
    <t>Sandra Wang</t>
  </si>
  <si>
    <t>Blake Williams</t>
  </si>
  <si>
    <t>Alice Bakker</t>
  </si>
  <si>
    <t>Prae Pongtornpipat</t>
  </si>
  <si>
    <t>Employee Options</t>
  </si>
  <si>
    <t>Heather Kerr</t>
  </si>
  <si>
    <t>William Harris</t>
  </si>
  <si>
    <t>Dean Falb</t>
  </si>
  <si>
    <t>Keith Hruska</t>
  </si>
  <si>
    <t>Jonathan Himmelfarb</t>
  </si>
  <si>
    <t>Ramesh Bhatt</t>
  </si>
  <si>
    <t>Gia Bosko</t>
  </si>
  <si>
    <t>Byron Miller</t>
  </si>
  <si>
    <t>Mark Gallop</t>
  </si>
  <si>
    <t>Chris Hunter</t>
  </si>
  <si>
    <t>Krishna Polu</t>
  </si>
  <si>
    <t>Mark Davis</t>
  </si>
  <si>
    <t>Jeff Greve</t>
  </si>
  <si>
    <t>Advisor Options and Series Seed 1&amp;2</t>
  </si>
  <si>
    <t>Paul Berns</t>
  </si>
  <si>
    <t>John Freund</t>
  </si>
  <si>
    <t>Ken Nussbacher</t>
  </si>
  <si>
    <t>Bill Rieflin</t>
  </si>
  <si>
    <t>Wendel Wierenga</t>
  </si>
  <si>
    <t>WS Investment Company</t>
  </si>
  <si>
    <t>Other Series Seed 1&amp;2</t>
  </si>
  <si>
    <t>Tom Kempner</t>
  </si>
  <si>
    <t>Anthony Yoseloff</t>
  </si>
  <si>
    <t>David Porter</t>
  </si>
  <si>
    <t>Dermot McMeekin</t>
  </si>
  <si>
    <t>Jonathan MacQuitty</t>
  </si>
  <si>
    <t>Lightspeed Ventures</t>
  </si>
  <si>
    <t>New Series Seed 2</t>
  </si>
  <si>
    <t>Available Option Pool</t>
  </si>
  <si>
    <t>Fully Diluted Before Series Seed 2</t>
  </si>
  <si>
    <t>Medikine Stock Option Grant Schedule</t>
  </si>
  <si>
    <t>v122018</t>
  </si>
  <si>
    <t>grant #1</t>
  </si>
  <si>
    <t>grant #2</t>
  </si>
  <si>
    <t>last name</t>
  </si>
  <si>
    <t>ee/advisor</t>
  </si>
  <si>
    <t># options</t>
  </si>
  <si>
    <t>option price</t>
  </si>
  <si>
    <t>grant date</t>
  </si>
  <si>
    <t>comment</t>
  </si>
  <si>
    <t>Barrett</t>
  </si>
  <si>
    <t xml:space="preserve">ee </t>
  </si>
  <si>
    <t>Cwirla</t>
  </si>
  <si>
    <t>ee</t>
  </si>
  <si>
    <t>Wang</t>
  </si>
  <si>
    <t>Williams</t>
  </si>
  <si>
    <t>Bakker</t>
  </si>
  <si>
    <t>Pongtornpipat</t>
  </si>
  <si>
    <t>Kerr</t>
  </si>
  <si>
    <t>advisor</t>
  </si>
  <si>
    <t>Harris</t>
  </si>
  <si>
    <t>Falb</t>
  </si>
  <si>
    <t>Hruska</t>
  </si>
  <si>
    <t>never received signed option grant</t>
  </si>
  <si>
    <t>Himmelfarb</t>
  </si>
  <si>
    <t>Bhatt</t>
  </si>
  <si>
    <t>Bosko</t>
  </si>
  <si>
    <t>2nd grant pending</t>
  </si>
  <si>
    <t>Miller</t>
  </si>
  <si>
    <t>Gallop</t>
  </si>
  <si>
    <t>Hunter</t>
  </si>
  <si>
    <t>Polu</t>
  </si>
  <si>
    <t>Davis</t>
  </si>
  <si>
    <t>Greve</t>
  </si>
  <si>
    <t>Series Seed 1</t>
  </si>
  <si>
    <t>Series Seed 2</t>
  </si>
  <si>
    <t>Consolidated</t>
  </si>
  <si>
    <t>Knowcraft Calculation</t>
  </si>
  <si>
    <t>Number of Options</t>
  </si>
  <si>
    <t>Common Options</t>
  </si>
  <si>
    <t>Pre-money value</t>
  </si>
  <si>
    <t>Historical and Forecast Financial Statements</t>
  </si>
  <si>
    <t>Financial Forecasts</t>
  </si>
  <si>
    <t>Dec 31, 15</t>
  </si>
  <si>
    <t>ASSETS</t>
  </si>
  <si>
    <t>Checking/Savings</t>
  </si>
  <si>
    <t>Comerica Bank</t>
  </si>
  <si>
    <t>Total Checking/Savings</t>
  </si>
  <si>
    <t>Prepaid</t>
  </si>
  <si>
    <t>Total Other Current Assets</t>
  </si>
  <si>
    <t>Fixed Assets</t>
  </si>
  <si>
    <t>Equipment</t>
  </si>
  <si>
    <t>Accumulated Depreciation</t>
  </si>
  <si>
    <t>Equipment - Other</t>
  </si>
  <si>
    <t>Total Equipment</t>
  </si>
  <si>
    <t>Leasehold Improvements</t>
  </si>
  <si>
    <t>Leasehold Improvements - Other</t>
  </si>
  <si>
    <t>Total Leasehold Improvements</t>
  </si>
  <si>
    <t>Total Fixed Assets</t>
  </si>
  <si>
    <t>Deposit - Rent</t>
  </si>
  <si>
    <t>Total Other Assets</t>
  </si>
  <si>
    <t>TOTAL ASSETS</t>
  </si>
  <si>
    <t>LIABILITIES &amp; EQUITY</t>
  </si>
  <si>
    <t>Liabilities</t>
  </si>
  <si>
    <t>Total Accounts Payable</t>
  </si>
  <si>
    <t>Preferred Stock</t>
  </si>
  <si>
    <t>TOTAL LIABILITIES &amp; EQUITY</t>
  </si>
  <si>
    <t>Jan - Dec 15</t>
  </si>
  <si>
    <t>Ordinary Income/Expense</t>
  </si>
  <si>
    <t>Income</t>
  </si>
  <si>
    <t>Service Income</t>
  </si>
  <si>
    <t>Total Income</t>
  </si>
  <si>
    <t>Expense</t>
  </si>
  <si>
    <t>Bank Service Charges</t>
  </si>
  <si>
    <t>Consulting R&amp;D</t>
  </si>
  <si>
    <t>Depreciation Expense</t>
  </si>
  <si>
    <t>Dues and Subscriptions</t>
  </si>
  <si>
    <t>Hazardous Materials Recycling</t>
  </si>
  <si>
    <t>Insurance</t>
  </si>
  <si>
    <t>General Liability Insurance</t>
  </si>
  <si>
    <t>Worker's Compensation</t>
  </si>
  <si>
    <t>Insurance - Other</t>
  </si>
  <si>
    <t>Total Insurance</t>
  </si>
  <si>
    <t>Licenses and Permits</t>
  </si>
  <si>
    <t>Medical Reimbursement</t>
  </si>
  <si>
    <t>Moving Expenses</t>
  </si>
  <si>
    <t>Office Supplies</t>
  </si>
  <si>
    <t>Payroll Expenses</t>
  </si>
  <si>
    <t>Payroll Salaries</t>
  </si>
  <si>
    <t>Payroll Taxes</t>
  </si>
  <si>
    <t>Professional Fees</t>
  </si>
  <si>
    <t>Accounting Fees</t>
  </si>
  <si>
    <t>Legal Fees</t>
  </si>
  <si>
    <t>Total Professional Fees</t>
  </si>
  <si>
    <t>R&amp;D Supplies</t>
  </si>
  <si>
    <t>Rent</t>
  </si>
  <si>
    <t>Taxes</t>
  </si>
  <si>
    <t>Telephone and Fax</t>
  </si>
  <si>
    <t>Travel &amp; Entertainment</t>
  </si>
  <si>
    <t>Meals</t>
  </si>
  <si>
    <t>Travel</t>
  </si>
  <si>
    <t>Travel &amp; Entertainment - Other</t>
  </si>
  <si>
    <t>Total Travel &amp; Entertainment</t>
  </si>
  <si>
    <t>Total Expense</t>
  </si>
  <si>
    <t>Net Ordinary Income</t>
  </si>
  <si>
    <t>Other Income/Expense</t>
  </si>
  <si>
    <t>Other Expense</t>
  </si>
  <si>
    <t>Finance Charges</t>
  </si>
  <si>
    <t>Total Other Expense</t>
  </si>
  <si>
    <t>Net Other Income</t>
  </si>
  <si>
    <t>OPERATING ACTIVITIES</t>
  </si>
  <si>
    <t>Adjustments to reconcile Net Income</t>
  </si>
  <si>
    <t>to net cash provided by operations:</t>
  </si>
  <si>
    <t>Net cash provided by Operating Activities</t>
  </si>
  <si>
    <t>INVESTING ACTIVITIES</t>
  </si>
  <si>
    <t>Net cash provided by Investing Activities</t>
  </si>
  <si>
    <t>FINANCING ACTIVITIES</t>
  </si>
  <si>
    <t>Notes Payable</t>
  </si>
  <si>
    <t>Net cash provided by Financing Activities</t>
  </si>
  <si>
    <t>Net cash increase for period</t>
  </si>
  <si>
    <t>Cash at beginning of period</t>
  </si>
  <si>
    <t>Cash at end of period</t>
  </si>
  <si>
    <t>Total Repairs and Maintenance</t>
  </si>
  <si>
    <t>Equipment Repairs</t>
  </si>
  <si>
    <t>Medical Benefits</t>
  </si>
  <si>
    <t>Series Seed Stock</t>
  </si>
  <si>
    <t>Founders Common Stock</t>
  </si>
  <si>
    <t>Postage and Shipping</t>
  </si>
  <si>
    <t>Repairs and Maintenance</t>
  </si>
  <si>
    <t>Testing</t>
  </si>
  <si>
    <t>Dec 31, 16</t>
  </si>
  <si>
    <t>Jan - Dec 2016</t>
  </si>
  <si>
    <t>Jan - Dec 2017</t>
  </si>
  <si>
    <t>Dec 31, 2017</t>
  </si>
  <si>
    <t>Total Other Current Liabilities</t>
  </si>
  <si>
    <t>Prepaid Income</t>
  </si>
  <si>
    <t>Outside Services</t>
  </si>
  <si>
    <t>Payroll Services</t>
  </si>
  <si>
    <t>Software</t>
  </si>
  <si>
    <t>Jan - Dec 2018</t>
  </si>
  <si>
    <t>Series Seed Stock 2</t>
  </si>
  <si>
    <t>Dec 31, 2018</t>
  </si>
  <si>
    <t>Grant Income</t>
  </si>
  <si>
    <t>Advertising Expenses</t>
  </si>
  <si>
    <t>Computer Repairs</t>
  </si>
  <si>
    <t>Equipment: Accumulated Depreciation</t>
  </si>
  <si>
    <t>Leasehold Improvements: Accumulated Depreciation</t>
  </si>
  <si>
    <t>Conferences &amp; Seminars</t>
  </si>
  <si>
    <t>Lab Supplies</t>
  </si>
  <si>
    <t>Medikine Operating Plan - $4M (+CDs)</t>
  </si>
  <si>
    <t>Nov</t>
  </si>
  <si>
    <t>Dec</t>
  </si>
  <si>
    <t>Jan</t>
  </si>
  <si>
    <t>Feb</t>
  </si>
  <si>
    <t>Mar</t>
  </si>
  <si>
    <t>Apr</t>
  </si>
  <si>
    <t>May</t>
  </si>
  <si>
    <t>Jun</t>
  </si>
  <si>
    <t>Jul</t>
  </si>
  <si>
    <t>Aug</t>
  </si>
  <si>
    <t>Sep</t>
  </si>
  <si>
    <t>Oct</t>
  </si>
  <si>
    <t>TOTAL SUM</t>
  </si>
  <si>
    <t>Sum</t>
  </si>
  <si>
    <t>REVENUE</t>
  </si>
  <si>
    <t>GRANTS</t>
  </si>
  <si>
    <t>IL27 SBIR Phase 1</t>
  </si>
  <si>
    <t>New Phase 1 SBIR (or Janux)</t>
  </si>
  <si>
    <t>Total Grants</t>
  </si>
  <si>
    <t>Financing Proceeds</t>
  </si>
  <si>
    <t>Total Financing Proceeds</t>
  </si>
  <si>
    <t>CAPITAL INVESTMENTS</t>
  </si>
  <si>
    <t>6 month CD $1M, 2.38%</t>
  </si>
  <si>
    <t>12 month CD $1M, 2.53%</t>
  </si>
  <si>
    <t>Total Capital Investments</t>
  </si>
  <si>
    <t>TOTAL REVENUE</t>
  </si>
  <si>
    <t>EXPENSES</t>
  </si>
  <si>
    <t>Consultants</t>
  </si>
  <si>
    <t>Operational Services</t>
  </si>
  <si>
    <t>CRO Services</t>
  </si>
  <si>
    <t>Office &amp; Lab Expenses</t>
  </si>
  <si>
    <t>Occupancy</t>
  </si>
  <si>
    <t>Travel &amp; Conference Costs</t>
  </si>
  <si>
    <t>Capital Investments (CDs)</t>
  </si>
  <si>
    <t>TOTAL EXPENSES</t>
  </si>
  <si>
    <t>Net Margin</t>
  </si>
  <si>
    <t>LIQUID CASH BALANCE</t>
  </si>
  <si>
    <t>HEADCOUNT</t>
  </si>
  <si>
    <t>Ron Barrett</t>
  </si>
  <si>
    <t>exempt</t>
  </si>
  <si>
    <t>Bill Dower</t>
  </si>
  <si>
    <t>non-exempt</t>
  </si>
  <si>
    <t>TBA (Res. Assistant)</t>
  </si>
  <si>
    <t>TBA (Res. Techician)</t>
  </si>
  <si>
    <t>TBA (Director I/O)</t>
  </si>
  <si>
    <t>Mike Needels</t>
  </si>
  <si>
    <t>Research FTE</t>
  </si>
  <si>
    <t>SALARIES</t>
  </si>
  <si>
    <t>COLA</t>
  </si>
  <si>
    <t>TBA (Res. Technician)</t>
  </si>
  <si>
    <t>PAYROLL EXPENSES</t>
  </si>
  <si>
    <t>Salary</t>
  </si>
  <si>
    <t>Bonuses</t>
  </si>
  <si>
    <t>Payroll Service</t>
  </si>
  <si>
    <t>Workers Comp insurance</t>
  </si>
  <si>
    <t>Medical Benefit</t>
  </si>
  <si>
    <t>Dental Benefit</t>
  </si>
  <si>
    <t>Employer Taxes</t>
  </si>
  <si>
    <t>% of gross EE pay</t>
  </si>
  <si>
    <t>TOTAL</t>
  </si>
  <si>
    <t>CONSULTANTS</t>
  </si>
  <si>
    <t>Business Development</t>
  </si>
  <si>
    <t>Manufacturing/Analytical (Biologic/Synthetic)</t>
  </si>
  <si>
    <t>HR/Compliance</t>
  </si>
  <si>
    <t>OPERATIONAL SERVICES</t>
  </si>
  <si>
    <t>Accounting</t>
  </si>
  <si>
    <t>Financial Review/Audit</t>
  </si>
  <si>
    <t>Attorney Fees - Corp and agreements</t>
  </si>
  <si>
    <t>Attorney Fees - Bus Dev</t>
  </si>
  <si>
    <t>Attorney Fees - IP</t>
  </si>
  <si>
    <t>Tax fees and services</t>
  </si>
  <si>
    <t>Banking Fees</t>
  </si>
  <si>
    <t>409A valuation</t>
  </si>
  <si>
    <t>Grant Writing Services</t>
  </si>
  <si>
    <t>IT/Webpage</t>
  </si>
  <si>
    <t>Insurance (General Liability)</t>
  </si>
  <si>
    <t>Insurance (D&amp;O)</t>
  </si>
  <si>
    <t>CRO SERVICES</t>
  </si>
  <si>
    <t>Research peptide synthesis (monomers &amp; dimers)</t>
  </si>
  <si>
    <t>Research protein fusions (Fc, IgG, ect.)</t>
  </si>
  <si>
    <t>In Vitro human/cyno cytometry</t>
  </si>
  <si>
    <t>In Vitro Immunogenicity Screening</t>
  </si>
  <si>
    <t>In vitro Proteolysis studies</t>
  </si>
  <si>
    <t>API analytical</t>
  </si>
  <si>
    <t>Scale-up  synthesis for animal studies</t>
  </si>
  <si>
    <t>Monkey PK/PD studies</t>
  </si>
  <si>
    <t xml:space="preserve"> </t>
  </si>
  <si>
    <t>OFFICE &amp; LAB EXPENSES</t>
  </si>
  <si>
    <t>Postage, Freight &amp; Delivery</t>
  </si>
  <si>
    <t>Lab Supplies (not including peptides)</t>
  </si>
  <si>
    <t>/FTE/mo</t>
  </si>
  <si>
    <t>Lab Equipment</t>
  </si>
  <si>
    <t>OCCUPANCY</t>
  </si>
  <si>
    <t xml:space="preserve">Rent + Utilities </t>
  </si>
  <si>
    <t>Storage space</t>
  </si>
  <si>
    <t>Deposit</t>
  </si>
  <si>
    <t>6 month CD $1M</t>
  </si>
  <si>
    <t>12 month CD $1M</t>
  </si>
  <si>
    <t>#1</t>
  </si>
  <si>
    <t>BP</t>
  </si>
  <si>
    <t>#2</t>
  </si>
  <si>
    <t>#3</t>
  </si>
  <si>
    <t>#4</t>
  </si>
  <si>
    <t>#5</t>
  </si>
  <si>
    <t>#6</t>
  </si>
  <si>
    <t>Common Stock Starts Receiving Value</t>
  </si>
  <si>
    <t>Series Seed 1 Converts</t>
  </si>
  <si>
    <t>Series Seed 2 Converts</t>
  </si>
  <si>
    <t>Post-money value</t>
  </si>
  <si>
    <t>Conversion Price</t>
  </si>
  <si>
    <t>Common Breakpoint Check</t>
  </si>
  <si>
    <t>Current Value Method ("CVM")</t>
  </si>
  <si>
    <t>Exit Value (Rounded)</t>
  </si>
  <si>
    <t>Shares (As-Converted)</t>
  </si>
  <si>
    <t>Strike</t>
  </si>
  <si>
    <t>Value Allocation</t>
  </si>
  <si>
    <t xml:space="preserve">Discount for Lack of Control / Voting Rights </t>
  </si>
  <si>
    <t>Exhibit F.6</t>
  </si>
  <si>
    <t>LP</t>
  </si>
  <si>
    <t>DLOM CVM</t>
  </si>
  <si>
    <t>Asset Volatility - CVM</t>
  </si>
  <si>
    <t>CY2020</t>
  </si>
  <si>
    <t>CY2021</t>
  </si>
  <si>
    <t>CY2022</t>
  </si>
  <si>
    <t>REV_CY2020</t>
  </si>
  <si>
    <t>REV_CY2021</t>
  </si>
  <si>
    <t>REV_CY2022</t>
  </si>
  <si>
    <t>EBITDA_2019</t>
  </si>
  <si>
    <t>EBITDA_2020</t>
  </si>
  <si>
    <t>EBITDA_2021</t>
  </si>
  <si>
    <t>NasdaqGS:NKTR</t>
  </si>
  <si>
    <t>IQ29929</t>
  </si>
  <si>
    <t>Nektar Therapeutics, a research-based biopharmaceutical company, discovers and develops drug candidates for cancer, auto-immune disease, and chronic pain in the United States. The company offers ONZEALD, a topoisomerase I inhibitor that is in Phase III clinical trial for advanced metastatic breast cancer in patients with brain metastases; NKTR-181, an orally-available mu-opioid analgesic molecule, which is in Phase III clinical trial for moderate to severe chronic pain; NKTR-214, a cytokine immunostimulatory therapy that is in Phase I/II to treat cancer; NKTR-358, which is in Phase I to treat autoimmune diseases; and NKTR-262 for solid tumors, as well as NKTR-255 that is under research/preclinical stage for immuno-oncology. It is also developing MOVANTIK for opioid-induced constipation in adult patients with chronic non-cancer pain, and who have an inadequate response to laxatives; ADYNOVATE for hemophilia A; Somavert to treat acromegaly; and Neulasta for treating neutropenia. In addition, the company develops PEG-INTRON for the treatment of hepatitis-C; Macugen for age-related macular degeneration; CIMZIA to treat rheumatoid arthritis, Crohn’s disease, and psoriasis/ankylosing spondylitis; and MIRCERA for anemia related to chronic kidney disease in patients on and not on dialysis. Further, it is developing SEMPRANA to treat migraine; dapirolizumab pegol for systemic lupus erythematosus; PEGPH20 for ancreatic, non-small cell lung cancer, and other tumor types; and longer-acting blood clotting proteins for hemophilia. The company has collaboration agreement with AstraZeneca AB, Shire plc, Pfizer Inc., Amgen Inc., Merck &amp; Co., Inc., Valeant Pharmaceuticals International, Inc., UCB Pharma S.A., F. Hoffmann-La Roche Ltd, Allergan, Inc., Halozyme Therapeutics, Inc., Baxalta Incorporated, Bristol-Myers Squibb Company, and Takeda Pharmaceutical Company Limited. The company was founded in 1990 and is headquartered in San Francisco, California.</t>
  </si>
  <si>
    <t>NasdaqGM:FATE</t>
  </si>
  <si>
    <t>IQ39268712</t>
  </si>
  <si>
    <t>Fate Therapeutics, Inc., a clinical-stage biopharmaceutical company, develops programmed cellular immunotherapies for cancer and immune disorders worldwide. Its immuno-oncology product candidates include FATE-NK100, a natural killer (NK) cell cancer immunotherapy that consists of adaptive memory NK cells; FT500 induced pluripotent stem cells (iPSC)-derived NK cell product candidate for the treatment of advanced solid tumors; FT516 engineered iPSC-derived NK cell product candidate for the treatment of hematologic/solid tumors; and FT819 engineered chimeric antigen receptor 19 iPSC-derived T-cell product candidate for hematologic/solid tumors. The company’s immuno-regulation product candidates comprise ProTmune, an investigational programmed cellular immunotherapy for use as a next-generation allogeneic hematopoietic cell transplantation cell graft; ToleraCyte for the treatment of autoimmune and inflammatory diseases; and FT300 iPSC-derived myeloid derived suppressor cell product candidate for the treatment of autoimmune diseases. Fate Therapeutics, Inc. has a research collaboration and license agreement with Memorial Sloan Kettering Cancer Center to develop off-the-shelf engineered T-cell product candidates; a research collaboration partnership with the University of California San Diego to develop off-the-shelf chimeric antigen receptor-targeted natural killer cell cancer immunotherapies. It also has a strategic research collaboration and license agreement with Juno Therapeutics, Inc. to identify small molecule modulators that enhance the function of T cells; and a collaboration agreement with ONO Pharmaceutical Co., Ltd. for the development and commercialization of two off-the-shelf CAR-T cell product candidates. Fate Therapeutics, Inc. was founded in 2007 and is headquartered in San Diego, California.</t>
  </si>
  <si>
    <t>NasdaqGS:THOR</t>
  </si>
  <si>
    <t>IQ263675832</t>
  </si>
  <si>
    <t>Synthorx, Inc.</t>
  </si>
  <si>
    <t>NasdaqCM:ZIOP</t>
  </si>
  <si>
    <t>IQ11686323</t>
  </si>
  <si>
    <t>ZIOPHARM Oncology, Inc., a biotechnology company, focuses on acquiring, developing, and commercializing a portfolio of immuno-oncology therapies for treating heterogenous solid tumors and unknown antigens. The company develops two immuno-oncology platform technologies, including Controlled IL-12, which delivers interleukin 12 or IL-12, a master regular of the immune system, in a controlled and safe manner to focus the patient’s immune system to cancer; and Sleeping Beauty (SB), which is based on the genetic engineering of T-cells using the (SB) system to rapidly reprogram T-cells outside of the body for infusion. Its lead gene therapy product candidate is Ad-RTS-hIL-12 plus veledimex, which is in Phase I clinical trial, a gene therapy product candidate to treat patients with recurrent glioblastoma. The company is also developing chimeric antigen receptor (CAR) T-cell and T-cell receptor T-cell therapies. ZIOPHARM Oncology, Inc. has collaboration agreements with Precigen, Inc., MD Anderson Cancer Center, the National Cancer Institute, and Ares Trading S.A. The company is headquartered in Boston, Massachusetts.</t>
  </si>
  <si>
    <t>NasdaqCM:STML</t>
  </si>
  <si>
    <t>IQ10332207</t>
  </si>
  <si>
    <t>Stemline Therapeutics, Inc.</t>
  </si>
  <si>
    <t>Stemline Therapeutics, Inc., a clinical stage biopharmaceutical company, focuses on the discovery, acquisition, development, and commercialization of proprietary oncology therapeutics in the United States and internationally. The company develops SL-401, a targeted therapy directed to the interleukin-3 receptor (IL-3R), which has completed Phase II clinical trial for patients with blastic plasmacytoid dendritic cell neoplasm; is in Phase I/II clinical trials for patients with myeloproliferative neoplasms, chronic myelomonocytic leukemia, myelofibrosis, and acute myeloid leukemia; and is in Phase I clinical trial in combination with other agents for patients with relapsed/refractory multiple myeloma. It also develops SL-801, a novel oral small molecule reversible inhibitor of nuclear transport protein, which is in Phase I clinical trial for the treatment of solid and hematologic cancers; and SL-701, an immunotherapy that has completed Phase II clinical trial to attack brain cancer. The company's preclinical pipeline products include SL-501, a next generation IL-3R-targeted therapy; SL-101, a single chain monoclonal antibody fragment for the treatment of hematologic cancers; and SL-901, a small molecule kinase inhibitor. Stemline Therapeutics, Inc. was founded in 2003 and is based in New York, New York.</t>
  </si>
  <si>
    <t>NasdaqGM:XOMA</t>
  </si>
  <si>
    <t>IQ36769</t>
  </si>
  <si>
    <t>XOMA Corporation</t>
  </si>
  <si>
    <t>XOMA Corporation engages in the discovery, development, and licensing of therapeutic antibodies in the United States, Europe, and the Asia Pacific. The company has a portfolio of monoclonal antibodies and technologies to license to pharmaceutical and biotechnology companies to further their clinical development. Its proprietary product candidates include X213, an allosteric inhibitor of prolactin action; XMetA, an insulin receptor-activating antibody designed to provide long-acting reduction of hyperglycemia in Type 2 diabetic patients; and other preclinical product candidates, such as interleukin 2, a therapy for metastatic melanoma and renal cell carcinoma, as well as anti-parathyroid receptor to address unmet medical needs. The company also licenses antibody discovery, optimization, and development technologies. It has research and development collaboration and licensing agreements with Novartis AG; Takeda Pharmaceutical Company Limited; and Pfizer Inc. XOMA Corporation was founded in 1981 and is headquartered in Emeryville, California.</t>
  </si>
  <si>
    <t>NasdaqCM:CUE</t>
  </si>
  <si>
    <t>IQ417883814</t>
  </si>
  <si>
    <t>Cue Biopharma, Inc.</t>
  </si>
  <si>
    <t>Cue Biopharma, Inc., a biopharmaceutical company, develops biologic drugs for the selective modulation of the human immune system to treat a range of cancers and autoimmune disorders. The company’s lead drug candidate includes CUE-101, a variant form of the cytokine Interleukin-2 and a T cell antigen to target and activate T cells specific to human papilloma virus related cancers. Its biologics drug candidates also comprise CUE-100 series to improve various tumor specific T cells; and CUE-200 series to reinvigorate exhausted T cells. The company also offers MOD costimulatory optimization and discovery platform and viraTope T cell epitope discovery platform to develop novel biologics for addressing new indications in oncology and autoimmune disorders. Cue Biopharma, Inc. has collaboration agreements with Merck &amp; Co. for the research and development of its proprietary biologics that target autoimmune disease indications; and Albert Einstein College of Medicine to develop Immuno-STAT biologics for chronic infectious diseases. It also has a strategic collaboration with LG Chem Life Sciences for Immuno- STATs biologics in oncology. The company was formerly known as Imagen Biopharma, Inc. and changed its name to Cue Biopharma, Inc. in October 2016. Cue Biopharma, Inc. was incorporated in 2014 and is based in Cambridge, Massachusetts.</t>
  </si>
  <si>
    <t>NantKwest, Inc., a clinical-stage immunotherapy biotechnology company, develops immunotherapeutic treatments for cancer, infectious diseases, and inflammatory diseases in the United States. The company develops activated natural killer cell, a natural killer cell-line and genetically modified derivative capable of killing cancer and virally infected cells; and NANT cancer vaccine, a personalized therapy that utilizes its off-the-shelf natural killer cells. It is also developing high-affinity natural killer product candidates primarily for the treatment of various cancers; and target activated natural killer product candidates to treat hematological malignancies and solid tumors. NantKwest, Inc. has a co-development agreement with Altor Bio Science Corporation to collaborate on the development of therapeutic applications combining the company’s proprietary natural killer cells with Altor's ALT-801 and/or ALT-803 products. The company was formerly known as Conkwest, Inc. and changed its name to NantKwest, Inc. in July 2015. NantKwest, Inc. was founded in 2002 and is headquartered in San Diego, California.</t>
  </si>
  <si>
    <t>Corvus Pharmaceuticals, Inc., a clinical stage biopharmaceutical company, focuses on the development and commercialization of immuno-oncology therapies that are designed to harness the immune system to attack cancer cells. Its lead product candidate is CPI-444, an oral, small molecule antagonist of the A2A receptor that is in Phase I/Ib clinical trial for adenosine, an immune checkpoint. The company is also developing an anti-CD73 monoclonal antibody that inhibits the production of adenosine; an antagonist of the adenosine A2B receptor; and small molecule covalent inhibitors of interleukin-2 inducible kinase. Corvus Pharmaceuticals, Inc. was founded in 2014 and is based in Burlingame, California.</t>
  </si>
  <si>
    <t>Comparable Public Companies (Secondary)</t>
  </si>
  <si>
    <t>Pediapharm Inc. (nka:Medexus Pharmaceuticals Inc.)</t>
  </si>
  <si>
    <t>Medac Pharma, Inc.</t>
  </si>
  <si>
    <t>Pharmaceuticals</t>
  </si>
  <si>
    <t>IQTR580298049</t>
  </si>
  <si>
    <t>Medac Pharma, Inc. engages in developing and commercializing medicines for autoimmune diseases and cancer. The company is headquartered in Chicago, Illinois. Medac Pharma, Inc. operates as a subsidiary of medac Gesellschaft für klinische Spezialpräparate mbH. As of October 16, 2018, Medac Pharma, Inc. operates as a subsidiary of Pediapharm Inc.</t>
  </si>
  <si>
    <t>Gossamer Bio, Inc.</t>
  </si>
  <si>
    <t>Adhaere Pharmaceuticals, Inc.</t>
  </si>
  <si>
    <t>IQTR597077765</t>
  </si>
  <si>
    <t>Adhaere Pharmaceuticals, Inc. develops novel small molecule therapeutics for the treatment of cancer and inflammatory, and autoimmune diseases. It focuses on developing novel compounds to reduce leukocyte activation and tissue recruitment as a way to treat a various inflammatory and autoimmune diseases. The company was founded in 2010 and is based in Miami, Florida. As of September 21, 2018, Adhaere Pharmaceuticals, Inc. operates as a subsidiary of Gossamer Bio, Inc.</t>
  </si>
  <si>
    <t>ARMO BioSciences, Inc.</t>
  </si>
  <si>
    <t>IQTR563919049</t>
  </si>
  <si>
    <t>ARMO BioSciences, Inc., an immuno-oncology company, develops a pipeline of novel product candidates that activate the immune system of cancer patients to recognize and eradicate tumors in the United States. Its lead product candidate is AM0010, a long acting form of human interleukin-10 that is in Phase III randomized pivotal clinical trial for the treatment of pancreatic ductal adenocarcinoma. The company is also developing AM0010 that has completed Phase I/Ib clinical trial for the treatment of non-small cell lung cancer, renal cell carcinoma, colorectal cancer, and melanoma and breast cancer. In addition, it is developing AM0001, a monoclonal antibody against programmed cell death protein-1 checkpoint inhibitor; AM0015, a recombinant human interleukin-15; AM0012, a recombinant human Interleukin-12; and AM0003, a monoclonal antibody against leukocyte activating gene-3 protein program. The company was formerly known as Targenics, Inc. and changed its name to ARMO BioSciences, Inc. in December 2012. ARMO BioSciences, Inc. was incorporated in 2010 and is headquartered in Redwood City, California. As of June 21, 2018, ARMO BioSciences, Inc. operates as a subsidiary of Eli Lilly and Company.</t>
  </si>
  <si>
    <t>Ferring Holding SA</t>
  </si>
  <si>
    <t>Rebiotix, Inc.</t>
  </si>
  <si>
    <t>IQTR558308729</t>
  </si>
  <si>
    <t>Rebiotix, Inc., a clinical stage biotechnology company, develops and commercializes medical therapies. It offers human microbiome, microbiota restoration therapy drug platform, clostridium difficile, inflammatory bowel disease/ulcerative colitis, hepatic encephalopathy, and multi-drug resistant organisms. Rebiotix, Inc. was formerly known as MikrobEX Inc. and changed its name to Rebiotix, Inc. in October 2018. The company was founded in 2011 and is based in Roseville, Minnesota. As of April 4, 2018, Rebiotix, Inc. operates as a subsidiary of Ferring Pharmaceuticals SA.</t>
  </si>
  <si>
    <t>Juno Therapeutics, Inc.</t>
  </si>
  <si>
    <t>IQTR550259397</t>
  </si>
  <si>
    <t>Juno Therapeutics, Inc. develops cell-based cancer immunotherapies based on its chimeric antigen receptor and T cell receptor technologies to genetically engineer T cells to recognize and kill cancer cells. Its CD19 product candidates include JCAR017 that is in Phase I/II trials for adults with relapsed or refractory (r/r) B cell aggressive non-Hodgkin lymphoma (NHL) and pediatric patients with r/r B cell acute lymphoblastic leukemia (ALL); and JCAR014, which is in Phase I/II trials to treat B cell malignancies in patients relapsed or refractory to standard therapies. The company’s CD22 product candidate comprise JCAR018 that is in Phase I trial for pediatric and young adult patients with CD22-positive r/r ALL or r/r NHL. Its additional product candidates include CD171, a cell-surface adhesion molecule for neuroblastoma; Lewis Y for the treatment of lung cancer; JCAR023, which is in Phase I trial for refractory or recurrent pediatric neuroblastoma; MUC-16 protein for ovarian cancers; and IL-12, a cytokine to overcome the inhibitory effects. The company’s additional product candidates also comprise ROR-1 protein for non-small cell lung, triple negative breast, pancreatic, and prostate cancers; WT-1, an intracellular protein that is in Phase I/II clinical trials; HPV e6/e7 for cancers; and IL13ra2 for glioblastoma. Juno Therapeutics, Inc. has collaboration agreements with Celgene Corporation, Fred Hutchinson Cancer Research Center, Memorial Sloan Kettering Cancer Center, St. Jude Children’s Research Hospital/Novartis, Seattle Children’s Research Institute, Opus Bio, Inc., Fate Therapeutics, Inc., Editas Medicine, Inc., and JW (Cayman) Therapeutics Co., Ltd. The company was formerly known as FC Therapeutics, Inc. and changed its name to Juno Therapeutics, Inc. in October 2013. Juno Therapeutics, Inc. was founded in 2013 and is headquartered in Seattle, Washington. As of March 6, 2018, Juno Therapeutics, Inc. operates as a subsidiary of Celgene Corporation.</t>
  </si>
  <si>
    <t>Acer Therapeutics Inc.</t>
  </si>
  <si>
    <t>Opexa Therapeutics, Inc.</t>
  </si>
  <si>
    <t>IQTR529191880</t>
  </si>
  <si>
    <t>As of September 19, 2017, Opexa Therapeutics, Inc. was acquired by Acer Therapeutics Inc., in a reverse merger transaction. Opexa Therapeutics, Inc., a biopharmaceutical company, develops personalized immunotherapy to treat multiple sclerosis (MS) and other autoimmune diseases based on its proprietary T-cell technology. The company’s lead product candidate is Tcelna, a T-cell immunotherapy for the treatment of patients with secondary progressive MS. It is also developing OPX-212, an autologous T-cell immunotherapy that is in preclinical development to treat neuromyelitis optica. The company was formerly known as PharmaFrontiers Corp. and changed its name to Opexa Therapeutics, Inc. in June 2006. Opexa Therapeutics, Inc. was founded in 2003 and is headquartered in The Woodlands, Texas.</t>
  </si>
  <si>
    <t>NantCell, Inc.</t>
  </si>
  <si>
    <t>Altor BioScience Corporation</t>
  </si>
  <si>
    <t>IQTR528569122</t>
  </si>
  <si>
    <t>As of August 1, 2018, Altor BioScience Corporation was acquired by NantCell, Inc. Altor BioScience Corporation, a biopharmaceutical company, engages in the discovery, development, and commercialization of immunotherapeutic agents for the treatment of cancer, viral infections, and inflammatory and autoimmune diseases. Its product candidates include ALT-801, a T-cell receptor-targeted immunotherapeutic for cancer; ALT-836, a monoclonal antibody-based tissue factor antagonist treatment of patients with acute respiratory distress syndrome and acute lung injury; and ALT-803, an IL-15 superagonist for patients with solid and hematological tumors/metastatic melanoma. The company’s product candidates also include ALT-802, a p53-TCR (T-cell receptors)/IgG1 fusion protein for treating non-small cell lung cancer; ALT-804, a p53-TCR/IL-15 fusion protein for treating cancer; antiviral TCR–Ck and TCR–Ig fusions targeted to antigens derived from HIV, cytomegalovirus, and hepatitis C; and other product candidates. In addition, it offers multimers reagents for the detection of disease targets presented on the surface of cells and tissues. Altor BioScience Corporation was founded in 2002 and is based in Miramar, Florida.</t>
  </si>
  <si>
    <t>Horizon Pharma Public Limited Company</t>
  </si>
  <si>
    <t>River Vision Development Corp.</t>
  </si>
  <si>
    <t>IQTR430109562</t>
  </si>
  <si>
    <t>River Vision Development Corp. develops biologic medicine. It develops teprotumumab (RV001), a human monoclonal antibody (mAb) used for the treatment of Thyroid Eye Disease (TED), an autoimmune inflammatory disorder. The company was founded in 2011 and is based in New York, New York. As of May 8, 2017, River Vision Development Corp. operates as a subsidiary of Horizon Pharma Public Limited Company.</t>
  </si>
  <si>
    <t>Seattle Genetics, Inc.</t>
  </si>
  <si>
    <t>Immunomedics, Inc.</t>
  </si>
  <si>
    <t>Minority</t>
  </si>
  <si>
    <t>IQTR419864301</t>
  </si>
  <si>
    <t>Immunomedics, Inc., a clinical-stage biopharmaceutical company, develops monoclonal antibody-based products for the targeted treatment of cancer. Its advanced antibody-drug conjugates are sacituzumab govitecan and labetuzumab govitecan, which are in advanced trials for various solid tumors and metastatic colorectal cancer, respectively. The company focuses on commercializing sacituzumab govitecan as a third-line therapy for patients with metastatic triple-negative breast cancer in the United States. The company also develops IMMU-140, a humanized antibody directed against an immune response target. Its other product candidates include products for the treatment of cancer and autoimmune diseases, including epratuzumab, an anti-CD22 antibody; veltuzumab, an anti-CD20 antibody; milatuzumab, an anti-CD74 antibody; and IMMU-114, a humanized anti-HLA-DR antibody. Immunomedics, Inc. has clinical collaboration with AstraZeneca and MedImmune, to evaluate Imfinzi, a human monoclonal antibody against PD-L1, with sacituzumab govitecan as a frontline treatment of patients with TNBC and urothelial cancer; collaboration agreement with The Bayer Group for the development of epratuzumab; clinical and preclinical collaborations with academic cancer institutions, identifying new cancer indications for sacituzumab govitecan and the biology of the Trop-2 antigen; and research collaboration with the Memorial Sloan Kettering Cancer Center to investigate Sacituzumab Govitecan and Labetuzumab Govitecan in preclinical cancer models. Immunomedics, Inc. has a partnership agreement with the Samsung BioLogics Co., Ltd. to manufacture hRS7, an Immunomedics proprietary humanized antibody. The company was founded in 1982 and is headquartered in Morris Plains, New Jersey.</t>
  </si>
  <si>
    <t>Delinia, Inc.</t>
  </si>
  <si>
    <t>IQTR418083343</t>
  </si>
  <si>
    <t>Delinia, Inc., a biotechnology company, focuses on developing novel therapeutics for the treatment of autoimmune diseases. Its lead program is a molecule that potentiates and expands regulatory T cells (Tregs), which are critical to maintaining self-tolerance and immune system homeostasis. The company was incorporated in 2014 and is based in San Francisco, California. Delinia, Inc. As of February 3, 2017, Delinia, Inc. operates as a subsidiary of Celgene Corporation.</t>
  </si>
  <si>
    <t>Knight Knox Development Corp. (nka:Artelo Biosciences, Inc.)</t>
  </si>
  <si>
    <t>IQTR547829949</t>
  </si>
  <si>
    <t>Artelo Biosciences, Inc., an ethical biopharmaceutical company, focuses on developing, licensing, and commercializing cannabinoid therapeutic treatments. Its products pipeline includes ART12.11, a cannabidiol composition for the treatment of inflammatory bowel disease, stroke, and rare/orphan diseases; ART26.12, an endocannabinoid transport protein (FABP5) inhibitor for the treatment of breast cancer, prostate cancer, and neuropathic and nociceptive pain; and ART27.13 for the treatment of cancer and cachexia. The company was formerly known as Reactive Medical, Inc. and changed its name to Artelo Biosciences, Inc. in April 2017. Artelo Biosciences, Inc. was founded in 2011 and is based in La Jolla, California.</t>
  </si>
  <si>
    <t>Brown Technical Media Corp. (nka:ProBility Media Corporation)</t>
  </si>
  <si>
    <t>Panther Biotechnology, Inc.</t>
  </si>
  <si>
    <t>IQTR402468343</t>
  </si>
  <si>
    <t>As of November 8, 2016, Panther Biotechnology, Inc. was acquired by Brown Technical Media Corp., in a reverse merger transaction. Panther Biotechnology, Inc., a biotechnology company, specializes in the acquisition and development of enhanced therapeutics for the treatment of neoplastic, autoimmune, and antiviral disorders. The company’s lead candidate, TRF-DOX, is a combination of transferrin glycoproteins with Doxorubicin for targeted delivery to tumors with the reduction of serious side effects. It also holds licensed rights from the University of Rochester to develop and commercialize TDZD-8, a small molecule engineered to kill leukemic stem cells; and from Northwestern University to develop and commercialize Numonafides, which are optimized derivatives of Amonafide, and are engineered to avoid acetylation and eliminate a toxic metabolite. The company was formerly known as NEF Enterprises, Inc. and changed its name to Panther Biotechnology, Inc. in May 2014. Panther Biotechnology, Inc. was founded in 2011 and is based in La Jolla, California.</t>
  </si>
  <si>
    <t>Allergan plc</t>
  </si>
  <si>
    <t>Vitae Pharmaceuticals, Inc.</t>
  </si>
  <si>
    <t>IQTR384028496</t>
  </si>
  <si>
    <t>Vitae Pharmaceuticals, Inc., a biotechnology company, focuses on discovering and developing novel and small molecule drugs for diseases with unmet medical needs in the United States. Its products include VTP-43742 in Phase I clinical trial for the treatment of autoimmune disorders, including psoriasis, psoriatic arthritis, ankylosing spondylitis, inflammatory bowel disease, and multiple sclerosis; VTP-38543 in Phase IIa for the treatment of atopic dermatitis; and BI 1147560 for the treatment and prevention of Alzheimer's disease. The company’s products also include VTP-34072 that is in Phase II clinical trial for the treatment of type 2 diabetes; and VTP-38443 for the treatment of acute coronary syndrome. Vitae Pharmaceuticals, Inc. was founded in 2001 and is headquartered in Fort Washington, Pennsylvania. As of October 24, 2016, Vitae Pharmaceuticals, Inc. operates as a subsidiary of Allergan plc.</t>
  </si>
  <si>
    <t>Bristol-Myers Squibb Company</t>
  </si>
  <si>
    <t>Padlock Therapeutics, Inc.</t>
  </si>
  <si>
    <t>IQTR328978519</t>
  </si>
  <si>
    <t>Padlock Therapeutics, Inc. is a biotechnology company that develops new medicines for destructive autoimmune diseases. It develops drugs that block the protein-arginine deiminase (PAD) enzymes. The company was founded in 2014 and is based in Cambridge, Massachusetts. As of April 1, 2016, Padlock Therapeutics, Inc. operates as a subsidiary of Bristol-Myers Squibb Company.</t>
  </si>
  <si>
    <t>Innovate Biopharmaceuticals, Inc.</t>
  </si>
  <si>
    <t>Alba Therapeutics Corporation</t>
  </si>
  <si>
    <t>IQTR326995408</t>
  </si>
  <si>
    <t>Alba Therapeutics Corporation is a clinical-stage biopharmaceutical company in Maryland. The company focuses on the discovery, development, and commercialization of pharmaceutical products for the treatment of autoimmune and inflammatory diseases. It offers a technology platform based on modifying disease state epithelial permeability using compounds which impact the regulation of tight junctions in cell barriers throughout the body with applications in celiac disease, asthma/COPD, and acute lung injury. The company also focuses on providing solutions for various therapeutic areas that include immune-based disorders, as well as gastrointestinal, metabolic, pulmonary, renal, and other disease states. Alba Therapeutics Corporation has a strategic partnership with Peptisyntha. The company was founded in 2004 and is based in Baltimore, Maryland.</t>
  </si>
  <si>
    <t>Novartis International AG</t>
  </si>
  <si>
    <t>Admune Therapeutics LLC</t>
  </si>
  <si>
    <t>IQTR314829236</t>
  </si>
  <si>
    <t>Admune Therapeutics LLC, a clinical-stage biotech company, develops and delivers cytokine therapy drugs for the treatment of various cancers. It focuses on heterodimeric IL-15, an IL-15 agonist for various applications in cancer immunotherapy. The company is based in Danvers, Massachusetts. As of October 16, 2015, Admune Therapeutics LLC operates as a subsidiary of Novartis International AG.</t>
  </si>
  <si>
    <t>Hospira Inc.</t>
  </si>
  <si>
    <t>IQTR283782713</t>
  </si>
  <si>
    <t>Hospira, Inc. provides injectable drugs and infusion technologies to develop, manufacture, distribute, and market products worldwide. The company operates through Americas, EMEA, and APAC segments. It provides specialty injectable pharmaceuticals, which include approximately 200 injectable generic drugs in multiple dosages and formulations; and proprietary specialty injectables, such as Precedex, a proprietary drug for sedation. The company’s specialty injectable pharmaceuticals also comprise Biosimilars that include Retacrit, an EPO, which is primarily used in the treatment of anemia in dialysis and in certain oncology applications; Nivestim, a biosimilar filgrastim used for the treatment of low white blood cells in patients who have received a chemotherapeutic agent; and Inflectra, a biosimilar infliximab for the treatment of patients with autoimmune diseases, such as rheumatoid arthritis and inflammatory bowel disease. In addition, it offers medication management products, including infusion pumps and dedicated administration sets; Hospira MedNet safety software system and related services; software applications and devices that support point-of-care medication administration; gravity administration sets; and other device products. Further, the company provides intravenous solutions and nutritional products; and contract manufacturing services, as well as develops proprietary pharmaceutical products, such as Dyloject, a nonsteroidal anti-inflammatory drug analgesic. It serves hospitals and alternate site providers, such as clinics, home healthcare providers, and long-term care facilities. The company has collaborative arrangements with Bioceuticals Arzneimittel AG to license and market Retacrit; and Q Core Medical, Ltd to market and distribute Sapphire, a multi-therapy infusion system. Hospira, Inc. was founded in 2003 and is headquartered in Lake Forest, Illinois. As of September 3, 2015, Hospira Inc. operates as a subsidiary of Pfizer Inc..</t>
  </si>
  <si>
    <t>Current Value Method</t>
  </si>
  <si>
    <t>Price Per Share</t>
  </si>
  <si>
    <t>Invested Capital</t>
  </si>
  <si>
    <t xml:space="preserve">Comparable Indication / Technology </t>
  </si>
  <si>
    <t>https://www.roche.com/research_and_development/who_we_are_how_we_work/pipeline.htm</t>
  </si>
  <si>
    <t>Product Phase source</t>
  </si>
  <si>
    <t>Metrick Gross Value Multiple - Probabilities and Exit Multiples for Venture Investments</t>
  </si>
  <si>
    <t>Value Multiple</t>
  </si>
  <si>
    <t>Second Round</t>
  </si>
  <si>
    <t>Third Round or Later</t>
  </si>
  <si>
    <t>All</t>
  </si>
  <si>
    <t>Average Multiple</t>
  </si>
  <si>
    <t>Exit %</t>
  </si>
  <si>
    <t>No Value</t>
  </si>
  <si>
    <t>Low Value</t>
  </si>
  <si>
    <t>Mid Value</t>
  </si>
  <si>
    <t>High Value</t>
  </si>
  <si>
    <t/>
  </si>
  <si>
    <t>Source: Metrick, Andrew and Ayako Yasuda. Venture Capital and the Finance of Innovation. 2nd Edition. Hoboken: Wiley, 2011. Print. 127-134.</t>
  </si>
  <si>
    <t>Discount for Lack of Marketability - CVM</t>
  </si>
  <si>
    <t>Guideline Transaction Analysis</t>
  </si>
  <si>
    <t>Guideline Comparables Analysis</t>
  </si>
  <si>
    <t xml:space="preserve">Medikine, Inc.  </t>
  </si>
  <si>
    <t xml:space="preserve">Exhibit F.2  </t>
  </si>
  <si>
    <t xml:space="preserve">Guideline Transactions' Multiples Analysis  </t>
  </si>
  <si>
    <t xml:space="preserve">(in millions of USD)  </t>
  </si>
  <si>
    <t>-26.51x</t>
  </si>
  <si>
    <t>-26.41x</t>
  </si>
  <si>
    <t>-22.36x</t>
  </si>
  <si>
    <t>-21.53x</t>
  </si>
  <si>
    <t>-9.72x</t>
  </si>
  <si>
    <t>-9.58x</t>
  </si>
  <si>
    <t>1638.10x</t>
  </si>
  <si>
    <t>-11.65x</t>
  </si>
  <si>
    <t>-11.59x</t>
  </si>
  <si>
    <t>3.79x</t>
  </si>
  <si>
    <t>22.65x</t>
  </si>
  <si>
    <t>32.90x</t>
  </si>
  <si>
    <t>554.13x</t>
  </si>
  <si>
    <t>480.03x</t>
  </si>
  <si>
    <t>-9.52x</t>
  </si>
  <si>
    <t>-7.24x</t>
  </si>
  <si>
    <t>139.11x</t>
  </si>
  <si>
    <t>65.01x</t>
  </si>
  <si>
    <t>9.69x</t>
  </si>
  <si>
    <t>9.61x</t>
  </si>
  <si>
    <t>-22.51x</t>
  </si>
  <si>
    <t>8.29x</t>
  </si>
  <si>
    <t>3927.43x</t>
  </si>
  <si>
    <t>4.67x</t>
  </si>
  <si>
    <t>46.78x</t>
  </si>
  <si>
    <t>3.80x</t>
  </si>
  <si>
    <t>22.22x</t>
  </si>
  <si>
    <t>559.37x</t>
  </si>
  <si>
    <t>5.12x</t>
  </si>
  <si>
    <t>1087.25x</t>
  </si>
  <si>
    <t>11.04x</t>
  </si>
  <si>
    <t>7.48x</t>
  </si>
  <si>
    <t>1022.09x</t>
  </si>
  <si>
    <t>-0.14x</t>
  </si>
  <si>
    <t>78.57x</t>
  </si>
  <si>
    <t>13.42x</t>
  </si>
  <si>
    <t>-11.32x</t>
  </si>
  <si>
    <t>Target Name</t>
  </si>
  <si>
    <t>Target Business Description</t>
  </si>
  <si>
    <t>1-Week Premium</t>
  </si>
  <si>
    <t>1-Month Premium</t>
  </si>
  <si>
    <t>Outliers Above:</t>
  </si>
  <si>
    <t>Capital IQ</t>
  </si>
  <si>
    <t>Based on the above data, we concluded on a control premium between the first quartile and median of the range exhibited by the transactions to account for the small size of the Company.</t>
  </si>
  <si>
    <t>Interpolation - CVM</t>
  </si>
  <si>
    <t>Based on discussion witrh the Management.</t>
  </si>
  <si>
    <t>Risk-Free Rates - OPM</t>
  </si>
  <si>
    <t>Valuation Summary - OPM</t>
  </si>
  <si>
    <t>Common as % of Pref</t>
  </si>
  <si>
    <t>Latest Pref Series</t>
  </si>
  <si>
    <t>Implied Latest pref.</t>
  </si>
  <si>
    <t>Current VD</t>
  </si>
  <si>
    <t>Confirming</t>
  </si>
  <si>
    <t>#7</t>
  </si>
  <si>
    <t>Medikine, Inc. IRC 409a VD 09.30.2016 Draft Exhibits 2016.12.08</t>
  </si>
  <si>
    <t>IPO - Mid</t>
  </si>
  <si>
    <t>M&amp;A - Late (High)</t>
  </si>
  <si>
    <t>M&amp;A - Late (Low)</t>
  </si>
  <si>
    <t>M&amp;A - Mid (High)</t>
  </si>
  <si>
    <t>M&amp;A - Mid (Low)</t>
  </si>
  <si>
    <t>CVM</t>
  </si>
  <si>
    <t>Feasibility Testing</t>
  </si>
  <si>
    <t>Preclinic</t>
  </si>
  <si>
    <t>Phase 2a</t>
  </si>
  <si>
    <t>Commercialized in Europe</t>
  </si>
  <si>
    <t>Discontinued</t>
  </si>
  <si>
    <t xml:space="preserve">Pediapharm Inc. (TSXV:PDP) entered into definitive agreement to acquire Medac Pharma, Inc. from medac Gesellschaft für klinische Spezialpräparate mbH for $50.4 million on September 6, 2018. As per terms, total consideration of $50 million consists of; a cash payment of $13.1 million at closing, total contingent cash payment of $35 million, and issue of units (each unit consisting of one Pediapharm share and one half of one Pediapharm share purchase warrant) of $1.9 million at closing. Pediapharm issued 7.260235 million shares as part of the consideration. The closing cash payment and the closing unit payment shall be subject to adjustment with respect to the allocation of cash and consideration units at closing, but the aggregate closing consideration paid shall be equal to $15 million. In a related transaction, Pediapharm Inc. entered into definitive agreement to acquire Medexus Inc. for CAD 23 million ($17.4 million). Pediapharm intends to complete a concurrent private placement offering of subscription receipts for aggregate gross proceeds of approximately CAD 60 million ($45.4 million), which will be used to fund the cash consideration due on closing of the Medac Pharma acquisition, with the balance of the proceeds to be used for the ongoing operations and strategic initiatives of Pediapharm._x000D_
_x000D_
Upon completion of the transaction, the Board Of Directors of Pediapharm will be reconstituted to consist of seven directors, comprised of four existing directors: Pierre Lapalme, Sylvain Chretien, Michael Mueller and Benoit Gravel and three new directors: Ken d’Entremont, Stephen Nelson and Peter van der Velden._x000D_
_x000D_
The transaction is subject to customary closing conditions, including among other things, TSXV approval and obtaining financing. The transaction is expected to be completed on or about September 28, 2018. Bloom Burton Securities acted as financial advisor and Munsch Hardt Kopf &amp; Harr, P.C. acted as legal advisor to Pediapharm’s Board of Directors in the transaction. Baker &amp; McKenzie LLP acted as legal advisor to medac Gesellschaft in the transaction. Deutsche Bank acted as financial advisor to Medac Pharma._x000D_
</t>
  </si>
  <si>
    <t xml:space="preserve">Gossamer Bio, Inc. acquired Adhaere Pharmaceuticals, Inc. for $69.5 million on September 21, 2018. The consideration consists of $7.5 million which was made by an upfront payment in cash. Under the terms of the transaction, Gossamer Bio is obligated to make future regulatory, development and sales milestones of up to $62.0 million and pay tiered royalties on worldwide net sales, at percentages ranging from low to mid- single digits, subject to customary reductions. As a part of the transaction, Gossamer Bio also acquired the rights to GB1275 and certain backup compounds. _x000D_
</t>
  </si>
  <si>
    <t xml:space="preserve">Eli Lilly and Company (NYSE:LLY) entered into a definitive agreement to acquire ARMO BioSciences, Inc. (NasdaqGS:ARMO) for $1.5 billion from a group of shareholders on May 9, 2018. Under the terms, Eli Lilly will acquire all shares of ARMO for a purchase price of $50 per share in cash through a tender offer. Very shortly after the closing of the tender offer, Lilly will acquire any shares of ARMO that are not tendered into the tender offer through a second-step merger at the tender offer price. As of May 9, 2018, Decheng Capital China Life Sciences USD Fund II, L.P., OrbiMed Private Investments IV, LP, OrbiMed Private Investments V, LP, Kleiner Perkins Caufield &amp; Byers XIV, LLC, KPCB XIV Founders Fund, LLC, Kleiner Perkins Caufield &amp; Byers XVI, LLC, KPCB XVI Founders Fund, LLC, Quan Venture Fund I, L.P. and Peter Van Vlasselaer, collectively holding 35.6% of outstanding shares of ARMO BioSciences, have agreed to tender all of the shares held by them. As of May 23, 2018, Eli Lilly commenced the tender offer. Post-acquisition, ARMO BioSciences, Inc. will be de-listed from NASDAQ and de-registered, and will operate as a wholly owned subsidiary of Eli Lilly and Company. In case of termination, ARMO BioSciences may be required to pay Eli Lilly a termination fee of $63.4 million._x000D_
_x000D_
Post-acquisition, Directors and Officers of Eli Lilly and Company will become Directors and Officers, respectively, of ARMO BioSciences, Inc. Post-acquisition; all ARMO employees will continue their employment at ARMO. The transaction is subject to customary closing conditions, including receipt of required regulatory approvals, receipt of certain antitrust approvals and the tender of a majority of the outstanding shares of ARMO’s common stock. The transaction has been unanimously approved by Board of both Eli Lilly and Company and ARMO BioSciences. On May 29, 2018, FTC granted early termination of the waiting period applicable to the Offer under the HSR Act. On June 15, 2018, the FCO and FCA determined that the transaction is not under their jurisdiction and Eli Lilly withdrew its filings form FCO and FCA, subsequently satisfying the termination or expiration of antitrust waiting period from HSR act, GWB act and the CA. The transaction is expected to close by the end of the second quarter of 2018. As of May 10, 2018, the transaction is expected to be completed between late June 2018 and early August 2018. The tender offer will expire on June 21, 2018. A There will be no change to Lilly’s 2018 non-GAAP earnings per share guidance as a result of this transaction._x000D_
_x000D_
Credit Suisse acted as the exclusive financial advisor and Daniel Neff, Mark Gordon, Elina Tetelbaum, Anna Shifflet Greig, Damian Didden, Andrea Wahlquist, Rohit Nafday, Deborah Paul and David Sturgeon of Wachtell, Lipton, Rosen &amp; Katz acted as legal advisors to Lilly. Centerview Partners LLC acted as lead financial advisor to ARMO and the Board and Jefferies LLC acted as financial advice to ARMO. Marcia A. Hatch, Andrew Y. Luh, Heidi E. Mayon, Albert W. Vanderlaan, Albert Yeh, Colin Conklin, Matt Weber, Sharon Hendricks, Michael Richman, Laurel Fedder, Gina Marek and Kelly Trimble of Gunderson Dettmer acted as legal advisors to ARMO. Computershare Trust Company, NA acted as depository bank and Georgeson Inc. acted as information agent to Eli Lilly._x000D_
</t>
  </si>
  <si>
    <t xml:space="preserve">Ferring Pharmaceuticals SA acquired Rebiotix Inc. on April 4, 2018. Rebiotix will become a wholly owned subsidiary of Ferring and will maintain its name, structure, location and people. Rebiotix will retain its name and its 45 employees, including Chief Executive Officer, Lee Jones. Ferring doesn't plan to disrupt Rebiotix' operations with location changes._x000D_
</t>
  </si>
  <si>
    <t xml:space="preserve">Celgene Corporation (NasdaqGS:CELG) signed a definitive merger agreement to acquire 90.3% stake in Juno Therapeutics, Inc. (NasdaqGS:JUNO) from ARCH Venture Fund VII, L.P., Keith Crandell, Robert Nelsen, Clinton Bybee and others for $9.1 billion on January 21, 2018. Pursuant to the terms of the agreement, Celgene will acquire all the outstanding shares of common stock of Juno, not already owned, through a tender offer for $87 per share in cash. The restricted stock units, performance based restricted stock units, restricted shares and performance based restricted shares will receive the same cash consideration per share. The option holders will receive the cash payment equal to excess of the offer price ($87) over the weighted average exercise price ($31.53) of each option. Celgene expects to fund the transaction through a combination of existing cash and new debt. Upon closing, Juno will become an indirect wholly-owned subsidiary of Celgene. The agreement also includes covenants requiring Juno not to solicit, or engage in discussions with third parties relating to alternative acquisition proposals during the pre- closing period. In case of termination, Celgene will pay a fee of $600 million whereas Juno will pay a fee of $300 million. On February 8, 2018, Celgene launched the unsecured senior notes offering of $4.5 billion. The senior notes offering consisted of $500 million aggregate principal amount of 2.875% senior notes due 2021, $1 billion aggregate principal amount of 3.25% Senior Notes due 2023, $1.5 billion aggregate principal amount 3.9% Senior Notes due 2028 and $1.5 billion aggregate principal amount 4.55% Senior Notes due 2048. Celgene intends to use the net proceeds from the Senior Notes Offering to finance the acquisition of a portion of the shares in the offer and merger._x000D_
_x000D_
The transaction is subject to customary closing conditions including, consummation of tender offer, regulatory approval, minimum tender and anti-trust approvals. The transaction is unanimously approved by the Boards of both entities. As on February 21, 2018, the waiting period under the Hart-Scott-Rodino Antitrust Improvements expired. The transaction is expected to close in the first quarter of 2018. As of February 2, 2018, tender offer commenced and is scheduled to be closed on March 2, 2018. The acquisition is expected to be dilutive to adjusted earnings per share in 2018 by approximately $0.50 and is expected to be incrementally additive to net product sales in 2020._x000D_
_x000D_
As of March 2, 2018, a total of approximately 90.7 million shares were validly tendered and not withdrawn in the tender offer, representing approximately 78% of Juno’s outstanding shares or approximately 88% of Juno's outstanding shares including the Juno shares already owned by Celgene. Celgene will accept for payment all shares that were validly tendered and not withdrawn prior to expiration of the tender offer, and payment for such shares will be made promptly, in accordance with the terms of the tender offer. As a consequence of the merger, each outstanding Juno share not tendered and purchased in the offer will be converted into the right to receive the same $87 per share. Following completion of the merger, Juno’s common stock will cease to be traded on the NASDAQ Global Select Market. As of March 2, 2018, the tender offer expired._x000D_
_x000D_
J.P. Morgan Securities LLC acted as financial advisor while Robert A. Cantone, Daniel I. Ganitsky, Michael E. Ellis, Charles Lee, Lara Miller, Louis Rambo, Ali Fawaz, Andrea Rattner, Malcolm Hochenberg, Richard Corn, Colin Kass and John Ingrassia of Proskauer Rose LLP as well as Adam H. Golden, Tabisa Lane, Seaton Thedinger, Ben Fekonja, James McGovern, Lee Samuelson, Martha Steinman, Lillian Tsu, Jason Conaty, Erin Howerll, David Mitchell, Ahuva Warburg, Allison Wuertz, Courtney Svoboda, Matt Kim, Ben Unger, Kate McGuigan, Keith Flaum, Adam Bellack, William Ferreira, Susan Lee, Anishiya Abrol, Matthew Iaconetti, Katherine Morga, Komal Karnik, Alie Kolbe, William Regan and Ji An Wang of Jeffrey S. Jay of Hogan Lovells acted as legal advisors to Celgene. Morgan Stanley &amp; Co. LLC acted as financial advisor whereas Kenton J. King, Graham Robinson, Amr Razzak, Jennifer Bragg, Yulia Buyanin, Karen L. Corman, Avia Dunn, K. Kristine Dunn, Kenton King, Maria Raptis, Resa Schlossberg, Resa Schlossberg, Resa Schlossberg, Moshe Spinowitz, Steven Sunshine, Matthew Weingast, Delford Williams IV, Joseph Yaffe of Skadden, Arps, Slate, Meagher &amp; Flom LLP acted as legal advisors to Juno. Caroline Gottschalk of Simpson Thacher is acting as legal advisor to J.P. Morgan Securities LLC. Celgene has agreed to pay J.P. Morgan a transaction fee of $35 million. Matthew G. Hurd, Matthew B. Goodman and Kristin K. Rulison of Sullivan &amp; Cromwell LLP represents Morgan Stanley &amp; Co. LLC, financial advisor to Juno Therapeutics, Inc._x000D_
</t>
  </si>
  <si>
    <t xml:space="preserve">Acer Therapeutics Inc. signed a definitive agreement to acquire Opexa Therapeutics, Inc. (NasdaqCM:OPXA) in a reverse merger transaction on June 30, 2017. Under the terms of the agreement, each outstanding share of Acer common stock will be converted into the right to receive approximately one share of common stock of Opexa, which amount is subject to adjustment prior to closing of the merger upon the occurrence of specified events, including to account for any additional shares that Acer may issue before closing and for Opexa’s net cash balance at closing. No fractional shares will be issued in connection with the Merger and Opexa will pay cash in lieu of any such fractional shares. Also in connection with the Merger, Opexa will assume the outstanding stock options of Acer subject to the terms of the Merger Agreement. All outstanding stock options of Opexa will be cancelled and extinguished at the effective time of the Merger without any right to receive any consideration. In accordance with the terms of the merger agreement, a) the officers and directors of Opexa have each entered into a support agreement with Acer and b) the officers, directors and certain affiliated shareholders of Acer owning or controlling, in the aggregate, a majority of Acer’s outstanding capital stock have each entered into a support agreement with Opexa. Prior to Acer’s entry into the merger agreement, an investor syndicate led by TVM Capital Life Sciences and comprised of existing Acer investors and new investors has committed to invest approximately $15.7 million in Acer (including through a conversion of approximately $5.7 million in outstanding convertible notes) immediately prior to closing of the proposed merger._x000D_
_x000D_
Immediately following the effective time of the Merger, (a) current Opexa shareholders are expected to own approximately 11.2% of the combined company, (b) current Acer shareholders are expected to own approximately 63.8% of the combined company (excluding any shares issued to current shareholders in the concurrent financing), and (c) the investors participating in the concurrent financing are expected to own approximately 25% of the combined company (excluding any shares previously held by investors in the concurrent financing). Upon completion of the merger, Opexa’s name will be changed to Acer Therapeutics Inc. and Opexa intends to apply to change its ticker symbol on the NASDAQ Capital Market to “ACER.” Upon termination, Opexa may be obligated to pay Acer a termination fee of $0.25 million and Acer may be obligated to pay Opexa a termination fee of $1 million, plus, under specified circumstances, reimbursement for various expenses incurred in connection with the merger._x000D_
_x000D_
The directors and the sole executive officer of Opexa will resign from their positions with Opexa upon the closing of the proposed merger, and the combined company will be under the leadership of Acer’s current executive management team with Chris Schelling serving as President and Chief Executive Officer. Following the closing of the proposed merger, the Board of Directors of the combined company is expected to consist of 7 members namely Chris Schelling, Stephen J. Aselage, Hubert Birner, Michelle Griffin, John M. Dunn, Luc Marengere and one additional independent director that Acer expects to identify prior to the consummation of the Merger. As of June 30, 2017, directors and the executive officer of Opexa owned or controlled 1.08% of the outstanding shares of Opexa common stock. Opexa directors and the executive officer have entered into support agreements in connection with the Merger. The corporate headquarters will be located in Cambridge, Massachusetts._x000D_
_x000D_
The transaction is subject to the approval by the respective shareholders of Opexa and Acer, effectiveness of form S-4 registration statement, antitrust approval, listing of shares on NASDAQ Capital Market, preferred stock conversion by Acer, Acer has effected a conversion of all outstanding convertible debt into shares of Acer common stock, consummation of financing by Acer under the terms and conditions of the subscription agreement and other customary closing conditions. In connection with the merger, Opexa will seek shareholder approval to adopt amendments to its certificate of formation to: (a) effect a reverse split of Opexa’s common stock and (b) change Opexa’s name to Acer Therapeutics Inc., in each case subject to the consummation of the merger. As of June 30, 2017, the transaction was unanimously approved by the Board of Directors of both the companies. The proposed merger is expected to close during the third quarter of 2017._x000D_
_x000D_
Mike Hird and Patty M. DeGaetano of Pillsbury Winthrop Shaw Pittman LLP acted as the legal advisors to Opexa and David R. Pierson, William R. Kolb and Daniel Clevenger of Foley Hoag LLP acted as the legal advisors to Acer Therapeutics in this transaction. Piper Jaffray &amp; Co. is acting as placement agent for Acer in the concurrent financing. Advantage Proxy, LLC acted as a proxy solicitor for Opexa Therapeutics Inc. and was paid a fee of $10,000. Continental Stock Transfer &amp; Trust Company, Inc. acted as Transfer agent and Registar for Opexa Therapeutics Inc. Hans Vitzthum of LifeSci Advisors acted as the PR advisor to Acer Therapeutics._x000D_
</t>
  </si>
  <si>
    <t>Initial Public Offerings Data - OPM</t>
  </si>
  <si>
    <t>ec</t>
  </si>
  <si>
    <t>Auto-immune</t>
  </si>
  <si>
    <t>Inflammatory and autoimmune</t>
  </si>
  <si>
    <t>AM0010 - IL10</t>
  </si>
  <si>
    <t>IBD / Ulcerative Colitis</t>
  </si>
  <si>
    <t>JCAR020: MUC-16/IL-12</t>
  </si>
  <si>
    <t>ALT-801 - Auto-immune, IBD</t>
  </si>
  <si>
    <t>Teprotumumab (RV001) - Auto-immune</t>
  </si>
  <si>
    <t>Epratuzumab (anti-CD22) auto-immune</t>
  </si>
  <si>
    <t>DEl106 - IL2</t>
  </si>
  <si>
    <t>ART12.11 - IBD</t>
  </si>
  <si>
    <t>Auto-immune, IBD</t>
  </si>
  <si>
    <t>VTP-43742 - autoimmune</t>
  </si>
  <si>
    <t>Heterodimeric IL-15</t>
  </si>
  <si>
    <t>Inflectra - Auto-immune, IBD</t>
  </si>
  <si>
    <t>PTB-201 SDF IVIG - autoimmune</t>
  </si>
  <si>
    <t>Common as a % of Pref</t>
  </si>
  <si>
    <t>Grant Revenue</t>
  </si>
  <si>
    <t>LIST DATA</t>
  </si>
  <si>
    <t>DLOC Switch</t>
  </si>
  <si>
    <t>Average DLOM</t>
  </si>
  <si>
    <t xml:space="preserve">Common Price Per Share (Non-Marketable, Minority) </t>
  </si>
  <si>
    <t xml:space="preserve">File: "DRAFT Series Seed 2 Cap Table. 110618" </t>
  </si>
  <si>
    <t xml:space="preserve">File: "Stock Option Schedule 122018" </t>
  </si>
  <si>
    <t xml:space="preserve">Invested Capital </t>
  </si>
  <si>
    <t>Include Series Seed - 1 Capital? (1=Yes, 0=No)</t>
  </si>
  <si>
    <t>% Share</t>
  </si>
  <si>
    <t>Seed Conversion Breakpoint Value</t>
  </si>
  <si>
    <t>Debt reflects senior debt based on the balance sheet as of the Valuation Date plus the value of liquidation preferences under the CVM for preferred stock.</t>
  </si>
  <si>
    <t>% Share of Total Invested Capital</t>
  </si>
  <si>
    <t>First Round (1)</t>
  </si>
  <si>
    <t xml:space="preserve">We considered exit multiples based on the Metrick Gross Value Multiples (“MGVM”).  The MGVMs are calculated by dividing the total value of all investments at the exit, by the invested capital.  The above table shows the likelihood for various ranges of MGVMs for a first-round investment by venture capital firms, conisdering the stage of development of the Company. </t>
  </si>
  <si>
    <t>Applied Multiple (2)</t>
  </si>
  <si>
    <t>Relative to Previous Valuation, the Company discontinued the development of BMP-007 assets. Considering most of the invested capital for Series Seed 1 was spent on the discontinued asset, we chose to apply a multiple close to the de-minimus multiple range. Furthermore, given the early stage of development of the Company and the IL-2 assets, we considered a multiple close to the low of the range for Series Seed 2. As such, we determined an implied multiple close to the weighted-average multiple based on the investments in Series Seed 1 and Series Seed 2.</t>
  </si>
  <si>
    <t>Series Seed 1 and Seed 2 Receive Liquidation Preference</t>
  </si>
  <si>
    <t>Assumes that all remaining options expected to be granted.</t>
  </si>
  <si>
    <t>Implied Wtd. Avg. Multiple</t>
  </si>
  <si>
    <t>Interpolation - OPM DLOM</t>
  </si>
  <si>
    <t>OPM DLOM Term (Years)</t>
  </si>
  <si>
    <t xml:space="preserve"> n/a </t>
  </si>
  <si>
    <t xml:space="preserve">1.53 x   </t>
  </si>
  <si>
    <t xml:space="preserve">1.51 x   </t>
  </si>
  <si>
    <t xml:space="preserve">3.01 x   </t>
  </si>
  <si>
    <t xml:space="preserve">1.92 x   </t>
  </si>
  <si>
    <t xml:space="preserve">2.03 x   </t>
  </si>
  <si>
    <t xml:space="preserve">2.05 x   </t>
  </si>
  <si>
    <t>Synthorx, Inc., a biotechnology company, discovers and develops protein therapeutics. The company’s lead product candidate is THOR-707, a variant of IL-2 that is in development in various tumor types as a single agent and in combination with an immune checkpoint inhibitor. The company was founded in 2014 and is headquartered in La Jolla, California.</t>
  </si>
  <si>
    <t xml:space="preserve">1.58 x   </t>
  </si>
  <si>
    <t xml:space="preserve">1.26 x   </t>
  </si>
  <si>
    <t xml:space="preserve">1.27 x   </t>
  </si>
  <si>
    <t xml:space="preserve">2.42 x   </t>
  </si>
  <si>
    <t xml:space="preserve">1.19 x   </t>
  </si>
  <si>
    <t xml:space="preserve">1.39 x   </t>
  </si>
  <si>
    <t xml:space="preserve">1.13 x   </t>
  </si>
  <si>
    <t>NasdaqCM:TGTX</t>
  </si>
  <si>
    <t>IQ143627354</t>
  </si>
  <si>
    <t>TG Therapeutics, Inc., a biopharmaceutical company, focuses on the acquisition, development, and commercialization of novel treatments for B-cell malignancies and autoimmune diseases in the United States. It develops TG-1101 (ublituximab), a chimeric, glycoengineered monoclonal antibody that targets an epitope on the CD20 antigen found on the surface of B-lymphocytes developed to aid in the depletion of circulating B-cells; and TG-1101 in combination with TGR-1202 for relapsed/refractory chronic lymphocytic leukemia. The company also develops TGR-1202, an orally available phosphoinositide-3-kinase delta inhibitor with nanomolar potency to the delta isoform and high selectivity over the alpha, beta, and gamma isoforms, as well as for hematologic malignancies. In addition, it develops a pre-clinical program to develop interleukin-1 receptor-associated kinase 4 (IRAK4) inhibitors; bromodomain and extra terminal (BET) inhibitor program for cancer treatment; and anti-PD-L1 and anti-GITR antibody research programs that are in pre-clinical development stage in the field of hematological malignancies. The company has license agreements with LFB Biotechnologies S.A.S, GTC Biotherapeutics, LFB/GTC LLC, and Ildong Pharmaceutical Co. Ltd. for the development and commercialization of TG-1101 (ublituximab); Rhizen Pharmaceuticals, SA for the development and commercialization of TGR-1202; Ligand Pharmaceuticals Incorporated for the development and commercialization of IRAK4 inhibitor technology; Checkpoint Therapeutics, Inc. for the development and commercialization of anti-PD-L1 and anti-GITR antibody research programs; and Jubilant Biosys for the development and commercialization of BET inhibitor program. TG Therapeutics, Inc. was incorporated in 1993 and is headquartered in New York, New York.</t>
  </si>
  <si>
    <t xml:space="preserve">1.74 x   </t>
  </si>
  <si>
    <t xml:space="preserve">2.06 x   </t>
  </si>
  <si>
    <t xml:space="preserve">0.96 x   </t>
  </si>
  <si>
    <t xml:space="preserve">0.85 x   </t>
  </si>
  <si>
    <t>NasdaqGS:FPRX</t>
  </si>
  <si>
    <t>IQ3366199</t>
  </si>
  <si>
    <t>Five Prime Therapeutics, Inc.</t>
  </si>
  <si>
    <t>Five Prime Therapeutics, Inc., a clinical-stage biotechnology company, focuses on the discovery and development of immuno-oncology protein therapeutics. The company’s product candidates include Cabiralizumab, an antibody that inhibits colony stimulating factor-1 receptor that is in Phase Ia/Ib clinical trials for the treatment of various cancers in combination with nivolumab; and is in Phase I/II clinical trials for the treatment of pigmented villonodular synovitis tumor. Its product candidates also comprise Bemarituzumab, an antibody that inhibits fibroblast growth factor receptor IIb, which is in Phase I clinical trials to treat patients with gastric or gastroesophageal junction and bladder cancer; and FPA150, a CD8 T cell checkpoint inhibitor antibody that targets B7-H4 as a monotherapy in various cancers. The company’s FP-1039 is in Phase Ib clinical trials to treat patients with malignant pleural mesothelioma. Its preclinical product candidates include FPA150, a CD8 T cell checkpoint inhibitor antibody; FPA154, a tetravalent agonistic antibody that activates glucocorticoid-induced tumor necrosis factor receptor; and FPT155, a CD80-Fc fusion protein, which modulates signaling pathways. The company has license and collaboration agreements with Bristol-Myers Squibb Company, GlaxoSmithKline LLC, INBRX 110 LP, UCB Pharma S.A., and Zai Lab (Shanghai) Co., Ltd.; collaboration agreement with Roche; and license agreements with bluebird bio, Inc., Galaxy Biotech, LLC, BioWa, Inc. and Lonza Sales AG. Five Prime Therapeutics, Inc. was founded in 2001 and is headquartered in South San Francisco, California.</t>
  </si>
  <si>
    <t xml:space="preserve">3.09 x   </t>
  </si>
  <si>
    <t xml:space="preserve">1.35 x   </t>
  </si>
  <si>
    <t>NasdaqCM:ONCS</t>
  </si>
  <si>
    <t>IQ47899619</t>
  </si>
  <si>
    <t>OncoSec Medical Incorporated</t>
  </si>
  <si>
    <t>OncoSec Medical Incorporated, a biotechnology company, focuses on the development of cytokine-based intratumoral immunotherapies to stimulate the body’s immune system to target and attack cancer. Its lead product candidate is ImmunoPulse IL-12 that uses electroporation device to deliver a DNA-encoded interleukin-12 for reversing the immunosuppressive microenvironment in the treated tumor. The company is also developing ImmunoPulse IL-12 with KEYTRUDA in patients with advanced melanoma that is in the Phase IIb clinical trials (PISCES/KEYNOTE-695) and advanced or metastatic triple negative breast cancer (TNBC), which is in the Phase II clinical trials (OMS-141/KEYNOTE-890); ImmunoPulse IL-12 and KEYTRUDA in patients with advanced or metastatic melanoma that has completed Phase II clinical trials; and ImmunoPulse IL-12 monotherapy in patients with metastatic melanoma, which has completed the Phase II clinical trials. In addition, it undertakes the phase II monotherapy biomarker study in patients with advanced or metastatic TNBC. Further, the company has completed Phase I neoadjuvant clinical trial of ImmunoPulse IL-12 in combination with an anti-PD-1 in surgically resectable melanoma. Additionally, it is developing new DNA-encoded therapeutic candidates and tumor indications. OncoSec Medical Incorporated has clinical trial collaborations with Merck &amp; Co., Inc. and its subsidiary in connection with the PISCES/KEYNOTE-695 and OMS-141/KEYNOTE-890 studies; and a collaboration with the GOG Foundation, Inc. to conduct a registration-enabled study of tavokinogene telseplasmid in women with recurrent/persistent cervical cancer. The company was formerly known as NetVentory Solutions Inc. and changed its name to OncoSec Medical Incorporated in March 2011. OncoSec Medical Incorporated was incorporated in 2008 and is headquartered in Pennington, New Jersey.</t>
  </si>
  <si>
    <t xml:space="preserve">0.26 x   </t>
  </si>
  <si>
    <t xml:space="preserve">0.42 x   </t>
  </si>
  <si>
    <t xml:space="preserve">2.23 x   </t>
  </si>
  <si>
    <t xml:space="preserve">2.11 x   </t>
  </si>
  <si>
    <t xml:space="preserve">2.69 x   </t>
  </si>
  <si>
    <t xml:space="preserve">1.18 x   </t>
  </si>
  <si>
    <t xml:space="preserve">1.12 x   </t>
  </si>
  <si>
    <t xml:space="preserve">0.94 x   </t>
  </si>
  <si>
    <t>NasdaqGM:SURF</t>
  </si>
  <si>
    <t>IQ281487796</t>
  </si>
  <si>
    <t>Surface Oncology, Inc.</t>
  </si>
  <si>
    <t>Surface Oncology, Inc., a clinical-stage immuno-oncology company, engages in the development of cancer therapies. The company’s lead product candidate is the SRF231 that is in Phase I clinical trial targeting protein called cluster of differentiation (CD) 47. It is also developing SRF373 inhibiting CD73; SRF617 inhibiting CD39; and SRF388, an antibody targeting interleukin 27. The company has a collaboration agreement with Novartis Institutes for Biomedical Research, Inc. for the development of cancer therapies. Surface Oncology, Inc. was founded in 2014 and is headquartered in Cambridge, Massachusetts.</t>
  </si>
  <si>
    <t xml:space="preserve">2.60 x   </t>
  </si>
  <si>
    <t xml:space="preserve"> (Invalid Identifier) </t>
  </si>
  <si>
    <t xml:space="preserve"> (Parameter Length Limit Exceeded) </t>
  </si>
  <si>
    <r>
      <t xml:space="preserve">Volatility </t>
    </r>
    <r>
      <rPr>
        <sz val="10"/>
        <color theme="1"/>
        <rFont val="Georgia"/>
        <family val="1"/>
      </rPr>
      <t>(1)</t>
    </r>
  </si>
  <si>
    <t>Term to VD</t>
  </si>
  <si>
    <t>Small Molecule Covalent Inhibitors of IL-2 Inducible Kinase</t>
  </si>
  <si>
    <t>CUE-101; IL2 - Cytokine</t>
  </si>
  <si>
    <t>FATE-NK100; NK Cell Immunotherapy</t>
  </si>
  <si>
    <t>NK-92 Cell Therapy - Various</t>
  </si>
  <si>
    <t>NKTR-214; Cytokine Immunostimulatory Therapy</t>
  </si>
  <si>
    <t xml:space="preserve">Elzonris - IL-3R Therapy </t>
  </si>
  <si>
    <t xml:space="preserve"> THOR-707; Variant of IL-2</t>
  </si>
  <si>
    <t>IL 2; Metastatic Melanoma</t>
  </si>
  <si>
    <t>IO Platforms; Controlled IL-12,</t>
  </si>
  <si>
    <t>IL-1 Receptor-Associated kinase 4 (IRAK4) inhibitors</t>
  </si>
  <si>
    <t>Cabiralizumab; CSF-1 Receptor Inhibiting IL-34</t>
  </si>
  <si>
    <t>Cytokine-Based Intratumoral Immunotherapies</t>
  </si>
  <si>
    <t>SRF388; An Antibody Targeting IL-27</t>
  </si>
  <si>
    <t>Reflects negative enterprise value as the cash balance was higher than the market capitalization. As such, we included these guideline companies in our analysis.</t>
  </si>
  <si>
    <t>IO Platforms; Controlled IL-12</t>
  </si>
  <si>
    <t>Series Seed 1 was raised in an initial closing dated July 22, 2016 and a subsequent closing dated June 2, 2017.</t>
  </si>
  <si>
    <t>AwABTAVMT0NBTAFI/////wFQwwUAADlDSVEuTkFTREFRR1M6TksuSVFfRUJJVF9NQVJHSU4uMjAwMC4xLzMxLzIwMTkuTEZSLkYuVVNELkgBAAAADX2hDwMAAAACTk0BCAAAAAUAAAABMQEAAAAKMTkxOTk2NjUwMwMAAAADMTYwAgAAAAQ0MDUzBAAAAAEwBwAAAAkxLzMxLzIwMTkIAAAACTkvMzAvMjAxOAkAAAABMMlpBz0rkdYIEyJoSiuR1gglQ0lRLklRVFI0MzAxMDk1NjIuSVFfUFJJTUFSWV9JTkRVU1RSWQEAAAAXtWoNAwAAAA1CaW90ZWNobm9sb2d5AB36tEkrkdYIdtlISiuR1gg9Q0lRLk5BU0RBUUNNOk9OQ1MuSVFfUkVWRU5VRV9FU1QuQ1kyMDIwLjEvMzEvMjAxOS5DT04uRi5VU0QuSAEAAADj49oCAgAAAAcyMi44NDE1AQ4AAAAFAAAAAjExAQAAAAEwAgAAAAk3Mjc5MTU2NDIDAAAABjEwMDE4MAQAAAABMgYAAAABMAcAAAADMTYwCAAAAAEwCQAAAAExCgAAAAEwCwAAAAsxMTIzMzQ0MzQwMwwAAAABNw0AAAAIMi8xLzIwMTkQAAAACTEvMzEvMjAxOQ0GCD0rkdYI4WJlSiuR1gg5Q0lRLk5BU0RBUUdNOkNSVlMuSVFfVE9UQUxfUkVWLjE5OTIuMS8zMS8yMDE5LkxGUi5GLlVTRC5IAQAAAPSwphADAAAAAADakAc9K5HWCM7PaUorkdYIKUNJUS5JUVRSMjgzNzgyNzEzLklRX1RSX0lNUExJRURfRVFfTklfTFRNAQAAADku6hACAAAACTQ2Ljc3NTA5OAEGAAAABQAAAAI1NAEAAAAGMTAyMDk2AgAA</t>
  </si>
  <si>
    <t>AAkyODM3ODI3MTMDAAAACTI4Mzc4Mjc5MgQAAAADMTYwBgAAAAVGYWxzZWGWtUkrkdYIZmhGSiuR1ggeQ0lRLklRMzYxODM4NDMuSVFfQ09NUEFOWV9OQU1FAQAAACMfKAIDAAAAMlVuaXRlZCBTdGF0ZXMgVHJlYXN1cnkgQ29uc3RhbnQgTWF0dXJpdHkgLSAzMCBZZWFyAC4htUkrkdYIe2c9SiuR1ggsQ0lRLklRVFIzMTQ4MjkyMzYuSVFfVFJfVEFSR0VUX0VCSVREQS4uVVNELkgBAAAAtOnDEgIAAAAAAFBvtUkrkdYIIGBKSiuR1gg6Q0lRLk5BU0RBUUdNOlNVUkYuSVFfVE9UQUxfREVCVC4yMDAwLjkvMzAvMjAxNi5MRlIuRi5VU0QuSAEAAAC0KccQAwAAAAAA2pAHPSuR1giZ7m1KK5HWCCJDSVEuTkFTREFRR1M6TksuSVFfRUZGRUNUX1RBWF9SQVRFAQAAAA19oQ8DAAAAAk5NAQgAAAAFAAAAATEBAAAACjE5MTk5NjY1MDMDAAAAAzE2MAIAAAAENDM3NgQAAAABMAcAAAAJMi8xMi8yMDE5CAAAAAk5LzMwLzIwMTgJAAAAATDJaQc9K5HWCIozaUorkdYIPUNJUS5OQVNEQVFHTTpGQVRFLklRX1JFVkVOVUVfRVNULkNZMjAyMC4xLzMxLzIwMTkuQ09OLkYuVVNELkgBAAAAaDFXAgIAAAAGMTMuMzg4AQ4AAAAFAAAAAjExAQAAAAEwAgAAAAoxMDAxOTY3NDQ4AwAAAAYxMDAxODAEAAAAATIGAAAAATAHAAAAAzE2MAgAAAABMAkAAAABMQoAAAABMAsAAAALMTExNTY5MTk0NjIMAAAAATcNAAAACDIvMS8yMDE5</t>
  </si>
  <si>
    <t>EAAAAAkxLzMxLzIwMTmN0rc9K5HWCHIBUkorkdYIOENJUS5OQVNEQVFHTTpGQVRFLklRX0VCSVREQS5DWTIwMTguMS8zMS8yMDE5LkxGUi5GLlVTRC5IAQAAAGgxVwIDAAAAAABrhLc9K5HWCJRPUkorkdYIOUNJUS5OQVNEQVFDTTpUR1RYLklRX1RPVEFMX1JFVi4yMDAwLjEvMzEvMjAxOS5MRlIuRi5VU0QuSAEAAABalI8IAgAAAAgwLjE1MjM4MQEIAAAABQAAAAExAQAAAAoxOTIxMTc4ODQxAwAAAAMxNjACAAAAAjI4BAAAAAEwBwAAAAkxLzMxLzIwMTkIAAAACTkvMzAvMjAxOAkAAAABMI3Stz0rkdYIoZ5bSiuR1gguQ0lRLk5BU0RBUUdNOlhPTUEuSVFfTUFSS0VUQ0FQLjEvMzEvMjAxOS5VU0QuSAEAAAChjwAAAgAAAAoxMDQuNzc5NDA0AQYAAAAFAAAAATEBAAAACjE5MTk5MjgwMTcDAAAAAzE2MAIAAAAGMTAwMDU0BAAAAAEwBwAAAAkxLzMxLzIwMTlaXbc9K5HWCI/BXUorkdYIJENJUS5OQVNEQVFHUzpOS1RSLklRX0VGRkVDVF9UQVhfUkFURQEAAADpdAAAAgAAAAYwLjQ1ODEBCAAAAAUAAAABMQEAAAAKMTkyMDU0MDUxMwMAAAADMTYwAgAAAAQ0Mzc2BAAAAAEwBwAAAAkyLzEyLzIwMTkIAAAACTkvMzAvMjAxOAkAAAABMGuEtz0rkdYI++9QSiuR1ggtQ0lRLk5BU0RBUUNNOk9OQ1MuSVFfRElWSURFTkRfWUlFTEQuMS8zMS8yMDE5AQAAAOPj2gIDAAAAAACnGwc9K5HWCFh0ZkorkdYIIENJUS5J</t>
  </si>
  <si>
    <t>UVRSMzI2OTk1NDA4LklRX1RSX0VBUk5PVVRTAQAAANCNfRMCAAAAAABQb7VJK5HWCAB+RUorkdYILkNJUS5OQVNEQVFHTTpDUlZTLklRX01BUktFVENBUC4xLzMxLzIwMTkuVVNELkgBAAAA9LCmEAIAAAAKMTE2LjgzNTUyMwEGAAAABQAAAAExAQAAAAoxOTE3ODM0MTE2AwAAAAMxNjACAAAABjEwMDA1NAQAAAABMAcAAAAJMS8zMS8yMDE5pxsHPSuR1gi9qGlKK5HWCCJDSVEuSVFUUjU0NzgyOTk0OS5JUV9UUl9UT1RBTF9DQVNIAQAAAL04pyACAAAAAABQb7VJK5HWCGceREorkdYIPENJUS5OQVNEQVFDTTpUR1RYLklRX0VCSVREQV9FU1QuQ1kyMDE5LjEvMzEvMjAxOS5DT04uRi5VU0QuSAEAAABalI8IAwAAAAAAnvm3PSuR1gjUE1xKK5HWCDZDSVEuTkFTREFRR1M6TktUUi5JUV9FQklUREEuMTk5Mi4xLzMxLzIwMTkuTEZSLkYuVVNELkgBAAAA6XQAAAIAAAAHLTkxLjgyNwEIAAAABQAAAAExAQAAAAoxODY0NzAwOTI3AwAAAAMxNjACAAAABDQwNTEEAAAAATAHAAAACTEvMzEvMjAxOQgAAAAJOS8zMC8yMDE2CQAAAAEwa4S3PSuR1ghRaU9KK5HWCEVDSVEuKElOVkFMSUQgSURFTlRJRklFUikuSVFfQ0FTSF9TVF9JTlZFU1QuMjAwMC4xLzMxLzIwMTkuTEZSLkYuVVNELkgFAAAAAAAAAAgAAAAUKEludmFsaWQgSWRlbnRpZmllcikNBgg9K5HWCBWwsUorkdYIMENJUS5JUVRSNDAyNDY4MzQzLklRX1RS</t>
  </si>
  <si>
    <t>X1RBUkdFVF9FQklUREFfRVNULi5VU0QuSAEAAAD3Lf0XAgAAAAAAUG+1SSuR1gjcw0lKK5HWCDlDSVEuTkFTREFRR006Q1JWUy5JUV9OSV9NQVJHSU4uMjAwMC4xLzMxLzIwMTkuTEZSLkYuVVNELkgBAAAA9LCmEAMAAAAAANqQBz0rkdYII5NqSiuR1gg8Q0lRLk5BU0RBUUdNOkNSVlMuSVFfRUFSTklOR19DTy5DWTIwMTcuMS8zMS8yMDE5LkxGUi5GLlVTRC5IAQAAAPSwphACAAAABy01NS42NjMBCAAAAAUAAAABMQEAAAAKMTg3NzIyMDgwNQMAAAADMTYwAgAAAAE3BAAAAAEwBwAAAAkxLzMxLzIwMTkIAAAACjEyLzMxLzIwMTcJAAAAATDakAc9K5HWCGcva0orkdYIO0NJUS5OQVNEQVFDTTpDVUUuSVFfRUFSTklOR19DTy5DWTIwMTcuMS8zMS8yMDE5LkxGUi5GLlVTRC5IAQAAAKZm6BgCAAAACi0yMy4yMzM4MzUBCAAAAAUAAAABMQEAAAAKMTg4MDQ3NDM0NAMAAAADMTYwAgAAAAE3BAAAAAEwBwAAAAkxLzMxLzIwMTkIAAAACjEyLzMxLzIwMTcJAAAAATDJaQc9K5HWCFkqZEorkdYIKUNJUS5JUVRSMzg0MDI4NDk2LklRX0JVU0lORVNTX0RFU0NSSVBUSU9OAQAAAB9NKQADAAAAkQdWaXRhZSBQaGFybWFjZXV0aWNhbHMsIEluYy4sIGEgYmlvdGVjaG5vbG9neSBjb21wYW55LCBmb2N1c2VzIG9uIGRpc2NvdmVyaW5nIGFuZCBkZXZlbG9waW5nIG5vdmVsIGFuZCBzbWFsbCBtb2xlY3VsZSBkcnVncyBm</t>
  </si>
  <si>
    <t>b3IgZGlzZWFzZXMgd2l0aCB1bm1ldCBtZWRpY2FsIG5lZWRzIGluIHRoZSBVbml0ZWQgU3RhdGVzLiBJdHMgcHJvZHVjdHMgaW5jbHVkZSBWVFAtNDM3NDIgaW4gUGhhc2UgSSBjbGluaWNhbCB0cmlhbCBmb3IgdGhlIHRyZWF0bWVudCBvZiBhdXRvaW1tdW5lIGRpc29yZGVycywgaW5jbHVkaW5nIHBzb3JpYXNpcywgcHNvcmlhdGljIGFydGhyaXRpcywgYW5reWxvc2luZyBzcG9uZHlsaXRpcywgaW5mbGFtbWF0b3J5IGJvd2VsIGRpc2Vhc2UsIGFuZCBtdWx0aXBsZSBzY2xlcm9zaXM7IFZUUC0zODU0MyBpbiBQaGFzZSBJSWEgZm9yIHRoZSB0cmVhdG1lbnQgb2YgYXRvcGljIGRlcm1hdGl0aXM7IGFuZCBCSSAxMTQ3NTYwIGZvciB0aGUgdHJlYXRtZW50IGFuZCBwcmV2ZW50aW9uIG9mIEFsemhlaW1lcidzIGRpc2Vhc2UuIFRoZSBjb21wYW554oCZcyBwcm9kdWN0cyBhbHNvIGluY2x1ZGUgVlRQLTM0MDcyIHRoYXQgaXMgaW4gUGhhc2UgSUkgY2xpbmljYWwgdHJpYWwgZm9yIHRoZSB0cmVhdG1lbnQgb2YgdHlwZSAyIGRpYWJldGVzOyBhbmQgVlRQLTM4NDQzIGZvciB0aGUgdHJlYXRtZW50IG9mIGFjdXRlIGNvcm9uYXJ5IHN5bmRyb21lLiBWaXRhZSBQaGFybWFjZXV0aWNhbHMsIEluYy4gd2FzIGZvdW5kZWQgaW4gMjAwMSBhbmQgaXMgaGVhZHF1YXJ0ZXJlZCBpbiBGb3J0IFdhc2hpbmd0b24s</t>
  </si>
  <si>
    <t>IFBlbm5zeWx2YW5pYS4gQXMgb2YgT2N0b2JlciAyNCwgMjAxNiwgVml0YWUgUGhhcm1hY2V1dGljYWxzLCBJbmMuIG9wZXJhdGVzIGFzIGEgc3Vic2lkaWFyeSBvZiBBbGxlcmdhbiBwbGMuAC4htUkrkdYI3i9FSiuR1gg9Q0lRLihJTlZBTElEIElERU5USUZJRVIpLklRX0VCSVREQS4yMDAwLjEvMzEvMjAxOS5MRlIuRi5VU0QuSAUAAAAAAAAACAAAABQoSW52YWxpZCBJZGVudGlmaWVyKfzeBz0rkdYISCWySiuR1gghQ0lRLklRVFI0MTgwODMzNDMuSVFfVFJfQlVZRVJOQU1FAQAAAA9y6xgDAAAAE0NlbGdlbmUgQ29ycG9yYXRpb24AUG+1SSuR1giGSktKK5HWCClDSVEuSVFUUjUyODU2OTEyMi5JUV9UUl9JTVBMSUVEX0VRX05JX0xUTQEAAAAiU4EfAgAAAAAAP0i1SSuR1gjwDENKK5HWCEBDSVEuKElOVkFMSUQgSURFTlRJRklFUikuSVFfVE9UQUxfUkVWLjIwMDAuMS8zMS8yMDE5LkxGUi5GLlVTRC5IBQAAAAAAAAAIAAAAFChJbnZhbGlkIElkZW50aWZpZXIpDQYIPSuR1ggVsLFKK5HWCC5DSVEuKElOVkFMSUQgSURFTlRJRklFUikuSVFfQkVUQV81WVIuMS8zMS8yMDE5BQAAAAAAAAAIAAAAFChJbnZhbGlkIElkZW50aWZpZXIpHi0IPSuR1gid6LJKK5HWCCJDSVEuSVFUUjU4MDI5ODA0OS5JUV9UUl9UT1RBTF9DQVNIAQAAAEGlliICAAAABDEzLjEBBgAAAAUAAAACNTQBAAAABjEwMTA1NgIAAAAJ</t>
  </si>
  <si>
    <t>NTgwMjk4MDQ5AwAAAAk1ODAzMDc2MzgEAAAAAzE2MAYAAAAFRmFsc2UuIbVJK5HWCOCbQEorkdYILENJUS5OQVNEQVFHTTpYT01BLklRX0xBU1RTQUxFUFJJQ0UuOS8zMC8yMDE2AQAAAKGPAAACAAAABDkuMTgApxsHPSuR1ghbll9KK5HWCDtDSVEuTkFTREFRR1M6TksuSVFfUkVWRU5VRV9FU1QuQ1kyMDIwLjEvMzEvMjAxOS5DT04uRi5VU0QuSAEAAAANfaEPAwAAAAAADQYIPSuR1gjx02dKK5HWCDxDSVEuTkFTREFRR1M6RlBSWC5JUV9UT1RBTF9FUVVJVFkuMTk5Mi4xLzMxLzIwMTkuTEZSLkYuVVNELkgBAAAAN10zAAIAAAAHNDAzLjk3NQEIAAAABQAAAAExAQAAAAoxODY0Mjk0Mjc1AwAAAAMxNjACAAAABDEyNzUEAAAAATAHAAAACTEvMzEvMjAxOQgAAAAJOS8zMC8yMDE2CQAAAAEwuEIHPSuR1gha4GFKK5HWCBlDSVEuMC5JUV9UUl9NQUpfTUlOX1NUQUtFBQAAAAAAAAAIAAAAGChJbnZhbGlkIFRyYW5zYWN0aW9uIElkKR36tEkrkdYIhZRNSiuR1ggvQ0lRLklRVFIzMjg5Nzg1MTkuSVFfVFJfVEFSR0VUX1RPVEFMX1JFVi4uVVNELkgBAAAAV9CbEwIAAAAAAFBvtUkrkdYI/VtMSiuR1gg7Q0lRLk5BU0RBUUdNOlNVUkYuSVFfVE9UQUxfUkVWLkNZMjAxOC4xLzMxLzIwMTkuTEZSLkYuVVNELkgBAAAAtCnHEAMAAAAAANqQBz0rkdYI72dsSiuR1gg6Q0lRLk5BU0RBUUdTOlRIT1IuSVFfVE9UQUxf</t>
  </si>
  <si>
    <t>REVCVC4yMDAwLjkvMzAvMjAxNi5MRlIuRi5VU0QuSAEAAAC4X7cPAwAAAAAAfKu3PSuR1ggs+VVKK5HWCCNDSVEuSVFUUjQxOTg2NDMwMS5JUV9UUl9UT1RBTF9TVE9DSwEAAADtngYZAgAAAAAAP0i1SSuR1ggjgkNKK5HWCC5DSVEuSVFUUjQxOTg2NDMwMS5JUV9UUl9UQVJHRVRfU1RPQ0tQUkVNSVVNXzFNAQAAAO2eBhkCAAAABzM2Ljg3MTUBBgAAAAUAAAACNTQBAAAABjEwMTA1NQIAAAAJNDE5ODY0MzAxAwAAAAk0MTk4NjUzMjcEAAAAAzE2MAYAAAAFRmFsc2VQb7VJK5HWCFb3Q0orkdYIIENJUS5JUTQ3ODk5NjE5LklRX0NPTVBBTllfVElDS0VSAQAAAOPj2gIDAAAADU5hc2RhcUNNOk9OQ1MALiG1SSuR1giu7WRKK5HWCDxDSVEuTkFTREFRQ006VEdUWC5JUV9FQVJOSU5HX0NPLkNZMjAxNy4xLzMxLzIwMTkuTEZSLkYuVVNELkgBAAAAWpSPCAIAAAALLTExOC40NzYwMTIBCAAAAAUAAAABMQEAAAAKMTg3ODYzMTc2NQMAAAADMTYwAgAAAAE3BAAAAAEwBwAAAAkxLzMxLzIwMTkIAAAACjEyLzMxLzIwMTcJAAAAATCN0rc9K5HWCCnXXEorkdYIL0NJUS4oSU5WQUxJRCBJREVOVElGSUVSKS5JUV9URVYuMS8zMS8yMDE5LlVTRC5IBQAAAAAAAAAIAAAAFChJbnZhbGlkIElkZW50aWZpZXIppxsHPSuR1ggEibFKK5HWCCtDSVEuSVFUUjQzMDEwOTU2Mi5JUV9UUl9JTVBMSUVEX0VWX0VCSVRfRldEAQAA</t>
  </si>
  <si>
    <t>AHrzohkCAAAAAAA/SLVJK5HWCKlOSUorkdYIP0NJUS5OQVNEQVFHTTpTVVJGLklRX05FVF9XT1JLSU5HX0NBUC4xOTk2LjEvMzEvMjAxOS5MRlIuRi5VU0QuSAEAAAC0KccQAgAAAActMTUuMDY5AQgAAAAFAAAAATEBAAAACjE5MjE4MTM4NjcDAAAAAzE2MAIAAAAEMTMxMQQAAAABMAcAAAAJMS8zMS8yMDE5CAAAAAk5LzMwLzIwMTcJAAAAATDakAc9K5HWCFVSbUorkdYIKUNJUS5JUVRSNTI5MTkxODgwLklRX0JVU0lORVNTX0RFU0NSSVBUSU9OAQAAAECjlwADAAAAnQZBcyBvZiBTZXB0ZW1iZXIgMTksIDIwMTcsIE9wZXhhIFRoZXJhcGV1dGljcywgSW5jLiB3YXMgYWNxdWlyZWQgYnkgQWNlciBUaGVyYXBldXRpY3MgSW5jLiwgaW4gYSByZXZlcnNlIG1lcmdlciB0cmFuc2FjdGlvbi4gT3BleGEgVGhlcmFwZXV0aWNzLCBJbmMuLCBhIGJpb3BoYXJtYWNldXRpY2FsIGNvbXBhbnksIGRldmVsb3BzIHBlcnNvbmFsaXplZCBpbW11bm90aGVyYXB5IHRvIHRyZWF0IG11bHRpcGxlIHNjbGVyb3NpcyAoTVMpIGFuZCBvdGhlciBhdXRvaW1tdW5lIGRpc2Vhc2VzIGJhc2VkIG9uIGl0cyBwcm9wcmlldGFyeSBULWNlbGwgdGVjaG5vbG9neS4gVGhlIGNvbXBhbnnigJlzIGxlYWQgcHJvZHVjdCBjYW5kaWRhdGUgaXMgVGNlbG5hLCBhIFQtY2VsbCBpbW11bm90aGVyYXB5IGZvciB0aGUgdHJlYXRtZW50IG9m</t>
  </si>
  <si>
    <t>IHBhdGllbnRzIHdpdGggc2Vjb25kYXJ5IHByb2dyZXNzaXZlIE1TLiBJdCBpcyBhbHNvIGRldmVsb3BpbmcgT1BYLTIxMiwgYW4gYXV0b2xvZ291cyBULWNlbGwgaW1tdW5vdGhlcmFweSB0aGF0IGlzIGluIHByZWNsaW5pY2FsIGRldmVsb3BtZW50IHRvIHRyZWF0IG5ldXJvbXllbGl0aXMgb3B0aWNhLiBUaGUgY29tcGFueSB3YXMgZm9ybWVybHkga25vd24gYXMgUGhhcm1hRnJvbnRpZXJzIENvcnAuIGFuZCBjaGFuZ2VkIGl0cyBuYW1lIHRvIE9wZXhhIFRoZXJhcGV1dGljcywgSW5jLiBpbiBKdW5lIDIwMDYuIE9wZXhhIFRoZXJhcGV1dGljcywgSW5jLiB3YXMgZm91bmRlZCBpbiAyMDAzIGFuZCBpcyBoZWFkcXVhcnRlcmVkIGluIFRoZSBXb29kbGFuZHMsIFRleGFzLgAuIbVJK5HWCFSLSEorkdYIJUNJUS5JUVRSMzg0MDI4NDk2LklRX1BSSU1BUllfSU5EVVNUUlkBAAAAH00pAAMAAAANQmlvdGVjaG5vbG9neQAd+rRJK5HWCKu6REorkdYIJUNJUS5OQVNEQVFDTTpUR1RYLklRX0ZJUlNUUFJJQ0lOR0RBVEUBAAAAWpSPCAUAAAAKMTIvMzAvMjAxMQBaXbc9K5HWCH9QW0orkdYIP0NJUS5OQVNEQVFDTTpaSU9QLklRX05FVF9XT1JLSU5HX0NBUC4yMDAwLjEvMzEvMjAxOS5MRlIuRi5VU0QuSAEAAACzUbIAAgAAAAYtNDQuNzUBCAAAAAUAAAABMQEAAAAKMTkyMDUzNzcwOQMAAAADMTYwAgAAAAQx</t>
  </si>
  <si>
    <t>MzExBAAAAAEwBwAAAAkxLzMxLzIwMTkIAAAACTkvMzAvMjAxOAkAAAABMHyrtz0rkdYI+M1XSiuR1gguQ0lRLklRVFIzMTQ4MjkyMzYuSVFfVFJfVEFSR0VUX1NUT0NLUFJFTUlVTV8xTQEAAAC06cMSAgAAAAAAYZa1SSuR1ggxh0pKK5HWCD1DSVEuTkFTREFRR006U1VSRi5JUV9SRVZFTlVFX0VTVC5DWTIwMTkuMS8zMS8yMDE5LkNPTi5GLlVTRC5IAQAAALQpxxACAAAABzkuNjY2NjcBDgAAAAUAAAACMTEBAAAAATACAAAACjEwMDQwOTAzNzkDAAAABjEwMDE4MAQAAAABMgYAAAABMAcAAAADMTYwCAAAAAEwCQAAAAExCgAAAAEwCwAAAAsxMTI2NTk4NzEyNwwAAAABNw0AAAAIMi8xLzIwMTkQAAAACTEvMzEvMjAxOR4tCD0rkdYI72dsSiuR1gggQ0lRLklRVFI1ODAyOTgwNDkuSVFfVFJfRUFSTk9VVFMBAAAAQaWWIgIAAAACMzUBBgAAAAUAAAACNTQBAAAABjEwMTQwMwIAAAAJNTgwMjk4MDQ5AwAAAAk1ODAzMDc2MzgEAAAAAzE2MAYAAAAFRmFsc2UuIbVJK5HWCOCbQEorkdYIJUNJUS5JUVRSNTU4MzA4NzI5LklRX1BSSU1BUllfSU5EVVNUUlkBAAAAomcfDwMAAAANQmlvdGVjaG5vbG9neQAd+rRJK5HWCEKuSkorkdYILENJUS5OQVNEQVFDTTpPTkNTLklRX0xBU1RTQUxFUFJJQ0UuOS8zMC8yMDE2AQAAAOPj2gICAAAABDEuNzEApxsHPSuR1gh6wmZKK5HWCCJDSVEuSVFUUjU5NzA3Nzc2NS5JUV9U</t>
  </si>
  <si>
    <t>Ul9UQVJHRVROQU1FAQAAAAWvliMDAAAAHUFkaGFlcmUgUGhhcm1hY2V1dGljYWxzLCBJbmMuAC4htUkrkdYIzFJHSiuR1ghEQ0lRLk5BU0RBUUdTOk5LLklRX1RPVEFMX1JFVl81WVJfQU5OX0NBR1IuMjAwMC4xLzMxLzIwMTkuTEZSLkYuVVNELkgBAAAADX2hDwMAAAAAANqQBz0rkdYIm1ppSiuR1ggsQ0lRLk5BU0RBUUdTOlRIT1IuSVFfTEFTVFNBTEVQUklDRS45LzMwLzIwMTYBAAAAuF+3DwMAAAAAAFpdtz0rkdYIG9JVSiuR1gguQ0lRLklRVFIyOTY2Mjg4MTcuSVFfVFJfVEFSR0VUX1NUT0NLUFJFTUlVTV8xVwEAAABRMq4RAgAAAAAAYZa1SSuR1ghjRk1KK5HWCBVDSVEuLklRX1RSX1RBUkdFVE5BTUUFAAAAAAAAAAgAAAAUKEludmFsaWQgSWRlbnRpZmllcilaXbc9K5HWCGpAPUorkdYIIUNJUS5OQVNEQVFHTTpTVVJGLklRX0NPTVBBTllfTkFNRQEAAAC0KccQAwAAABZTdXJmYWNlIE9uY29sb2d5LCBJbmMuAKcbBz0rkdYIvPJrSiuR1ggvQ0lRLklRVFI1MjkxOTE4ODAuSVFfVFJfSU1QTElFRF9FVl9GSU5BTC4uVVNELkgBAAAAyNOKHwIAAAAAAD9ItUkrkdYIIRZISiuR1gg8Q0lRLk5BU0RBUUdNOlNVUkYuSVFfRUJJVERBX0VTVC5DWTIwMTkuMS8zMS8yMDE5LkNPTi5GLlVTRC5IAQAAALQpxxACAAAABy03Ny45NTYBDgAAAAUAAAACMTEBAAAAATACAAAACjEwMDQwOTAzNzkDAAAABjEwMDE4</t>
  </si>
  <si>
    <t>NwQAAAABMgYAAAABMAcAAAADMTYwCAAAAAEwCQAAAAExCgAAAAEwCwAAAAsxMTI2NTk4NzE1MgwAAAABNw0AAAAIMi8xLzIwMTkQAAAACTEvMzEvMjAxOR4tCD0rkdYIIt1sSiuR1gg7Q0lRLk5BU0RBUUNNOlNUTUwuSVFfUFJFRl9FUVVJVFkuMjAwMC45LzMwLzIwMTYuTEZSLkYuVVNELkgBAAAAL6idAAMAAAAAAHyrtz0rkdYITNtaSiuR1ggiQ0lRLklRVFI0MDI0NjgzNDMuSVFfVFJfVEFSR0VUTkFNRQEAAAD3Lf0XAwAAABtQYW50aGVyIEJpb3RlY2hub2xvZ3ksIEluYy4AUG+1SSuR1gipTklKK5HWCDpDSVEuTkFTREFRR006WE9NQS5JUV9FQVJOSU5HX0NPLjE5OTYuMS8zMS8yMDE5LkxGUi5GLlVTRC5IAQAAAKGPAAACAAAABi0xLjU2NQEIAAAABQAAAAExAQAAAAoxOTE5OTI4MTIyAwAAAAMxNjACAAAAATcEAAAAATAHAAAACTEvMzEvMjAxOQgAAAAJOS8zMC8yMDE3CQAAAAEwuEIHPSuR1gg5SF9KK5HWCD1DSVEuTkFTREFRR006U1VSRi5JUV9SRVZFTlVFX0VTVC5DWTIwMjEuMS8zMS8yMDE5LkNPTi5GLlVTRC5IAQAAALQpxxACAAAABDE2LjUBDgAAAAUAAAACMTEBAAAAATACAAAACjEwMDQwOTAzODkDAAAABjEwMDE4MAQAAAABMgYAAAABMAcAAAADMTYwCAAAAAEwCQAAAAExCgAAAAEwCwAAAAsxMTIxNTg0NjI5MAwAAAABNw0AAAAIMi8xLzIwMTkQAAAACTEvMzEvMjAxOR4tCD0rkdYIAI9s</t>
  </si>
  <si>
    <t>SiuR1gg4Q0lRLk5BU0RBUUdNOkNSVlMuSVFfRUJJVERBLkNZMjAxOC4xLzMxLzIwMTkuTEZSLkYuVVNELkgBAAAA9LCmEAMAAAAAANqQBz0rkdYIAUVqSiuR1ggpQ0lRLklRMzYxODM4MTYuSVFfTEFTVFNBTEVQUklDRS4xLzMxLzIwMTkBAAAACB8oAgIAAAAEMi40MQAd+rRJK5HWCNpXTkorkdYIOUNJUS5OQVNEQVFDTTpTVE1MLklRX1RPVEFMX1JFVi4yMDAwLjEvMzEvMjAxOS5MRlIuRi5VU0QuSAEAAAAvqJ0AAgAAAAMwLjUBCAAAAAUAAAABMQEAAAAKMTkyMDQ0MDYyNQMAAAADMTYwAgAAAAIyOAQAAAABMAcAAAAJMS8zMS8yMDE5CAAAAAk5LzMwLzIwMTgJAAAAATB8q7c9K5HWCKJUWUorkdYIJUNJUS5JUVRSMzg0MDI4NDk2LklRX1RSX01BSl9NSU5fU1RBS0UBAAAAUM/jFgMAAAAITWFqb3JpdHkAUG+1SSuR1girukRKK5HWCCVDSVEuTkFTREFRR006RkFURS5JUV9GSVJTVFBSSUNJTkdEQVRFAQAAAGgxVwIFAAAACTEwLzEvMjAxMwBaXbc9K5HWCD+MUUorkdYII0NJUS5JUVRSNTYzOTE5MDQ5LklRX1RSX0NMT1NFRF9EQVRFAQAAAMm4nCEFAAAACTYvMjEvMjAxOAAuIbVJK5HWCBMRQUorkdYIPUNJUS5OQVNEQVFHUzpOS1RSLklRX1JFVkVOVUVfRVNULkNZMjAyMC4xLzMxLzIwMTkuQ09OLkYuVVNELkgBAAAA6XQAAAIAAAAHMjQ1LjI5OQEOAAAABQAAAAIxMQEAAAABMAIAAAAKMTAwMDExMTk2</t>
  </si>
  <si>
    <t>MQMAAAAGMTAwMTgwBAAAAAEyBgAAAAEwBwAAAAMxNjAIAAAAATAJAAAAATEKAAAAATALAAAACzExMjEwNTkwNTk3DAAAAAE3DQAAAAgyLzEvMjAxORAAAAAJMS8zMS8yMDE5jdK3PSuR1ghAQk9KK5HWCClDSVEuSVFUUjU0NzgyOTk0OS5JUV9UUl9JTVBMSUVEX0VRX05JX0xUTQEAAAC9OKcgAgAAAAAAUG+1SSuR1giJbERKK5HWCClDSVEuTkFTREFRR006RkFURS5JUV9CVVNJTkVTU19ERVNDUklQVElPTgEAAABoMVcCAwAAAKwORmF0ZSBUaGVyYXBldXRpY3MsIEluYy4sIGEgY2xpbmljYWwtc3RhZ2UgYmlvcGhhcm1hY2V1dGljYWwgY29tcGFueSwgZGV2ZWxvcHMgcHJvZ3JhbW1lZCBjZWxsdWxhciBpbW11bm90aGVyYXBpZXMgZm9yIGNhbmNlciBhbmQgaW1tdW5lIGRpc29yZGVycyB3b3JsZHdpZGUuIEl0cyBpbW11bm8tb25jb2xvZ3kgcHJvZHVjdCBjYW5kaWRhdGVzIGluY2x1ZGUgRkFURS1OSzEwMCwgYSBuYXR1cmFsIGtpbGxlciAoTkspIGNlbGwgY2FuY2VyIGltbXVub3RoZXJhcHkgdGhhdCBjb25zaXN0cyBvZiBhZGFwdGl2ZSBtZW1vcnkgTksgY2VsbHM7IEZUNTAwIGluZHVjZWQgcGx1cmlwb3RlbnQgc3RlbSBjZWxscyAoaVBTQyktZGVyaXZlZCBOSyBjZWxsIHByb2R1Y3QgY2FuZGlkYXRlIGZvciB0aGUgdHJlYXRtZW50IG9mIGFkdmFuY2VkIHNvbGlkIHR1bW9yczsgRlQ1MTYgZW5n</t>
  </si>
  <si>
    <t>aW5lZXJlZCBpUFNDLWRlcml2ZWQgTksgY2VsbCBwcm9kdWN0IGNhbmRpZGF0ZSBmb3IgdGhlIHRyZWF0bWVudCBvZiBoZW1hdG9sb2dpYy9zb2xpZCB0dW1vcnM7IGFuZCBGVDgxOSBlbmdpbmVlcmVkIGNoaW1lcmljIGFudGlnZW4gcmVjZXB0b3IgMTkgaVBTQy1kZXJpdmVkIFQtY2VsbCBwcm9kdWN0IGNhbmRpZGF0ZSBmb3IgaGVtYXRvbG9naWMvc29saWQgdHVtb3JzLiBUaGUgY29tcGFueeKAmXMgaW1tdW5vLXJlZ3VsYXRpb24gcHJvZHVjdCBjYW5kaWRhdGVzIGNvbXByaXNlIFByb1RtdW5lLCBhbiBpbnZlc3RpZ2F0aW9uYWwgcHJvZ3JhbW1lZCBjZWxsdWxhciBpbW11bm90aGVyYXB5IGZvciB1c2UgYXMgYSBuZXh0LWdlbmVyYXRpb24gYWxsb2dlbmVpYyBoZW1hdG9wb2lldGljIGNlbGwgdHJhbnNwbGFudGF0aW9uIGNlbGwgZ3JhZnQ7IFRvbGVyYUN5dGUgZm9yIHRoZSB0cmVhdG1lbnQgb2YgYXV0b2ltbXVuZSBhbmQgaW5mbGFtbWF0b3J5IGRpc2Vhc2VzOyBhbmQgRlQzMDAgaVBTQy1kZXJpdmVkIG15ZWxvaWQgZGVyaXZlZCBzdXBwcmVzc29yIGNlbGwgcHJvZHVjdCBjYW5kaWRhdGUgZm9yIHRoZSB0cmVhdG1lbnQgb2YgYXV0b2ltbXVuZSBkaXNlYXNlcy4gRmF0ZSBUaGVyYXBldXRpY3MsIEluYy4gaGFzIGEgcmVzZWFyY2ggY29sbGFib3JhdGlvbiBhbmQgbGljZW5zZSBhZ3JlZW1l</t>
  </si>
  <si>
    <t>bnQgd2l0aCBNZW1vcmlhbCBTbG9hbiBLZXR0ZXJpbmcgQ2FuY2VyIENlbnRlciB0byBkZXZlbG9wIG9mZi10aGUtc2hlbGYgZW5naW5lZXJlZCBULWNlbGwgcHJvZHVjdCBjYW5kaWRhdGVzOyBhIHJlc2VhcmNoIGNvbGxhYm9yYXRpb24gcGFydG5lcnNoaXAgd2l0aCB0aGUgVW5pdmVyc2l0eSBvZiBDYWxpZm9ybmlhIFNhbiBEaWVnbyB0byBkZXZlbG9wIG9mZi10aGUtc2hlbGYgY2hpbWVyaWMgYW50aWdlbiByZWNlcHRvci10YXJnZXRlZCBuYXR1cmFsIGtpbGxlciBjZWxsIGNhbmNlciBpbW11bm90aGVyYXBpZXMuIEl0IGFsc28gaGFzIGEgc3RyYXRlZ2ljIHJlc2VhcmNoIGNvbGxhYm9yYXRpb24gYW5kIGxpY2Vuc2UgYWdyZWVtZW50IHdpdGggSnVubyBUaGVyYXBldXRpY3MsIEluYy4gdG8gaWRlbnRpZnkgc21hbGwgbW9sZWN1bGUgbW9kdWxhdG9ycyB0aGF0IGVuaGFuY2UgdGhlIGZ1bmN0aW9uIG9mIFQgY2VsbHM7IGFuZCBhIGNvbGxhYm9yYXRpb24gYWdyZWVtZW50IHdpdGggT05PIFBoYXJtYWNldXRpY2FsIENvLiwgTHRkLiBmb3IgdGhlIGRldmVsb3BtZW50IGFuZCBjb21tZXJjaWFsaXphdGlvbiBvZiB0d28gb2ZmLXRoZS1zaGVsZiBDQVItVCBjZWxsIHByb2R1Y3QgY2FuZGlkYXRlcy4gRmF0ZSBUaGVyYXBldXRpY3MsIEluYy4gd2FzIGZvdW5kZWQgaW4gMjAwNyBhbmQgaXMgaGVh</t>
  </si>
  <si>
    <t>ZHF1YXJ0ZXJlZCBpbiBTYW4gRGllZ28sIENhbGlmb3JuaWEuAFpdtz0rkdYI2OtSSiuR1gggQ0lRLklRVFI1MjkxOTE4ODAuSVFfVFJfRUFSTk9VVFMBAAAAyNOKHwIAAAAAAD9ItUkrkdYIMj1ISiuR1gg8Q0lRLk5BU0RBUUdTOk5LVFIuSVFfVE9UQUxfRVFVSVRZLjE5OTIuMS8zMS8yMDE5LkxGUi5GLlVTRC5IAQAAAOl0AAACAAAABy02Ny44NTMBCAAAAAUAAAABMQEAAAAKMTg2NDcwMDkyNwMAAAADMTYwAgAAAAQxMjc1BAAAAAEwBwAAAAkxLzMxLzIwMTkIAAAACTkvMzAvMjAxNgkAAAABMGuEtz0rkdYI2aFQSiuR1gg7Q0lRLk5BU0RBUUdNOkNSVlMuSVFfVE9UQUxfUkVWLkNZMjAxOC4xLzMxLzIwMTkuTEZSLkYuVVNELkgBAAAA9LCmEAMAAAAAANqQBz0rkdYI3/ZpSiuR1ghBQ0lRLihJTlZBTElEIElERU5USUZJRVIpLklRX0VBUk5JTkdfQ08uMjAwMC4xLzMxLzIwMTkuTEZSLkYuVVNELkgFAAAAAAAAAAgAAAAUKEludmFsaWQgSWRlbnRpZmllcikNBgg9K5HWCK4Ps0orkdYIPENJUS5OQVNEQVFHTTpYT01BLklRX0VCSVREQV9FU1QuQ1kyMDE5LjEvMzEvMjAxOS5DT04uRi5VU0QuSAEAAAChjwAAAgAAAAQtNy4xAQ4AAAAFAAAAAjExAQAAAAEwAgAAAAoxMDAxNTM1ODgxAwAAAAYxMDAxODcEAAAAATIGAAAAATAHAAAAAzE2MAgAAAABMAkAAAABMQoAAAABMAsAAAALMTEyNDYzMzY5MTUMAAAA</t>
  </si>
  <si>
    <t>ATcNAAAACDIvMS8yMDE5EAAAAAkxLzMxLzIwMTkNBgg9K5HWCNNdXkorkdYIK0NJUS5JUVRSMzg0MDI4NDk2LklRX1RSX1RPVEFMX0dST1NTX1RWLi5VU0QBAAAAUM/jFgIAAAAJNTUwLjkzOTQxAQYAAAAFAAAAAjU0AQAAAAYxMDIwODgCAAAACTM4NDAyODQ5NgMAAAAJNDA3Mjc1Nzc2BAAAAAMxNjAGAAAABUZhbHNlUG+1SSuR1gi84URKK5HWCD5DSVEuTkFTREFRR006U1VSRi5JUV9DQVNIX1NUX0lOVkVTVC4yMDAwLjkvMzAvMjAxNi5MRlIuRi5VU0QuSAEAAAC0KccQAwAAAAAA2pAHPSuR1giqFW5KK5HWCD5DSVEuTkFTREFRQ006WklPUC5JUV9UT1RBTF9FUVVJVFkuQ1kyMDE4LjEvMzEvMjAxOS5MRlIuRi5VU0QuSAEAAACzUbIAAwAAAAAAfKu3PSuR1ggrQ1hKK5HWCDxDSVEuTkFTREFRR006WE9NQS5JUV9HUk9TU19NQVJHSU4uMjAwMC4xLzMxLzIwMTkuTEZSLkYuVVNELkgBAAAAoY8AAAIAAAAHNzYuNTM1NQEIAAAABQAAAAExAQAAAAoxOTE5OTI4MTI0AwAAAAMxNjACAAAABDQwNzQEAAAAATAHAAAACTEvMzEvMjAxOQgAAAAJOS8zMC8yMDE4CQAAAAEwuEIHPSuR1gj1q15KK5HWCCFDSVEuSVFUUjU1ODMwODcyOS5JUV9UUl9CVVlFUk5BTUUBAAAAeR1HIQMAAAASRmVycmluZyBIb2xkaW5nIFNBAD9ItUkrkdYIQq5KSiuR1gg1Q0lRLk5BU0RBUUdTOlRIT1IuSVFfQ0FQRVguMTk5Mi4xLzMx</t>
  </si>
  <si>
    <t>LzIwMTkuTEZSLkYuVVNELkgBAAAAuF+3DwMAAAAAAGuEtz0rkdYI6FxVSiuR1ggrQ0lRLklRVFI1NDc4Mjk5NDkuSVFfVFJfVE9UQUxfR1JPU1NfVFYuLlVTRAEAAAC9OKcgAgAAAAAAUG+1SSuR1gh4RURKK5HWCCJDSVEuMC5JUV9UUl9UQVJHRVRfU1RPQ0tQUkVNSVVNXzFXBQAAAAAAAAAIAAAAGChJbnZhbGlkIFRyYW5zYWN0aW9uIElkKR36tEkrkdYIuAlOSiuR1ghHQ0lRLk5BU0RBUUdTOk5LVFIuSVFfTUlOT1JJVFlfSU5URVJFU1RfVE9UQUwuMjAwMC4xLzMxLzIwMTkuTEZSLkYuVVNELkgBAAAA6XQAAAMAAAAAAGuEtz0rkdYILxtPSiuR1ggtQ0lRLk5BU0RBUUNNOkNVRS5JUV9NQVJLRVRDQVAuMS8zMS8yMDE5LlVTRC5IAQAAAKZm6BgCAAAACjEwNS43NjM5ODUBBgAAAAUAAAABMQEAAAAKMTkyMTk0MDU4MAMAAAADMTYwAgAAAAYxMDAwNTQEAAAAATAHAAAACTEvMzEvMjAxOacbBz0rkdYIwMpiSiuR1ghGQ0lRLk5BU0RBUUNNOlpJT1AuSVFfVE9UQUxfUkVWXzVZUl9BTk5fQ0FHUi4yMDAwLjEvMzEvMjAxOS5MRlIuRi5VU0QuSAEAAACzUbIAAgAAAAcxNi44NTM0AQgAAAAFAAAAATEBAAAACjE5MjA1Mzc3MDkDAAAAAzE2MAIAAAAENDIzMwQAAAABMAcAAAAJMS8zMS8yMDE5CAAAAAk5LzMwLzIwMTgJAAAAATB8q7c9K5HWCF64WEorkdYIHUNJUS5OQVNEQVFHTTpTVVJGLklRX0VYQ0hBTkdF</t>
  </si>
  <si>
    <t>AQAAALQpxxADAAAACE5hc2RhcUdNAKcbBz0rkdYIvPJrSiuR1ggpQ0lRLklRVFIzMjY5OTU0MDguSVFfQlVTSU5FU1NfREVTQ1JJUFRJT04BAAAAlsesAAMAAADVBkFsYmEgVGhlcmFwZXV0aWNzIENvcnBvcmF0aW9uIGlzIGEgY2xpbmljYWwtc3RhZ2UgYmlvcGhhcm1hY2V1dGljYWwgY29tcGFueSBpbiBNYXJ5bGFuZC4gVGhlIGNvbXBhbnkgZm9jdXNlcyBvbiB0aGUgZGlzY292ZXJ5LCBkZXZlbG9wbWVudCwgYW5kIGNvbW1lcmNpYWxpemF0aW9uIG9mIHBoYXJtYWNldXRpY2FsIHByb2R1Y3RzIGZvciB0aGUgdHJlYXRtZW50IG9mIGF1dG9pbW11bmUgYW5kIGluZmxhbW1hdG9yeSBkaXNlYXNlcy4gSXQgb2ZmZXJzIGEgdGVjaG5vbG9neSBwbGF0Zm9ybSBiYXNlZCBvbiBtb2RpZnlpbmcgZGlzZWFzZSBzdGF0ZSBlcGl0aGVsaWFsIHBlcm1lYWJpbGl0eSB1c2luZyBjb21wb3VuZHMgd2hpY2ggaW1wYWN0IHRoZSByZWd1bGF0aW9uIG9mIHRpZ2h0IGp1bmN0aW9ucyBpbiBjZWxsIGJhcnJpZXJzIHRocm91Z2hvdXQgdGhlIGJvZHkgd2l0aCBhcHBsaWNhdGlvbnMgaW4gY2VsaWFjIGRpc2Vhc2UsIGFzdGhtYS9DT1BELCBhbmQgYWN1dGUgbHVuZyBpbmp1cnkuIFRoZSBjb21wYW55IGFsc28gZm9jdXNlcyBvbiBwcm92aWRpbmcgc29sdXRpb25zIGZvciB2YXJpb3VzIHRoZXJhcGV1dGljIGFyZWFz</t>
  </si>
  <si>
    <t>IHRoYXQgaW5jbHVkZSBpbW11bmUtYmFzZWQgZGlzb3JkZXJzLCBhcyB3ZWxsIGFzIGdhc3Ryb2ludGVzdGluYWwsIG1ldGFib2xpYywgcHVsbW9uYXJ5LCByZW5hbCwgYW5kIG90aGVyIGRpc2Vhc2Ugc3RhdGVzLiBBbGJhIFRoZXJhcGV1dGljcyBDb3Jwb3JhdGlvbiBoYXMgYSBzdHJhdGVnaWMgcGFydG5lcnNoaXAgd2l0aCBQZXB0aXN5bnRoYS4gVGhlIGNvbXBhbnkgd2FzIGZvdW5kZWQgaW4gMjAwNCBhbmQgaXMgYmFzZWQgaW4gQmFsdGltb3JlLCBNYXJ5bGFuZC4ALiG1SSuR1ggz80VKK5HWCDxDSVEuTkFTREFRR006RkFURS5JUV9UT1RBTF9FUVVJVFkuMjAwMC4xLzMxLzIwMTkuTEZSLkYuVVNELkgBAAAAaDFXAgIAAAAHMTczLjkyOQEIAAAABQAAAAExAQAAAAoxOTE3NzMxOTI5AwAAAAMxNjACAAAABDEyNzUEAAAAATAHAAAACTEvMzEvMjAxOQgAAAAJOS8zMC8yMDE4CQAAAAEwa4S3PSuR1gj6OVNKK5HWCDZDSVEuTkFTREFRQ006T05DUy5JUV9FQklUREEuMTk5Mi4xLzMxLzIwMTkuTEZSLkYuVVNELkgBAAAA4+PaAgIAAAAKLTI1LjExMzkwMwEIAAAABQAAAAExAQAAAAoxODY5MjExOTEzAwAAAAMxNjACAAAABDQwNTEEAAAAATAHAAAACTEvMzEvMjAxOQgAAAAKMTAvMzEvMjAxNgkAAAABMMlpBz0rkdYI8ollSiuR1ghDQ0lRLihJTlZBTElEIElERU5USUZJRVIpLklRX0dST1NTX01BUkdJ</t>
  </si>
  <si>
    <t>Ti4yMDAwLjEvMzEvMjAxOS5MRlIuRi5VU0QuSAUAAAAAAAAACAAAABQoSW52YWxpZCBJZGVudGlmaWVyKfzeBz0rkdYIanOySiuR1gggQ0lRLklRVFIzMjg5Nzg1MTkuSVFfVFJfRUFSTk9VVFMBAAAAV9CbEwIAAAAAAFBvtUkrkdYI/VtMSiuR1gg/Q0lRLk5BU0RBUUNNOlRHVFguSVFfTkVUX1dPUktJTkdfQ0FQLjE5OTYuMS8zMS8yMDE5LkxGUi5GLlVTRC5IAQAAAFqUjwgCAAAACi0xMy43ODgzMjkBCAAAAAUAAAABMQEAAAAKMTkyMTE3ODgyMwMAAAADMTYwAgAAAAQxMzExBAAAAAEwBwAAAAkxLzMxLzIwMTkIAAAACTkvMzAvMjAxNwkAAAABMI3Stz0rkdYI9mFcSiuR1ghNQ0lRLihJTlZBTElEIElERU5USUZJRVIpLklRX1RPVEFMX1JFVl8yWVJfQU5OX0NBR1IuMjAwMC4xLzMxLzIwMTkuTEZSLkYuVVNELkgFAAAAAAAAAAgAAAAUKEludmFsaWQgSWRlbnRpZmllcikNBgg9K5HWCOGEs0orkdYILkNJUS5JUVRSNTQ3ODI5OTQ5LklRX1RSX1RBUkdFVF9TVE9DS1BSRU1JVU1fMU0BAAAAvTinIAIAAAAAAFBvtUkrkdYImpNESiuR1gggQ0lRLklRMzkyNjg3MTIuSVFfQ09NUEFOWV9USUNLRVIBAAAAaDFXAgMAAAANTmFzZGFxR006RkFURQAuIbVJK5HWCC5lUUorkdYIKENJUS5JUTI2Njg2NDIuSVFfTEFTVFNBTEVQUklDRS4xLzMxLzIwMTkBAAAAYrgoAAIAAAAENS4wMQAd+rRJK5HWCPylTkorkdYI</t>
  </si>
  <si>
    <t>PUNJUS5OQVNEQVFHUzpUSE9SLklRX0VCSVREQV9NQVJHSU4uMjAwMC4xLzMxLzIwMTkuTEZSLkYuVVNELkgBAAAAuF+3DwMAAAAAAGuEtz0rkdYIxg5VSiuR1gg9Q0lRLk5BU0RBUUdTOk5LVFIuSVFfUkVWRU5VRV9FU1QuQ1kyMDIxLjEvMzEvMjAxOS5DT04uRi5VU0QuSAEAAADpdAAAAgAAAAg0OTIuNjMyNgEOAAAABQAAAAIxMQEAAAABMAIAAAAKMTAwMDk3MjkxMAMAAAAGMTAwMTgwBAAAAAEyBgAAAAEwBwAAAAMxNjAIAAAAATAJAAAAATEKAAAAATALAAAACzExMTc0MDI4MjE4DAAAAAE3DQAAAAgyLzEvMjAxORAAAAAJMS8zMS8yMDE5jdK3PSuR1ghRaU9KK5HWCDdDSVEuTkFTREFRR1M6TktUUi5JUV9QRVJJT0REQVRFX0lTLjIwMDAuMS8zMS8yMDE5LkxGUi5GAQAAAOl0AAAFAAAACTkvMzAvMjAxOABrhLc9K5HWCA3NTkorkdYII0NJUS5JUVRSMzI2OTk1NDA4LklRX1RSX1RPVEFMX1NUT0NLAQAAANCNfRMCAAAAAABQb7VJK5HWCAB+RUorkdYIMENJUS5OQVNEQVFDTTpPTkNTLklRX0xBU1RTQUxFUFJJQ0UuMS8zMS8yMDE5LlVTRAEAAADj49oCAgAAAAQwLjg4AKcbBz0rkdYIvxRlSiuR1ggiQ0lRLklRVFIzMjg5Nzg1MTkuSVFfVFJfUENUX1NPVUdIVAEAAABX0JsTAgAAAAMxMDABBgAAAAUAAAACNTQBAAAABjEwMTAyNAIAAAAJMzI4OTc4NTE5AwAAAAkzMjg5Nzg2NTgEAAAAAzE2MAYAAAAE</t>
  </si>
  <si>
    <t>VHJ1ZVBvtUkrkdYI7DRMSiuR1ggrQ0lRLklRVFI1ODAyOTgwNDkuSVFfVFJfSU1QTElFRF9FVl9FQklUX0ZXRAEAAABBpZYiAgAAAAAALiG1SSuR1ggC6kBKK5HWCDtDSVEuTkFTREFRQ006Q1VFLklRX1RPVEFMX0VRVUlUWS4yMDAwLjEvMzEvMjAxOS5MRlIuRi5VU0QuSAEAAACmZugYAgAAAAYzOS40MDQBCAAAAAUAAAABMQEAAAAKMTkyMTk0MDkwMAMAAAADMTYwAgAAAAQxMjc1BAAAAAEwBwAAAAkxLzMxLzIwMTkIAAAACTkvMzAvMjAxOAkAAAABMMlpBz0rkdYIWSpkSiuR1gguQ0lRLklRVFI0MTk4NjQzMDEuSVFfVFJfVEFSR0VUX1NUT0NLUFJFTUlVTV8xVwEAAADtngYZAgAAAAcxMS4zNjM2AQYAAAAFAAAAAjU0AQAAAAYxMDEwNTQCAAAACTQxOTg2NDMwMQMAAAAJNDE5ODY1MzI3BAAAAAMxNjAGAAAABUZhbHNlP0i1SSuR1ghF0ENKK5HWCEVDSVEuKElOVkFMSUQgSURFTlRJRklFUikuSVFfQ0FTSF9TVF9JTlZFU1QuMjAwMC45LzMwLzIwMTYuTEZSLkYuVVNELkgFAAAAAAAAAAgAAAAUKEludmFsaWQgSWRlbnRpZmllcikNBgg9K5HWCNBds0orkdYIOUNJUS5OQVNEQVFHUzpOSy5JUV9QUkVGX0VRVUlUWS4yMDAwLjkvMzAvMjAxNi5MRlIuRi5VU0QuSAEAAAANfaEPAwAAAAAAyWkHPSuR1gh5DGlKK5HWCD1DSVEuTkFTREFRR006U1VSRi5JUV9SRVZFTlVFX0VTVC5DWTIwMjIuMS8zMS8yMDE5</t>
  </si>
  <si>
    <t>LkNPTi5GLlVTRC5IAQAAALQpxxACAAAAAjE1AQ4AAAAFAAAAAjExAQAAAAEwAgAAAAoxMDA0MDkwMzk0AwAAAAYxMDAxODAEAAAAATIGAAAAATAHAAAAAzE2MAgAAAABMAkAAAABMQoAAAABMAsAAAALMTEyMTU3MzY4MjcMAAAAATcNAAAACDIvMS8yMDE5EAAAAAkxLzMxLzIwMTkeLQg9K5HWCBG2bEorkdYIIkNJUS5JUVRSNTYzOTE5MDQ5LklRX1RSX1BDVF9TT1VHSFQBAAAAybicIQIAAAADMTAwAQYAAAAFAAAAAjU0AQAAAAYxMDEwMjQCAAAACTU2MzkxOTA0OQMAAAAJNTYzOTQwMDQyBAAAAAMxNjAGAAAABFRydWU/SLVJK5HWCBMRQUorkdYIJ0NJUS5OQVNEQVFDTTpaSU9QLklRX0JFVEFfNVlSLjEvMzEvMjAxOQEAAACzUbIAAgAAABAyLjQxNzkwNTYzNDc1MDkzAJ75tz0rkdYICfVXSiuR1ggiQ0lRLklRVFI0MDI0NjgzNDMuSVFfVFJfUENUX1NPVUdIVAEAAAD3Lf0XAgAAAAMxMDABBgAAAAUAAAACNTQBAAAABjEwMTAyNAIAAAAJNDAyNDY4MzQzAwAAAAk0MDI0Njk1ODUEAAAAAzE2MAYAAAAEVHJ1ZVBvtUkrkdYIunVJSiuR1ggrQ0lRLklRVFI1MjkxOTE4ODAuSVFfVFJfVE9UQUxfR1JPU1NfVFYuLlVTRAEAAADI04ofAgAAAAAAP0i1SSuR1ghDZEhKK5HWCClDSVEuSVFUUjI5NjYyODgxNy5JUV9CVVNJTkVTU19ERVNDUklQVElPTgEAAAAwAxUPAwAAAIsLQWJlb25hIFRoZXJhcGV1dGljcyBM</t>
  </si>
  <si>
    <t>TEMsIGEgYmlvcGhhcm1hY2V1dGljYWwgY29tcGFueSwgZm9jdXNlcyBvbiBkZXZlbG9waW5nIGFuZCBkZWxpdmVyaW5nIGdlbmUgdGhlcmFweSBhbmQgcGxhc21hLWJhc2VkIHByb2R1Y3RzIGZvciBzZXZlcmUgYW5kIGxpZmUtdGhyZWF0ZW5pbmcgcmFyZSBkaXNlYXNlcy4gSXQgZW5nYWdlcyBpbiBkZXZlbG9waW5nIGFkZW5vLWFzc29jaWF0ZWQgdmlyYWwgKEFBViktYmFzZWQgZ2VuZSB0aGVyYXBpZXMgZm9yIE1QUyBJSUkgKFNhbmZpbGlwcG8gc3luZHJvbWUpLCB3aGljaCBpbnZvbHZlcyBhIG9uZS10aW1lIGRlbGl2ZXJ5IG9mIGEgbm9ybWFsIGNvcHkgb2YgdGhlIGRlZmVjdGl2ZSBnZW5lIHRvIGNlbGxzIG9mIHRoZSBjZW50cmFsIG5lcnZvdXMgc3lzdGVtIHRvIHJldmVyc2UgdGhlIGVmZmVjdHMgb2YgdGhlIGdlbmV0aWMgZXJyb3JzIHRoYXQgY2F1c2UgdGhlIGRpc2Vhc2UuIFRoZSBjb21wYW55IG9mZmVycyBBQk8tMTAxIGFuZCBBQk8tMTAyLCB3aGljaCBpbmR1Y2UgY2VsbHMgaW4gdGhlIGNlbnRyYWwgbmVydm91cyBzeXN0ZW0gYW5kIHBlcmlwaGVyYWwgb3JnYW5zIHRvIHByb2R1Y2UgdGhlIG1pc3NpbmcgZW56eW1lcyBhbmQgaGVscCByZXBhaXIgZGFtYWdlIGNhdXNlZCB0byB0aGUgY2VsbHM7IEFCTy0yMDEgZm9yIEp1dmVuaWxlIEJhdHRlbiBEaXNlYXNlIChKQkQpOyBhbmQg</t>
  </si>
  <si>
    <t>QUJPLTMwMSAoQUFWIExLMTkgRkFOQ0MpLCBhbiBBQVYtYmFzZWQgZ2VuZSB0aGVyYXB5IGZvciB0aGUgZGVsaXZlcnkgb2YgYSBub3JtYWwgY29weSBvZiB0aGUgZGVmZWN0aXZlIGdlbmUgdG8gY2VsbHMgb2YgdGhlIGhlbWF0b3BvaWV0aWMgb3IgYmxvb2Qgc3lzdGVtIHRvIHJldmVyc2UgdGhlIGVmZmVjdHMgb2YgdGhlIGdlbmV0aWMgZXJyb3JzIHRoYXQgY2F1c2UgRmFuY29uaSBhbmVtaWEuIEl0IGFsc28gcHJvdmlkZXMgU2FsdCBEaWFmaWx0cmF0aW9uIFByb2Nlc3MgKFNERikgdGhhdCBmb2N1c2VzIG9uIHRoZSBldGhhbm9sLWZyZWUgZXh0cmFjdGlvbiBvZiB0aGVyYXBldXRpYyBiaW9sb2dpY3MgZnJvbSBodW1hbiBwbGFzbWEsIGluY2x1ZGluZyBQVEItMTAxIFNERiBBbHBoYSAoYWxwaGExLXByb3RlaW5hc2UgaW5oaWJpdG9yKSBmb3IgY2hyb25pYyBhdWdtZW50YXRpb24gYW5kIG1haW50ZW5hbmNlIHRoZXJhcHkgaW4gYWR1bHRzOyBhbmQgUFRCLTIwMSBTREYgSVZJRyBmb3IgYXV0b2ltbXVuZSwgaW5mZWN0aW91cywgYW5kIGlkaW9wYXRoaWMgZGlzZWFzZXMuIFRoZSBjb21wYW55IHdhcyBmb3VuZGVkIGluIDIwMTMgYW5kIGlzIGJhc2VkIGluIENsZXZlbGFuZCwgT2hpby4gQXMgb2YgTWF5IDE1LCAyMDE1LCBBYmVvbmEgVGhlcmFwZXV0aWNzIExMQyBvcGVyYXRlcyBhcyBhIHN1</t>
  </si>
  <si>
    <t>YnNpZGlhcnkgb2YgQWJlb25hIFRoZXJhcGV1dGljcyBJbmMuAC4htUkrkdYIdG1NSiuR1gg2Q0lRLk5BU0RBUUdTOlRIT1IuSVFfRUJJVERBLjE5OTYuMS8zMS8yMDE5LkxGUi5GLlVTRC5IAQAAALhftw8CAAAABi0zLjA5NgEIAAAABQAAAAExAQAAAAoxOTIyNTk0MDE3AwAAAAMxNjACAAAABDQwNTEEAAAAATAHAAAACTEvMzEvMjAxOQgAAAAKMTIvMzEvMjAxNgkAAAABMGuEtz0rkdYIk5lUSiuR1ggjQ0lRLklRVFIyOTY2Mjg4MTcuSVFfVFJfQ0xPU0VEX0RBVEUBAAAAUTKuEQUAAAAJNS8xNS8yMDE1AGGWtUkrkdYIH6pMSiuR1gg8Q0lRLk5BU0RBUUdNOkZBVEUuSVFfVE9UQUxfRVFVSVRZLjE5OTYuMS8zMS8yMDE5LkxGUi5GLlVTRC5IAQAAAGgxVwICAAAABjQ1Ljc0OQEIAAAABQAAAAExAQAAAAoxOTE3NzMxODk5AwAAAAMxNjACAAAABDEyNzUEAAAAATAHAAAACTEvMzEvMjAxOQgAAAAJOS8zMC8yMDE3CQAAAAEwa4S3PSuR1gjpElNKK5HWCENDSVEuTkFTREFRR1M6RlBSWC5JUV9FQklUREFfM1lSX0FOTl9DQUdSLjIwMDAuMS8zMS8yMDE5LkxGUi5GLlVTRC5IAQAAADddMwADAAAAAk5NAQgAAAAFAAAAATEBAAAACjE5MTk3OTUxNzIDAAAAAzE2MAIAAAAENDIyMgQAAAABMAcAAAAJMS8zMS8yMDE5CAAAAAk5LzMwLzIwMTgJAAAAATC4Qgc9K5HWCJ58YkorkdYIOUNJUS5OQVNEQVFHUzpGUFJY</t>
  </si>
  <si>
    <t>LklRX1RPVEFMX1JFVi4xOTkyLjEvMzEvMjAxOS5MRlIuRi5VU0QuSAEAAAA3XTMAAgAAAAYzODUuNzcBCAAAAAUAAAABMQEAAAAKMTg2NDI5NDI3NQMAAAADMTYwAgAAAAIyOAQAAAABMAcAAAAJMS8zMS8yMDE5CAAAAAk5LzMwLzIwMTYJAAAAATC4Qgc9K5HWCLBZYEorkdYIPENJUS4oSU5WQUxJRCBJREVOVElGSUVSKS5JUV9DQVBFWC4xOTk2LjEvMzEvMjAxOS5MRlIuRi5VU0QuSAUAAAAAAAAACAAAABQoSW52YWxpZCBJZGVudGlmaWVyKQ0GCD0rkdYIjMGySiuR1ggjQ0lRLklRVFI0MDI0NjgzNDMuSVFfVFJfQ0xPU0VEX0RBVEUBAAAA9y39FwUAAAAJMTEvOC8yMDE2AFBvtUkrkdYIqU5JSiuR1ghAQ0lRLihJTlZBTElEIElERU5USUZJRVIpLklRX1RPVEFMX1JFVi4xOTkyLjEvMzEvMjAxOS5MRlIuRi5VU0QuSAUAAAAAAAAACAAAABQoSW52YWxpZCBJZGVudGlmaWVyKQ0GCD0rkdYIFbCxSiuR1ggpQ0lRLklRVFI1MjkxOTE4ODAuSVFfVFJfSU1QTElFRF9FUV9OSV9MVE0BAAAAyNOKHwIAAAAAAD9ItUkrkdYIQ2RISiuR1gg9Q0lRLk5BU0RBUUdNOkNSVlMuSVFfUkVWRU5VRV9FU1QuQ1kyMDE5LjEvMzEvMjAxOS5DT04uRi5VU0QuSAEAAAD0sKYQAgAAAAEwAQ4AAAAFAAAAAjExAQAAAAEwAgAAAAoxMDAzMzcwMzU2AwAAAAYxMDAxODAEAAAAATIGAAAAATAHAAAAAzE2MAgAAAABMAkAAAABMQoA</t>
  </si>
  <si>
    <t>AAABMAsAAAALMTEyNTkxOTMxNTUMAAAAATcNAAAACDIvMS8yMDE5EAAAAAkxLzMxLzIwMTkNBgg9K5HWCN/2aUorkdYIOkNJUS5OQVNEQVFHUzpOSy5JUV9UT1RBTF9FUVVJVFkuMjAwMC4xLzMxLzIwMTkuTEZSLkYuVVNELkgBAAAADX2hDwIAAAAHMTYyLjA4NgEIAAAABQAAAAExAQAAAAoxOTE5OTY2NTAzAwAAAAMxNjACAAAABDEyNzUEAAAAATAHAAAACTEvMzEvMjAxOQgAAAAJOS8zMC8yMDE4CQAAAAEwyWkHPSuR1gho5WhKK5HWCDZDSVEuTkFTREFRQ006VEdUWC5JUV9FQklUREEuMTk5Ni4xLzMxLzIwMTkuTEZSLkYuVVNELkgBAAAAWpSPCAIAAAALLTExMS42MjI1NjIBCAAAAAUAAAABMQEAAAAKMTkyMTE3ODgyMwMAAAADMTYwAgAAAAQ0MDUxBAAAAAEwBwAAAAkxLzMxLzIwMTkIAAAACTkvMzAvMjAxNwkAAAABMI3Stz0rkdYIw+xbSiuR1ghEQ0lRLihJTlZBTElEIElERU5USUZJRVIpLklRX1JFVkVOVUVfRVNULkNZMjAyMS4xLzMxLzIwMTkuQ09OLkYuVVNELkgFAAAAAAAAAAgAAAAUKEludmFsaWQgSWRlbnRpZmllcikeLQg9K5HWCDf+sUorkdYIPkNJUS5OQVNEQVFDTTpTVE1MLklRX1RPVEFMX0VRVUlUWS5DWTIwMTcuMS8zMS8yMDE5LkxGUi5GLlVTRC5IAQAAAC+onQACAAAACTQ3LjA3MDQyOQEIAAAABQAAAAExAQAAAAoxODc4ODEyMjA3AwAAAAMxNjACAAAABDEyNzUEAAAAATAHAAAA</t>
  </si>
  <si>
    <t>CTEvMzEvMjAxOQgAAAAKMTIvMzEvMjAxNwkAAAABMHyrtz0rkdYIO7RaSiuR1gg8Q0lRLk5BU0RBUUdTOlRIT1IuSVFfRUFSTklOR19DTy5DWTIwMTguMS8zMS8yMDE5LkxGUi5GLlVTRC5IAQAAALhftw8DAAAAAAB8q7c9K5HWCAqrVUorkdYIL0NJUS5JUVRSMzI2OTk1NDA4LklRX1RSX0lNUExJRURfRVZfRklOQUwuLlVTRC5IAQAAANCNfRMCAAAAAABQb7VJK5HWCAB+RUorkdYIOkNJUS5OQVNEQVFHUzpOS1RSLklRX1RPVEFMX0RFQlQuMjAwMC45LzMwLzIwMTYuTEZSLkYuVVNELkgBAAAA6XQAAAIAAAAHMjQ4LjkzOQEIAAAABQAAAAExAQAAAAoxODAxOTQwMjU1AwAAAAMxNjACAAAABDQxNzMEAAAAATAHAAAACTkvMzAvMjAxNggAAAAJNi8zMC8yMDE2CQAAAAEwa4S3PSuR1gjqyFBKK5HWCCxDSVEuTkFTREFRR1M6TksuSVFfTUFSS0VUQ0FQLjEvMzEvMjAxOS5VU0QuSAEAAAANfaEPAgAAAAg4NS41NjQxNwEGAAAABQAAAAExAQAAAAoxOTE5OTY1NDc3AwAAAAMxNjACAAAABjEwMDA1NAQAAAABMAcAAAAJMS8zMS8yMDE5pxsHPSuR1gjPhWdKK5HWCCFDSVEuSVFUUjQxOTg2NDMwMS5JUV9UUl9CVVlFUk5BTUUBAAAA7Z4GGQMAAAAWU2VhdHRsZSBHZW5ldGljcywgSW5jLgA/SLVJK5HWCAE0Q0orkdYIKENJUS5OQVNEQVFDTTpaSU9QLklRX1RFVi4xLzMxLzIwMTkuVVNELkgBAAAAs1GyAAIAAAAK</t>
  </si>
  <si>
    <t>NDQ1LjAyMzUzNgEGAAAABQAAAAExAQAAAAoxOTIwNTM3MjQ2AwAAAAMxNjACAAAABjEwMDA2MAQAAAABMAcAAAAJMS8zMS8yMDE5Wl23PSuR1giBvFZKK5HWCB1DSVEuTkFTREFRQ006WklPUC5JUV9FWENIQU5HRQEAAACzUbIAAwAAAAhOYXNkYXFDTQBaXbc9K5HWCHCVVkorkdYIKUNJUS5OQVNEQVFHTTpDUlZTLklRX0JVU0lORVNTX0RFU0NSSVBUSU9OAQAAAPSwphADAAAAwQVDb3J2dXMgUGhhcm1hY2V1dGljYWxzLCBJbmMuLCBhIGNsaW5pY2FsIHN0YWdlIGJpb3BoYXJtYWNldXRpY2FsIGNvbXBhbnksIGZvY3VzZXMgb24gdGhlIGRldmVsb3BtZW50IGFuZCBjb21tZXJjaWFsaXphdGlvbiBvZiBpbW11bm8tb25jb2xvZ3kgdGhlcmFwaWVzIHRoYXQgYXJlIGRlc2lnbmVkIHRvIGhhcm5lc3MgdGhlIGltbXVuZSBzeXN0ZW0gdG8gYXR0YWNrIGNhbmNlciBjZWxscy4gSXRzIGxlYWQgcHJvZHVjdCBjYW5kaWRhdGUgaXMgQ1BJLTQ0NCwgYW4gb3JhbCwgc21hbGwgbW9sZWN1bGUgYW50YWdvbmlzdCBvZiB0aGUgQTJBIHJlY2VwdG9yIHRoYXQgaXMgaW4gUGhhc2UgSS9JYiBjbGluaWNhbCB0cmlhbCBmb3IgYWRlbm9zaW5lLCBhbiBpbW11bmUgY2hlY2twb2ludC4gVGhlIGNvbXBhbnkgaXMgYWxzbyBkZXZlbG9waW5nIGFuIGFudGktQ0Q3MyBtb25vY2xvbmFsIGFudGlib2R5IHRoYXQgaW5oaWJp</t>
  </si>
  <si>
    <t>dHMgdGhlIHByb2R1Y3Rpb24gb2YgYWRlbm9zaW5lOyBhbiBhbnRhZ29uaXN0IG9mIHRoZSBhZGVub3NpbmUgQTJCIHJlY2VwdG9yOyBhbmQgc21hbGwgbW9sZWN1bGUgY292YWxlbnQgaW5oaWJpdG9ycyBvZiBpbnRlcmxldWtpbi0yIGluZHVjaWJsZSBraW5hc2UuIENvcnZ1cyBQaGFybWFjZXV0aWNhbHMsIEluYy4gd2FzIGZvdW5kZWQgaW4gMjAxNCBhbmQgaXMgYmFzZWQgaW4gQnVybGluZ2FtZSwgQ2FsaWZvcm5pYS4ApxsHPSuR1ghWCGtKK5HWCDNDSVEuKElOVkFMSUQgSURFTlRJRklFUikuSVFfTEFTVFNBTEVQUklDRS45LzMwLzIwMTYFAAAAAAAAAAgAAAAUKEludmFsaWQgSWRlbnRpZmllcimnGwc9K5HWCL82s0orkdYII0NJUS5JUVRSMjgzNzgyNzEzLklRX1RSX1RPVEFMX1NUT0NLAQAAADku6hACAAAAAABhlrVJK5HWCEQaRkorkdYIPkNJUS5OQVNEQVFHUzpOS1RSLklRX0NBU0hfU1RfSU5WRVNULjIwMDAuMS8zMS8yMDE5LkxGUi5GLlVTRC5IAQAAAOl0AAACAAAABzE0MjAuNDEBCAAAAAUAAAABMQEAAAAKMTkyMDU0MDUxMwMAAAADMTYwAgAAAAQxMDAyBAAAAAEwBwAAAAkxLzMxLzIwMTkIAAAACTkvMzAvMjAxOAkAAAABMGuEtz0rkdYILxtPSiuR1ggkQ0lRLk5BU0RBUUNNOk9OQ1MuSVFfRUZGRUNUX1RBWF9SQVRFAQAAAOPj2gIDAAAAAk5NAQgAAAAFAAAAATEBAAAACjE5MzQ0OTMz</t>
  </si>
  <si>
    <t>MzYDAAAAAzE2MAIAAAAENDM3NgQAAAABMAcAAAAJMi8xMi8yMDE5CAAAAAoxMC8zMS8yMDE4CQAAAAEwyWkHPSuR1giL6WZKK5HWCE5DSVEuKElOVkFMSUQgSURFTlRJRklFUikuSVFfTUlOT1JJVFlfSU5URVJFU1RfVE9UQUwuMjAwMC4xLzMxLzIwMTkuTEZSLkYuVVNELkgFAAAAAAAAAAgAAAAUKEludmFsaWQgSWRlbnRpZmllcikNBgg9K5HWCASJsUorkdYIOkNJUS5OQVNEQVFDTTpUR1RYLklRX0VBUk5JTkdfQ08uMjAwMC4xLzMxLzIwMTkuTEZSLkYuVVNELkgBAAAAWpSPCAIAAAALLTE1MC40ODIwMTIBCAAAAAUAAAABMQEAAAAKMTkyMTE3ODg0MQMAAAADMTYwAgAAAAE3BAAAAAEwBwAAAAkxLzMxLzIwMTkIAAAACTkvMzAvMjAxOAkAAAABMI3Stz0rkdYIKddcSiuR1gg1Q0lRLk5BU0RBUUNNOlNUTUwuSVFfQ0FQRVguMjAwMC4xLzMxLzIwMTkuTEZSLkYuVVNELkgBAAAAL6idAAIAAAAJLTAuMTM2ODQ5AQgAAAAFAAAAATEBAAAACjE5MjA0NDA2MjUDAAAAAzE2MAIAAAAEMjAyMQQAAAABMAcAAAAJMS8zMS8yMDE5CAAAAAk5LzMwLzIwMTgJAAAAATB8q7c9K5HWCAg/WkorkdYII0NJUS5JUVRSNTgwMjk4MDQ5LklRX1RSX1RPVEFMX1NUT0NLAQAAAEGlliICAAAACDIuMzA3MzMyAQYAAAAFAAAAAjU0AQAAAAYxMDEwNTcCAAAACTU4MDI5ODA0OQMAAAAJNTgwMzA3NjM4BAAAAAMxNjAGAAAABUZh</t>
  </si>
  <si>
    <t>bHNlLiG1SSuR1gjgm0BKK5HWCCRDSVEuTkFTREFRR006RkFURS5JUV9FRkZFQ1RfVEFYX1JBVEUBAAAAaDFXAgMAAAAAAGuEtz0rkdYIC2FTSiuR1gguQ0lRLklRVFI1ODAyOTgwNDkuSVFfVFJfVEFSR0VUX1NUT0NLUFJFTUlVTV8xVwEAAABBpZYiAgAAAAAALiG1SSuR1ggC6kBKK5HWCEZDSVEuTkFTREFRR006WE9NQS5JUV9UT1RBTF9SRVZfM1lSX0FOTl9DQUdSLjIwMDAuMS8zMS8yMDE5LkxGUi5GLlVTRC5IAQAAAKGPAAACAAAABy04LjI0MTkBCAAAAAUAAAABMQEAAAAKMTkxOTkyODEyNAMAAAADMTYwAgAAAAQ0MjIwBAAAAAEwBwAAAAkxLzMxLzIwMTkIAAAACTkvMzAvMjAxOAkAAAABMLhCBz0rkdYIbL1fSiuR1gg3Q0lRLk5BU0RBUUdNOlhPTUEuSVFfUEVSSU9EREFURV9JUy4yMDAwLjEvMzEvMjAxOS5MRlIuRgEAAAChjwAABQAAAAk5LzMwLzIwMTgAjdK3PSuR1gh+ml1KK5HWCB5DSVEuSVEzNjE4MzgzMS5JUV9DT01QQU5ZX05BTUUBAAAAFx8oAgMAAAAxVW5pdGVkIFN0YXRlcyBUcmVhc3VyeSBDb25zdGFudCBNYXR1cml0eSAtIDUgWWVhcgAuIbVJK5HWCJ21PUorkdYIPkNJUS5OQVNEQVFHUzpUSE9SLklRX0NBU0hfU1RfSU5WRVNULjIwMDAuMS8zMS8yMDE5LkxGUi5GLlVTRC5IAQAAALhftw8CAAAABjIwLjYxNAEIAAAABQAAAAExAQAAAAoxOTIyNTQ5NDY4AwAAAAMxNjACAAAABDEw</t>
  </si>
  <si>
    <t>MDIEAAAAATAHAAAACTEvMzEvMjAxOQgAAAAJOS8zMC8yMDE4CQAAAAEwa4S3PSuR1ghxS1RKK5HWCCdDSVEuTkFTREFRQ006T05DUy5JUV9CRVRBXzVZUi4xLzMxLzIwMTkBAAAA4+PaAgIAAAAQMi40MTkyMjUzNjM3NzY3NQAeLQg9K5HWCFh0ZkorkdYIQ0NJUS5OQVNEQVFHUzpOS1RSLklRX0VCSVREQV8zWVJfQU5OX0NBR1IuMjAwMC4xLzMxLzIwMTkuTEZSLkYuVVNELkgBAAAA6XQAAAMAAAACTk0BCAAAAAUAAAABMQEAAAAKMTkyMDU0MDUxMwMAAAADMTYwAgAAAAQ0MjIyBAAAAAEwBwAAAAkxLzMxLzIwMTkIAAAACTkvMzAvMjAxOAkAAAABMGuEtz0rkdYIDBdRSiuR1gggQ0lRLklRVFI1Mjg1NjkxMjIuSVFfVFJfRUFSTk9VVFMBAAAAIlOBHwIAAAAAAD9ItUkrkdYIzr5CSiuR1ggpQ0lRLk5BU0RBUUdNOlNVUkYuSVFfQlVTSU5FU1NfREVTQ1JJUFRJT04BAAAAtCnHEAMAAADkBFN1cmZhY2UgT25jb2xvZ3ksIEluYy4sIGEgY2xpbmljYWwtc3RhZ2UgaW1tdW5vLW9uY29sb2d5IGNvbXBhbnksIGVuZ2FnZXMgaW4gdGhlIGRldmVsb3BtZW50IG9mIGNhbmNlciB0aGVyYXBpZXMuIFRoZSBjb21wYW554oCZcyBsZWFkIHByb2R1Y3QgY2FuZGlkYXRlIGlzIHRoZSBTUkYyMzEgdGhhdCBpcyBpbiBQaGFzZSBJIGNsaW5pY2FsIHRyaWFsIHRhcmdldGluZyBwcm90ZWluIGNhbGxlZCBjbHVzdGVyIG9m</t>
  </si>
  <si>
    <t>IGRpZmZlcmVudGlhdGlvbiAoQ0QpIDQ3LiBJdCBpcyBhbHNvIGRldmVsb3BpbmcgU1JGMzczIGluaGliaXRpbmcgQ0Q3MzsgU1JGNjE3IGluaGliaXRpbmcgQ0QzOTsgYW5kIFNSRjM4OCwgYW4gYW50aWJvZHkgdGFyZ2V0aW5nIGludGVybGV1a2luIDI3LiBUaGUgY29tcGFueSBoYXMgYSBjb2xsYWJvcmF0aW9uIGFncmVlbWVudCB3aXRoIE5vdmFydGlzIEluc3RpdHV0ZXMgZm9yIEJpb21lZGljYWwgUmVzZWFyY2gsIEluYy4gZm9yIHRoZSBkZXZlbG9wbWVudCBvZiBjYW5jZXIgdGhlcmFwaWVzLiBTdXJmYWNlIE9uY29sb2d5LCBJbmMuIHdhcyBmb3VuZGVkIGluIDIwMTQgYW5kIGlzIGhlYWRxdWFydGVyZWQgaW4gQ2FtYnJpZGdlLCBNYXNzYWNodXNldHRzLgCnGwc9K5HWCGZ5bUorkdYIOENJUS5OQVNEQVFHUzpOS1RSLklRX0VCSVREQS5DWTIwMTguMS8zMS8yMDE5LkxGUi5GLlVTRC5IAQAAAOl0AAADAAAAAABrhLc9K5HWCGKQT0orkdYISkNJUS4oSU5WQUxJRCBJREVOVElGSUVSKS5JUV9FQklUREFfNVlSX0FOTl9DQUdSLjIwMDAuMS8zMS8yMDE5LkxGUi5GLlVTRC5IBQAAAAAAAAAIAAAAFChJbnZhbGlkIElkZW50aWZpZXIpDQYIPSuR1ggD07NKK5HWCDdDSVEuTkFTREFRR006RkFURS5JUV9QRVJJT0REQVRFX0lTLjIwMDAuMS8zMS8yMDE5LkxGUi5GAQAAAGgxVwIFAAAACTkvMzAvMjAx</t>
  </si>
  <si>
    <t>OABrhLc9K5HWCD+MUUorkdYIMUNJUS5JUVRSNTgwMjk4MDQ5LklRX1RSX1RBUkdFVF9SRVZFTlVFX0VTVC4uVVNELkgBAAAAQaWWIgIAAAAAAC4htUkrkdYIAupASiuR1ggtQ0lRLk5BU0RBUUdTOk5LVFIuSVFfRElWSURFTkRfWUlFTEQuMS8zMS8yMDE5AQAAAOl0AAADAAAAAABaXbc9K5HWCMh6UEorkdYIJUNJUS5JUVRSMjk2NjI4ODE3LklRX1RSX01BSl9NSU5fU1RBS0UBAAAAUTKuEQMAAAAITWFqb3JpdHkAYZa1SSuR1ggw0UxKK5HWCENDSVEuTkFTREFRQ006VEdUWC5JUV9FQklUREFfNVlSX0FOTl9DQUdSLjIwMDAuMS8zMS8yMDE5LkxGUi5GLlVTRC5IAQAAAFqUjwgDAAAAAk5NAQgAAAAFAAAAATEBAAAACjE5MjExNzg4NDEDAAAAAzE2MAIAAAAENDIzNQQAAAABMAcAAAAJMS8zMS8yMDE5CAAAAAk5LzMwLzIwMTgJAAAAATCN0rc9K5HWCG1zXUorkdYIHkNJUS5JUTM2MTgzODIyLklRX0NPTVBBTllfTkFNRQEAAAAOHygCAwAAADFVbml0ZWQgU3RhdGVzIFRyZWFzdXJ5IENvbnN0YW50IE1hdHVyaXR5IC0gMSBZZWFyAC4htUkrkdYIrtw9SiuR1gglQ0lRLklRVFI1MjkxOTE4ODAuSVFfVFJfSU1QTElFRF9FUV9CVgEAAADI04ofAgAAAAAAP0i1SSuR1ghDZEhKK5HWCDlDSVEuTkFTREFRQ006WklPUC5JUV9UT1RBTF9SRVYuMTk5Ni4xLzMxLzIwMTkuTEZSLkYuVVNELkgBAAAAs1GyAAIAAAAF</t>
  </si>
  <si>
    <t>Ni4zODkBCAAAAAUAAAABMQEAAAAKMTkyMDUzNzY4MAMAAAADMTYwAgAAAAIyOAQAAAABMAcAAAAJMS8zMS8yMDE5CAAAAAk5LzMwLzIwMTcJAAAAATB8q7c9K5HWCJLjVkorkdYINkNJUS5OQVNEQVFHTTpDUlZTLklRX0VCSVREQS4yMDAwLjEvMzEvMjAxOS5MRlIuRi5VU0QuSAEAAAD0sKYQAgAAAActNDkuMzU0AQgAAAAFAAAAATEBAAAACjE5MTc4MzQ0OTQDAAAAAzE2MAIAAAAENDA1MQQAAAABMAcAAAAJMS8zMS8yMDE5CAAAAAk5LzMwLzIwMTgJAAAAATDakAc9K5HWCAFFakorkdYIPkNJUS5OQVNEQVFDTTpUR1RYLklRX0NBU0hfU1RfSU5WRVNULjIwMDAuMS8zMS8yMDE5LkxGUi5GLlVTRC5IAQAAAFqUjwgCAAAABjk3Ljc0MgEIAAAABQAAAAExAQAAAAoxOTIxMTc4ODQxAwAAAAMxNjACAAAABDEwMDIEAAAAATAHAAAACTEvMzEvMjAxOQgAAAAJOS8zMC8yMDE4CQAAAAEwjdK3PSuR1gihnltKK5HWCB1DSVEuSVEyOTkyOS5JUV9DT01QQU5ZX1RJQ0tFUgEAAADpdAAAAwAAAA1OYXNkYXFHUzpOS1RSAC4htUkrkdYIDc1OSiuR1gg9Q0lRLk5BU0RBUUNNOlRHVFguSVFfUkVWRU5VRV9FU1QuQ1kyMDIwLjEvMzEvMjAxOS5DT04uRi5VU0QuSAEAAABalI8IAgAAAAcxNy42MDg1AQ4AAAAFAAAAAjExAQAAAAEwAgAAAAoxMDAxNTQ4MzAxAwAAAAYxMDAxODAEAAAAATIGAAAAATAHAAAAAzE2MAgAAAAB</t>
  </si>
  <si>
    <t>MAkAAAABMQoAAAABMAsAAAALMTExOTc2MTA5NjgMAAAAATcNAAAACDIvMS8yMDE5EAAAAAkxLzMxLzIwMTmN0rc9K5HWCLLFW0orkdYILkNJUS5OQVNEQVFHUzpGUFJYLklRX01BUktFVENBUC4xLzMxLzIwMTkuVVNELkgBAAAAN10zAAIAAAAKMzk4Ljk4OTM3MwEGAAAABQAAAAExAQAAAAoxOTE5Nzk1MDkxAwAAAAMxNjACAAAABjEwMDA1NAQAAAABMAcAAAAJMS8zMS8yMDE5pxsHPSuR1gifMmBKK5HWCC5DSVEuSVFUUjQxODA4MzM0My5JUV9UUl9UQVJHRVRfU1RPQ0tQUkVNSVVNXzFNAQAAAA9y6xgCAAAAAABQb7VJK5HWCNsNTEorkdYIPENJUS5OQVNEQVFHTTpDUlZTLklRX1RPVEFMX0VRVUlUWS4xOTk2LjEvMzEvMjAxOS5MRlIuRi5VU0QuSAEAAAD0sKYQAgAAAAY5My43MzcBCAAAAAUAAAABMQEAAAAKMTkxNzgzNDQ4NwMAAAADMTYwAgAAAAQxMjc1BAAAAAEwBwAAAAkxLzMxLzIwMTkIAAAACTkvMzAvMjAxNwkAAAABMNqQBz0rkdYIeFZrSiuR1gg4Q0lRLk5BU0RBUUNNOlNUTUwuSVFfRUJJVERBLkNZMjAxNy4xLzMxLzIwMTkuTEZSLkYuVVNELkgBAAAAL6idAAIAAAAKLTY4LjU0Mzc1MwEIAAAABQAAAAExAQAAAAoxODc4ODEyMjA3AwAAAAMxNjACAAAABDQwNTEEAAAAATAHAAAACTEvMzEvMjAxOQgAAAAKMTIvMzEvMjAxNwkAAAABMHyrtz0rkdYIxKJZSiuR1ggtQ0lRLk5BU0RBUUdNOkZB</t>
  </si>
  <si>
    <t>VEUuSVFfRElWSURFTkRfWUlFTEQuMS8zMS8yMDE5AQAAAGgxVwIDAAAAAABaXbc9K5HWCNjrUkorkdYIK0NJUS5JUVRSNDMwMTA5NTYyLklRX1RSX1RPVEFMX0dST1NTX1RWLi5VU0QBAAAAevOiGQIAAAAFMTUxLjkBBgAAAAUAAAACNTQBAAAABjEwMjA4OAIAAAAJNDMwMTA5NTYyAwAAAAk0MzAxMTAwOTMEAAAAAzE2MAYAAAAFRmFsc2U/SLVJK5HWCIcASUorkdYIMUNJUS5JUVRSMjgzNzgyNzEzLklRX1RSX1RBUkdFVF9SRVZFTlVFX0VTVC4uVVNELkgBAAAAOS7qEAIAAAAJNDQ1Mi4wNjQzAGGWtUkrkdYId49GSiuR1gg+Q0lRLk5BU0RBUUdNOlNVUkYuSVFfVE9UQUxfRVFVSVRZLkNZMjAxNy4xLzMxLzIwMTkuTEZSLkYuVVNELkgBAAAAtCnHEAIAAAAHLTE4Ljc5NwEIAAAABQAAAAExAQAAAAoxODgwMDQ0MjE1AwAAAAMxNjACAAAABDEyNzUEAAAAATAHAAAACTEvMzEvMjAxOQgAAAAKMTIvMzEvMjAxNwkAAAABMNqQBz0rkdYIme5tSiuR1gg0Q0lRLk5BU0RBUUNNOkNVRS5JUV9DQVBFWC4xOTk2LjEvMzEvMjAxOS5MRlIuRi5VU0QuSAEAAACmZugYAgAAAAktMS4xMDU4MzgBCAAAAAUAAAABMQEAAAAKMTkyMTk0MDg5MAMAAAADMTYwAgAAAAQyMDIxBAAAAAEwBwAAAAkxLzMxLzIwMTkIAAAACTkvMzAvMjAxNwkAAAABMMlpBz0rkdYIN9xjSiuR1ghEQ0lRLk5BU0RBUUdTOk5LLklRX1RPVEFMX1JF</t>
  </si>
  <si>
    <t>Vl8zWVJfQU5OX0NBR1IuMjAwMC4xLzMxLzIwMTkuTEZSLkYuVVNELkgBAAAADX2hDwIAAAAILTQ1LjQzMDQBCAAAAAUAAAABMQEAAAAKMTkxOTk2NjUwMwMAAAADMTYwAgAAAAQ0MjIwBAAAAAEwBwAAAAkxLzMxLzIwMTkIAAAACTkvMzAvMjAxOAkAAAABMNqQBz0rkdYIijNpSiuR1gghQ0lRLk5BU0RBUUNNOlNUTUwuSVFfQ09NUEFOWV9OQU1FAQAAAC+onQADAAAAG1N0ZW1saW5lIFRoZXJhcGV1dGljcywgSW5jLgBaXbc9K5HWCG/fWEorkdYIL0NJUS5OQVNEQVFDTTpDVUUuSVFfTEFTVFNBTEVQUklDRS4xLzMxLzIwMTkuVVNEAQAAAKZm6BgCAAAABDUuMTEApxsHPSuR1gjAymJKK5HWCC5DSVEuSVFUUjU4MDI5ODA0OS5JUV9UUl9UQVJHRVRfU1RPQ0tQUkVNSVVNXzFNAQAAAEGlliICAAAAAAAuIbVJK5HWCALqQEorkdYILENJUS5JUVRSMjk2NjI4ODE3LklRX1RSX1RBUkdFVF9FQklUREEuLlVTRC5IAQAAAFEyrhECAAAAAABhlrVJK5HWCFIfTUorkdYIPUNJUS5OQVNEQVFHUzpUSE9SLklRX1JFVkVOVUVfRVNULkNZMjAyMi4xLzMxLzIwMTkuQ09OLkYuVVNELkgBAAAAuF+3DwIAAAABMAEOAAAABQAAAAIxMQEAAAABMAIAAAAKMTAwNDI4NDM2NgMAAAAGMTAwMTgwBAAAAAEyBgAAAAEwBwAAAAMxNjAIAAAAATAJAAAAATEKAAAAATALAAAACzExMjI0OTMxMTE2DAAAAAE3DQAAAAgyLzEvMjAxORAA</t>
  </si>
  <si>
    <t>AAAJMS8zMS8yMDE5jdK3PSuR1giTmVRKK5HWCCpDSVEuSVFUUjQzMDEwOTU2Mi5JUV9UUl9UQVJHRVRfRUJJVC4uVVNELkgBAAAAevOiGQIAAAAAAD9ItUkrkdYIhwBJSiuR1gghQ0lRLk5BU0RBUUdNOlhPTUEuSVFfQ09NUEFOWV9OQU1FAQAAAKGPAAADAAAAEFhPTUEgQ29ycG9yYXRpb24AWl23PSuR1gh+ml1KK5HWCDhDSVEuTkFTREFRQ006Q1VFLklRX1RPVEFMX1JFVi4xOTkyLjEvMzEvMjAxOS5MRlIuRi5VU0QuSAEAAACmZugYAwAAAAAAuEIHPSuR1gjR8WJKK5HWCENDSVEuKElOVkFMSUQgSURFTlRJRklFUikuSVFfVE9UQUxfRVFVSVRZLjIwMDAuMS8zMS8yMDE5LkxGUi5GLlVTRC5IBQAAAAAAAAAIAAAAFChJbnZhbGlkIElkZW50aWZpZXIpDQYIPSuR1gi/NrNKK5HWCD9DSVEuKElOVkFMSUQgSURFTlRJRklFUikuSVFfRUJJVERBLkNZMjAxNy4xLzMxLzIwMTkuTEZSLkYuVVNELkgFAAAAAAAAAAgAAAAUKEludmFsaWQgSWRlbnRpZmllcin83gc9K5HWCEglskorkdYIKkNJUS5JUVRSNTI5MTkxODgwLklRX1RSX1RBUkdFVF9FQklULi5VU0QuSAEAAADI04ofAgAAAAktMy40NDg4ODUBBgAAAAUAAAACMzcBAAAACjE4NTM2NjUxNDkCAAAABTIxNjc1AwAAAAMxNjAEAAAAATAHAAAACDEvMS8xOTAwP0i1SSuR1ghDZEhKK5HWCDpDSVEuTkFTREFRR006Q1JWUy5JUV9FQVJOSU5HX0NPLjIwMDAu</t>
  </si>
  <si>
    <t>MS8zMS8yMDE5LkxGUi5GLlVTRC5IAQAAAPSwphACAAAABy00OC4zNTkBCAAAAAUAAAABMQEAAAAKMTkxNzgzNDQ5NAMAAAADMTYwAgAAAAE3BAAAAAEwBwAAAAkxLzMxLzIwMTkIAAAACTkvMzAvMjAxOAkAAAABMNqQBz0rkdYIZy9rSiuR1gghQ0lRLklRVFIyODM3ODI3MTMuSVFfVFJfQlVZRVJOQU1FAQAAADku6hADAAAAC1BmaXplciBJbmMuAGGWtUkrkdYIM/NFSiuR1gg+Q0lRLk5BU0RBUUdTOlRIT1IuSVFfVE9UQUxfRVFVSVRZLkNZMjAxNy4xLzMxLzIwMTkuTEZSLkYuVVNELkgBAAAAuF+3DwIAAAAFMy41NzUBCAAAAAUAAAABMQEAAAAKMTkyMjU5NDAxOQMAAAADMTYwAgAAAAQxMjc1BAAAAAEwBwAAAAkxLzMxLzIwMTkIAAAACjEyLzMxLzIwMTcJAAAAATB8q7c9K5HWCBvSVUorkdYIPUNJUS5OQVNEQVFDTTpaSU9QLklRX1JFVkVOVUVfRVNULkNZMjAyMi4xLzMxLzIwMTkuQ09OLkYuVVNELkgBAAAAs1GyAAIAAAAFOC43MzEBDgAAAAUAAAACMTEBAAAAATACAAAACjEwMDA4OTgwNzgDAAAABjEwMDE4MAQAAAABMgYAAAABMAcAAAADMTYwCAAAAAEwCQAAAAExCgAAAAEwCwAAAAsxMTE3NjE5NDU3OQwAAAABNw0AAAAIMi8xLzIwMTkQAAAACTEvMzEvMjAxOY3Stz0rkdYItDFXSiuR1ggvQ0lRLklRVFI1NTAyNTkzOTcuSVFfVFJfSU1QTElFRF9FVl9GSU5BTC4uVVNELkgBAAAAxUrMIAIAAAAL</t>
  </si>
  <si>
    <t>OTU1Ni4zNTAzNjYBBgAAAAUAAAACNTQBAAAABjEwMjA0NQIAAAAJNTUwMjU5Mzk3AwAAAAk1NTAyNjQ1NjQEAAAAAzE2MAYAAAAFRmFsc2U/SLVJK5HWCHn7QUorkdYIPUNJUS5OQVNEQVFHTTpYT01BLklRX1JFVkVOVUVfRVNULkNZMjAxOS4xLzMxLzIwMTkuQ09OLkYuVVNELkgBAAAAoY8AAAIAAAAFOS41MDIBDgAAAAUAAAACMTEBAAAAATACAAAACjEwMDE1MzU4ODEDAAAABjEwMDE4MAQAAAABMgYAAAABMAcAAAADMTYwCAAAAAEwCQAAAAExCgAAAAEwCwAAAAsxMTI1MDUyNDg3OQwAAAABNw0AAAAIMi8xLzIwMTkQAAAACTEvMzEvMjAxOQ0GCD0rkdYIsQ9eSiuR1ggxQ0lRLklRVFIyOTY2Mjg4MTcuSVFfVFJfVEFSR0VUX1JFVkVOVUVfRVNULi5VU0QuSAEAAABRMq4RAgAAAAAAYZa1SSuR1ghjRk1KK5HWCDlDSVEuTkFTREFRQ006Q1VFLklRX0VBUk5JTkdfQ08uMjAwMC4xLzMxLzIwMTkuTEZSLkYuVVNELkgBAAAApmboGAIAAAAKLTM3Ljc5NzgzNQEIAAAABQAAAAExAQAAAAoxOTIxOTQwOTAwAwAAAAMxNjACAAAAATcEAAAAATAHAAAACTEvMzEvMjAxOQgAAAAJOS8zMC8yMDE4CQAAAAEwyWkHPSuR1ghZKmRKK5HWCCFDSVEuSVEyNjIyNDE1NDkuSVFfQ09NUEFOWV9USUNLRVIBAAAADX2hDwMAAAALTmFzZGFxR1M6TksALiG1SSuR1gitN2dKK5HWCDlDSVEuTkFTREFRR1M6VEhPUi5JUV9OSV9N</t>
  </si>
  <si>
    <t>QVJHSU4uMjAwMC4xLzMxLzIwMTkuTEZSLkYuVVNELkgBAAAAuF+3DwMAAAAAAGuEtz0rkdYIxg5VSiuR1ggiQ0lRLklRVFI0MDI0NjgzNDMuSVFfVFJfVE9UQUxfQ0FTSAEAAAD3Lf0XAgAAAAAAUG+1SSuR1gi6dUlKK5HWCCJDSVEuSVFUUjU1MDI1OTM5Ny5JUV9UUl9QQ1RfU09VR0hUAQAAAMVKzCACAAAACTkwLjI5Mjc2NwA/SLVJK5HWCGjUQUorkdYIOkNJUS5OQVNEQVFDTTpPTkNTLklRX1RPVEFMX0RFQlQuMjAwMC4xLzMxLzIwMTkuTEZSLkYuVVNELkgBAAAA4+PaAgIAAAABMAEIAAAABQAAAAExAQAAAAoxOTM0NDkzMzM2AwAAAAMxNjACAAAABDQxNzMEAAAAATAHAAAACTEvMzEvMjAxOQgAAAAKMTAvMzEvMjAxOAkAAAABMMlpBz0rkdYIvxRlSiuR1gg/Q0lRLk5BU0RBUUNNOlNUTUwuSVFfTkVUX1dPUktJTkdfQ0FQLjIwMDAuMS8zMS8yMDE5LkxGUi5GLlVTRC5IAQAAAC+onQACAAAACi0xNS40MDg2ODUBCAAAAAUAAAABMQEAAAAKMTkyMDQ0MDYyNQMAAAADMTYwAgAAAAQxMzExBAAAAAEwBwAAAAkxLzMxLzIwMTkIAAAACTkvMzAvMjAxOAkAAAABMHyrtz0rkdYI9xdaSiuR1gg6Q0lRLk5BU0RBUUdNOlhPTUEuSVFfVE9UQUxfREVCVC4yMDAwLjEvMzEvMjAxOS5MRlIuRi5VU0QuSAEAAAChjwAAAgAAAAYyMi4wMzQBCAAAAAUAAAABMQEAAAAKMTkxOTkyODEyNAMAAAADMTYwAgAAAAQ0MTcz</t>
  </si>
  <si>
    <t>BAAAAAEwBwAAAAkxLzMxLzIwMTkIAAAACTkvMzAvMjAxOAkAAAABMI3Stz0rkdYIj8FdSiuR1ghHQ0lRLk5BU0RBUUdNOlNVUkYuSVFfTUlOT1JJVFlfSU5URVJFU1RfVE9UQUwuMjAwMC45LzMwLzIwMTYuTEZSLkYuVVNELkgBAAAAtCnHEAMAAAAAANqQBz0rkdYIqhVuSiuR1gg7Q0lRLk5BU0RBUUNNOk9OQ1MuSVFfUFJFRl9FUVVJVFkuMjAwMC4xLzMxLzIwMTkuTEZSLkYuVVNELkgBAAAA4+PaAgMAAAAAAMlpBz0rkdYIvxRlSiuR1ghGQ0lRLk5BU0RBUUdNOkNSVlMuSVFfVE9UQUxfUkVWXzNZUl9BTk5fQ0FHUi4yMDAwLjEvMzEvMjAxOS5MRlIuRi5VU0QuSAEAAAD0sKYQAwAAAAAA2pAHPSuR1giapGtKK5HWCCxDSVEuTkFTREFRR006Q1JWUy5JUV9MQVNUU0FMRVBSSUNFLjkvMzAvMjAxNgEAAAD0sKYQAgAAAAUxNi40NQCnGwc9K5HWCIl9a0orkdYIQ0NJUS5OQVNEQVFDTTpaSU9QLklRX0VCSVREQV8zWVJfQU5OX0NBR1IuMjAwMC4xLzMxLzIwMTkuTEZSLkYuVVNELkgBAAAAs1GyAAMAAAACTk0BCAAAAAUAAAABMQEAAAAKMTkyMDUzNzcwOQMAAAADMTYwAgAAAAQ0MjIyBAAAAAEwBwAAAAkxLzMxLzIwMTkIAAAACTkvMzAvMjAxOAkAAAABMHyrtz0rkdYIXrhYSiuR1ghGQ0lRLk5BU0RBUUNNOk9OQ1MuSVFfVE9UQUxfUkVWXzJZUl9BTk5fQ0FHUi4yMDAwLjEvMzEvMjAxOS5MRlIuRi5VU0Qu</t>
  </si>
  <si>
    <t>SAEAAADj49oCAwAAAAAAyWkHPSuR1giL6WZKK5HWCCtDSVEuSVFUUjM4NDAyODQ5Ni5JUV9UUl9JTVBMSUVEX0VWX0VCSVRfRldEAQAAAFDP4xYDAAAAAk5NAFBvtUkrkdYI3i9FSiuR1ggiQ0lRLklRVFI1NjM5MTkwNDkuSVFfVFJfVE9UQUxfQ0FTSAEAAADJuJwhAgAAAAoxNTIwLjI1NTQ1AQYAAAAFAAAAAjU0AQAAAAYxMDEwNTYCAAAACTU2MzkxOTA0OQMAAAAJNTYzOTQwMDQyBAAAAAMxNjAGAAAABUZhbHNlP0i1SSuR1ggkOEFKK5HWCENDSVEuTkFTREFRR006U1VSRi5JUV9FQklUREFfM1lSX0FOTl9DQUdSLjIwMDAuMS8zMS8yMDE5LkxGUi5GLlVTRC5IAQAAALQpxxADAAAAAADakAc9K5HWCMxjbkorkdYIQ0NJUS4oSU5WQUxJRCBJREVOVElGSUVSKS5JUV9FQVJOSU5HX0NPLkNZMjAxNy4xLzMxLzIwMTkuTEZSLkYuVVNELkgFAAAAAAAAAAgAAAAUKEludmFsaWQgSWRlbnRpZmllcikNBgg9K5HWCK4Ps0orkdYIPkNJUS5OQVNEQVFHUzpGUFJYLklRX1RPVEFMX0VRVUlUWS5DWTIwMTguMS8zMS8yMDE5LkxGUi5GLlVTRC5IAQAAADddMwADAAAAAAC4Qgc9K5HWCGsHYkorkdYIRkNJUS5OQVNEQVFDTTpTVE1MLklRX1RPVEFMX1JFVl81WVJfQU5OX0NBR1IuMjAwMC4xLzMxLzIwMTkuTEZSLkYuVVNELkgBAAAAL6idAAMAAAAAAHyrtz0rkdYIXQJbSiuR1gglQ0lRLklRVFI1Mjg1NjkxMjIuSVFf</t>
  </si>
  <si>
    <t>VFJfTUFKX01JTl9TVEFLRQEAAAAiU4EfAwAAAAhNYWpvcml0eQA/SLVJK5HWCM6+QkorkdYIJ0NJUS5OQVNEQVFHUzpGUFJYLklRX1BFUklPRERBVEVfSVMuMTAwMAEAAAA3XTMABQAAAAoxMi8zMS8yMDE3ALhCBz0rkdYIjgtgSiuR1gggQ0lRLklRMzYxODM4MjIuSVFfTEFTVFNBTEVQUklDRS4BAAAADh8oAgIAAAAEMi41NQBaXbc9K5HWCL8DPkorkdYIIUNJUS5OQVNEQVFHUzpOS1RSLklRX0NPTVBBTllfTkFNRQEAAADpdAAAAwAAABNOZWt0YXIgVGhlcmFwZXV0aWNzAFpdtz0rkdYIDc1OSiuR1gguQ0lRLk5BU0RBUUdTOk9WSUQuSVFfRUJJVERBLjIwMDAuOS8xOS8yMDE3Li4uLgEAAAAg0DcRAgAAAAotNTcuODc0NjQyAQgAAAAFAAAAATEBAAAACjE4OTk1MzUyMzkDAAAAAzE2MAIAAAAENDA1MQQAAAABMAcAAAAJOS8xOS8yMDE3CAAAAAk2LzMwLzIwMTcJAAAAATAuIbVJK5HWCID1MUorkdYIO0NJUS5OQVNEQVFHTTpYT01BLklRX1BSRUZfRVFVSVRZLjIwMDAuOS8zMC8yMDE2LkxGUi5GLlVTRC5IAQAAAKGPAAADAAAAAAC4Qgc9K5HWCFuWX0orkdYIO0NJUS5OQVNEQVFHTTpDUlZTLklRX1BSRUZfRVFVSVRZLjIwMDAuOS8zMC8yMDE2LkxGUi5GLlVTRC5IAQAAAPSwphADAAAAAADakAc9K5HWCIl9a0orkdYIIkNJUS5JUVRSMjgzNzgyNzEzLklRX1RSX1BDVF9TT1VHSFQBAAAAOS7qEAIAAAAD</t>
  </si>
  <si>
    <t>MTAwAGGWtUkrkdYIM/NFSiuR1ggsQ0lRLklRVFI1Mjg1NjkxMjIuSVFfVFJfVE9UQUxfR1JPU1NfVFYuVVNELkgFAAAAAAAAAAgAAAAaKEludmFsaWQgQ3VycmVuY3kgUmVxdWVzdCkd+rRJK5HWCN/lQkorkdYIIUNJUS5JUVRSMzI2OTk1NDA4LklRX1RSX0JVWUVSTkFNRQEAAADQjX0TAwAAACFJbm5vdmF0ZSBCaW9waGFybWFjZXV0aWNhbHMsIEluYy4AUG+1SSuR1gjvVkVKK5HWCCBDSVEuSVEzNjE4MzgzNC5JUV9MQVNUU0FMRVBSSUNFLgEAAAAaHygCAgAAAAQyLjU2AFpdtz0rkdYInbU9SiuR1ggxQ0lRLklRVFI0MTgwODMzNDMuSVFfVFJfVEFSR0VUX1JFVkVOVUVfRVNULi5VU0QuSAEAAAAPcusYAgAAAAAAUG+1SSuR1gjK5ktKK5HWCCNDSVEuSVFUUjMxNDgyOTIzNi5JUV9UUl9DTE9TRURfREFURQEAAAC06cMSBQAAAAoxMC8xNi8yMDE1AFBvtUkrkdYI7epJSiuR1ghCQ0lRLihJTlZBTElEIElERU5USUZJRVIpLklRX1BSRUZfRVFVSVRZLjIwMDAuOS8zMC8yMDE2LkxGUi5GLlVTRC5IBQAAAAAAAAAIAAAAFChJbnZhbGlkIElkZW50aWZpZXIpDQYIPSuR1gjQXbNKK5HWCC5DSVEuSVFUUjMxNDgyOTIzNi5JUV9UUl9UQVJHRVRfU1RPQ0tQUkVNSVVNXzFXAQAAALTpwxICAAAAAABhlrVJK5HWCDGHSkorkdYIOkNJUS5OQVNEQVFHUzpOSy5JUV9FQklUREFfRVNULkNZMjAyMC4xLzMxLzIwMTku</t>
  </si>
  <si>
    <t>Q09OLkYuVVNELkgBAAAADX2hDwMAAAAAAA0GCD0rkdYIAvtnSiuR1ghGQ0lRLk5BU0RBUUNNOlpJT1AuSVFfVE9UQUxfUkVWXzJZUl9BTk5fQ0FHUi4yMDAwLjEvMzEvMjAxOS5MRlIuRi5VU0QuSAEAAACzUbIAAgAAAAgtNTAuNzM5OQEIAAAABQAAAAExAQAAAAoxOTIwNTM3NzA5AwAAAAMxNjACAAAABDQyMDcEAAAAATAHAAAACTEvMzEvMjAxOQgAAAAJOS8zMC8yMDE4CQAAAAEwfKu3PSuR1ghNkVhKK5HWCCRDSVEuKElOVkFMSUQgSURFTlRJRklFUikuSVFfRVhDSEFOR0UFAAAAAAAAAAgAAAAUKEludmFsaWQgSWRlbnRpZmllcimnGwc9K5HWCPNhsUorkdYIQ0NJUS5OQVNEQVFDTTpTVE1MLklRX0VCSVREQV81WVJfQU5OX0NBR1IuMjAwMC4xLzMxLzIwMTkuTEZSLkYuVVNELkgBAAAAL6idAAMAAAAAAI3Stz0rkdYIbilbSiuR1gg8Q0lRLk5BU0RBUUdTOk5LVFIuSVFfRUJJVERBX0VTVC5DWTIwMjAuMS8zMS8yMDE5LkNPTi5GLlVTRC5IAQAAAOl0AAACAAAACC0yMjYuMTQxAQ4AAAAFAAAAAjExAQAAAAEwAgAAAAoxMDAwMTExOTYxAwAAAAYxMDAxODcEAAAAATIGAAAAATAHAAAAAzE2MAgAAAABMAkAAAABMQoAAAABMAsAAAALMTEyMzQ2MzU0NjkMAAAAATcNAAAACDIvMS8yMDE5EAAAAAkxLzMxLzIwMTmN0rc9K5HWCHO3T0orkdYIOENJUS5OQVNEQVFHTTpTVVJGLklRX0VCSVREQS5DWTIwMTgu</t>
  </si>
  <si>
    <t>MS8zMS8yMDE5LkxGUi5GLlVTRC5IAQAAALQpxxADAAAAAADakAc9K5HWCBG2bEorkdYIHkNJUS5JUTM2MTgzODM0LklRX0NPTVBBTllfTkFNRQEAAAAaHygCAwAAADFVbml0ZWQgU3RhdGVzIFRyZWFzdXJ5IENvbnN0YW50IE1hdHVyaXR5IC0gNyBZZWFyAC4htUkrkdYIjI49SiuR1gg7Q0lRLk5BU0RBUUNNOk9OQ1MuSVFfUFJFRl9FUVVJVFkuMjAwMC45LzMwLzIwMTYuTEZSLkYuVVNELkgBAAAA4+PaAgMAAAAAAMlpBz0rkdYIi+lmSiuR1ggqQ0lRLklRVFI1Mjg1NjkxMjIuSVFfVFJfVEFSR0VUX0VCSVQuLlVTRC5IAQAAACJTgR8CAAAAAAA/SLVJK5HWCN/lQkorkdYIN0NJUS5OQVNEQVFHTTpTVVJGLklRX1BFUklPRERBVEVfSVMuMjAwMC4xLzMxLzIwMTkuTEZSLkYBAAAAtCnHEAUAAAAJOS8zMC8yMDE4ANqQBz0rkdYIzRlsSiuR1ggwQ0lRLk5BU0RBUUdNOlhPTUEuSVFfTEFTVFNBTEVQUklDRS4xLzMxLzIwMTkuVVNEAQAAAKGPAAACAAAABTEyLjA3AFpdtz0rkdYIj8FdSiuR1ggwQ0lRLk5BU0RBUUdTOkZQUlguSVFfTEFTVFNBTEVQUklDRS4xLzMxLzIwMTkuVVNEAQAAADddMwACAAAABTExLjI1AKcbBz0rkdYInzJgSiuR1ggdQ0lRLk5BU0RBUUNNOk9OQ1MuSVFfRVhDSEFOR0UBAAAA4+PaAgMAAAAITmFzZGFxQ00ApxsHPSuR1giu7WRKK5HWCENDSVEuKElOVkFMSUQgSURFTlRJRklFUiku</t>
  </si>
  <si>
    <t>SVFfVE9UQUxfRVFVSVRZLjE5OTYuMS8zMS8yMDE5LkxGUi5GLlVTRC5IBQAAAAAAAAAIAAAAFChJbnZhbGlkIElkZW50aWZpZXIpDQYIPSuR1gi/NrNKK5HWCClDSVEuSVFUUjU2MzkxOTA0OS5JUV9CVVNJTkVTU19ERVNDUklQVElPTgEAAAD2Q2wNAwAAALcJQVJNTyBCaW9TY2llbmNlcywgSW5jLiwgYW4gaW1tdW5vLW9uY29sb2d5IGNvbXBhbnksIGRldmVsb3BzIGEgcGlwZWxpbmUgb2Ygbm92ZWwgcHJvZHVjdCBjYW5kaWRhdGVzIHRoYXQgYWN0aXZhdGUgdGhlIGltbXVuZSBzeXN0ZW0gb2YgY2FuY2VyIHBhdGllbnRzIHRvIHJlY29nbml6ZSBhbmQgZXJhZGljYXRlIHR1bW9ycyBpbiB0aGUgVW5pdGVkIFN0YXRlcy4gSXRzIGxlYWQgcHJvZHVjdCBjYW5kaWRhdGUgaXMgQU0wMDEwLCBhIGxvbmcgYWN0aW5nIGZvcm0gb2YgaHVtYW4gaW50ZXJsZXVraW4tMTAgdGhhdCBpcyBpbiBQaGFzZSBJSUkgcmFuZG9taXplZCBwaXZvdGFsIGNsaW5pY2FsIHRyaWFsIGZvciB0aGUgdHJlYXRtZW50IG9mIHBhbmNyZWF0aWMgZHVjdGFsIGFkZW5vY2FyY2lub21hLiBUaGUgY29tcGFueSBpcyBhbHNvIGRldmVsb3BpbmcgQU0wMDEwIHRoYXQgaGFzIGNvbXBsZXRlZCBQaGFzZSBJL0liIGNsaW5pY2FsIHRyaWFsIGZvciB0aGUgdHJlYXRtZW50IG9mIG5vbi1zbWFsbCBjZWxsIGx1bmcgY2FuY2VyLCByZW5h</t>
  </si>
  <si>
    <t>bCBjZWxsIGNhcmNpbm9tYSwgY29sb3JlY3RhbCBjYW5jZXIsIGFuZCBtZWxhbm9tYSBhbmQgYnJlYXN0IGNhbmNlci4gSW4gYWRkaXRpb24sIGl0IGlzIGRldmVsb3BpbmcgQU0wMDAxLCBhIG1vbm9jbG9uYWwgYW50aWJvZHkgYWdhaW5zdCBwcm9ncmFtbWVkIGNlbGwgZGVhdGggcHJvdGVpbi0xIGNoZWNrcG9pbnQgaW5oaWJpdG9yOyBBTTAwMTUsIGEgcmVjb21iaW5hbnQgaHVtYW4gaW50ZXJsZXVraW4tMTU7IEFNMDAxMiwgYSByZWNvbWJpbmFudCBodW1hbiBJbnRlcmxldWtpbi0xMjsgYW5kIEFNMDAwMywgYSBtb25vY2xvbmFsIGFudGlib2R5IGFnYWluc3QgbGV1a29jeXRlIGFjdGl2YXRpbmcgZ2VuZS0zIHByb3RlaW4gcHJvZ3JhbS4gVGhlIGNvbXBhbnkgd2FzIGZvcm1lcmx5IGtub3duIGFzIFRhcmdlbmljcywgSW5jLiBhbmQgY2hhbmdlZCBpdHMgbmFtZSB0byBBUk1PIEJpb1NjaWVuY2VzLCBJbmMuIGluIERlY2VtYmVyIDIwMTIuIEFSTU8gQmlvU2NpZW5jZXMsIEluYy4gd2FzIGluY29ycG9yYXRlZCBpbiAyMDEwIGFuZCBpcyBoZWFkcXVhcnRlcmVkIGluIFJlZHdvb2QgQ2l0eSwgQ2FsaWZvcm5pYS4gQXMgb2YgSnVuZSAyMSwgMjAxOCwgQVJNTyBCaW9TY2llbmNlcywgSW5jLiBvcGVyYXRlcyBhcyBhIHN1YnNpZGlhcnkgb2YgRWxpIExpbGx5IGFuZCBDb21wYW55LgAuIbVJK5HW</t>
  </si>
  <si>
    <t>CFetQUorkdYIKUNJUS5JUVRSNTU4MzA4NzI5LklRX0JVU0lORVNTX0RFU0NSSVBUSU9OAQAAAKJnHw8DAAAAvwRSZWJpb3RpeCwgSW5jLiwgYSBjbGluaWNhbCBzdGFnZSBiaW90ZWNobm9sb2d5IGNvbXBhbnksIGRldmVsb3BzIGFuZCBjb21tZXJjaWFsaXplcyBtZWRpY2FsIHRoZXJhcGllcy4gSXQgb2ZmZXJzIGh1bWFuIG1pY3JvYmlvbWUsIG1pY3JvYmlvdGEgcmVzdG9yYXRpb24gdGhlcmFweSBkcnVnIHBsYXRmb3JtLCBjbG9zdHJpZGl1bSBkaWZmaWNpbGUsIGluZmxhbW1hdG9yeSBib3dlbCBkaXNlYXNlL3VsY2VyYXRpdmUgY29saXRpcywgaGVwYXRpYyBlbmNlcGhhbG9wYXRoeSwgYW5kIG11bHRpLWRydWcgcmVzaXN0YW50IG9yZ2FuaXNtcy4gUmViaW90aXgsIEluYy4gd2FzIGZvcm1lcmx5IGtub3duIGFzIE1pa3JvYkVYIEluYy4gYW5kIGNoYW5nZWQgaXRzIG5hbWUgdG8gUmViaW90aXgsIEluYy4gaW4gT2N0b2JlciAyMDE4LiBUaGUgY29tcGFueSB3YXMgZm91bmRlZCBpbiAyMDExIGFuZCBpcyBiYXNlZCBpbiBSb3NldmlsbGUsIE1pbm5lc290YS4gQXMgb2YgQXByaWwgNCwgMjAxOCwgUmViaW90aXgsIEluYy4gb3BlcmF0ZXMgYXMgYSBzdWJzaWRpYXJ5IG9mIEZlcnJpbmcgUGhhcm1hY2V1dGljYWxzIFNBLgAuIbVJK5HWCHUjS0orkdYINkNJUS5OQVNEQVFHUzpGUFJYLklRX0VC</t>
  </si>
  <si>
    <t>SVREQS4xOTkyLjEvMzEvMjAxOS5MRlIuRi5VU0QuSAEAAAA3XTMAAgAAAAcyNjcuNjE2AQgAAAAFAAAAATEBAAAACjE4NjQyOTQyNzUDAAAAAzE2MAIAAAAENDA1MQQAAAABMAcAAAAJMS8zMS8yMDE5CAAAAAk5LzMwLzIwMTYJAAAAATC4Qgc9K5HWCOPOYEorkdYIO0NJUS5OQVNEQVFHTTpGQVRFLklRX0VCSVRfTUFSR0lOLjIwMDAuMS8zMS8yMDE5LkxGUi5GLlVTRC5IAQAAAGgxVwIDAAAAAk5NAQgAAAAFAAAAATEBAAAACjE5MTc3MzE5MjkDAAAAAzE2MAIAAAAENDA1MwQAAAABMAcAAAAJMS8zMS8yMDE5CAAAAAk5LzMwLzIwMTgJAAAAATBrhLc9K5HWCKV2UkorkdYIMENJUS5OQVNEQVFHTTpTVVJGLklRX0xBU1RTQUxFUFJJQ0UuMS8zMS8yMDE5LlVTRAEAAAC0KccQAgAAAAQ1Ljc1AKcbBz0rkdYIzRlsSiuR1gg8Q0lRLihJTlZBTElEIElERU5USUZJRVIpLklRX0NBUEVYLjIwMDAuMS8zMS8yMDE5LkxGUi5GLlVTRC5IBQAAAAAAAAAIAAAAFChJbnZhbGlkIElkZW50aWZpZXIpDQYIPSuR1giMwbJKK5HWCD9DSVEuTkFTREFRQ006T05DUy5JUV9ORVRfV09SS0lOR19DQVAuMjAwMC4xLzMxLzIwMTkuTEZSLkYuVVNELkgBAAAA4+PaAgIAAAAILTMuNTA2NDEBCAAAAAUAAAABMQEAAAAKMTkzNDQ5MzMzNgMAAAADMTYwAgAAAAQxMzExBAAAAAEwBwAAAAkxLzMxLzIwMTkIAAAACjEwLzMxLzIwMTgJ</t>
  </si>
  <si>
    <t>AAAAATDJaQc9K5HWCDYmZkorkdYIOUNJUS5OQVNEQVFDTTpPTkNTLklRX1RPVEFMX1JFVi4yMDAwLjEvMzEvMjAxOS5MRlIuRi5VU0QuSAEAAADj49oCAwAAAAAAyWkHPSuR1gjQO2VKK5HWCDxDSVEuTkFTREFRQ006U1RNTC5JUV9FQklUREFfRVNULkNZMjAyMC4xLzMxLzIwMTkuQ09OLkYuVVNELkgBAAAAL6idAAMAAAAAAI3Stz0rkdYI1clZSiuR1gglQ0lRLklRVFIzMjY5OTU0MDguSVFfVFJfTUFKX01JTl9TVEFLRQEAAADQjX0TAwAAAAhNYWpvcml0eQBQb7VJK5HWCAB+RUorkdYIOkNJUS5OQVNEQVFHUzpOS1RSLklRX0VBUk5JTkdfQ08uMTk5Mi4xLzMxLzIwMTkuTEZSLkYuVVNELkgBAAAA6XQAAAIAAAAILTE2NS40NjIBCAAAAAUAAAABMQEAAAAKMTg2NDcwMDkyNwMAAAADMTYwAgAAAAE3BAAAAAEwBwAAAAkxLzMxLzIwMTkIAAAACTkvMzAvMjAxNgkAAAABMGuEtz0rkdYIyHpQSiuR1ggpQ0lRLk5BU0RBUUdTOlRIT1IuSVFfQlVTSU5FU1NfREVTQ1JJUFRJT04BAAAAuF+3DwMAAADhAlN5bnRob3J4LCBJbmMuLCBhIGJpb3RlY2hub2xvZ3kgY29tcGFueSwgZGlzY292ZXJzIGFuZCBkZXZlbG9wcyBwcm90ZWluIHRoZXJhcGV1dGljcy4gVGhlIGNvbXBhbnnigJlzIGxlYWQgcHJvZHVjdCBjYW5kaWRhdGUgaXMgVEhPUi03MDcsIGEgdmFyaWFudCBvZiBJTC0yIHRoYXQgaXMgaW4gZGV2ZWxv</t>
  </si>
  <si>
    <t>cG1lbnQgaW4gdmFyaW91cyB0dW1vciB0eXBlcyBhcyBhIHNpbmdsZSBhZ2VudCBhbmQgaW4gY29tYmluYXRpb24gd2l0aCBhbiBpbW11bmUgY2hlY2twb2ludCBpbmhpYml0b3IuIFRoZSBjb21wYW55IHdhcyBmb3VuZGVkIGluIDIwMTQgYW5kIGlzIGhlYWRxdWFydGVyZWQgaW4gTGEgSm9sbGEsIENhbGlmb3JuaWEuAFpdtz0rkdYI+YNVSiuR1gg8Q0lRLk5BU0RBUUdNOlhPTUEuSVFfRUJJVERBX0VTVC5DWTIwMjAuMS8zMS8yMDE5LkNPTi5GLlVTRC5IAQAAAKGPAAACAAAABC0xLjEBDgAAAAUAAAACMTEBAAAAATACAAAACjEwMDE1MzU4ODYDAAAABjEwMDE4NwQAAAABMgYAAAABMAcAAAADMTYwCAAAAAEwCQAAAAExCgAAAAEwCwAAAAsxMTI0NjMzNjc5NQwAAAABNw0AAAAIMi8xLzIwMTkQAAAACTEvMzEvMjAxOQ0GCD0rkdYI5IReSiuR1gg5Q0lRLk5BU0RBUUNNOlNUTUwuSVFfVE9UQUxfUkVWLjE5OTYuMS8zMS8yMDE5LkxGUi5GLlVTRC5IAQAAAC+onQACAAAABjEuMTk3NgEIAAAABQAAAAExAQAAAAoxOTIwNDQwNjIyAwAAAAMxNjACAAAAAjI4BAAAAAEwBwAAAAkxLzMxLzIwMTkIAAAACTkvMzAvMjAxNwkAAAABMHyrtz0rkdYIkS1ZSiuR1gg5Q0lRLk5BU0RBUUdTOkZQUlguSVFfTklfTUFSR0lOLjIwMDAuMS8zMS8yMDE5LkxGUi5GLlVTRC5IAQAAADddMwACAAAACS0yMjEuNjY2MgEIAAAA</t>
  </si>
  <si>
    <t>BQAAAAExAQAAAAoxOTE5Nzk1MTcyAwAAAAMxNjACAAAABDQwOTQEAAAAATAHAAAACTEvMzEvMjAxOQgAAAAJOS8zMC8yMDE4CQAAAAEwuEIHPSuR1ggWRGFKK5HWCCBDSVEuSVEzNjE4MzgxMy5JUV9MQVNUU0FMRVBSSUNFLgEAAAAFHygCAgAAAAQyLjQ0AFpdtz0rkdYI0Co+SiuR1gg9Q0lRLk5BU0RBUUNNOlpJT1AuSVFfRUJJVERBX01BUkdJTi4yMDAwLjEvMzEvMjAxOS5MRlIuRi5VU0QuSAEAAACzUbIAAwAAAAJOTQEIAAAABQAAAAExAQAAAAoxOTIwNTM3NzA5AwAAAAMxNjACAAAABDQwNDcEAAAAATAHAAAACTEvMzEvMjAxOQgAAAAJOS8zMC8yMDE4CQAAAAEwfKu3PSuR1gjWf1dKK5HWCCZDSVEuTkFTREFRQ006Q1VFLklRX0JFVEFfNVlSLjEvMzEvMjAxOQEAAACmZugYAwAAAAAAHi0IPSuR1ghIA2RKK5HWCDVDSVEuTkFTREFRR1M6VEhPUi5JUV9DQVBFWC4xOTk2LjEvMzEvMjAxOS5MRlIuRi5VU0QuSAEAAAC4X7cPAgAAAAYtMC40MDMBCAAAAAUAAAABMQEAAAAKMTkyMjU5NDAxNwMAAAADMTYwAgAAAAQyMDIxBAAAAAEwBwAAAAkxLzMxLzIwMTkIAAAACjEyLzMxLzIwMTYJAAAAATB8q7c9K5HWCOhcVUorkdYIJUNJUS5JUVRSNTYzOTE5MDQ5LklRX1RSX0lNUExJRURfRVFfQlYBAAAAybicIQIAAAAIOS42OTE2NzUBBgAAAAUAAAACNTQBAAAABjEwMjA5NwIAAAAJNTYzOTE5MDQ5AwAAAAk1</t>
  </si>
  <si>
    <t>NjM5NDAwNDIEAAAAAzE2MAYAAAAFRmFsc2U/SLVJK5HWCEaGQUorkdYIJUNJUS5JUVRSNDAyNDY4MzQzLklRX1RSX0lNUExJRURfRVFfQlYBAAAA9y39FwIAAAAAAFBvtUkrkdYI3MNJSiuR1gg+Q0lRLk5BU0RBUUNNOk9OQ1MuSVFfVE9UQUxfRVFVSVRZLkNZMjAxOC4xLzMxLzIwMTkuTEZSLkYuVVNELkgBAAAA4+PaAgMAAAAAAMlpBz0rkdYIesJmSiuR1ggjQ0lRLklRVFI1NDc4Mjk5NDkuSVFfVFJfVE9UQUxfU1RPQ0sBAAAAvTinIAIAAAAAAFBvtUkrkdYIZx5ESiuR1ggiQ0lRLklRVFI1NTgzMDg3MjkuSVFfVFJfVE9UQUxfQ0FTSAEAAAB5HUchAgAAAAAAP0i1SSuR1ghT1UpKK5HWCD1DSVEuTkFTREFRQ006U1RNTC5JUV9FQklUREFfTUFSR0lOLjIwMDAuMS8zMS8yMDE5LkxGUi5GLlVTRC5IAQAAAC+onQADAAAAAk5NAQgAAAAFAAAAATEBAAAACjE5MjA0NDA2MjUDAAAAAzE2MAIAAAAENDA0NwQAAAABMAcAAAAJMS8zMS8yMDE5CAAAAAk5LzMwLzIwMTgJAAAAATB8q7c9K5HWCObwWUorkdYINUNJUS5OQVNEQVFHUzpUSE9SLklRX0NBUEVYLjIwMDAuMS8zMS8yMDE5LkxGUi5GLlVTRC5IAQAAALhftw8CAAAABi0wLjg4MQEIAAAABQAAAAExAQAAAAoxOTIyNTQ5NDY4AwAAAAMxNjACAAAABDIwMjEEAAAAATAHAAAACTEvMzEvMjAxOQgAAAAJOS8zMC8yMDE4CQAAAAEwfKu3PSuR1gjoXFVKK5HW</t>
  </si>
  <si>
    <t>CC5DSVEuTkFTREFRR1M6RlBSWC5JUV9NQVJLRVRDQVAuOS8zMC8yMDE2LlVTRC5IAQAAADddMwACAAAACzE0ODcuNzgxMDc0AQYAAAAFAAAAATEBAAAACjE4MDIwMjA2ODgDAAAAAzE2MAIAAAAGMTAwMDU0BAAAAAEwBwAAAAk5LzMwLzIwMTanGwc9K5HWCGsHYkorkdYITUNJUS4oSU5WQUxJRCBJREVOVElGSUVSKS5JUV9UT1RBTF9SRVZfM1lSX0FOTl9DQUdSLjIwMDAuMS8zMS8yMDE5LkxGUi5GLlVTRC5IBQAAAAAAAAAIAAAAFChJbnZhbGlkIElkZW50aWZpZXIpDQYIPSuR1gjhhLNKK5HWCDFDSVEuSVFUUjU1ODMwODcyOS5JUV9UUl9UQVJHRVRfUkVWRU5VRV9FU1QuLlVTRC5IAQAAAHkdRyECAAAAAAA/SLVJK5HWCHUjS0orkdYINUNJUS5OQVNEQVFHUzpOS1RSLklRX0NBUEVYLjE5OTYuMS8zMS8yMDE5LkxGUi5GLlVTRC5IAQAAAOl0AAACAAAABi05LjkzNAEIAAAABQAAAAExAQAAAAoxOTIwNTQwNTAzAwAAAAMxNjACAAAABDIwMjEEAAAAATAHAAAACTEvMzEvMjAxOQgAAAAJOS8zMC8yMDE3CQAAAAEwa4S3PSuR1gimLFBKK5HWCChDSVEuKElOVkFMSUQgSURFTlRJRklFUikuSVFfQ09NUEFOWV9OQU1FBQAAAAAAAAAIAAAAFChJbnZhbGlkIElkZW50aWZpZXIppxsHPSuR1gjzYbFKK5HWCClDSVEuSVFUUjQzMDEwOTU2Mi5JUV9CVVNJTkVTU19ERVNDUklQVElPTgEAAAAXtWoNAwAAAJEDUml2</t>
  </si>
  <si>
    <t>ZXIgVmlzaW9uIERldmVsb3BtZW50IENvcnAuIGRldmVsb3BzIGJpb2xvZ2ljIG1lZGljaW5lLiBJdCBkZXZlbG9wcyB0ZXByb3R1bXVtYWIgKFJWMDAxKSwgYSBodW1hbiBtb25vY2xvbmFsIGFudGlib2R5IChtQWIpIHVzZWQgZm9yIHRoZSB0cmVhdG1lbnQgb2YgVGh5cm9pZCBFeWUgRGlzZWFzZSAoVEVEKSwgYW4gYXV0b2ltbXVuZSBpbmZsYW1tYXRvcnkgZGlzb3JkZXIuIFRoZSBjb21wYW55IHdhcyBmb3VuZGVkIGluIDIwMTEgYW5kIGlzIGJhc2VkIGluIE5ldyBZb3JrLCBOZXcgWW9yay4gQXMgb2YgTWF5IDgsIDIwMTcsIFJpdmVyIFZpc2lvbiBEZXZlbG9wbWVudCBDb3JwLiBvcGVyYXRlcyBhcyBhIHN1YnNpZGlhcnkgb2YgSG9yaXpvbiBQaGFybWEgUHVibGljIExpbWl0ZWQgQ29tcGFueS4ALiG1SSuR1gipTklKK5HWCDxDSVEuTkFTREFRQ006T05DUy5JUV9FQVJOSU5HX0NPLkNZMjAxNy4xLzMxLzIwMTkuTEZSLkYuVVNELkgBAAAA4+PaAgIAAAAKLTI3LjA5NTQ1NwEIAAAABQAAAAExAQAAAAoxODc3NjI0NjI0AwAAAAMxNjACAAAAATcEAAAAATAHAAAACTEvMzEvMjAxOQgAAAAJMS8zMS8yMDE4CQAAAAEwyWkHPSuR1ghpm2ZKK5HWCCBDSVEuSVEzNjE4MzgxNi5JUV9MQVNUU0FMRVBSSUNFLgEAAAAIHygCAgAAAAQyLjQ1AFpdtz0rkdYI0Co+SiuR1gg8Q0lRLk5BU0RBUUNNOlNUTUwu</t>
  </si>
  <si>
    <t>SVFfRUJJVERBX0VTVC5DWTIwMjEuMS8zMS8yMDE5LkNPTi5GLlVTRC5IAQAAAC+onQADAAAAAACN0rc9K5HWCNXJWUorkdYIOENJUS5OQVNEQVFDTTpDVUUuSVFfVE9UQUxfUkVWLjIwMDAuMS8zMS8yMDE5LkxGUi5GLlVTRC5IAQAAAKZm6BgCAAAABTAuODEyAQgAAAAFAAAAATEBAAAACjE5MjE5NDA5MDADAAAAAzE2MAIAAAACMjgEAAAAATAHAAAACTEvMzEvMjAxOQgAAAAJOS8zMC8yMDE4CQAAAAEwuEIHPSuR1gjR8WJKK5HWCCtDSVEuSVFUUjQwMjQ2ODM0My5JUV9UUl9UT1RBTF9HUk9TU19UVi4uVVNEAQAAAPct/RcCAAAAAABQb7VJK5HWCMucSUorkdYIRkNJUS5OQVNEQVFHUzpGUFJYLklRX1RPVEFMX1JFVl81WVJfQU5OX0NBR1IuMjAwMC4xLzMxLzIwMTkuTEZSLkYuVVNELkgBAAAAN10zAAIAAAAHMzUuNDk3NgEIAAAABQAAAAExAQAAAAoxOTE5Nzk1MTcyAwAAAAMxNjACAAAABDQyMzMEAAAAATAHAAAACTEvMzEvMjAxOQgAAAAJOS8zMC8yMDE4CQAAAAEwuEIHPSuR1giefGJKK5HWCDVDSVEuTkFTREFRR006Q1JWUy5JUV9DQVBFWC4yMDAwLjEvMzEvMjAxOS5MRlIuRi5VU0QuSAEAAAD0sKYQAgAAAAYtMC4yMTIBCAAAAAUAAAABMQEAAAAKMTkxNzgzNDQ5NAMAAAADMTYwAgAAAAQyMDIxBAAAAAEwBwAAAAkxLzMxLzIwMTkIAAAACTkvMzAvMjAxOAkAAAABMNqQBz0rkdYIVghrSiuR1ggr</t>
  </si>
  <si>
    <t>Q0lRLklRVFI1ODAyOTgwNDkuSVFfVFJfVE9UQUxfR1JPU1NfVFYuLlVTRAEAAABBpZYiAgAAAAk1MC40MDczMzIBBgAAAAUAAAACNTQBAAAABjEwMjA4OAIAAAAJNTgwMjk4MDQ5AwAAAAk1ODAzMDc2MzgEAAAAAzE2MAYAAAAFRmFsc2UuIbVJK5HWCPHCQEorkdYILkNJUS5OQVNEQVFDTTpPTkNTLklRX01BUktFVENBUC45LzMwLzIwMTYuVVNELkgBAAAA4+PaAgIAAAAJMzEuOTgzOTI5AQYAAAAFAAAAATEBAAAACjE3OTYyMDExNDkDAAAAAzE2MAIAAAAGMTAwMDU0BAAAAAEwBwAAAAk5LzMwLzIwMTanGwc9K5HWCHrCZkorkdYIO0NJUS5OQVNEQVFDTTpUR1RYLklRX0VCSVRfTUFSR0lOLjIwMDAuMS8zMS8yMDE5LkxGUi5GLlVTRC5IAQAAAFqUjwgDAAAAAk5NAQgAAAAFAAAAATEBAAAACjE5MjExNzg4NDEDAAAAAzE2MAIAAAAENDA1MwQAAAABMAcAAAAJMS8zMS8yMDE5CAAAAAk5LzMwLzIwMTgJAAAAATCN0rc9K5HWCOU6XEorkdYIPENJUS5OQVNEQVFHUzpOS1RSLklRX0VCSVREQV9FU1QuQ1kyMDIxLjEvMzEvMjAxOS5DT04uRi5VU0QuSAEAAADpdAAAAgAAAAgtMTIwLjMzMQEOAAAABQAAAAIxMQEAAAABMAIAAAAKMTAwMDk3MjkxMAMAAAAGMTAwMTg3BAAAAAEyBgAAAAEwBwAAAAMxNjAIAAAAATAJAAAAATEKAAAAATALAAAACzExMTczMjIxMTA5DAAAAAE3DQAAAAgyLzEvMjAxORAAAAAJMS8z</t>
  </si>
  <si>
    <t>MS8yMDE5jdK3PSuR1ghzt09KK5HWCCVDSVEuSVFUUjQxOTg2NDMwMS5JUV9QUklNQVJZX0lORFVTVFJZAQAAACBDBAADAAAADUJpb3RlY2hub2xvZ3kAHfq0SSuR1ggSW0NKK5HWCD1DSVEuTkFTREFRR006RkFURS5JUV9SRVZFTlVFX0VTVC5DWTIwMTkuMS8zMS8yMDE5LkNPTi5GLlVTRC5IAQAAAGgxVwICAAAABjIuOTQ2NAEOAAAABQAAAAIxMQEAAAABMAIAAAAKMTAwMTk2NzQ0MwMAAAAGMTAwMTgwBAAAAAEyBgAAAAEwBwAAAAMxNjAIAAAAATAJAAAAATEKAAAAATALAAAACzExMTk4Njg3ODIzDAAAAAE3DQAAAAgyLzEvMjAxORAAAAAJMS8zMS8yMDE5jdK3PSuR1ghyAVJKK5HWCDtDSVEuTkFTREFRR1M6TktUUi5JUV9QUkVGX0VRVUlUWS4yMDAwLjkvMzAvMjAxNi5MRlIuRi5VU0QuSAEAAADpdAAAAwAAAAAAa4S3PSuR1gjqyFBKK5HWCDpDSVEuTkFTREFRQ006U1RNTC5JUV9UT1RBTF9ERUJULjIwMDAuOS8zMC8yMDE2LkxGUi5GLlVTRC5IAQAAAC+onQACAAAAATABCAAAAAUAAAABMQEAAAAKMTgwMjQ5ODY2OQMAAAADMTYwAgAAAAQ0MTczBAAAAAEwBwAAAAk5LzMwLzIwMTYIAAAACTYvMzAvMjAxNgkAAAABMHyrtz0rkdYIO7RaSiuR1gg8Q0lRLk5BU0RBUUNNOlpJT1AuSVFfVE9UQUxfRVFVSVRZLjE5OTYuMS8zMS8yMDE5LkxGUi5GLlVTRC5IAQAAALNRsgACAAAABTU5LjI3AQgAAAAFAAAA</t>
  </si>
  <si>
    <t>ATEBAAAACjE5MjA1Mzc2ODADAAAAAzE2MAIAAAAEMTI3NQQAAAABMAcAAAAJMS8zMS8yMDE5CAAAAAk5LzMwLzIwMTcJAAAAATB8q7c9K5HWCCtDWEorkdYIP0NJUS5OQVNEQVFHUzpUSE9SLklRX05FVF9XT1JLSU5HX0NBUC4xOTk2LjEvMzEvMjAxOS5MRlIuRi5VU0QuSAEAAAC4X7cPAgAAAAYtMC4yMTUBCAAAAAUAAAABMQEAAAAKMTkyMjU5NDAxNwMAAAADMTYwAgAAAAQxMzExBAAAAAEwBwAAAAkxLzMxLzIwMTkIAAAACjEyLzMxLzIwMTYJAAAAATBrhLc9K5HWCNc1VUorkdYILkNJUS5JUVRSNTU4MzA4NzI5LklRX1RSX1RBUkdFVF9TVE9DS1BSRU1JVU1fMU0BAAAAeR1HIQIAAAAAAD9ItUkrkdYIhkpLSiuR1gg7Q0lRLk5BU0RBUUNNOlNUTUwuSVFfRUJJVF9NQVJHSU4uMjAwMC4xLzMxLzIwMTkuTEZSLkYuVVNELkgBAAAAL6idAAMAAAACTk0BCAAAAAUAAAABMQEAAAAKMTkyMDQ0MDYyNQMAAAADMTYwAgAAAAQ0MDUzBAAAAAEwBwAAAAkxLzMxLzIwMTkIAAAACTkvMzAvMjAxOAkAAAABMHyrtz0rkdYI5vBZSiuR1gg1Q0lRLk5BU0RBUUdNOkZBVEUuSVFfQ0FQRVguMTk5Mi4xLzMxLzIwMTkuTEZSLkYuVVNELkgBAAAAaDFXAgIAAAAGLTAuNTk1AQgAAAAFAAAAATEBAAAACjE4NjM2MDE3MDgDAAAAAzE2MAIAAAAEMjAyMQQAAAABMAcAAAAJMS8zMS8yMDE5CAAAAAk5LzMwLzIwMTYJAAAAATBr</t>
  </si>
  <si>
    <t>hLc9K5HWCMfEUkorkdYIIkNJUS5JUVRSMjk2NjI4ODE3LklRX1RSX1RBUkdFVE5BTUUBAAAAUTKuEQMAAAAXQWJlb25hIFRoZXJhcGV1dGljcyBMTEMAYZa1SSuR1ggw0UxKK5HWCDBDSVEuSVFUUjU2MzkxOTA0OS5JUV9UUl9UQVJHRVRfRUJJVERBX0VTVC4uVVNELkgBAAAAybicIQIAAAAAAD9ItUkrkdYIRoZBSiuR1ghHQ0lRLk5BU0RBUUdNOkNSVlMuSVFfTUlOT1JJVFlfSU5URVJFU1RfVE9UQUwuMjAwMC4xLzMxLzIwMTkuTEZSLkYuVVNELkgBAAAA9LCmEAMAAAAAANqQBz0rkdYIzs9pSiuR1ghHQ0lRLk5BU0RBUUdNOlhPTUEuSVFfTUlOT1JJVFlfSU5URVJFU1RfVE9UQUwuMjAwMC4xLzMxLzIwMTkuTEZSLkYuVVNELkgBAAAAoY8AAAMAAAAAAI3Stz0rkdYIoOhdSiuR1ggvQ0lRLklRVFIyODM3ODI3MTMuSVFfVFJfSU1QTElFRF9FVl9GSU5BTC4uVVNELkgBAAAAOS7qEAIAAAALMTY5MTcuMDc2ODEBBgAAAAUAAAACNTQBAAAABjEwMjA0NQIAAAAJMjgzNzgyNzEzAwAAAAkyODM3ODI3OTIEAAAAAzE2MAYAAAAFRmFsc2VhlrVJK5HWCEQaRkorkdYILUNJUS5OWVNFOkJIVk4uSVFfVE9UQUxfUkVWLjIwMDAuOS8xOS8yMDE3Li4uLgEAAADcZyAPAwAAAAAALiG1SSuR1giA9TFKK5HWCCtDSVEuTllTRTpCSFZOLklRX0NBU0hfRVFVSVYuLjUvMy8yMDE3Li4uVVNEAQAAANxnIA8CAAAABjUyLjI4</t>
  </si>
  <si>
    <t>NgEIAAAABQAAAAExAQAAAAoxODg5MDQzMzQ0AwAAAAMxNjACAAAABDEwOTYEAAAAATAHAAAACDUvMy8yMDE3CAAAAAkzLzMxLzIwMTcJAAAAATAuIbVJK5HWCID1MUorkdYIRkNJUS5OQVNEQVFDTTpPTkNTLklRX1RPVEFMX1JFVl8zWVJfQU5OX0NBR1IuMjAwMC4xLzMxLzIwMTkuTEZSLkYuVVNELkgBAAAA4+PaAgMAAAAAAMlpBz0rkdYInBBnSiuR1ggxQ0lRLklRVFI1OTcwNzc3NjUuSVFfVFJfVEFSR0VUX1JFVkVOVUVfRVNULi5VU0QuSAEAAAAFr5YjAgAAAAAALiG1SSuR1ggQ70dKK5HWCDxDSVEuKElOVkFMSUQgSURFTlRJRklFUikuSVFfQ0FQRVguMTk5Mi4xLzMxLzIwMTkuTEZSLkYuVVNELkgFAAAAAAAAAAgAAAAUKEludmFsaWQgSWRlbnRpZmllcikNBgg9K5HWCIzBskorkdYILENJUS5JUVRSNTU4MzA4NzI5LklRX1RSX1RBUkdFVF9FQklUREEuLlVTRC5IAQAAAHkdRyECAAAAAAA/SLVJK5HWCGT8SkorkdYIMUNJUS5JUVRSNTI4NTY5MTIyLklRX1RSX1RBUkdFVF9SRVZFTlVFX0VTVC4uVVNELkgBAAAAIlOBHwIAAAAAAD9ItUkrkdYI8AxDSiuR1gg8Q0lRLk5BU0RBUUdNOlNVUkYuSVFfVE9UQUxfRVFVSVRZLjE5OTYuMS8zMS8yMDE5LkxGUi5GLlVTRC5IAQAAALQpxxACAAAABi0zLjc1MgEIAAAABQAAAAExAQAAAAoxOTIxODEzODY3AwAAAAMxNjACAAAABDEyNzUEAAAAATAHAAAACTEv</t>
  </si>
  <si>
    <t>MzEvMjAxOQgAAAAJOS8zMC8yMDE3CQAAAAEw2pAHPSuR1giIx21KK5HWCCxDSVEuSVFUUjQxOTg2NDMwMS5JUV9UUl9UQVJHRVRfRUJJVERBLi5VU0QuSAEAAADtngYZAgAAAAotNTguNjQ3NDQ4AQYAAAAFAAAAAjM3AQAAAAoxODI2OTE0NzQyAgAAAAUyMTY3NwMAAAADMTYwBAAAAAEwBwAAAAgxLzEvMTkwMD9ItUkrkdYINKlDSiuR1ggiQ0lRLklRVFI1NDc4Mjk5NDkuSVFfVFJfVEFSR0VUTkFNRQEAAAC9OKcgAwAAADxLbmlnaHQgS25veCBEZXZlbG9wbWVudCBDb3JwLiAobmthOkFydGVsbyBCaW9zY2llbmNlcywgSW5jLikAUG+1SSuR1ghW90NKK5HWCB9DSVEuLklRX1RSX1RPVEFMX0dST1NTX1RWLlVTRC5IBQAAAAAAAAAIAAAAFChJbnZhbGlkIElkZW50aWZpZXIpWl23PSuR1ghZGT1KK5HWCDpDSVEuTkFTREFRR006U1VSRi5JUV9FQVJOSU5HX0NPLjE5OTYuMS8zMS8yMDE5LkxGUi5GLlVTRC5IAQAAALQpxxACAAAABy0zNi4zOTgBCAAAAAUAAAABMQEAAAAKMTkyMTgxMzg2NwMAAAADMTYwAgAAAAE3BAAAAAEwBwAAAAkxLzMxLzIwMTkIAAAACTkvMzAvMjAxNwkAAAABMNqQBz0rkdYId6BtSiuR1gggQ0lRLklRMzYxODM4NDMuSVFfTEFTVFNBTEVQUklDRS4BAAAAIx8oAgIAAAABMwBaXbc9K5HWCHtnPUorkdYIK0NJUS5JUVRSNTk3MDc3NzY1LklRX1RSX0lNUExJRURfRVZfRUJJVF9GV0QB</t>
  </si>
  <si>
    <t>AAAABa+WIwIAAAAAAC4htUkrkdYIEO9HSiuR1ghGQ0lRLihJTlZBTElEIElERU5USUZJRVIpLklRX05FVF9XT1JLSU5HX0NBUC4xOTk2LjEvMzEvMjAxOS5MRlIuRi5VU0QuSAUAAAAAAAAACAAAABQoSW52YWxpZCBJZGVudGlmaWVyKfzeBz0rkdYIe5qySiuR1gg9Q0lRLk5BU0RBUUNNOkNVRS5JUV9DQVNIX1NUX0lOVkVTVC4yMDAwLjkvMzAvMjAxNi5MRlIuRi5VU0QuSAEAAACmZugYAwAAAAAAyWkHPSuR1gh7eGRKK5HWCD9DSVEuTkFTREFRR1M6RlBSWC5JUV9ORVRfV09SS0lOR19DQVAuMjAwMC4xLzMxLzIwMTkuTEZSLkYuVVNELkgBAAAAN10zAAIAAAAHLTI4LjI1OAEIAAAABQAAAAExAQAAAAoxOTE5Nzk1MTcyAwAAAAMxNjACAAAABDEzMTEEAAAAATAHAAAACTEvMzEvMjAxOQgAAAAJOS8zMC8yMDE4CQAAAAEwuEIHPSuR1ggna2FKK5HWCC5DSVEuSVFUUjQwMjQ2ODM0My5JUV9UUl9UQVJHRVRfU1RPQ0tQUkVNSVVNXzFNAQAAAPct/RcCAAAAAABQb7VJK5HWCO3qSUorkdYIOENJUS5OQVNEQVFDTTpPTkNTLklRX0VCSVREQS5DWTIwMTguMS8zMS8yMDE5LkxGUi5GLlVTRC5IAQAAAOPj2gIDAAAAAADJaQc9K5HWCAOxZUorkdYIJUNJUS5JUVRSNDE4MDgzMzQzLklRX1RSX01BSl9NSU5fU1RBS0UBAAAAD3LrGAMAAAAITWFqb3JpdHkAUG+1SSuR1giXcUtKK5HWCDtDSVEuTkFTREFRQ006Q1VF</t>
  </si>
  <si>
    <t>LklRX0VCSVREQV9FU1QuQ1kyMDIwLjEvMzEvMjAxOS5DT04uRi5VU0QuSAEAAACmZugYAwAAAAAADQYIPSuR1ggEZ2NKK5HWCC9DSVEuSVFUUjU1MDI1OTM5Ny5JUV9UUl9UQVJHRVRfVE9UQUxfUkVWLi5VU0QuSAEAAADFSswgAgAAAAcxMTEuODcxAQYAAAAFAAAAAjM3AQAAAAoxODc2NTY1NTI4AgAAAAIyOAMAAAADMTYwBAAAAAEwBwAAAAgxLzEvMTkwMD9ItUkrkdYIiiJCSiuR1ggjQ0lRLklRVFI1NTgzMDg3MjkuSVFfVFJfQ0xPU0VEX0RBVEUBAAAAeR1HIQUAAAAINC80LzIwMTgAP0i1SSuR1ghCrkpKK5HWCC5DSVEuSVFUUjQzMDEwOTU2Mi5JUV9UUl9UQVJHRVRfU1RPQ0tQUkVNSVVNXzFXAQAAAHrzohkCAAAAAAA/SLVJK5HWCJgnSUorkdYIPENJUS5OQVNEQVFDTTpUR1RYLklRX0dST1NTX01BUkdJTi4yMDAwLjEvMzEvMjAxOS5MRlIuRi5VU0QuSAEAAABalI8IAgAAAAMxMDABCAAAAAUAAAABMQEAAAAKMTkyMTE3ODg0MQMAAAADMTYwAgAAAAQ0MDc0BAAAAAEwBwAAAAkxLzMxLzIwMTkIAAAACTkvMzAvMjAxOAkAAAABMI3Stz0rkdYI5TpcSiuR1ggpQ0lRLklRVFI1ODAyOTgwNDkuSVFfVFJfSU1QTElFRF9FUV9OSV9MVE0BAAAAQaWWIgIAAAAAAC4htUkrkdYI8cJASiuR1gg5Q0lRLk5BU0RBUUdTOk5LLklRX1RPVEFMX1JFVi5DWTIwMTguMS8zMS8yMDE5LkxGUi5GLlVTRC5IAQAAAA19</t>
  </si>
  <si>
    <t>oQ8DAAAAAADJaQc9K5HWCOCsZ0orkdYINkNJUS5OQVNEQVFDTTpaSU9QLklRX0VCSVREQS4xOTk2LjEvMzEvMjAxOS5MRlIuRi5VU0QuSAEAAACzUbIAAgAAAActNTAuODQ2AQgAAAAFAAAAATEBAAAACjE5MjA1Mzc2ODADAAAAAzE2MAIAAAAENDA1MQQAAAABMAcAAAAJMS8zMS8yMDE5CAAAAAk5LzMwLzIwMTcJAAAAATB8q7c9K5HWCMVYV0orkdYIIUNJUS5JUVRSNDAyNDY4MzQzLklRX1RSX0JVWUVSTkFNRQEAAAD3Lf0XAwAAAD1Ccm93biBUZWNobmljYWwgTWVkaWEgQ29ycC4gKG5rYTpQcm9CaWxpdHkgTWVkaWEgQ29ycG9yYXRpb24pAFBvtUkrkdYIqU5JSiuR1ggoQ0lRLk5BU0RBUUdNOlhPTUEuSVFfVEVWLjEvMzEvMjAxOS5VU0QuSAEAAAChjwAAAgAAAAk5OC4zODA0MDQBBgAAAAUAAAABMQEAAAAKMTkxOTkyODAxNwMAAAADMTYwAgAAAAYxMDAwNjAEAAAAATAHAAAACTEvMzEvMjAxOVpdtz0rkdYIj8FdSiuR1ghDQ0lRLk5BU0RBUUdTOlRIT1IuSVFfRUJJVERBXzVZUl9BTk5fQ0FHUi4yMDAwLjEvMzEvMjAxOS5MRlIuRi5VU0QuSAEAAAC4X7cPAwAAAAAAfKu3PSuR1ghfblZKK5HWCCVDSVEuSVFUUjM4NDAyODQ5Ni5JUV9UUl9JTVBMSUVEX0VRX0JWAQAAAFDP4xYCAAAACDguMjkzMzU3AQYAAAAFAAAAAjU0AQAAAAYxMDIwOTcCAAAACTM4NDAyODQ5NgMAAAAJNDA3Mjc1Nzc2BAAAAAMx</t>
  </si>
  <si>
    <t>NjAGAAAABUZhbHNlUG+1SSuR1gjNCEVKK5HWCClDSVEuSVFUUjMyNjk5NTQwOC5JUV9UUl9JTVBMSUVEX0VRX05JX0xUTQEAAADQjX0TAgAAAAAAUG+1SSuR1ggizEVKK5HWCCpDSVEuSVFUUjU2MzkxOTA0OS5JUV9UUl9UQVJHRVRfRUJJVC4uVVNELkgBAAAAybicIQIAAAAHLTU1LjM3MgEGAAAABQAAAAIzNwEAAAAKMTg4ODk3OTA5NQIAAAAFMjE2NzUDAAAAAzE2MAQAAAABMAcAAAAIMS8xLzE5MDA/SLVJK5HWCDVfQUorkdYIJ0NJUS5OQVNEQVFDTTpaSU9QLklRX1BFUklPRERBVEVfSVMuMTAwMAEAAACzUbIABQAAAAoxMi8zMS8yMDE3AHyrtz0rkdYIcJVWSiuR1gg2Q0lRLk5BU0RBUUdNOkZBVEUuSVFfRUJJVERBLjIwMDAuMS8zMS8yMDE5LkxGUi5GLlVTRC5IAQAAAGgxVwICAAAABy02MS40MjgBCAAAAAUAAAABMQEAAAAKMTkxNzczMTkyOQMAAAADMTYwAgAAAAQ0MDUxBAAAAAEwBwAAAAkxLzMxLzIwMTkIAAAACTkvMzAvMjAxOAkAAAABMGuEtz0rkdYIgyhSSiuR1ggpQ0lRLklRVFI1NTgzMDg3MjkuSVFfVFJfSU1QTElFRF9FUV9OSV9MVE0BAAAAeR1HIQIAAAAAAD9ItUkrkdYIdSNLSiuR1gghQ0lRLk5BU0RBUUNNOk9OQ1MuSVFfQ09NUEFOWV9OQU1FAQAAAOPj2gIDAAAAHE9uY29TZWMgTWVkaWNhbCBJbmNvcnBvcmF0ZWQApxsHPSuR1giu7WRKK5HWCDxDSVEuTkFTREFRR1M6TksuSVFf</t>
  </si>
  <si>
    <t>Q0FTSF9TVF9JTlZFU1QuMjAwMC45LzMwLzIwMTYuTEZSLkYuVVNELkgBAAAADX2hDwIAAAAHMjEzLjkwNAEIAAAABQAAAAExAQAAAAoxODAzOTAxOTc1AwAAAAMxNjACAAAABDEwMDIEAAAAATAHAAAACTkvMzAvMjAxNggAAAAJNi8zMC8yMDE2CQAAAAEwyWkHPSuR1giKM2lKK5HWCDlDSVEuTkFTREFRQ006T05DUy5JUV9OSV9NQVJHSU4uMjAwMC4xLzMxLzIwMTkuTEZSLkYuVVNELkgBAAAA4+PaAgMAAAAAAMlpBz0rkdYIJf9lSiuR1ggwQ0lRLklRVFI1MjkxOTE4ODAuSVFfVFJfVEFSR0VUX0VCSVREQV9FU1QuLlVTRC5IAQAAAMjTih8CAAAAAAA/SLVJK5HWCFSLSEorkdYIL0NJUS5JUVRSMzE0ODI5MjM2LklRX1RSX1RBUkdFVF9UT1RBTF9SRVYuLlVTRC5IAQAAALTpwxICAAAAAABQb7VJK5HWCA85SkorkdYILENJUS5JUVRSNTgwMjk4MDQ5LklRX1RSX1RPVEFMX0dST1NTX1RWLlVTRC5IBQAAAAAAAAAIAAAAGihJbnZhbGlkIEN1cnJlbmN5IFJlcXVlc3QpHfq0SSuR1gjxwkBKK5HWCD5DSVEuTkFTREFRQ006T05DUy5JUV9UT1RBTF9FUVVJVFkuQ1kyMDE3LjEvMzEvMjAxOS5MRlIuRi5VU0QuSAEAAADj49oCAgAAAAkxOC4wMzEwNzEBCAAAAAUAAAABMQEAAAAKMTg3NzYyNDYyNAMAAAADMTYwAgAAAAQxMjc1BAAAAAEwBwAAAAkxLzMxLzIwMTkIAAAACTEvMzEvMjAxOAkAAAABMMlpBz0rkdYI</t>
  </si>
  <si>
    <t>esJmSiuR1ggsQ0lRLklRVFI1OTcwNzc3NjUuSVFfVFJfVEFSR0VUX0VCSVREQS4uVVNELkgBAAAABa+WIwIAAAAAAC4htUkrkdYI/8dHSiuR1gg6Q0lRLk5BU0RBUUdTOk5LLklRX0VCSVREQV9FU1QuQ1kyMDIxLjEvMzEvMjAxOS5DT04uRi5VU0QuSAEAAAANfaEPAwAAAAAADQYIPSuR1ggTImhKK5HWCCRDSVEuTkFTREFRR006WE9NQS5JUV9FRkZFQ1RfVEFYX1JBVEUBAAAAoY8AAAMAAAACTk0BCAAAAAUAAAABMQEAAAAKMTkxOTkyODEyNAMAAAADMTYwAgAAAAQ0Mzc2BAAAAAEwBwAAAAkyLzEyLzIwMTkIAAAACTkvMzAvMjAxOAkAAAABMLhCBz0rkdYIbL1fSiuR1gg8Q0lRLk5BU0RBUUdTOkZQUlguSVFfR1JPU1NfTUFSR0lOLjIwMDAuMS8zMS8yMDE5LkxGUi5GLlVTRC5IAQAAADddMwACAAAACS0xNjEuMjY0OQEIAAAABQAAAAExAQAAAAoxOTE5Nzk1MTcyAwAAAAMxNjACAAAABDQwNzQEAAAAATAHAAAACTEvMzEvMjAxOQgAAAAJOS8zMC8yMDE4CQAAAAEwuEIHPSuR1ggFHWFKK5HWCDpDSVEuTkFTREFRR1M6RlBSWC5JUV9UT1RBTF9ERUJULjIwMDAuOS8zMC8yMDE2LkxGUi5GLlVTRC5IAQAAADddMwACAAAAATABCAAAAAUAAAABMQEAAAAKMTgwMjAyMTMzNQMAAAADMTYwAgAAAAQ0MTczBAAAAAEwBwAAAAk5LzMwLzIwMTYIAAAACTYvMzAvMjAxNgkAAAABMLhCBz0rkdYIfC5iSiuR1gglQ0lR</t>
  </si>
  <si>
    <t>LklRVFI1NDc4Mjk5NDkuSVFfVFJfSU1QTElFRF9FUV9CVgEAAAC9OKcgAgAAAAAAUG+1SSuR1giJbERKK5HWCEdDSVEuTkFTREFRQ006VEdUWC5JUV9NSU5PUklUWV9JTlRFUkVTVF9UT1RBTC4yMDAwLjkvMzAvMjAxNi5MRlIuRi5VU0QuSAEAAABalI8IAwAAAAAAjdK3PSuR1ghLJV1KK5HWCCxDSVEuSVFUUjQzMDEwOTU2Mi5JUV9UUl9UQVJHRVRfRUJJVERBLi5VU0QuSAEAAAB686IZAgAAAAAAP0i1SSuR1giYJ0lKK5HWCC5DSVEuKElOVkFMSUQgSURFTlRJRklFUikuSVFfQkVUQV8xWVIuMS8zMS8yMDE5BQAAAAAAAAAIAAAAFChJbnZhbGlkIElkZW50aWZpZXIpHi0IPSuR1gid6LJKK5HWCD1DSVEuTkFTREFRR1M6RlBSWC5JUV9SRVZFTlVFX0VTVC5DWTIwMjIuMS8zMS8yMDE5LkNPTi5GLlVTRC5IAQAAADddMwACAAAABzE0MS40NzQBDgAAAAUAAAACMTEBAAAAATACAAAACjEwMDE5NTYzNjQDAAAABjEwMDE4MAQAAAABMgYAAAABMAcAAAADMTYwCAAAAAEwCQAAAAExCgAAAAEwCwAAAAsxMTI1MzQ1MDE0MAwAAAABNw0AAAAIMi8xLzIwMTkQAAAACTEvMzEvMjAxOQ0GCD0rkdYI0qdgSiuR1gg5Q0lRLk5BU0RBUUNNOlpJT1AuSVFfVE9UQUxfUkVWLjIwMDAuMS8zMS8yMDE5LkxGUi5GLlVTRC5IAQAAALNRsgACAAAABTEuNzQzAQgAAAAFAAAAATEBAAAACjE5MjA1Mzc3MDkDAAAAAzE2MAIAAAAC</t>
  </si>
  <si>
    <t>MjgEAAAAATAHAAAACTEvMzEvMjAxOQgAAAAJOS8zMC8yMDE4CQAAAAEwfKu3PSuR1giS41ZKK5HWCCFDSVEuTkFTREFRR006Q1JWUy5JUV9DT01QQU5ZX05BTUUBAAAA9LCmEAMAAAAcQ29ydnVzIFBoYXJtYWNldXRpY2FscywgSW5jLgCnGwc9K5HWCKyBaUorkdYIHUNJUS5OQVNEQVFHTTpGQVRFLklRX0VYQ0hBTkdFAQAAAGgxVwIDAAAACE5hc2RhcUdNAFpdtz0rkdYIP4xRSiuR1ghGQ0lRLk5BU0RBUUNNOlpJT1AuSVFfVE9UQUxfUkVWXzNZUl9BTk5fQ0FHUi4yMDAwLjEvMzEvMjAxOS5MRlIuRi5VU0QuSAEAAACzUbIAAgAAAAgtMTQuMTMyMgEIAAAABQAAAAExAQAAAAoxOTIwNTM3NzA5AwAAAAMxNjACAAAABDQyMjAEAAAAATAHAAAACTEvMzEvMjAxOQgAAAAJOS8zMC8yMDE4CQAAAAEwfKu3PSuR1ghNkVhKK5HWCDtDSVEuTkFTREFRR1M6TktUUi5JUV9UT1RBTF9SRVYuQ1kyMDE4LjEvMzEvMjAxOS5MRlIuRi5VU0QuSAEAAADpdAAAAwAAAAAAa4S3PSuR1ghAQk9KK5HWCDtDSVEuTkFTREFRR006U1VSRi5JUV9QUkVGX0VRVUlUWS4yMDAwLjEvMzEvMjAxOS5MRlIuRi5VU0QuSAEAAAC0KccQAwAAAAAA2pAHPSuR1gjeQGxKK5HWCCVDSVEuSVFUUjMyODk3ODUxOS5JUV9UUl9NQUpfTUlOX1NUQUtFAQAAAFfQmxMDAAAACE1ham9yaXR5AFBvtUkrkdYI7DRMSiuR1ggwQ0lRLklRVFIzMjg5Nzg1</t>
  </si>
  <si>
    <t>MTkuSVFfVFJfVEFSR0VUX0VCSVREQV9FU1QuLlVTRC5IAQAAAFfQmxMCAAAAAABQb7VJK5HWCA6DTEorkdYILkNJUS5JUVRSMzI2OTk1NDA4LklRX1RSX1RBUkdFVF9TVE9DS1BSRU1JVU1fMU0BAAAA0I19EwIAAAAAAFBvtUkrkdYIM/NFSiuR1ghFQ0lRLk5BU0RBUUdTOk5LLklRX01JTk9SSVRZX0lOVEVSRVNUX1RPVEFMLjIwMDAuMS8zMS8yMDE5LkxGUi5GLlVTRC5IAQAAAA19oQ8DAAAAAADJaQc9K5HWCM+FZ0orkdYIOUNJUS5OQVNEQVFHUzpOS1RSLklRX1RPVEFMX1JFVi4xOTk2LjEvMzEvMjAxOS5MRlIuRi5VU0QuSAEAAADpdAAAAgAAAAcyNDkuNjk3AQgAAAAFAAAAATEBAAAACjE5MjA1NDA1MDMDAAAAAzE2MAIAAAACMjgEAAAAATAHAAAACTEvMzEvMjAxOQgAAAAJOS8zMC8yMDE3CQAAAAEwa4S3PSuR1ggvG09KK5HWCDtDSVEuTkFTREFRR006WE9NQS5JUV9QUkVGX0VRVUlUWS4yMDAwLjEvMzEvMjAxOS5MRlIuRi5VU0QuSAEAAAChjwAAAwAAAAAAjdK3PSuR1giPwV1KK5HWCCJDSVEuSVFUUjU1MDI1OTM5Ny5JUV9UUl9UT1RBTF9DQVNIAQAAAMVKzCACAAAACzkwODguOTIyNTM4AQYAAAAFAAAAAjU0AQAAAAYxMDEwNTYCAAAACTU1MDI1OTM5NwMAAAAJNTUwMjY0NTY0BAAAAAMxNjAGAAAABUZhbHNlP0i1SSuR1gh5+0FKK5HWCCNDSVEuSVFUUjU5NzA3Nzc2NS5JUV9UUl9UT1RBTF9T</t>
  </si>
  <si>
    <t>VE9DSwEAAAAFr5YjAgAAAAAALiG1SSuR1gjuoEdKK5HWCDZDSVEuTkFTREFRQ006U1RNTC5JUV9FQklUREEuMjAwMC4xLzMxLzIwMTkuTEZSLkYuVVNELkgBAAAAL6idAAIAAAAKLTgxLjI0NzAwNwEIAAAABQAAAAExAQAAAAoxOTIwNDQwNjI1AwAAAAMxNjACAAAABDQwNTEEAAAAATAHAAAACTEvMzEvMjAxOQgAAAAJOS8zMC8yMDE4CQAAAAEwfKu3PSuR1gjEollKK5HWCDhDSVEuTkFTREFRR1M6TksuSVFfVE9UQUxfREVCVC4yMDAwLjkvMzAvMjAxNi5MRlIuRi5VU0QuSAEAAAANfaEPAgAAAAUyLjQxNwEIAAAABQAAAAExAQAAAAoxODAzOTAxOTc1AwAAAAMxNjACAAAABDQxNzMEAAAAATAHAAAACTkvMzAvMjAxNggAAAAJNi8zMC8yMDE2CQAAAAEwyWkHPSuR1gh5DGlKK5HWCCxDSVEuSVFUUjU4MDI5ODA0OS5JUV9UUl9UQVJHRVRfRUJJVERBLi5VU0QuSAEAAABBpZYiAgAAAAAALiG1SSuR1gjxwkBKK5HWCC5DSVEuSVFUUjU5NzA3Nzc2NS5JUV9UUl9UQVJHRVRfU1RPQ0tQUkVNSVVNXzFXAQAAAAWvliMCAAAAAAAuIbVJK5HWCBDvR0orkdYINUNJUS5OQVNEQVFDTTpTVE1MLklRX0NBUEVYLjE5OTYuMS8zMS8yMDE5LkxGUi5GLlVTRC5IAQAAAC+onQACAAAACS0wLjA4NjE5MgEIAAAABQAAAAExAQAAAAoxOTIwNDQwNjIyAwAAAAMxNjACAAAABDIwMjEEAAAAATAHAAAACTEvMzEvMjAxOQgAAAAJ</t>
  </si>
  <si>
    <t>OS8zMC8yMDE3CQAAAAEwfKu3PSuR1ggIP1pKK5HWCCVDSVEuSVFUUjU1ODMwODcyOS5JUV9UUl9NQUpfTUlOX1NUQUtFAQAAAHkdRyEDAAAACE1ham9yaXR5AD9ItUkrkdYIU9VKSiuR1gg9Q0lRLk5BU0RBUUdNOkZBVEUuSVFfUkVWRU5VRV9FU1QuQ1kyMDIxLjEvMzEvMjAxOS5DT04uRi5VU0QuSAEAAABoMVcCAgAAAAcyMDguNzg4AQ4AAAAFAAAAAjExAQAAAAEwAgAAAAoxMDAxOTY3NDUzAwAAAAYxMDAxODAEAAAAATIGAAAAATAHAAAAAzE2MAgAAAABMAkAAAABMQoAAAABMAsAAAALMTEyMjE1MTM5NjIMAAAAATcNAAAACDIvMS8yMDE5EAAAAAkxLzMxLzIwMTmN0rc9K5HWCIMoUkorkdYIKkNJUS5JUVRSNDE4MDgzMzQzLklRX1RSX1RBUkdFVF9FQklULi5VU0QuSAEAAAAPcusYAgAAAAAAUG+1SSuR1gjK5ktKK5HWCEpDSVEuKElOVkFMSUQgSURFTlRJRklFUikuSVFfRUJJVERBXzNZUl9BTk5fQ0FHUi4yMDAwLjEvMzEvMjAxOS5MRlIuRi5VU0QuSAUAAAAAAAAACAAAABQoSW52YWxpZCBJZGVudGlmaWVyKQ0GCD0rkdYI8quzSiuR1gg8Q0lRLk5BU0RBUUdTOlRIT1IuSVFfRUJJVERBX0VTVC5DWTIwMjEuMS8zMS8yMDE5LkNPTi5GLlVTRC5IAQAAALhftw8CAAAABy04MC40NDYBDgAAAAUAAAACMTEBAAAAATACAAAACjEwMDQyODQzNjEDAAAABjEwMDE4NwQAAAABMgYAAAABMAcAAAADMTYwCAAA</t>
  </si>
  <si>
    <t>AAEwCQAAAAExCgAAAAEwCwAAAAsxMTIyNDkzMTE3MAwAAAABNw0AAAAIMi8xLzIwMTkQAAAACTEvMzEvMjAxOY3Stz0rkdYItedUSiuR1ghDQ0lRLk5BU0RBUUNNOlNUTUwuSVFfRUJJVERBXzJZUl9BTk5fQ0FHUi4yMDAwLjEvMzEvMjAxOS5MRlIuRi5VU0QuSAEAAAAvqJ0AAwAAAAJOTQEIAAAABQAAAAExAQAAAAoxOTIwNDQwNjI1AwAAAAMxNjACAAAABDQyMDkEAAAAATAHAAAACTEvMzEvMjAxOQgAAAAJOS8zMC8yMDE4CQAAAAEwfKu3PSuR1ghdAltKK5HWCEdDSVEuTkFTREFRR1M6VEhPUi5JUV9NSU5PUklUWV9JTlRFUkVTVF9UT1RBTC4yMDAwLjEvMzEvMjAxOS5MRlIuRi5VU0QuSAEAAAC4X7cPAwAAAAAAa4S3PSuR1ghxS1RKK5HWCD9DSVEuKElOVkFMSUQgSURFTlRJRklFUikuSVFfRUJJVERBLkNZMjAxOC4xLzMxLzIwMTkuTEZSLkYuVVNELkgFAAAAAAAAAAgAAAAUKEludmFsaWQgSWRlbnRpZmllcin83gc9K5HWCEglskorkdYIPENJUS5OQVNEQVFHTTpYT01BLklRX1RPVEFMX0VRVUlUWS4yMDAwLjEvMzEvMjAxOS5MRlIuRi5VU0QuSAEAAAChjwAAAgAAAAUxLjE1MwEIAAAABQAAAAExAQAAAAoxOTE5OTI4MTI0AwAAAAMxNjACAAAABDEyNzUEAAAAATAHAAAACTEvMzEvMjAxOQgAAAAJOS8zMC8yMDE4CQAAAAEwuEIHPSuR1ghKb19KK5HWCDpDSVEuTkFTREFRR1M6RlBSWC5JUV9FQVJO</t>
  </si>
  <si>
    <t>SU5HX0NPLjE5OTYuMS8zMS8yMDE5LkxGUi5GLlVTRC5IAQAAADddMwACAAAACC0xNDEuMTE3AQgAAAAFAAAAATEBAAAACjE5MTk3OTUxNzADAAAAAzE2MAIAAAABNwQAAAABMAcAAAAJMS8zMS8yMDE5CAAAAAk5LzMwLzIwMTcJAAAAATC4Qgc9K5HWCEm5YUorkdYIK0NJUS5JUVRSNTI4NTY5MTIyLklRX1RSX0lNUExJRURfRVZfRUJJVF9GV0QBAAAAIlOBHwIAAAAAAD9ItUkrkdYI8AxDSiuR1gg9Q0lRLk5BU0RBUUdTOlRIT1IuSVFfUkVWRU5VRV9FU1QuQ1kyMDE5LjEvMzEvMjAxOS5DT04uRi5VU0QuSAEAAAC4X7cPAgAAAAEwAQ4AAAAFAAAAAjExAQAAAAEwAgAAAAoxMDA0Mjg0MzUxAwAAAAYxMDAxODAEAAAAATIGAAAAATAHAAAAAzE2MAgAAAABMAkAAAABMQoAAAABMAsAAAALMTEyMjQ5MzE2MDAMAAAAATcNAAAACDIvMS8yMDE5EAAAAAkxLzMxLzIwMTmN0rc9K5HWCIJyVEorkdYIK0NJUS5JUVRSNDE5ODY0MzAxLklRX1RSX0lNUExJRURfRVZfRUJJVF9GV0QBAAAA7Z4GGQMAAAACTk0AP0i1SSuR1ghF0ENKK5HWCDxDSVEuTkFTREFRR006Q1JWUy5JUV9FQVJOSU5HX0NPLkNZMjAxOC4xLzMxLzIwMTkuTEZSLkYuVVNELkgBAAAA9LCmEAMAAAAAANqQBz0rkdYIZy9rSiuR1ggjQ0lRLklRVFIzMTQ4MjkyMzYuSVFfVFJfVE9UQUxfU1RPQ0sBAAAAtOnDEgIAAAAAAFBvtUkrkdYIDzlKSiuR1ggi</t>
  </si>
  <si>
    <t>Q0lRLklRVFI1NDc4Mjk5NDkuSVFfVFJfUENUX1NPVUdIVAEAAAC9OKcgAgAAAAk3OC41MzQwMzEAUG+1SSuR1ghW90NKK5HWCDlDSVEuTkFTREFRQ006VEdUWC5JUV9UT1RBTF9SRVYuMTk5Mi4xLzMxLzIwMTkuTEZSLkYuVVNELkgBAAAAWpSPCAIAAAAIMC4xNTIzODEBCAAAAAUAAAABMQEAAAAKMTg2NTEyOTY5MgMAAAADMTYwAgAAAAIyOAQAAAABMAcAAAAJMS8zMS8yMDE5CAAAAAk5LzMwLzIwMTYJAAAAATCN0rc9K5HWCKGeW0orkdYIOUNJUS5OQVNEQVFDTTpaSU9QLklRX05JX01BUkdJTi4yMDAwLjEvMzEvMjAxOS5MRlIuRi5VU0QuSAEAAACzUbIAAwAAAAJOTQEIAAAABQAAAAExAQAAAAoxOTIwNTM3NzA5AwAAAAMxNjACAAAABDQwOTQEAAAAATAHAAAACTEvMzEvMjAxOQgAAAAJOS8zMC8yMDE4CQAAAAEwfKu3PSuR1gjWf1dKK5HWCB5DSVEuSVEzNjE4MzgxNi5JUV9DT01QQU5ZX05BTUUBAAAACB8oAgMAAAAyVW5pdGVkIFN0YXRlcyBUcmVhc3VyeSBDb25zdGFudCBNYXR1cml0eSAtIDMgTW9udGgALiG1SSuR1gi/Az5KK5HWCDBDSVEuTkFTREFRR1M6TktUUi5JUV9MQVNUU0FMRVBSSUNFLjEvMzEvMjAxOS5VU0QBAAAA6XQAAAIAAAAFNDIuMzQAWl23PSuR1gge9E5KK5HWCD9DSVEuTkFTREFRR006RkFURS5JUV9ORVRfV09SS0lOR19DQVAuMTk5Mi4xLzMxLzIwMTkuTEZSLkYuVVNELkgB</t>
  </si>
  <si>
    <t>AAAAaDFXAgIAAAAGLTUuODczAQgAAAAFAAAAATEBAAAACjE4NjM2MDE3MDgDAAAAAzE2MAIAAAAEMTMxMQQAAAABMAcAAAAJMS8zMS8yMDE5CAAAAAk5LzMwLzIwMTYJAAAAATBrhLc9K5HWCLadUkorkdYILENJUS5JUVRSMzE0ODI5MjM2LklRX1RSX1RPVEFMX0dST1NTX1RWLlVTRC5IBQAAAAAAAAAIAAAAGihJbnZhbGlkIEN1cnJlbmN5IFJlcXVlc3QpHfq0SSuR1gggYEpKK5HWCCNDSVEuSVFUUjU1MDI1OTM5Ny5JUV9UUl9DTE9TRURfREFURQEAAADFSswgBQAAAAgzLzYvMjAxOAA/SLVJK5HWCFetQUorkdYIRkNJUS5OQVNEQVFDTTpPTkNTLklRX1RPVEFMX1JFVl81WVJfQU5OX0NBR1IuMjAwMC4xLzMxLzIwMTkuTEZSLkYuVVNELkgBAAAA4+PaAgMAAAAAAMlpBz0rkdYInBBnSiuR1gguQ0lRLklRVFI0MDI0NjgzNDMuSVFfVFJfVEFSR0VUX1NUT0NLUFJFTUlVTV8xVwEAAAD3Lf0XAgAAAAAAUG+1SSuR1gjt6klKK5HWCCdDSVEuTkFTREFRR006Q1JWUy5JUV9CRVRBXzFZUi4xLzMxLzIwMTkBAAAA9LCmEAIAAAAQMS4xODAxNzY3NDE1NTczMwAeLQg9K5HWCFYIa0orkdYILkNJUS5JUVRSNDMwMTA5NTYyLklRX1RSX1RBUkdFVF9TVE9DS1BSRU1JVU1fMU0BAAAAevOiGQIAAAAAAD9ItUkrkdYIqU5JSiuR1gg9Q0lRLk5BU0RBUUdNOlhPTUEuSVFfUkVWRU5VRV9FU1QuQ1kyMDIyLjEvMzEvMjAx</t>
  </si>
  <si>
    <t>OS5DT04uRi5VU0QuSAEAAAChjwAAAgAAAAYyMS4wNTEBDgAAAAUAAAACMTEBAAAAATACAAAACjEwMDE1MzU4OTYDAAAABjEwMDE4MAQAAAABMgYAAAABMAcAAAADMTYwCAAAAAEwCQAAAAExCgAAAAEwCwAAAAsxMTI1MDUyNDgwNwwAAAABNw0AAAAIMi8xLzIwMTkQAAAACTEvMzEvMjAxOQ0GCD0rkdYIwjZeSiuR1ggnQ0lRLk5BU0RBUUdNOlNVUkYuSVFfQkVUQV81WVIuMS8zMS8yMDE5AQAAALQpxxADAAAAAAAeLQg9K5HWCHegbUorkdYIPUNJUS5OQVNEQVFDTTpPTkNTLklRX0VCSVREQV9NQVJHSU4uMjAwMC4xLzMxLzIwMTkuTEZSLkYuVVNELkgBAAAA4+PaAgMAAAAAAMlpBz0rkdYIFNhlSiuR1ggeQ0lRLklRMzYxODM4NDAuSVFfQ09NUEFOWV9OQU1FAQAAACAfKAIDAAAAMlVuaXRlZCBTdGF0ZXMgVHJlYXN1cnkgQ29uc3RhbnQgTWF0dXJpdHkgLSAyMCBZZWFyAC4htUkrkdYIjI49SiuR1ggeQ0lRLklRMzYxODM4MjUuSVFfQ09NUEFOWV9OQU1FAQAAABEfKAIDAAAAMVVuaXRlZCBTdGF0ZXMgVHJlYXN1cnkgQ29uc3RhbnQgTWF0dXJpdHkgLSAyIFllYXIALiG1SSuR1giu3D1KK5HWCDBDSVEuSVFUUjQxODA4MzM0My5JUV9UUl9UQVJHRVRfRUJJVERBX0VTVC4uVVNELkgBAAAAD3LrGAIAAAAAAFBvtUkrkdYIyuZLSiuR1ghHQ0lRLk5BU0RBUUNNOlRHVFguSVFfTUlOT1JJVFlfSU5URVJFU1Rf</t>
  </si>
  <si>
    <t>VE9UQUwuMjAwMC4xLzMxLzIwMTkuTEZSLkYuVVNELkgBAAAAWpSPCAMAAAAAAI3Stz0rkdYIkHdbSiuR1ggjQ0lRLklRVFI1NTAyNTkzOTcuSVFfVFJfVE9UQUxfU1RPQ0sBAAAAxUrMIAIAAAAAAD9ItUkrkdYIeftBSiuR1ggsQ0lRLk5BU0RBUUdNOkZBVEUuSVFfTEFTVFNBTEVQUklDRS45LzMwLzIwMTYBAAAAaDFXAgIAAAAEMy4xMgBaXbc9K5HWCPo5U0orkdYINkNJUS5OQVNEQVFHTTpGQVRFLklRX0VCSVREQS4xOTk2LjEvMzEvMjAxOS5MRlIuRi5VU0QuSAEAAABoMVcCAgAAAActMzYuNjUxAQgAAAAFAAAAATEBAAAACjE5MTc3MzE4OTkDAAAAAzE2MAIAAAAENDA1MQQAAAABMAcAAAAJMS8zMS8yMDE5CAAAAAk5LzMwLzIwMTcJAAAAATBrhLc9K5HWCIMoUkorkdYIMUNJUS5JUVRSNDAyNDY4MzQzLklRX1RSX1RBUkdFVF9SRVZFTlVFX0VTVC4uVVNELkgBAAAA9y39FwIAAAAAAFBvtUkrkdYI7epJSiuR1gg7Q0lRLk5BU0RBUUNNOlpJT1AuSVFfVE9UQUxfUkVWLkNZMjAxNy4xLzMxLzIwMTkuTEZSLkYuVVNELkgBAAAAs1GyAAIAAAAFNi4zODkBCAAAAAUAAAABMQEAAAAKMTg3NzIwNDQ2NgMAAAADMTYwAgAAAAIyOAQAAAABMAcAAAAJMS8zMS8yMDE5CAAAAAoxMi8zMS8yMDE3CQAAAAEwfKu3PSuR1gijCldKK5HWCDpDSVEuTkFTREFRR1M6TktUUi5JUV9FQVJOSU5HX0NPLjE5OTYuMS8zMS8y</t>
  </si>
  <si>
    <t>MDE5LkxGUi5GLlVTRC5IAQAAAOl0AAACAAAACC0xMDUuMDY1AQgAAAAFAAAAATEBAAAACjE5MjA1NDA1MDMDAAAAAzE2MAIAAAABNwQAAAABMAcAAAAJMS8zMS8yMDE5CAAAAAk5LzMwLzIwMTcJAAAAATBrhLc9K5HWCMh6UEorkdYINENJUS5OQVNEQVFHUzpOSy5JUV9FQklUREEuMTk5Ni4xLzMxLzIwMTkuTEZSLkYuVVNELkgBAAAADX2hDwIAAAAHLTkzLjAzNAEIAAAABQAAAAExAQAAAAoxOTE5OTY2NDc5AwAAAAMxNjACAAAABDQwNTEEAAAAATAHAAAACTEvMzEvMjAxOQgAAAAJOS8zMC8yMDE3CQAAAAEwyWkHPSuR1ggC+2dKK5HWCCVDSVEuSVFUUjMyODk3ODUxOS5JUV9UUl9JTVBMSUVEX0VRX0JWAQAAAFfQmxMCAAAAAABQb7VJK5HWCA6DTEorkdYIL0NJUS5JUVRSNDAyNDY4MzQzLklRX1RSX0lNUExJRURfRVZfRklOQUwuLlVTRC5IAQAAAPct/RcCAAAAAABQb7VJK5HWCLp1SUorkdYILENJUS5OQVNEQVFHUzpOSy5JUV9NQVJLRVRDQVAuOS8zMC8yMDE2LlVTRC5IAQAAAA19oQ8CAAAACjY0MC4zODU1MjQBBgAAAAUAAAABMQEAAAAKMTgwMzkwMTcyMgMAAAADMTYwAgAAAAYxMDAwNTQEAAAAATAHAAAACTkvMzAvMjAxNqcbBz0rkdYIeQxpSiuR1ggiQ0lRLklRVFI0MTk4NjQzMDEuSVFfVFJfVE9UQUxfQ0FTSAEAAADtngYZAgAAAAQxNC43AQYAAAAFAAAAAjU0AQAAAAYxMDEwNTYCAAAACTQx</t>
  </si>
  <si>
    <t>OTg2NDMwMQMAAAAJNDE5ODY1MzI3BAAAAAMxNjAGAAAABUZhbHNlP0i1SSuR1ggSW0NKK5HWCCVDSVEuTkFTREFRQ006WklPUC5JUV9GSVJTVFBSSUNJTkdEQVRFAQAAALNRsgAFAAAACTkvMTYvMjAwNQBaXbc9K5HWCIG8VkorkdYIMENJUS5JUVRSNTk3MDc3NzY1LklRX1RSX1RBUkdFVF9FQklUREFfRVNULi5VU0QuSAEAAAAFr5YjAgAAAAAALiG1SSuR1gj/x0dKK5HWCClDSVEuSVEzNjE4MzgyMi5JUV9MQVNUU0FMRVBSSUNFLjEvMzEvMjAxOQEAAAAOHygCAgAAAAQyLjU1AB36tEkrkdYI635OSiuR1gg7Q0lRLk5BU0RBUUNNOkNVRS5JUV9FQklUREFfRVNULkNZMjAyMS4xLzMxLzIwMTkuQ09OLkYuVVNELkgBAAAApmboGAMAAAAAAA0GCD0rkdYIBGdjSiuR1gg9Q0lRLk5BU0RBUUdNOlhPTUEuSVFfRUJJVERBX01BUkdJTi4yMDAwLjEvMzEvMjAxOS5MRlIuRi5VU0QuSAEAAAChjwAAAgAAAAktMTU2LjU0ODgBCAAAAAUAAAABMQEAAAAKMTkxOTkyODEyNAMAAAADMTYwAgAAAAQ0MDQ3BAAAAAEwBwAAAAkxLzMxLzIwMTkIAAAACTkvMzAvMjAxOAkAAAABMLhCBz0rkdYI9ateSiuR1gggQ0lRLklRMzYxODM4MTkuSVFfTEFTVFNBTEVQUklDRS4BAAAACx8oAgIAAAAEMi41MQBaXbc9K5HWCL8DPkorkdYIP0NJUS5OQVNEQVFDTTpPTkNTLklRX05FVF9XT1JLSU5HX0NBUC4xOTk2LjEvMzEvMjAxOS5M</t>
  </si>
  <si>
    <t>RlIuRi5VU0QuSAEAAADj49oCAgAAAAktMi41OTMwNTUBCAAAAAUAAAABMQEAAAAKMTkzNDQ5MzMyNwMAAAADMTYwAgAAAAQxMzExBAAAAAEwBwAAAAkxLzMxLzIwMTkIAAAACjEwLzMxLzIwMTcJAAAAATDJaQc9K5HWCDYmZkorkdYIOkNJUS5OQVNEQVFHTTpGQVRFLklRX0VBUk5JTkdfQ08uMTk5Mi4xLzMxLzIwMTkuTEZSLkYuVVNELkgBAAAAaDFXAgIAAAAHLTMyLjk2OAEIAAAABQAAAAExAQAAAAoxODYzNjAxNzA4AwAAAAMxNjACAAAAATcEAAAAATAHAAAACTEvMzEvMjAxOQgAAAAJOS8zMC8yMDE2CQAAAAEwa4S3PSuR1gjY61JKK5HWCDpDSVEuTkFTREFRQ006T05DUy5JUV9FQVJOSU5HX0NPLjE5OTYuMS8zMS8yMDE5LkxGUi5GLlVTRC5IAQAAAOPj2gICAAAACi0yMS43NDY2NjUBCAAAAAUAAAABMQEAAAAKMTkzNDQ5MzMyNwMAAAADMTYwAgAAAAE3BAAAAAEwBwAAAAkxLzMxLzIwMTkIAAAACjEwLzMxLzIwMTcJAAAAATDJaQc9K5HWCFh0ZkorkdYIOUNJUS5OQVNEQVFDTTpDVUUuSVFfRUFSTklOR19DTy4xOTk2LjEvMzEvMjAxOS5MRlIuRi5VU0QuSAEAAACmZugYAgAAAAotMTUuNjM3Mzk5AQgAAAAFAAAAATEBAAAACjE5MjE5NDA4OTADAAAAAzE2MAIAAAABNwQAAAABMAcAAAAJMS8zMS8yMDE5CAAAAAk5LzMwLzIwMTcJAAAAATDJaQc9K5HWCEgDZEorkdYIPUNJUS5OQVNEQVFHTTpTVVJG</t>
  </si>
  <si>
    <t>LklRX1JFVkVOVUVfRVNULkNZMjAyMC4xLzMxLzIwMTkuQ09OLkYuVVNELkgBAAAAtCnHEAIAAAAEMTYuNQEOAAAABQAAAAIxMQEAAAABMAIAAAAKMTAwNDA5MDM4NAMAAAAGMTAwMTgwBAAAAAEyBgAAAAEwBwAAAAMxNjAIAAAAATAJAAAAATEKAAAAATALAAAACzExMjY1OTg2OTk2DAAAAAE3DQAAAAgyLzEvMjAxORAAAAAJMS8zMS8yMDE5Hi0IPSuR1ggAj2xKK5HWCDxDSVEuTkFTREFRR006RkFURS5JUV9FQVJOSU5HX0NPLkNZMjAxNy4xLzMxLzIwMTkuTEZSLkYuVVNELkgBAAAAaDFXAgIAAAAHLTQyLjk1MgEIAAAABQAAAAExAQAAAAoxODc3MDY5MDkwAwAAAAMxNjACAAAAATcEAAAAATAHAAAACTEvMzEvMjAxOQgAAAAKMTIvMzEvMjAxNwkAAAABMGuEtz0rkdYI6RJTSiuR1gg7Q0lRLk5BU0RBUUdTOlRIT1IuSVFfUFJFRl9FUVVJVFkuMjAwMC45LzMwLzIwMTYuTEZSLkYuVVNELkgBAAAAuF+3DwMAAAAAAHyrtz0rkdYILPlVSiuR1gg6Q0lRLk5BU0RBUUdTOlRIT1IuSVFfRUFSTklOR19DTy4xOTkyLjEvMzEvMjAxOS5MRlIuRi5VU0QuSAEAAAC4X7cPAwAAAAAAfKu3PSuR1gj5g1VKK5HWCD5DSVEuTkFTREFRR006WE9NQS5JUV9UT1RBTF9FUVVJVFkuQ1kyMDE4LjEvMzEvMjAxOS5MRlIuRi5VU0QuSAEAAAChjwAAAwAAAAAAuEIHPSuR1ghKb19KK5HWCBZDSVEuMC5JUV9UUl9UT1RBTF9DQVNI</t>
  </si>
  <si>
    <t>BQAAAAAAAAAIAAAAGChJbnZhbGlkIFRyYW5zYWN0aW9uIElkKR36tEkrkdYIhZRNSiuR1gg5Q0lRLk5BU0RBUUdTOk5LLklRX1BSRUZfRVFVSVRZLjIwMDAuMS8zMS8yMDE5LkxGUi5GLlVTRC5IAQAAAA19oQ8DAAAAAADJaQc9K5HWCM+FZ0orkdYIPkNJUS5OQVNEQVFHUzpUSE9SLklRX0NBU0hfU1RfSU5WRVNULjIwMDAuOS8zMC8yMDE2LkxGUi5GLlVTRC5IAQAAALhftw8DAAAAAAB8q7c9K5HWCCz5VUorkdYIIkNJUS5JUVRSNTUwMjU5Mzk3LklRX1RSX1RBUkdFVE5BTUUBAAAAxUrMIAMAAAAXSnVubyBUaGVyYXBldXRpY3MsIEluYy4AP0i1SSuR1gho1EFKK5HWCD9DSVEuTkFTREFRR1M6VEhPUi5JUV9ORVRfV09SS0lOR19DQVAuMTk5Mi4xLzMxLzIwMTkuTEZSLkYuVVNELkgBAAAAuF+3DwMAAAAAAGuEtz0rkdYI1zVVSiuR1ggsQ0lRLk5BU0RBUUdTOk5LVFIuSVFfTEFTVFNBTEVQUklDRS45LzMwLzIwMTYBAAAA6XQAAAIAAAAFMTcuMTgAWl23PSuR1gjqyFBKK5HWCDBDSVEuSVFUUjUyODU2OTEyMi5JUV9UUl9UQVJHRVRfRUJJVERBX0VTVC4uVVNELkgBAAAAIlOBHwIAAAAAAD9ItUkrkdYI8AxDSiuR1gg9Q0lRLk5BU0RBUUdNOkZBVEUuSVFfRUJJVERBX01BUkdJTi4yMDAwLjEvMzEvMjAxOS5MRlIuRi5VU0QuSAEAAABoMVcCAwAAAAJOTQEIAAAABQAAAAExAQAAAAoxOTE3NzMxOTI5AwAA</t>
  </si>
  <si>
    <t>AAMxNjACAAAABDQwNDcEAAAAATAHAAAACTEvMzEvMjAxOQgAAAAJOS8zMC8yMDE4CQAAAAEwa4S3PSuR1gildlJKK5HWCCRDSVEuMC5JUV9UUl9UQVJHRVRfRUJJVERBX0VTVC4uVVNELkgFAAAAAAAAAAgAAAAYKEludmFsaWQgVHJhbnNhY3Rpb24gSWQpHfq0SSuR1gi4CU5KK5HWCD1DSVEuTkFTREFRQ006U1RNTC5JUV9SRVZFTlVFX0VTVC5DWTIwMjEuMS8zMS8yMDE5LkNPTi5GLlVTRC5IAQAAAC+onQACAAAABzIzMC4zOTIBDgAAAAUAAAACMTEBAAAAATACAAAACjEwMDE4NTg0OTQDAAAABjEwMDE4MAQAAAABMgYAAAABMAcAAAADMTYwCAAAAAEwCQAAAAExCgAAAAEwCwAAAAsxMTIyMTU2ODAzNAwAAAABNw0AAAAIMi8xLzIwMTkQAAAACTEvMzEvMjAxOY3Stz0rkdYIs3tZSiuR1ggwQ0lRLk5BU0RBUUdNOkNSVlMuSVFfTEFTVFNBTEVQUklDRS4xLzMxLzIwMTkuVVNEAQAAAPSwphACAAAABDMuOTkApxsHPSuR1gi9qGlKK5HWCCVDSVEuSVFUUjQxODA4MzM0My5JUV9QUklNQVJZX0lORFVTVFJZAQAAAKc/oxYDAAAADUJpb3RlY2hub2xvZ3kAHfq0SSuR1giGSktKK5HWCBRDSVEuLklRX1RSX0JVWUVSTkFNRQUAAAAAAAAACAAAABQoSW52YWxpZCBJZGVudGlmaWVyKVpdtz0rkdYIakA9SiuR1ggzQ0lRLihJTlZBTElEIElERU5USUZJRVIpLklRX0dQLjIwMDAuMS8zMS8yMDE5Li4uVVNEBQAAAAAA</t>
  </si>
  <si>
    <t>AAAIAAAAFChJbnZhbGlkIElkZW50aWZpZXIpLiG1SSuR1gjiOrFKK5HWCDNDSVEuTkFTREFRR1M6TksuSVFfREFfQ0YuMjAwMC4xLzMxLzIwMTkuTEZSLkYuVVNELkgBAAAADX2hDwIAAAAFOC4zMzcBCAAAAAUAAAABMQEAAAAKMTkxOTk2NjUwMwMAAAADMTYwAgAAAAQyMTYwBAAAAAEwBwAAAAkxLzMxLzIwMTkIAAAACTkvMzAvMjAxOAkAAAABMNqQBz0rkdYIrIFpSiuR1ggzQ0lRLk5BU0RBUUdTOk5LLklRX0NBUEVYLjIwMDAuMS8zMS8yMDE5LkxGUi5GLlVTRC5IAQAAAA19oQ8CAAAABi0yMi40OQEIAAAABQAAAAExAQAAAAoxOTE5OTY2NTAzAwAAAAMxNjACAAAABDIwMjEEAAAAATAHAAAACTEvMzEvMjAxOQgAAAAJOS8zMC8yMDE4CQAAAAEwyWkHPSuR1ghGl2hKK5HWCCdDSVEuTkFTREFRR1M6TktUUi5JUV9QRVJJT0REQVRFX0lTLjEwMDABAAAA6XQAAAUAAAAKMTIvMzEvMjAxNwBaXbc9K5HWCA3NTkorkdYIKUNJUS5JUTM2MTgzODE5LklRX0xBU1RTQUxFUFJJQ0UuMS8zMS8yMDE5AQAAAAsfKAICAAAABDIuNDYAHfq0SSuR1gjrfk5KK5HWCD1DSVEuTkFTREFRQ006WklPUC5JUV9SRVZFTlVFX0VTVC5DWTIwMjEuMS8zMS8yMDE5LkNPTi5GLlVTRC5IAQAAALNRsgACAAAABTYuMzkyAQ4AAAAFAAAAAjExAQAAAAEwAgAAAAoxMDAwODk4MDc3AwAAAAYxMDAxODAEAAAAATIGAAAAATAHAAAAAzE2</t>
  </si>
  <si>
    <t>MAgAAAABMAkAAAABMQoAAAABMAsAAAALMTExNzYxOTQ3MTcMAAAAATcNAAAACDIvMS8yMDE5EAAAAAkxLzMxLzIwMTmN0rc9K5HWCLQxV0orkdYINkNJUS5OQVNEQVFHUzpGUFJYLklRX0VCSVREQS4yMDAwLjEvMzEvMjAxOS5MRlIuRi5VU0QuSAEAAAA3XTMAAgAAAAgtMTMxLjI5NQEIAAAABQAAAAExAQAAAAoxOTE5Nzk1MTcyAwAAAAMxNjACAAAABDQwNTEEAAAAATAHAAAACTEvMzEvMjAxOQgAAAAJOS8zMC8yMDE4CQAAAAEwuEIHPSuR1gjjzmBKK5HWCDdDSVEuTkFTREFRR1M6TksuSVFfVE9UQUxfUkVWLjIwMDAuMS8zMS8yMDE5LkxGUi5GLlVTRC5IAQAAAA19oQ8CAAAABTAuMDUyAQgAAAAFAAAAATEBAAAACjE5MTk5NjY1MDMDAAAAAzE2MAIAAAACMjgEAAAAATAHAAAACTEvMzEvMjAxOQgAAAAJOS8zMC8yMDE4CQAAAAEwyWkHPSuR1gjgrGdKK5HWCCBDSVEuSVFUUjQwMjQ2ODM0My5JUV9UUl9FQVJOT1VUUwEAAAD3Lf0XAgAAAAAAUG+1SSuR1gjLnElKK5HWCCNDSVEuSVFUUjUyOTE5MTg4MC5JUV9UUl9UT1RBTF9TVE9DSwEAAADI04ofAgAAAAAAP0i1SSuR1ggyPUhKK5HWCBdDSVEuMC5JUV9UUl9DTE9TRURfREFURQUAAAAAAAAACAAAABgoSW52YWxpZCBUcmFuc2FjdGlvbiBJZCkd+rRJK5HWCHRtTUorkdYILENJUS5OQVNEQVFHTTpTVVJGLklRX0xBU1RTQUxFUFJJQ0UuOS8zMC8yMDE2</t>
  </si>
  <si>
    <t>AQAAALQpxxADAAAAAACnGwc9K5HWCJnubUorkdYIO0NJUS5OQVNEQVFDTTpDVUUuSVFfVE9UQUxfRVFVSVRZLjE5OTIuMS8zMS8yMDE5LkxGUi5GLlVTRC5IAQAAAKZm6BgCAAAACDYuOTM4MzMxAQgAAAAFAAAAATEBAAAACjE4ODA4MzIzMjQDAAAAAzE2MAIAAAAEMTI3NQQAAAABMAcAAAAJMS8zMS8yMDE5CAAAAAoxMi8zMS8yMDE1CQAAAAEwyWkHPSuR1ghZKmRKK5HWCD1DSVEuTkFTREFRR1M6RlBSWC5JUV9SRVZFTlVFX0VTVC5DWTIwMTkuMS8zMS8yMDE5LkNPTi5GLlVTRC5IAQAAADddMwACAAAACDU0LjIxMjg5AQ4AAAAFAAAAAjExAQAAAAEwAgAAAAoxMDAxOTU2MzQ5AwAAAAYxMDAxODAEAAAAATIGAAAAATAHAAAAAzE2MAgAAAABMAkAAAABMQoAAAABMAsAAAALMTEyNTYwMTU1NzMMAAAAATcNAAAACDIvMS8yMDE5EAAAAAkxLzMxLzIwMTkNBgg9K5HWCMGAYEorkdYIOkNJUS5OQVNEQVFDTTpTVE1MLklRX1RPVEFMX0RFQlQuMjAwMC4xLzMxLzIwMTkuTEZSLkYuVVNELkgBAAAAL6idAAIAAAABMAEIAAAABQAAAAExAQAAAAoxOTIwNDQwNjI1AwAAAAMxNjACAAAABDQxNzMEAAAAATAHAAAACTEvMzEvMjAxOQgAAAAJOS8zMC8yMDE4CQAAAAEwfKu3PSuR1giRLVlKK5HWCChDSVEuTkFTREFRQ006T05DUy5JUV9URVYuMS8zMS8yMDE5LlVTRC5IAQAAAOPj2gICAAAACTI4LjI5MTI4MQEGAAAA</t>
  </si>
  <si>
    <t>BQAAAAExAQAAAAoxOTM0NDkzMjI5AwAAAAMxNjACAAAABjEwMDA2MAQAAAABMAcAAAAJMS8zMS8yMDE5pxsHPSuR1gi/FGVKK5HWCCxDSVEuSVFUUjI5NjYyODgxNy5JUV9UUl9UT1RBTF9HUk9TU19UVi5VU0QuSAUAAAAAAAAACAAAABooSW52YWxpZCBDdXJyZW5jeSBSZXF1ZXN0KR36tEkrkdYIUh9NSiuR1ghGQ0lRLk5BU0RBUUdNOkZBVEUuSVFfVE9UQUxfUkVWXzJZUl9BTk5fQ0FHUi4yMDAwLjEvMzEvMjAxOS5MRlIuRi5VU0QuSAEAAABoMVcCAgAAAActMy45NTM3AQgAAAAFAAAAATEBAAAACjE5MTc3MzE5MjkDAAAAAzE2MAIAAAAENDIwNwQAAAABMAcAAAAJMS8zMS8yMDE5CAAAAAk5LzMwLzIwMTgJAAAAATBrhLc9K5HWCByIU0orkdYIOkNJUS5OQVNEQVFDTTpDVUUuSVFfUFJFRl9FUVVJVFkuMjAwMC45LzMwLzIwMTYuTEZSLkYuVVNELkgBAAAApmboGAMAAAAAAMlpBz0rkdYIe3hkSiuR1gg8Q0lRLk5BU0RBUUdNOkZBVEUuSVFfRUFSTklOR19DTy5DWTIwMTguMS8zMS8yMDE5LkxGUi5GLlVTRC5IAQAAAGgxVwIDAAAAAABrhLc9K5HWCOkSU0orkdYIIkNJUS5JUVRSNTI5MTkxODgwLklRX1RSX1RPVEFMX0NBU0gBAAAAyNOKHwIAAAAAAD9ItUkrkdYIMj1ISiuR1ghGQ0lRLk5BU0RBUUNNOkNVRS5JUV9NSU5PUklUWV9JTlRFUkVTVF9UT1RBTC4yMDAwLjkvMzAvMjAxNi5MRlIuRi5VU0Qu</t>
  </si>
  <si>
    <t>SAEAAACmZugYAwAAAAAAyWkHPSuR1gh7eGRKK5HWCDhDSVEuTkFTREFRQ006T05DUy5JUV9FQklUREEuQ1kyMDE3LjEvMzEvMjAxOS5MRlIuRi5VU0QuSAEAAADj49oCAgAAAAotMjQuMjAwNDMxAQgAAAAFAAAAATEBAAAACjE4Nzc2MjQ2MjQDAAAAAzE2MAIAAAAENDA1MQQAAAABMAcAAAAJMS8zMS8yMDE5CAAAAAkxLzMxLzIwMTgJAAAAATDJaQc9K5HWCAOxZUorkdYIHkNJUS5JUTM2MTgzODM3LklRX0NPTVBBTllfTkFNRQEAAAAdHygCAwAAADJVbml0ZWQgU3RhdGVzIFRyZWFzdXJ5IENvbnN0YW50IE1hdHVyaXR5IC0gMTAgWWVhcgAuIbVJK5HWCIyOPUorkdYINUNJUS5OQVNEQVFHUzpOS1RSLklRX0RBX0NGLjIwMDAuMS8zMS8yMDE5LkxGUi5GLlVTRC5IAQAAAOl0AAACAAAABjEwLjQ1OQEIAAAABQAAAAExAQAAAAoxOTIwNTQwNTEzAwAAAAMxNjACAAAABDIxNjAEAAAAATAHAAAACTEvMzEvMjAxOQgAAAAJOS8zMC8yMDE4CQAAAAEwa4S3PSuR1ggdPlFKK5HWCChDSVEuTkFTREFRR1M6RlBSWC5JUV9URVYuMS8zMS8yMDE5LlVTRC5IAQAAADddMwACAAAACTc3LjM5MzM3MgEGAAAABQAAAAExAQAAAAoxOTE5Nzk1MDkxAwAAAAMxNjACAAAABjEwMDA2MAQAAAABMAcAAAAJMS8zMS8yMDE5pxsHPSuR1gifMmBKK5HWCC5DSVEuSVFUUjMyNjk5NTQwOC5JUV9UUl9UQVJHRVRfU1RPQ0tQUkVNSVVN</t>
  </si>
  <si>
    <t>XzFXAQAAANCNfRMCAAAAAABQb7VJK5HWCCLMRUorkdYINkNJUS5OQVNEQVFDTTpaSU9QLklRX0VCSVREQS4xOTkyLjEvMzEvMjAxOS5MRlIuRi5VU0QuSAEAAACzUbIAAgAAAAgtMjQwLjY4OQEIAAAABQAAAAExAQAAAAoxODY0Mjk0Mjc2AwAAAAMxNjACAAAABDQwNTEEAAAAATAHAAAACTEvMzEvMjAxOQgAAAAJOS8zMC8yMDE2CQAAAAEwfKu3PSuR1gi0MVdKK5HWCDxDSVEuTkFTREFRR1M6TktUUi5JUV9FQVJOSU5HX0NPLkNZMjAxNy4xLzMxLzIwMTkuTEZSLkYuVVNELkgBAAAA6XQAAAIAAAAHLTk2LjY5MgEIAAAABQAAAAExAQAAAAoxODc3Mjc1NzIyAwAAAAMxNjACAAAAATcEAAAAATAHAAAACTEvMzEvMjAxOQgAAAAKMTIvMzEvMjAxNwkAAAABMGuEtz0rkdYIyHpQSiuR1ghDQ0lRLk5BU0RBUUNNOk9OQ1MuSVFfRUJJVERBXzJZUl9BTk5fQ0FHUi4yMDAwLjEvMzEvMjAxOS5MRlIuRi5VU0QuSAEAAADj49oCAwAAAAJOTQEIAAAABQAAAAExAQAAAAoxOTM0NDkzMzM2AwAAAAMxNjACAAAABDQyMDkEAAAAATAHAAAACTEvMzEvMjAxOQgAAAAKMTAvMzEvMjAxOAkAAAABMMlpBz0rkdYInBBnSiuR1gg8Q0lRLk5BU0RBUUNNOlpJT1AuSVFfVE9UQUxfRVFVSVRZLjIwMDAuMS8zMS8yMDE5LkxGUi5GLlVTRC5IAQAAALNRsgACAAAABTQuMDE1AQgAAAAFAAAAATEBAAAACjE5MjA1Mzc3MDkDAAAAAzE2</t>
  </si>
  <si>
    <t>MAIAAAAEMTI3NQQAAAABMAcAAAAJMS8zMS8yMDE5CAAAAAk5LzMwLzIwMTgJAAAAATB8q7c9K5HWCCtDWEorkdYIJENJUS5OQVNEQVFDTTpUR1RYLklRX0VGRkVDVF9UQVhfUkFURQEAAABalI8IAwAAAAAAjdK3PSuR1ghcTF1KK5HWCENDSVEuTkFTREFRQ006U1RNTC5JUV9FQklUREFfM1lSX0FOTl9DQUdSLjIwMDAuMS8zMS8yMDE5LkxGUi5GLlVTRC5IAQAAAC+onQADAAAAAk5NAQgAAAAFAAAAATEBAAAACjE5MjA0NDA2MjUDAAAAAzE2MAIAAAAENDIyMgQAAAABMAcAAAAJMS8zMS8yMDE5CAAAAAk5LzMwLzIwMTgJAAAAATCN0rc9K5HWCG4pW0orkdYIR0NJUS5OQVNEQVFHUzpOS1RSLklRX01JTk9SSVRZX0lOVEVSRVNUX1RPVEFMLjIwMDAuOS8zMC8yMDE2LkxGUi5GLlVTRC5IAQAAAOl0AAADAAAAAABrhLc9K5HWCOrIUEorkdYIMENJUS5OQVNEQVFDTTpaSU9QLklRX0xBU1RTQUxFUFJJQ0UuMS8zMS8yMDE5LlVTRAEAAACzUbIAAgAAAAQyLjI0AFpdtz0rkdYIgbxWSiuR1gg1Q0lRLk5BU0RBUUNNOk9OQ1MuSVFfQ0FQRVguMjAwMC4xLzMxLzIwMTkuTEZSLkYuVVNELkgBAAAA4+PaAgIAAAAJLTAuMDY1MTU2AQgAAAAFAAAAATEBAAAACjE5MzQ0OTMzMzYDAAAAAzE2MAIAAAAEMjAyMQQAAAABMAcAAAAJMS8zMS8yMDE5CAAAAAoxMC8zMS8yMDE4CQAAAAEwyWkHPSuR1ghHTWZKK5HWCClDSVEu</t>
  </si>
  <si>
    <t>SVFUUjU1MDI1OTM5Ny5JUV9CVVNJTkVTU19ERVNDUklQVElPTgEAAABOCgwPAwAAAMsPSnVubyBUaGVyYXBldXRpY3MsIEluYy4gZGV2ZWxvcHMgY2VsbC1iYXNlZCBjYW5jZXIgaW1tdW5vdGhlcmFwaWVzIGJhc2VkIG9uIGl0cyBjaGltZXJpYyBhbnRpZ2VuIHJlY2VwdG9yIGFuZCBUIGNlbGwgcmVjZXB0b3IgdGVjaG5vbG9naWVzIHRvIGdlbmV0aWNhbGx5IGVuZ2luZWVyIFQgY2VsbHMgdG8gcmVjb2duaXplIGFuZCBraWxsIGNhbmNlciBjZWxscy4gSXRzIENEMTkgcHJvZHVjdCBjYW5kaWRhdGVzIGluY2x1ZGUgSkNBUjAxNyB0aGF0IGlzIGluIFBoYXNlIEkvSUkgdHJpYWxzIGZvciBhZHVsdHMgd2l0aCByZWxhcHNlZCBvciByZWZyYWN0b3J5IChyL3IpIEIgY2VsbCBhZ2dyZXNzaXZlIG5vbi1Ib2Rna2luIGx5bXBob21hIChOSEwpIGFuZCBwZWRpYXRyaWMgcGF0aWVudHMgd2l0aCByL3IgQiBjZWxsIGFjdXRlIGx5bXBob2JsYXN0aWMgbGV1a2VtaWEgKEFMTCk7IGFuZCBKQ0FSMDE0LCB3aGljaCBpcyBpbiBQaGFzZSBJL0lJIHRyaWFscyB0byB0cmVhdCBCIGNlbGwgbWFsaWduYW5jaWVzIGluIHBhdGllbnRzIHJlbGFwc2VkIG9yIHJlZnJhY3RvcnkgdG8gc3RhbmRhcmQgdGhlcmFwaWVzLiBUaGUgY29tcGFueeKAmXMgQ0QyMiBwcm9kdWN0IGNhbmRpZGF0ZSBjb21wcmlzZSBKQ0FSMDE4</t>
  </si>
  <si>
    <t>IHRoYXQgaXMgaW4gUGhhc2UgSSB0cmlhbCBmb3IgcGVkaWF0cmljIGFuZCB5b3VuZyBhZHVsdCBwYXRpZW50cyB3aXRoIENEMjItcG9zaXRpdmUgci9yIEFMTCBvciByL3IgTkhMLiBJdHMgYWRkaXRpb25hbCBwcm9kdWN0IGNhbmRpZGF0ZXMgaW5jbHVkZSBDRDE3MSwgYSBjZWxsLXN1cmZhY2UgYWRoZXNpb24gbW9sZWN1bGUgZm9yIG5ldXJvYmxhc3RvbWE7IExld2lzIFkgZm9yIHRoZSB0cmVhdG1lbnQgb2YgbHVuZyBjYW5jZXI7IEpDQVIwMjMsIHdoaWNoIGlzIGluIFBoYXNlIEkgdHJpYWwgZm9yIHJlZnJhY3Rvcnkgb3IgcmVjdXJyZW50IHBlZGlhdHJpYyBuZXVyb2JsYXN0b21hOyBNVUMtMTYgcHJvdGVpbiBmb3Igb3ZhcmlhbiBjYW5jZXJzOyBhbmQgSUwtMTIsIGEgY3l0b2tpbmUgdG8gb3ZlcmNvbWUgdGhlIGluaGliaXRvcnkgZWZmZWN0cy4gVGhlIGNvbXBhbnnigJlzIGFkZGl0aW9uYWwgcHJvZHVjdCBjYW5kaWRhdGVzIGFsc28gY29tcHJpc2UgUk9SLTEgcHJvdGVpbiBmb3Igbm9uLXNtYWxsIGNlbGwgbHVuZywgdHJpcGxlIG5lZ2F0aXZlIGJyZWFzdCwgcGFuY3JlYXRpYywgYW5kIHByb3N0YXRlIGNhbmNlcnM7IFdULTEsIGFuIGludHJhY2VsbHVsYXIgcHJvdGVpbiB0aGF0IGlzIGluIFBoYXNlIEkvSUkgY2xpbmljYWwgdHJpYWxzOyBIUFYgZTYvZTcgZm9yIGNhbmNlcnM7IGFu</t>
  </si>
  <si>
    <t>ZCBJTDEzcmEyIGZvciBnbGlvYmxhc3RvbWEuIEp1bm8gVGhlcmFwZXV0aWNzLCBJbmMuIGhhcyBjb2xsYWJvcmF0aW9uIGFncmVlbWVudHMgd2l0aCBDZWxnZW5lIENvcnBvcmF0aW9uLCBGcmVkIEh1dGNoaW5zb24gQ2FuY2VyIFJlc2VhcmNoIENlbnRlciwgTWVtb3JpYWwgU2xvYW4gS2V0dGVyaW5nIENhbmNlciBDZW50ZXIsIFN0LiBKdWRlIENoaWxkcmVu4oCZcyBSZXNlYXJjaCBIb3NwaXRhbC9Ob3ZhcnRpcywgU2VhdHRsZSBDaGlsZHJlbuKAmXMgUmVzZWFyY2ggSW5zdGl0dXRlLCBPcHVzIEJpbywgSW5jLiwgRmF0ZSBUaGVyYXBldXRpY3MsIEluYy4sIEVkaXRhcyBNZWRpY2luZSwgSW5jLiwgYW5kIEpXIChDYXltYW4pIFRoZXJhcGV1dGljcyBDby4sIEx0ZC4gVGhlIGNvbXBhbnkgd2FzIGZvcm1lcmx5IGtub3duIGFzIEZDIFRoZXJhcGV1dGljcywgSW5jLiBhbmQgY2hhbmdlZCBpdHMgbmFtZSB0byBKdW5vIFRoZXJhcGV1dGljcywgSW5jLiBpbiBPY3RvYmVyIDIwMTMuIEp1bm8gVGhlcmFwZXV0aWNzLCBJbmMuIHdhcyBmb3VuZGVkIGluIDIwMTMgYW5kIGlzIGhlYWRxdWFydGVyZWQgaW4gU2VhdHRsZSwgV2FzaGluZ3Rvbi4gQXMgb2YgTWFyY2ggNiwgMjAxOCwgSnVubyBUaGVyYXBldXRpY3MsIEluYy4gb3BlcmF0ZXMgYXMgYSBzdWJzaWRpYXJ5IG9mIENlbGdlbmUgQ29ycG9yYXRp</t>
  </si>
  <si>
    <t>b24uAC4htUkrkdYIrHBCSiuR1gg5Q0lRLk5BU0RBUUdTOk5LLklRX1RPVEFMX1JFVi5DWTIwMTcuMS8zMS8yMDE5LkxGUi5GLlVTRC5IAQAAAA19oQ8CAAAABTAuMDQ1AQgAAAAFAAAAATEBAAAACjE4NzgwMTI1OTcDAAAAAzE2MAIAAAACMjgEAAAAATAHAAAACTEvMzEvMjAxOQgAAAAKMTIvMzEvMjAxNwkAAAABMMlpBz0rkdYI4KxnSiuR1gghQ0lRLklRVFIyOTY2Mjg4MTcuSVFfVFJfQlVZRVJOQU1FAQAAAFEyrhEDAAAAQlBsYXNtYVRlY2ggQmlvcGhhcm1hY2V1dGljYWxzLCBJbmMuIChua2E6QWJlb25hIFRoZXJhcGV1dGljcyBJbmMuKQBhlrVJK5HWCDDRTEorkdYIPENJUS5OQVNEQVFHUzpOS1RSLklRX0dST1NTX01BUkdJTi4yMDAwLjEvMzEvMjAxOS5MRlIuRi5VU0QuSAEAAADpdAAAAgAAAAc5Ny45NzM5AQgAAAAFAAAAATEBAAAACjE5MjA1NDA1MTMDAAAAAzE2MAIAAAAENDA3NAQAAAABMAcAAAAJMS8zMS8yMDE5CAAAAAk5LzMwLzIwMTgJAAAAATBrhLc9K5HWCITeT0orkdYINkNJUS5OQVNEQVFDTTpTVE1MLklRX0VCSVREQS4xOTkyLjEvMzEvMjAxOS5MRlIuRi5VU0QuSAEAAAAvqJ0AAgAAAAotMzguOTQ4NjY0AQgAAAAFAAAAATEBAAAACjE4NjQ4NjU5MTADAAAAAzE2MAIAAAAENDA1MQQAAAABMAcAAAAJMS8zMS8yMDE5CAAAAAk5LzMwLzIwMTYJAAAAATB8q7c9K5HWCMSiWUorkdYI</t>
  </si>
  <si>
    <t>PkNJUS5OQVNEQVFHTTpDUlZTLklRX1RPVEFMX0VRVUlUWS5DWTIwMTguMS8zMS8yMDE5LkxGUi5GLlVTRC5IAQAAAPSwphADAAAAAADakAc9K5HWCHhWa0orkdYIO0NJUS5OQVNEQVFHUzpUSE9SLklRX1BSRUZfRVFVSVRZLjIwMDAuMS8zMS8yMDE5LkxGUi5GLlVTRC5IAQAAALhftw8CAAAABjM3LjQ5NAEIAAAABQAAAAExAQAAAAoxOTIyNTQ5NDY4AwAAAAMxNjACAAAABDEwMDUEAAAAATAHAAAACTEvMzEvMjAxOQgAAAAJOS8zMC8yMDE4CQAAAAEwa4S3PSuR1ghxS1RKK5HWCDBDSVEuKElOVkFMSUQgSURFTlRJRklFUikuSVFfQlVTSU5FU1NfREVTQ1JJUFRJT04FAAAAAAAAAAgAAAAUKEludmFsaWQgSWRlbnRpZmllcimnGwc9K5HWCJ3oskorkdYIL0NJUS5JUVRSMzI4OTc4NTE5LklRX1RSX0lNUExJRURfRVZfRklOQUwuLlVTRC5IAQAAAFfQmxMCAAAAAzYwMAEGAAAABQAAAAI1NAEAAAAGMTAyMDQ1AgAAAAkzMjg5Nzg1MTkDAAAACTMyODk3ODY1OAQAAAADMTYwBgAAAAVGYWxzZVBvtUkrkdYI7DRMSiuR1gg+Q0lRLk5BU0RBUUNNOlRHVFguSVFfVE9UQUxfRVFVSVRZLkNZMjAxOC4xLzMxLzIwMTkuTEZSLkYuVVNELkgBAAAAWpSPCAMAAAAAAI3Stz0rkdYIOv5cSiuR1ggiQ0lRLklRVFIyODM3ODI3MTMuSVFfVFJfVE9UQUxfQ0FTSAEAAAA5LuoQAgAAAAsxNTU4NS40NjI4MQEGAAAABQAAAAI1</t>
  </si>
  <si>
    <t>NAEAAAAGMTAxMDU2AgAAAAkyODM3ODI3MTMDAAAACTI4Mzc4Mjc5MgQAAAADMTYwBgAAAAVGYWxzZWGWtUkrkdYIRBpGSiuR1gghQ0lRLklRVFIzMTQ4MjkyMzYuSVFfVFJfQlVZRVJOQU1FAQAAALTpwxIDAAAAGU5vdmFydGlzIEludGVybmF0aW9uYWwgQUcAUG+1SSuR1gj+EUpKK5HWCD5DSVEuTkFTREFRR006U1VSRi5JUV9DQVNIX1NUX0lOVkVTVC4yMDAwLjEvMzEvMjAxOS5MRlIuRi5VU0QuSAEAAAC0KccQAgAAAAcxNzMuMzc1AQgAAAAFAAAAATEBAAAACjE5MjE4MTM4OTMDAAAAAzE2MAIAAAAEMTAwMgQAAAABMAcAAAAJMS8zMS8yMDE5CAAAAAk5LzMwLzIwMTgJAAAAATDakAc9K5HWCN5AbEorkdYIMENJUS5JUVRSNTU4MzA4NzI5LklRX1RSX1RBUkdFVF9FQklUREFfRVNULi5VU0QuSAEAAAB5HUchAgAAAAAAP0i1SSuR1gh1I0tKK5HWCD5DSVEuTkFTREFRR006Q1JWUy5JUV9UT1RBTF9FUVVJVFkuQ1kyMDE3LjEvMzEvMjAxOS5MRlIuRi5VU0QuSAEAAAD0sKYQAgAAAAY4NC44MzUBCAAAAAUAAAABMQEAAAAKMTg3NzIyMDgwNQMAAAADMTYwAgAAAAQxMjc1BAAAAAEwBwAAAAkxLzMxLzIwMTkIAAAACjEyLzMxLzIwMTcJAAAAATDakAc9K5HWCHhWa0orkdYIJ0NJUS5OQVNEQVFDTTpTVE1MLklRX0JFVEFfNVlSLjEvMzEvMjAxOQEAAAAvqJ0AAgAAABAxLjEyODAzODA5OTA3MDExAJ75tz0r</t>
  </si>
  <si>
    <t>kdYIGWZaSiuR1gg+Q0lRLk5BU0RBUUdTOkZQUlguSVFfQ0FTSF9TVF9JTlZFU1QuMjAwMC45LzMwLzIwMTYuTEZSLkYuVVNELkgBAAAAN10zAAIAAAAHNDY5LjIyNgEIAAAABQAAAAExAQAAAAoxODAyMDIxMzM1AwAAAAMxNjACAAAABDEwMDIEAAAAATAHAAAACTkvMzAvMjAxNggAAAAJNi8zMC8yMDE2CQAAAAEwuEIHPSuR1gh8LmJKK5HWCCBDSVEuSVEzNjE4MzgzMS5JUV9MQVNUU0FMRVBSSUNFLgEAAAAXHygCAgAAAAQyLjQ3AFpdtz0rkdYInbU9SiuR1ggpQ0lRLklRVFIzMTQ4MjkyMzYuSVFfVFJfSU1QTElFRF9FUV9OSV9MVE0BAAAAtOnDEgIAAAAAAGGWtUkrkdYIIGBKSiuR1ggnQ0lRLk5BU0RBUUdTOkZQUlguSVFfQkVUQV8xWVIuMS8zMS8yMDE5AQAAADddMwACAAAAEDEuMTkwNjY3MjM4OTk1MzUAHi0IPSuR1gg4kmFKK5HWCD5DSVEuTkFTREFRQ006Q1VFLklRX05FVF9XT1JLSU5HX0NBUC4xOTkyLjEvMzEvMjAxOS5MRlIuRi5VU0QuSAEAAACmZugYAgAAAAktMC4yOTA3NTgBCAAAAAUAAAABMQEAAAAKMTg4MDgzMjMyNAMAAAADMTYwAgAAAAQxMzExBAAAAAEwBwAAAAkxLzMxLzIwMTkIAAAACjEyLzMxLzIwMTUJAAAAATDJaQc9K5HWCBWOY0orkdYIKUNJUS5JUVRSMjgzNzgyNzEzLklRX0JVU0lORVNTX0RFU0NSSVBUSU9OAQAAAKe4kwADAAAAvQ9Ib3NwaXJhLCBJbmMuIHByb3ZpZGVz</t>
  </si>
  <si>
    <t>IGluamVjdGFibGUgZHJ1Z3MgYW5kIGluZnVzaW9uIHRlY2hub2xvZ2llcyB0byBkZXZlbG9wLCBtYW51ZmFjdHVyZSwgZGlzdHJpYnV0ZSwgYW5kIG1hcmtldCBwcm9kdWN0cyB3b3JsZHdpZGUuIFRoZSBjb21wYW55IG9wZXJhdGVzIHRocm91Z2ggQW1lcmljYXMsIEVNRUEsIGFuZCBBUEFDIHNlZ21lbnRzLiBJdCBwcm92aWRlcyBzcGVjaWFsdHkgaW5qZWN0YWJsZSBwaGFybWFjZXV0aWNhbHMsIHdoaWNoIGluY2x1ZGUgYXBwcm94aW1hdGVseSAyMDAgaW5qZWN0YWJsZSBnZW5lcmljIGRydWdzIGluIG11bHRpcGxlIGRvc2FnZXMgYW5kIGZvcm11bGF0aW9uczsgYW5kIHByb3ByaWV0YXJ5IHNwZWNpYWx0eSBpbmplY3RhYmxlcywgc3VjaCBhcyBQcmVjZWRleCwgYSBwcm9wcmlldGFyeSBkcnVnIGZvciBzZWRhdGlvbi4gVGhlIGNvbXBhbnnigJlzIHNwZWNpYWx0eSBpbmplY3RhYmxlIHBoYXJtYWNldXRpY2FscyBhbHNvIGNvbXByaXNlIEJpb3NpbWlsYXJzIHRoYXQgaW5jbHVkZSBSZXRhY3JpdCwgYW4gRVBPLCB3aGljaCBpcyBwcmltYXJpbHkgdXNlZCBpbiB0aGUgdHJlYXRtZW50IG9mIGFuZW1pYSBpbiBkaWFseXNpcyBhbmQgaW4gY2VydGFpbiBvbmNvbG9neSBhcHBsaWNhdGlvbnM7IE5pdmVzdGltLCBhIGJpb3NpbWlsYXIgZmlsZ3Jhc3RpbSB1c2VkIGZvciB0aGUgdHJlYXRtZW50IG9m</t>
  </si>
  <si>
    <t>IGxvdyB3aGl0ZSBibG9vZCBjZWxscyBpbiBwYXRpZW50cyB3aG8gaGF2ZSByZWNlaXZlZCBhIGNoZW1vdGhlcmFwZXV0aWMgYWdlbnQ7IGFuZCBJbmZsZWN0cmEsIGEgYmlvc2ltaWxhciBpbmZsaXhpbWFiIGZvciB0aGUgdHJlYXRtZW50IG9mIHBhdGllbnRzIHdpdGggYXV0b2ltbXVuZSBkaXNlYXNlcywgc3VjaCBhcyByaGV1bWF0b2lkIGFydGhyaXRpcyBhbmQgaW5mbGFtbWF0b3J5IGJvd2VsIGRpc2Vhc2UuIEluIGFkZGl0aW9uLCBpdCBvZmZlcnMgbWVkaWNhdGlvbiBtYW5hZ2VtZW50IHByb2R1Y3RzLCBpbmNsdWRpbmcgaW5mdXNpb24gcHVtcHMgYW5kIGRlZGljYXRlZCBhZG1pbmlzdHJhdGlvbiBzZXRzOyBIb3NwaXJhIE1lZE5ldCBzYWZldHkgc29mdHdhcmUgc3lzdGVtIGFuZCByZWxhdGVkIHNlcnZpY2VzOyBzb2Z0d2FyZSBhcHBsaWNhdGlvbnMgYW5kIGRldmljZXMgdGhhdCBzdXBwb3J0IHBvaW50LW9mLWNhcmUgbWVkaWNhdGlvbiBhZG1pbmlzdHJhdGlvbjsgZ3Jhdml0eSBhZG1pbmlzdHJhdGlvbiBzZXRzOyBhbmQgb3RoZXIgZGV2aWNlIHByb2R1Y3RzLiBGdXJ0aGVyLCB0aGUgY29tcGFueSBwcm92aWRlcyBpbnRyYXZlbm91cyBzb2x1dGlvbnMgYW5kIG51dHJpdGlvbmFsIHByb2R1Y3RzOyBhbmQgY29udHJhY3QgbWFudWZhY3R1cmluZyBzZXJ2aWNlcywgYXMgd2VsbCBhcyBk</t>
  </si>
  <si>
    <t>ZXZlbG9wcyBwcm9wcmlldGFyeSBwaGFybWFjZXV0aWNhbCBwcm9kdWN0cywgc3VjaCBhcyBEeWxvamVjdCwgYSBub25zdGVyb2lkYWwgYW50aS1pbmZsYW1tYXRvcnkgZHJ1ZyBhbmFsZ2VzaWMuIEl0IHNlcnZlcyBob3NwaXRhbHMgYW5kIGFsdGVybmF0ZSBzaXRlIHByb3ZpZGVycywgc3VjaCBhcyBjbGluaWNzLCBob21lIGhlYWx0aGNhcmUgcHJvdmlkZXJzLCBhbmQgbG9uZy10ZXJtIGNhcmUgZmFjaWxpdGllcy4gVGhlIGNvbXBhbnkgaGFzIGNvbGxhYm9yYXRpdmUgYXJyYW5nZW1lbnRzIHdpdGggQmlvY2V1dGljYWxzIEFyem5laW1pdHRlbCBBRyB0byBsaWNlbnNlIGFuZCBtYXJrZXQgUmV0YWNyaXQ7IGFuZCBRIENvcmUgTWVkaWNhbCwgTHRkIHRvIG1hcmtldCBhbmQgZGlzdHJpYnV0ZSBTYXBwaGlyZSwgYSBtdWx0aS10aGVyYXB5IGluZnVzaW9uIHN5c3RlbS4gSG9zcGlyYSwgSW5jLiB3YXMgZm91bmRlZCBpbiAyMDAzIGFuZCBpcyBoZWFkcXVhcnRlcmVkIGluIExha2UgRm9yZXN0LCBJbGxpbm9pcy4gQXMgb2YgU2VwdGVtYmVyIDMsIDIwMTUsIEhvc3BpcmEgSW5jLiBvcGVyYXRlcyBhcyBhIHN1YnNpZGlhcnkgb2YgUGZpemVyIEluYy4uAC4htUkrkdYId49GSiuR1gg7Q0lRLk5BU0RBUUdTOk5LLklRX1JFVkVOVUVfRVNULkNZMjAyMS4xLzMxLzIwMTkuQ09OLkYuVVNELkgBAAAADX2h</t>
  </si>
  <si>
    <t>DwMAAAAAAA0GCD0rkdYI8dNnSiuR1ggvQ0lRLklRVFIzODQwMjg0OTYuSVFfVFJfSU1QTElFRF9FVl9GSU5BTC4uVVNELkgBAAAAUM/jFgIAAAAKNTI4LjIzOTM2NgEGAAAABQAAAAI1NAEAAAAGMTAyMDQ1AgAAAAkzODQwMjg0OTYDAAAACTQwNzI3NTc3NgQAAAADMTYwBgAAAAVGYWxzZVBvtUkrkdYIq7pESiuR1ggjQ0lRLklRVFIzMjY5OTU0MDguSVFfVFJfQ0xPU0VEX0RBVEUBAAAA0I19EwUAAAAJMi8yOS8yMDE2AFBvtUkrkdYI71ZFSiuR1gg6Q0lRLk5BU0RBUUdTOk5LVFIuSVFfVE9UQUxfREVCVC4yMDAwLjEvMzEvMjAxOS5MRlIuRi5VU0QuSAEAAADpdAAAAgAAAAcyNDYuNTE0AQgAAAAFAAAAATEBAAAACjE5MjA1NDA1MTMDAAAAAzE2MAIAAAAENDE3MwQAAAABMAcAAAAJMS8zMS8yMDE5CAAAAAk5LzMwLzIwMTgJAAAAATBrhLc9K5HWCB70TkorkdYIPENJUS5OQVNEQVFDTTpPTkNTLklRX1RPVEFMX0VRVUlUWS4yMDAwLjEvMzEvMjAxOS5MRlIuRi5VU0QuSAEAAADj49oCAgAAAAkyNS4xOTc3MjEBCAAAAAUAAAABMQEAAAAKMTkzNDQ5MzMzNgMAAAADMTYwAgAAAAQxMjc1BAAAAAEwBwAAAAkxLzMxLzIwMTkIAAAACjEwLzMxLzIwMTgJAAAAATDJaQc9K5HWCGmbZkorkdYILkNJUS5JUVRSMzg0MDI4NDk2LklRX1RSX1RBUkdFVF9TVE9DS1BSRU1JVU1fMU0BAAAAUM/jFgIAAAAGMTM5LjE4</t>
  </si>
  <si>
    <t>AQYAAAAFAAAAAjU0AQAAAAYxMDEwNTUCAAAACTM4NDAyODQ5NgMAAAAJNDA3Mjc1Nzc2BAAAAAMxNjAGAAAABUZhbHNlUG+1SSuR1gjvVkVKK5HWCDxDSVEuTkFTREFRQ006T05DUy5JUV9UT1RBTF9FUVVJVFkuMTk5Ni4xLzMxLzIwMTkuTEZSLkYuVVNELkgBAAAA4+PaAgIAAAAJMTMuNTM5MTQyAQgAAAAFAAAAATEBAAAACjE5MzQ0OTMzMjcDAAAAAzE2MAIAAAAEMTI3NQQAAAABMAcAAAAJMS8zMS8yMDE5CAAAAAoxMC8zMS8yMDE3CQAAAAEwyWkHPSuR1ghpm2ZKK5HWCC5DSVEuSVFUUjM4NDAyODQ5Ni5JUV9UUl9UQVJHRVRfU1RPQ0tQUkVNSVVNXzFXAQAAAFDP4xYCAAAACDE2My40ODgxAQYAAAAFAAAAAjU0AQAAAAYxMDEwNTQCAAAACTM4NDAyODQ5NgMAAAAJNDA3Mjc1Nzc2BAAAAAMxNjAGAAAABUZhbHNlUG+1SSuR1gjeL0VKK5HWCDdDSVEuTkFTREFRR1M6TksuSVFfVE9UQUxfUkVWLjE5OTIuMS8zMS8yMDE5LkxGUi5GLlVTRC5IAQAAAA19oQ8CAAAABTAuMDQ0AQgAAAAFAAAAATEBAAAACjE4NjQ0NDM3NzkDAAAAAzE2MAIAAAACMjgEAAAAATAHAAAACTEvMzEvMjAxOQgAAAAJOS8zMC8yMDE2CQAAAAEwyWkHPSuR1gjgrGdKK5HWCDxDSVEuTkFTREFRR1M6VEhPUi5JUV9HUk9TU19NQVJHSU4uMjAwMC4xLzMxLzIwMTkuTEZSLkYuVVNELkgBAAAAuF+3DwMAAAAAAGuEtz0rkdYItedUSiuR</t>
  </si>
  <si>
    <t>1gg8Q0lRLk5BU0RBUUdNOkNSVlMuSVFfVE9UQUxfRVFVSVRZLjIwMDAuMS8zMS8yMDE5LkxGUi5GLlVTRC5IAQAAAPSwphACAAAABzExOC44NDcBCAAAAAUAAAABMQEAAAAKMTkxNzgzNDQ5NAMAAAADMTYwAgAAAAQxMjc1BAAAAAEwBwAAAAkxLzMxLzIwMTkIAAAACTkvMzAvMjAxOAkAAAABMNqQBz0rkdYIeFZrSiuR1ggrQ0lRLklRVFI1NTgzMDg3MjkuSVFfVFJfSU1QTElFRF9FVl9FQklUX0ZXRAEAAAB5HUchAgAAAAAAP0i1SSuR1gh1I0tKK5HWCDdDSVEuTkFTREFRR1M6TksuSVFfTklfTUFSR0lOLjIwMDAuMS8zMS8yMDE5LkxGUi5GLlVTRC5IAQAAAA19oQ8DAAAAAk5NAQgAAAAFAAAAATEBAAAACjE5MTk5NjY1MDMDAAAAAzE2MAIAAAAENDA5NAQAAAABMAcAAAAJMS8zMS8yMDE5CAAAAAk5LzMwLzIwMTgJAAAAATDJaQc9K5HWCCRJaEorkdYIPENJUS5OQVNEQVFHUzpUSE9SLklRX1RPVEFMX0VRVUlUWS4xOTk2LjEvMzEvMjAxOS5MRlIuRi5VU0QuSAEAAAC4X7cPAgAAAAU0LjM0NQEIAAAABQAAAAExAQAAAAoxOTIyNTk0MDE3AwAAAAMxNjACAAAABDEyNzUEAAAAATAHAAAACTEvMzEvMjAxOQgAAAAKMTIvMzEvMjAxNgkAAAABMHyrtz0rkdYIG9JVSiuR1gg+Q0lRLk5BU0RBUUNNOk9OQ1MuSVFfQ0FTSF9TVF9JTlZFU1QuMjAwMC4xLzMxLzIwMTkuTEZSLkYuVVNELkgBAAAA4+PaAgIAAAAJ</t>
  </si>
  <si>
    <t>MjguNDc0ODgxAQgAAAAFAAAAATEBAAAACjE5MzQ0OTMzMzYDAAAAAzE2MAIAAAAEMTAwMgQAAAABMAcAAAAJMS8zMS8yMDE5CAAAAAoxMC8zMS8yMDE4CQAAAAEwyWkHPSuR1gjQO2VKK5HWCDVDSVEuTkFTREFRQ006Q1VFLklRX0VCSVREQS4xOTk2LjEvMzEvMjAxOS5MRlIuRi5VU0QuSAEAAACmZugYAgAAAAotMTUuMjgxODU1AQgAAAAFAAAAATEBAAAACjE5MjE5NDA4OTADAAAAAzE2MAIAAAAENDA1MQQAAAABMAcAAAAJMS8zMS8yMDE5CAAAAAk5LzMwLzIwMTcJAAAAATC4Qgc9K5HWCPM/Y0orkdYIHUNJUS5OQVNEQVFDTTpUR1RYLklRX0VYQ0hBTkdFAQAAAFqUjwgDAAAACE5hc2RhcUNNAFpdtz0rkdYIf1BbSiuR1gg5Q0lRLk5BU0RBUUdTOlRIT1IuSVFfVE9UQUxfUkVWLjE5OTIuMS8zMS8yMDE5LkxGUi5GLlVTRC5IAQAAALhftw8DAAAAAABrhLc9K5HWCHFLVEorkdYIJ0NJUS5OQVNEQVFDTTpUR1RYLklRX0JFVEFfNVlSLjEvMzEvMjAxOQEAAABalI8IAgAAABAyLjA1OTg5ODEyNzU0ODY2AJ75tz0rkdYIGLBcSiuR1ggnQ0lRLk5BU0RBUUdNOkZBVEUuSVFfQkVUQV8yWVIuMS8zMS8yMDE5AQAAAGgxVwICAAAAEDIuMDMzNTM5MjAzNzEyNjMAnvm3PSuR1gjY61JKK5HWCDxDSVEuTkFTREFRR006Q1JWUy5JUV9FQklUREFfRVNULkNZMjAyMC4xLzMxLzIwMTkuQ09OLkYuVVNELkgBAAAA9LCm</t>
  </si>
  <si>
    <t>EAIAAAADLTk5AQ4AAAAFAAAAAjExAQAAAAEwAgAAAAoxMDAzMzcwMzU3AwAAAAYxMDAxODcEAAAAATIGAAAAATAHAAAAAzE2MAgAAAABMAkAAAABMQoAAAABMAsAAAALMTExNzI4NjE0MTQMAAAAATcNAAAACDIvMS8yMDE5EAAAAAkxLzMxLzIwMTkeLQg9K5HWCBJsakorkdYIO0NJUS5OQVNEQVFDTTpaSU9QLklRX1BSRUZfRVFVSVRZLjIwMDAuMS8zMS8yMDE5LkxGUi5GLlVTRC5IAQAAALNRsgACAAAABzE2MC40MjkBCAAAAAUAAAABMQEAAAAKMTkyMDUzNzcwOQMAAAADMTYwAgAAAAQxMDA1BAAAAAEwBwAAAAkxLzMxLzIwMTkIAAAACTkvMzAvMjAxOAkAAAABMHyrtz0rkdYIgbxWSiuR1ghCQ0lRLihJTlZBTElEIElERU5USUZJRVIpLklRX0VCSVRfTUFSR0lOLjIwMDAuMS8zMS8yMDE5LkxGUi5GLlVTRC5IBQAAAAAAAAAIAAAAFChJbnZhbGlkIElkZW50aWZpZXIp/N4HPSuR1ghqc7JKK5HWCDpDSVEuTkFTREFRR1M6RlBSWC5JUV9FQVJOSU5HX0NPLjE5OTIuMS8zMS8yMDE5LkxGUi5GLlVTRC5IAQAAADddMwACAAAABzI1MC41MzcBCAAAAAUAAAABMQEAAAAKMTg2NDI5NDI3NQMAAAADMTYwAgAAAAE3BAAAAAEwBwAAAAkxLzMxLzIwMTkIAAAACTkvMzAvMjAxNgkAAAABMLhCBz0rkdYISblhSiuR1ggrQ0lRLk5BU0RBUUdTOk5LLklRX0RJVklERU5EX1lJRUxELjEvMzEvMjAxOQEAAAANfaEPAwAA</t>
  </si>
  <si>
    <t>AAAApxsHPSuR1ghXvmhKK5HWCCtDSVEuSVFUUjI5NjYyODgxNy5JUV9UUl9JTVBMSUVEX0VWX0VCSVRfRldEAQAAAFEyrhECAAAAAABhlrVJK5HWCHRtTUorkdYIK0NJUS5JUVRSNDE5ODY0MzAxLklRX1RSX1RPVEFMX0dST1NTX1RWLi5VU0QBAAAA7Z4GGQIAAAAEMTQuNwEGAAAABQAAAAI1NAEAAAAGMTAyMDg4AgAAAAk0MTk4NjQzMDEDAAAACTQxOTg2NTMyNwQAAAADMTYwBgAAAAVGYWxzZT9ItUkrkdYII4JDSiuR1gguQ0lRLklRVFIzMjg5Nzg1MTkuSVFfVFJfVEFSR0VUX1NUT0NLUFJFTUlVTV8xVwEAAABX0JsTAgAAAAAAUG+1SSuR1ggfqkxKK5HWCCdDSVEuTkFTREFRQ006WklPUC5JUV9CRVRBXzFZUi4xLzMxLzIwMTkBAAAAs1GyAAIAAAAQMS4yNjA1OTU2Njk3NjA5OQCe+bc9K5HWCAn1V0orkdYIOUNJUS5OQVNEQVFHTTpYT01BLklRX05JX01BUkdJTi4yMDAwLjEvMzEvMjAxOS5MRlIuRi5VU0QuSAEAAAChjwAAAgAAAAktMTI5Ljg2MjgBCAAAAAUAAAABMQEAAAAKMTkxOTkyODEyNAMAAAADMTYwAgAAAAQ0MDk0BAAAAAEwBwAAAAkxLzMxLzIwMTkIAAAACTkvMzAvMjAxOAkAAAABMLhCBz0rkdYIBtNeSiuR1ggnQ0lRLk5BU0RBUUdTOlRIT1IuSVFfQkVUQV8yWVIuMS8zMS8yMDE5AQAAALhftw8DAAAAAACe+bc9K5HWCPmDVUorkdYIOUNJUS5OQVNEQVFHTTpDUlZTLklRX1RPVEFMX1JF</t>
  </si>
  <si>
    <t>Vi4xOTk2LjEvMzEvMjAxOS5MRlIuRi5VU0QuSAEAAAD0sKYQAwAAAAAA2pAHPSuR1gjf9mlKK5HWCChDSVEuTkFTREFRR1M6VEhPUi5JUV9URVYuMS8zMS8yMDE5LlVTRC5IAQAAALhftw8CAAAACjQ1OC43NzcwMTkBBgAAAAUAAAABMQEAAAAKMTkyMjU0ODM2OAMAAAADMTYwAgAAAAYxMDAwNjAEAAAAATAHAAAACTEvMzEvMjAxOVpdtz0rkdYIYCRUSiuR1ggYQ0lRLi5JUV9UUl9NQUpfTUlOX1NUQUtFBQAAAAAAAAAIAAAAFChJbnZhbGlkIElkZW50aWZpZXIpWl23PSuR1ghZGT1KK5HWCC9DSVEuSVFUUjI5NjYyODgxNy5JUV9UUl9JTVBMSUVEX0VWX0ZJTkFMLi5VU0QuSAEAAABRMq4RAgAAAAk0Mi4xOTEyMDcBBgAAAAUAAAACNTQBAAAABjEwMjA0NQIAAAAJMjk2NjI4ODE3AwAAAAkyOTY2MzUxNTMEAAAAAzE2MAYAAAAFRmFsc2VhlrVJK5HWCDDRTEorkdYIHkNJUS5JUTM2MTgzODI4LklRX0NPTVBBTllfTkFNRQEAAAAUHygCAwAAADFVbml0ZWQgU3RhdGVzIFRyZWFzdXJ5IENvbnN0YW50IE1hdHVyaXR5IC0gMyBZZWFyAC4htUkrkdYIrtw9SiuR1gg+Q0lRLk5BU0RBUUdTOk5LVFIuSVFfVE9UQUxfRVFVSVRZLkNZMjAxOC4xLzMxLzIwMTkuTEZSLkYuVVNELkgBAAAA6XQAAAMAAAAAAGuEtz0rkdYI6shQSiuR1gg7Q0lRLk5BU0RBUUNNOkNVRS5JUV9FQklUREFfRVNULkNZMjAxOS4xLzMxLzIw</t>
  </si>
  <si>
    <t>MTkuQ09OLkYuVVNELkgBAAAApmboGAMAAAAAAA0GCD0rkdYIBGdjSiuR1ggsQ0lRLklRVFIyODM3ODI3MTMuSVFfVFJfVE9UQUxfR1JPU1NfVFYuVVNELkgFAAAAAAAAAAgAAAAaKEludmFsaWQgQ3VycmVuY3kgUmVxdWVzdCkd+rRJK5HWCFVBRkorkdYIKENJUS5OQVNEQVFDTTpDVUUuSVFfQlVTSU5FU1NfREVTQ1JJUFRJT04BAAAApmboGAMAAADHCkN1ZSBCaW9waGFybWEsIEluYy4sIGEgYmlvcGhhcm1hY2V1dGljYWwgY29tcGFueSwgZGV2ZWxvcHMgYmlvbG9naWMgZHJ1Z3MgZm9yIHRoZSBzZWxlY3RpdmUgbW9kdWxhdGlvbiBvZiB0aGUgaHVtYW4gaW1tdW5lIHN5c3RlbSB0byB0cmVhdCBhIHJhbmdlIG9mIGNhbmNlcnMgYW5kIGF1dG9pbW11bmUgZGlzb3JkZXJzLiBUaGUgY29tcGFueeKAmXMgbGVhZCBkcnVnIGNhbmRpZGF0ZSBpbmNsdWRlcyBDVUUtMTAxLCBhIHZhcmlhbnQgZm9ybSBvZiB0aGUgY3l0b2tpbmUgSW50ZXJsZXVraW4tMiBhbmQgYSBUIGNlbGwgYW50aWdlbiB0byB0YXJnZXQgYW5kIGFjdGl2YXRlIFQgY2VsbHMgc3BlY2lmaWMgdG8gaHVtYW4gcGFwaWxsb21hIHZpcnVzIHJlbGF0ZWQgY2FuY2Vycy4gSXRzIGJpb2xvZ2ljcyBkcnVnIGNhbmRpZGF0ZXMgYWxzbyBjb21wcmlzZSBDVUUtMTAwIHNlcmllcyB0byBpbXByb3ZlIHZhcmlvdXMgdHVtb3Igc3BlY2lmaWMgVCBj</t>
  </si>
  <si>
    <t>ZWxsczsgYW5kIENVRS0yMDAgc2VyaWVzIHRvIHJlaW52aWdvcmF0ZSBleGhhdXN0ZWQgVCBjZWxscy4gVGhlIGNvbXBhbnkgYWxzbyBvZmZlcnMgTU9EIGNvc3RpbXVsYXRvcnkgb3B0aW1pemF0aW9uIGFuZCBkaXNjb3ZlcnkgcGxhdGZvcm0gYW5kIHZpcmFUb3BlIFQgY2VsbCBlcGl0b3BlIGRpc2NvdmVyeSBwbGF0Zm9ybSB0byBkZXZlbG9wIG5vdmVsIGJpb2xvZ2ljcyBmb3IgYWRkcmVzc2luZyBuZXcgaW5kaWNhdGlvbnMgaW4gb25jb2xvZ3kgYW5kIGF1dG9pbW11bmUgZGlzb3JkZXJzLiBDdWUgQmlvcGhhcm1hLCBJbmMuIGhhcyBjb2xsYWJvcmF0aW9uIGFncmVlbWVudHMgd2l0aCBNZXJjayAmIENvLiBmb3IgdGhlIHJlc2VhcmNoIGFuZCBkZXZlbG9wbWVudCBvZiBpdHMgcHJvcHJpZXRhcnkgYmlvbG9naWNzIHRoYXQgdGFyZ2V0IGF1dG9pbW11bmUgZGlzZWFzZSBpbmRpY2F0aW9uczsgYW5kIEFsYmVydCBFaW5zdGVpbiBDb2xsZWdlIG9mIE1lZGljaW5lIHRvIGRldmVsb3AgSW1tdW5vLVNUQVQgYmlvbG9naWNzIGZvciBjaHJvbmljIGluZmVjdGlvdXMgZGlzZWFzZXMuIEl0IGFsc28gaGFzIGEgc3RyYXRlZ2ljIGNvbGxhYm9yYXRpb24gd2l0aCBMRyBDaGVtIExpZmUgU2NpZW5jZXMgZm9yIEltbXVuby0gU1RBVHMgYmlvbG9naWNzIGluIG9uY29sb2d5LiBUaGUgY29tcGFueSB3YXMg</t>
  </si>
  <si>
    <t>Zm9ybWVybHkga25vd24gYXMgSW1hZ2VuIEJpb3BoYXJtYSwgSW5jLiBhbmQgY2hhbmdlZCBpdHMgbmFtZSB0byBDdWUgQmlvcGhhcm1hLCBJbmMuIGluIE9jdG9iZXIgMjAxNi4gQ3VlIEJpb3BoYXJtYSwgSW5jLiB3YXMgaW5jb3Jwb3JhdGVkIGluIDIwMTQgYW5kIGlzIGJhc2VkIGluIENhbWJyaWRnZSwgTWFzc2FjaHVzZXR0cy4ApxsHPSuR1gg33GNKK5HWCCVDSVEuSVFUUjQxOTg2NDMwMS5JUV9UUl9NQUpfTUlOX1NUQUtFAQAAAO2eBhkDAAAACE1pbm9yaXR5AD9ItUkrkdYIEltDSiuR1gg/Q0lRLk5BU0RBUUdNOlhPTUEuSVFfTkVUX1dPUktJTkdfQ0FQLjE5OTYuMS8zMS8yMDE5LkxGUi5GLlVTRC5IAQAAAKGPAAACAAAABi0xMi44OAEIAAAABQAAAAExAQAAAAoxOTE5OTI4MTIyAwAAAAMxNjACAAAABDEzMTEEAAAAATAHAAAACTEvMzEvMjAxOQgAAAAJOS8zMC8yMDE3CQAAAAEwuEIHPSuR1ggG015KK5HWCCtDSVEuSVFUUjMyNjk5NTQwOC5JUV9UUl9JTVBMSUVEX0VWX0VCSVRfRldEAQAAANCNfRMCAAAAAABQb7VJK5HWCCLMRUorkdYIOUNJUS5OQVNEQVFHTTpDUlZTLklRX1RPVEFMX1JFVi4yMDAwLjEvMzEvMjAxOS5MRlIuRi5VU0QuSAEAAAD0sKYQAwAAAAAA2pAHPSuR1gjf9mlKK5HWCC5DSVEuSVFUUjU2MzkxOTA0OS5JUV9UUl9UQVJHRVRfU1RPQ0tQUkVNSVVNXzFXAQAAAMm4nCEC</t>
  </si>
  <si>
    <t>AAAABzgxLjAyODIBBgAAAAUAAAACNTQBAAAABjEwMTA1NAIAAAAJNTYzOTE5MDQ5AwAAAAk1NjM5NDAwNDIEAAAAAzE2MAYAAAAFRmFsc2U/SLVJK5HWCFetQUorkdYINkNJUS5OQVNEQVFHUzpOSy5JUV9FQklUREEuQ1kyMDE4LjEvMzEvMjAxOS5MRlIuRi5VU0QuSAEAAAANfaEPAwAAAAAAyWkHPSuR1ggC+2dKK5HWCC5DSVEuTkFTREFRR006U1VSRi5JUV9NQVJLRVRDQVAuMS8zMS8yMDE5LlVTRC5IAQAAALQpxxACAAAACjE1OS4xNjk5MTMBBgAAAAUAAAABMQEAAAAKMTkyMTgxMjUzMQMAAAADMTYwAgAAAAYxMDAwNTQEAAAAATAHAAAACTEvMzEvMjAxOacbBz0rkdYIzRlsSiuR1gg8Q0lRLk5BU0RBUUdNOkZBVEUuSVFfRUJJVERBX0VTVC5DWTIwMTkuMS8zMS8yMDE5LkNPTi5GLlVTRC5IAQAAAGgxVwIDAAAAAACN0rc9K5HWCJRPUkorkdYIMUNJUS5JUVRSNTUwMjU5Mzk3LklRX1RSX1RBUkdFVF9SRVZFTlVFX0VTVC4uVVNELkgBAAAAxUrMIAIAAAAHNjguMDA2NAA/SLVJK5HWCJtJQkorkdYII0NJUS5JUVRSNTI4NTY5MTIyLklRX1RSX1RPVEFMX1NUT0NLAQAAACJTgR8CAAAAAAA/SLVJK5HWCM6+QkorkdYINkNJUS5OQVNEQVFHTTpYT01BLklRX0VCSVREQS4xOTk2LjEvMzEvMjAxOS5MRlIuRi5VU0QuSAEAAAChjwAAAgAAAAUxMC4wNAEIAAAABQAAAAExAQAAAAoxOTE5OTI4MTIyAwAAAAMx</t>
  </si>
  <si>
    <t>NjACAAAABDQwNTEEAAAAATAHAAAACTEvMzEvMjAxOQgAAAAJOS8zMC8yMDE3CQAAAAEwuEIHPSuR1gjCNl5KK5HWCC5DSVEuKElOVkFMSUQgSURFTlRJRklFUikuSVFfQkVUQV8yWVIuMS8zMS8yMDE5BQAAAAAAAAAIAAAAFChJbnZhbGlkIElkZW50aWZpZXIpHi0IPSuR1gid6LJKK5HWCCVDSVEuSVFUUjUyOTE5MTg4MC5JUV9UUl9NQUpfTUlOX1NUQUtFAQAAAMjTih8DAAAACE1ham9yaXR5AD9ItUkrkdYIIRZISiuR1gglQ0lRLklRVFI1OTcwNzc3NjUuSVFfVFJfSU1QTElFRF9FUV9CVgEAAAAFr5YjAgAAAAAALiG1SSuR1gj/x0dKK5HWCBZDSVEuLklRX0NPTVBBTllfVElDS0VSBQAAAAAAAAAIAAAAFChJbnZhbGlkIElkZW50aWZpZXIpHfq0SSuR1gh6sT9KK5HWCC5DSVEuTkFTREFRR1M6TktUUi5JUV9NQVJLRVRDQVAuOS8zMC8yMDE2LlVTRC5IAQAAAOl0AAACAAAACzIzNDkuMDYzNDkxAQYAAAAFAAAAATEBAAAACjE4MDE5MzM5MDEDAAAAAzE2MAIAAAAGMTAwMDU0BAAAAAEwBwAAAAk5LzMwLzIwMTZaXbc9K5HWCOrIUEorkdYIMENJUS5JUVRSMjk2NjI4ODE3LklRX1RSX1RBUkdFVF9FQklUREFfRVNULi5VU0QuSAEAAABRMq4RAgAAAAAAYZa1SSuR1ghjRk1KK5HWCEZDSVEuTkFTREFRR006RkFURS5JUV9UT1RBTF9SRVZfNVlSX0FOTl9DQUdSLjIwMDAuMS8zMS8yMDE5LkxGUi5GLlVTRC5I</t>
  </si>
  <si>
    <t>AQAAAGgxVwICAAAABzIwLjUzMjIBCAAAAAUAAAABMQEAAAAKMTkxNzczMTkyOQMAAAADMTYwAgAAAAQ0MjMzBAAAAAEwBwAAAAkxLzMxLzIwMTkIAAAACTkvMzAvMjAxOAkAAAABMGuEtz0rkdYIHIhTSiuR1ggnQ0lRLk5BU0RBUUdTOk5LLklRX0JVU0lORVNTX0RFU0NSSVBUSU9OAQAAAA19oQ8DAAAA4ghOYW50S3dlc3QsIEluYy4sIGEgY2xpbmljYWwtc3RhZ2UgaW1tdW5vdGhlcmFweSBiaW90ZWNobm9sb2d5IGNvbXBhbnksIGRldmVsb3BzIGltbXVub3RoZXJhcGV1dGljIHRyZWF0bWVudHMgZm9yIGNhbmNlciwgaW5mZWN0aW91cyBkaXNlYXNlcywgYW5kIGluZmxhbW1hdG9yeSBkaXNlYXNlcyBpbiB0aGUgVW5pdGVkIFN0YXRlcy4gVGhlIGNvbXBhbnkgZGV2ZWxvcHMgYWN0aXZhdGVkIG5hdHVyYWwga2lsbGVyIGNlbGwsIGEgbmF0dXJhbCBraWxsZXIgY2VsbC1saW5lIGFuZCBnZW5ldGljYWxseSBtb2RpZmllZCBkZXJpdmF0aXZlIGNhcGFibGUgb2Yga2lsbGluZyBjYW5jZXIgYW5kIHZpcmFsbHkgaW5mZWN0ZWQgY2VsbHM7IGFuZCBOQU5UIGNhbmNlciB2YWNjaW5lLCBhIHBlcnNvbmFsaXplZCB0aGVyYXB5IHRoYXQgdXRpbGl6ZXMgaXRzIG9mZi10aGUtc2hlbGYgbmF0dXJhbCBraWxsZXIgY2VsbHMuIEl0IGlzIGFsc28gZGV2ZWxvcGluZyBoaWdoLWFmZmluaXR5IG5hdHVyYWwga2ls</t>
  </si>
  <si>
    <t>bGVyIHByb2R1Y3QgY2FuZGlkYXRlcyBwcmltYXJpbHkgZm9yIHRoZSB0cmVhdG1lbnQgb2YgdmFyaW91cyBjYW5jZXJzOyBhbmQgdGFyZ2V0IGFjdGl2YXRlZCBuYXR1cmFsIGtpbGxlciBwcm9kdWN0IGNhbmRpZGF0ZXMgdG8gdHJlYXQgaGVtYXRvbG9naWNhbCBtYWxpZ25hbmNpZXMgYW5kIHNvbGlkIHR1bW9ycy4gTmFudEt3ZXN0LCBJbmMuIGhhcyBhIGNvLWRldmVsb3BtZW50IGFncmVlbWVudCB3aXRoIEFsdG9yIEJpbyBTY2llbmNlIENvcnBvcmF0aW9uIHRvIGNvbGxhYm9yYXRlIG9uIHRoZSBkZXZlbG9wbWVudCBvZiB0aGVyYXBldXRpYyBhcHBsaWNhdGlvbnMgY29tYmluaW5nIHRoZSBjb21wYW554oCZcyBwcm9wcmlldGFyeSBuYXR1cmFsIGtpbGxlciBjZWxscyB3aXRoIEFsdG9yJ3MgQUxULTgwMSBhbmQvb3IgQUxULTgwMyBwcm9kdWN0cy4gVGhlIGNvbXBhbnkgd2FzIGZvcm1lcmx5IGtub3duIGFzIENvbmt3ZXN0LCBJbmMuIGFuZCBjaGFuZ2VkIGl0cyBuYW1lIHRvIE5hbnRLd2VzdCwgSW5jLiBpbiBKdWx5IDIwMTUuIE5hbnRLd2VzdCwgSW5jLiB3YXMgZm91bmRlZCBpbiAyMDAyIGFuZCBpcyBoZWFkcXVhcnRlcmVkIGluIFNhbiBEaWVnbywgQ2FsaWZvcm5pYS4ApxsHPSuR1ghGl2hKK5HWCDxDSVEuTkFTREFRQ006WklPUC5JUV9HUk9TU19NQVJHSU4uMjAwMC4xLzMxLzIwMTku</t>
  </si>
  <si>
    <t>TEZSLkYuVVNELkgBAAAAs1GyAAMAAAACTk0BCAAAAAUAAAABMQEAAAAKMTkyMDUzNzcwOQMAAAADMTYwAgAAAAQ0MDc0BAAAAAEwBwAAAAkxLzMxLzIwMTkIAAAACTkvMzAvMjAxOAkAAAABMHyrtz0rkdYI1n9XSiuR1gg5Q0lRLk5BU0RBUUdTOlRIT1IuSVFfVE9UQUxfUkVWLjIwMDAuMS8zMS8yMDE5LkxGUi5GLlVTRC5IAQAAALhftw8DAAAAAABrhLc9K5HWCIJyVEorkdYILUNJUS5OQVNEQVFDTTpUR1RYLklRX0RJVklERU5EX1lJRUxELjEvMzEvMjAxOQEAAABalI8IAwAAAAAAWl23PSuR1ggYsFxKK5HWCC5DSVEuSVFUUjU1MDI1OTM5Ny5JUV9UUl9UQVJHRVRfU1RPQ0tQUkVNSVVNXzFXAQAAAMVKzCACAAAABzc4LjQ2MTUBBgAAAAUAAAACNTQBAAAABjEwMTA1NAIAAAAJNTUwMjU5Mzk3AwAAAAk1NTAyNjQ1NjQEAAAAAzE2MAYAAAAFRmFsc2U/SLVJK5HWCKxwQkorkdYIQ0NJUS5OQVNEQVFDTTpUR1RYLklRX0VCSVREQV8zWVJfQU5OX0NBR1IuMjAwMC4xLzMxLzIwMTkuTEZSLkYuVVNELkgBAAAAWpSPCAMAAAACTk0BCAAAAAUAAAABMQEAAAAKMTkyMTE3ODg0MQMAAAADMTYwAgAAAAQ0MjIyBAAAAAEwBwAAAAkxLzMxLzIwMTkIAAAACTkvMzAvMjAxOAkAAAABMI3Stz0rkdYIbXNdSiuR1gg8Q0lRLk5BU0RBUUdNOlNVUkYuSVFfRUFSTklOR19DTy5DWTIwMTguMS8zMS8yMDE5LkxGUi5GLlVT</t>
  </si>
  <si>
    <t>RC5IAQAAALQpxxADAAAAAADakAc9K5HWCIjHbUorkdYIPENJUS5OQVNEQVFHUzpGUFJYLklRX1RPVEFMX0VRVUlUWS4xOTk2LjEvMzEvMjAxOS5MRlIuRi5VU0QuSAEAAAA3XTMAAgAAAAcyODYuMDg5AQgAAAAFAAAAATEBAAAACjE5MTk3OTUxNzADAAAAAzE2MAIAAAAEMTI3NQQAAAABMAcAAAAJMS8zMS8yMDE5CAAAAAk5LzMwLzIwMTcJAAAAATC4Qgc9K5HWCGsHYkorkdYIQ0NJUS5OQVNEQVFDTTpaSU9QLklRX0VCSVREQV81WVJfQU5OX0NBR1IuMjAwMC4xLzMxLzIwMTkuTEZSLkYuVVNELkgBAAAAs1GyAAMAAAACTk0BCAAAAAUAAAABMQEAAAAKMTkyMDUzNzcwOQMAAAADMTYwAgAAAAQ0MjM1BAAAAAEwBwAAAAkxLzMxLzIwMTkIAAAACTkvMzAvMjAxOAkAAAABMHyrtz0rkdYIXrhYSiuR1gg8Q0lRLk5BU0RBUUNNOlpJT1AuSVFfRUFSTklOR19DTy5DWTIwMTcuMS8zMS8yMDE5LkxGUi5GLlVTRC5IAQAAALNRsgACAAAABy01NC4zMjMBCAAAAAUAAAABMQEAAAAKMTg3NzIwNDQ2NgMAAAADMTYwAgAAAAE3BAAAAAEwBwAAAAkxLzMxLzIwMTkIAAAACjEyLzMxLzIwMTcJAAAAATB8q7c9K5HWCBocWEorkdYIIUNJUS5JUTI3OTM1OTczMi5JUV9DT01QQU5ZX1RJQ0tFUgEAAAD0sKYQAwAAAA1OYXNkYXFHTTpDUlZTAC4htUkrkdYIrIFpSiuR1ggiQ0lRLklRVFI1Mjg1NjkxMjIuSVFfVFJfVE9UQUxf</t>
  </si>
  <si>
    <t>Q0FTSAEAAAAiU4EfAgAAAAAAP0i1SSuR1gjOvkJKK5HWCC9DSVEuSVFUUjQxOTg2NDMwMS5JUV9UUl9UQVJHRVRfVE9UQUxfUkVWLi5VU0QuSAEAAADtngYZAgAAAAgyLjk1NzI0MQEGAAAABQAAAAIzNwEAAAAKMTgyNjkxNDc0MgIAAAACMjgDAAAAAzE2MAQAAAABMAcAAAAIMS8xLzE5MDA/SLVJK5HWCCOCQ0orkdYIJUNJUS5JUVRSMzE0ODI5MjM2LklRX1RSX0lNUExJRURfRVFfQlYBAAAAtOnDEgIAAAAAAFBvtUkrkdYIIGBKSiuR1ghGQ0lRLk5BU0RBUUdTOk5LVFIuSVFfVE9UQUxfUkVWXzNZUl9BTk5fQ0FHUi4yMDAwLjEvMzEvMjAxOS5MRlIuRi5VU0QuSAEAAADpdAAAAgAAAAY4MC45MDMBCAAAAAUAAAABMQEAAAAKMTkyMDU0MDUxMwMAAAADMTYwAgAAAAQ0MjIwBAAAAAEwBwAAAAkxLzMxLzIwMTkIAAAACTkvMzAvMjAxOAkAAAABMGuEtz0rkdYIDBdRSiuR1ggrQ0lRLklRVFI1NTAyNTkzOTcuSVFfVFJfSU1QTElFRF9FVl9FQklUX0ZXRAEAAADFSswgAwAAAAJOTQA/SLVJK5HWCKxwQkorkdYIJUNJUS5OQVNEQVFHUzpUSE9SLklRX0ZJUlNUUFJJQ0lOR0RBVEUBAAAAuF+3DwUAAAAJMTIvNy8yMDE4AFpdtz0rkdYIYCRUSiuR1ggvQ0lRLklRVFIzMjY5OTU0MDguSVFfVFJfVEFSR0VUX1RPVEFMX1JFVi4uVVNELkgBAAAA0I19EwIAAAAAAFBvtUkrkdYIEaVFSiuR1ggsQ0lRLklRVFI0MDI0</t>
  </si>
  <si>
    <t>NjgzNDMuSVFfVFJfVEFSR0VUX0VCSVREQS4uVVNELkgBAAAA9y39FwIAAAAJLTAuNDMwODMxAQYAAAAFAAAAAjM3AQAAAAoxODE0MjI5Mzk1AgAAAAUyMTY3NwMAAAADMTYwBAAAAAEwBwAAAAgxLzEvMTkwMFBvtUkrkdYI3MNJSiuR1gg2Q0lRLk5BU0RBUUNNOk9OQ1MuSVFfRUJJVERBLjIwMDAuMS8zMS8yMDE5LkxGUi5GLlVTRC5IAQAAAOPj2gICAAAACi0zNy4zODIzNDQBCAAAAAUAAAABMQEAAAAKMTkzNDQ5MzMzNgMAAAADMTYwAgAAAAQ0MDUxBAAAAAEwBwAAAAkxLzMxLzIwMTkIAAAACjEwLzMxLzIwMTgJAAAAATDJaQc9K5HWCAOxZUorkdYIOENJUS5OQVNEQVFHUzpOSy5JUV9FQVJOSU5HX0NPLjE5OTIuMS8zMS8yMDE5LkxGUi5GLlVTRC5IAQAAAA19oQ8CAAAACC0xMjMuMzkzAQgAAAAFAAAAATEBAAAACjE4NjQ0NDM3NzkDAAAAAzE2MAIAAAABNwQAAAABMAcAAAAJMS8zMS8yMDE5CAAAAAk5LzMwLzIwMTYJAAAAATDJaQc9K5HWCFe+aEorkdYILENJUS5JUVRSMzg0MDI4NDk2LklRX1RSX1RPVEFMX0dST1NTX1RWLlVTRC5IBQAAAAAAAAAIAAAAGihJbnZhbGlkIEN1cnJlbmN5IFJlcXVlc3QpHfq0SSuR1gi84URKK5HWCEFDSVEuTkFTREFRR1M6TksuSVFfRUJJVERBXzJZUl9BTk5fQ0FHUi4yMDAwLjEvMzEvMjAxOS5MRlIuRi5VU0QuSAEAAAANfaEPAwAAAAJOTQEIAAAABQAAAAExAQAA</t>
  </si>
  <si>
    <t>AAoxOTE5OTY2NTAzAwAAAAMxNjACAAAABDQyMDkEAAAAATAHAAAACTEvMzEvMjAxOQgAAAAJOS8zMC8yMDE4CQAAAAEw2pAHPSuR1gibWmlKK5HWCB9DSVEuMC5JUV9UUl9UT1RBTF9HUk9TU19UVi4uVVNEBQAAAAAAAAAIAAAAGChJbnZhbGlkIFRyYW5zYWN0aW9uIElkKR36tEkrkdYIlrtNSiuR1ggjQ0lRLklRVFI1ODAyOTgwNDkuSVFfVFJfQ0xPU0VEX0RBVEUBAAAAQaWWIgUAAAAKMTAvMTYvMjAxOAAuIbVJK5HWCL5NQEorkdYIIENJUS5JUVRSNDE4MDgzMzQzLklRX1RSX0VBUk5PVVRTAQAAAA9y6xgCAAAAAzQ3NQEGAAAABQAAAAI1NAEAAAAGMTAxNDAzAgAAAAk0MTgwODMzNDMDAAAACTQxODA4MzQ2MgQAAAADMTYwBgAAAAVGYWxzZVBvtUkrkdYIub9LSiuR1gg8Q0lRLk5BU0RBUUdTOk5LVFIuSVFfRUJJVERBX0VTVC5DWTIwMTkuMS8zMS8yMDE5LkNPTi5GLlVTRC5IAQAAAOl0AAACAAAABzYyNi43OTEBDgAAAAUAAAACMTEBAAAAATACAAAACjEwMDAxMTE5NjADAAAABjEwMDE4NwQAAAABMgYAAAABMAcAAAADMTYwCAAAAAEwCQAAAAExCgAAAAEwCwAAAAsxMTIzNDYzNTQ5OQwAAAABNw0AAAAIMi8xLzIwMTkQAAAACTEvMzEvMjAxOY3Stz0rkdYIYpBPSiuR1ggjQ0lRLklRVFIzODQwMjg0OTYuSVFfVFJfVE9UQUxfU1RPQ0sBAAAAUM/jFgIAAAAAAFBvtUkrkdYIq7pESiuR1gg+Q0lRLk5B</t>
  </si>
  <si>
    <t>U0RBUUNNOlRHVFguSVFfVE9UQUxfRVFVSVRZLkNZMjAxNy4xLzMxLzIwMTkuTEZSLkYuVVNELkgBAAAAWpSPCAIAAAAJNjYuOTkzMDU1AQgAAAAFAAAAATEBAAAACjE4Nzg2MzE3NjUDAAAAAzE2MAIAAAAEMTI3NQQAAAABMAcAAAAJMS8zMS8yMDE5CAAAAAoxMi8zMS8yMDE3CQAAAAEwjdK3PSuR1gg6/lxKK5HWCDxDSVEuTkFTREFRR1M6TktUUi5JUV9FQVJOSU5HX0NPLkNZMjAxOC4xLzMxLzIwMTkuTEZSLkYuVVNELkgBAAAA6XQAAAMAAAAAAGuEtz0rkdYI2aFQSiuR1ghDQ0lRLk5BU0RBUUdNOlhPTUEuSVFfRUJJVERBXzNZUl9BTk5fQ0FHUi4yMDAwLjEvMzEvMjAxOS5MRlIuRi5VU0QuSAEAAAChjwAAAwAAAAJOTQEIAAAABQAAAAExAQAAAAoxOTE5OTI4MTI0AwAAAAMxNjACAAAABDQyMjIEAAAAATAHAAAACTEvMzEvMjAxOQgAAAAJOS8zMC8yMDE4CQAAAAEwuEIHPSuR1gh95F9KK5HWCDtDSVEuTkFTREFRR006RkFURS5JUV9UT1RBTF9SRVYuQ1kyMDE3LjEvMzEvMjAxOS5MRlIuRi5VU0QuSAEAAABoMVcCAgAAAAU0LjEwNgEIAAAABQAAAAExAQAAAAoxODc3MDY5MDkwAwAAAAMxNjACAAAAAjI4BAAAAAEwBwAAAAkxLzMxLzIwMTkIAAAACjEyLzMxLzIwMTcJAAAAATBrhLc9K5HWCGHaUUorkdYIKUNJUS5JUVRSNDE4MDgzMzQzLklRX0JVU0lORVNTX0RFU0NSSVBUSU9OAQAAAKc/oxYDAAAA</t>
  </si>
  <si>
    <t>1wNEZWxpbmlhLCBJbmMuLCBhIGJpb3RlY2hub2xvZ3kgY29tcGFueSwgZm9jdXNlcyBvbiBkZXZlbG9waW5nIG5vdmVsIHRoZXJhcGV1dGljcyBmb3IgdGhlIHRyZWF0bWVudCBvZiBhdXRvaW1tdW5lIGRpc2Vhc2VzLiBJdHMgbGVhZCBwcm9ncmFtIGlzIGEgbW9sZWN1bGUgdGhhdCBwb3RlbnRpYXRlcyBhbmQgZXhwYW5kcyByZWd1bGF0b3J5IFQgY2VsbHMgKFRyZWdzKSwgd2hpY2ggYXJlIGNyaXRpY2FsIHRvIG1haW50YWluaW5nIHNlbGYtdG9sZXJhbmNlIGFuZCBpbW11bmUgc3lzdGVtIGhvbWVvc3Rhc2lzLiBUaGUgY29tcGFueSB3YXMgaW5jb3Jwb3JhdGVkIGluIDIwMTQgYW5kIGlzIGJhc2VkIGluIFNhbiBGcmFuY2lzY28sIENhbGlmb3JuaWEuIERlbGluaWEsIEluYy4gQXMgb2YgRmVicnVhcnkgMywgMjAxNywgRGVsaW5pYSwgSW5jLiBvcGVyYXRlcyBhcyBhIHN1YnNpZGlhcnkgb2YgQ2VsZ2VuZSBDb3Jwb3JhdGlvbi4ALiG1SSuR1gjbDUxKK5HWCCpDSVEuSVFUUjQwMjQ2ODM0My5JUV9UUl9UQVJHRVRfRUJJVC4uVVNELkgBAAAA9y39FwIAAAAJLTAuNDU4MjMxAQYAAAAFAAAAAjM3AQAAAAoxODE0MjI5Mzk1AgAAAAUyMTY3NQMAAAADMTYwBAAAAAEwBwAAAAgxLzEvMTkwMFBvtUkrkdYI3MNJSiuR1gg6Q0lRLk5BU0RBUUNNOk9OQ1MuSVFfRUFSTklOR19DTy4yMDAwLjEvMzEvMjAx</t>
  </si>
  <si>
    <t>OS5MRlIuRi5VU0QuSAEAAADj49oCAgAAAAotNDAuODExNTI5AQgAAAAFAAAAATEBAAAACjE5MzQ0OTMzMzYDAAAAAzE2MAIAAAABNwQAAAABMAcAAAAJMS8zMS8yMDE5CAAAAAoxMC8zMS8yMDE4CQAAAAEwyWkHPSuR1ghpm2ZKK5HWCCJDSVEuSVFUUjU5NzA3Nzc2NS5JUV9UUl9QQ1RfU09VR0hUAQAAAAWvliMCAAAAAzEwMAAuIbVJK5HWCN15R0orkdYIPkNJUS5OQVNEQVFDTTpPTkNTLklRX0NBU0hfU1RfSU5WRVNULjIwMDAuOS8zMC8yMDE2LkxGUi5GLlVTRC5IAQAAAOPj2gICAAAACTI0LjAxODc4MgEIAAAABQAAAAExAQAAAAoxNzk2MjAxMzA5AwAAAAMxNjACAAAABDEwMDIEAAAAATAHAAAACTkvMzAvMjAxNggAAAAJNC8zMC8yMDE2CQAAAAEwyWkHPSuR1giL6WZKK5HWCBlDSVEuMC5JUV9QUklNQVJZX0lORFVTVFJZBQAAAAAAAAAIAAAAFChJbnZhbGlkIElkZW50aWZpZXIpHfq0SSuR1giFlE1KK5HWCCdDSVEuTkFTREFRR006RkFURS5JUV9CRVRBXzFZUi4xLzMxLzIwMTkBAAAAaDFXAgIAAAAQMS45MTkwNDk5MTkyOTYyNACe+bc9K5HWCNjrUkorkdYILkNJUS5OQVNEQVFDTTpUR1RYLklRX01BUktFVENBUC4xLzMxLzIwMTkuVVNELkgBAAAAWpSPCAIAAAAKMzE0Ljk5MTcxNwEGAAAABQAAAAExAQAAAAoxOTIxMTc4MDkwAwAAAAMxNjACAAAABjEwMDA1NAQAAAABMAcAAAAJMS8zMS8yMDE5</t>
  </si>
  <si>
    <t>Wl23PSuR1giQd1tKK5HWCCdDSVEuTkFTREFRR1M6VEhPUi5JUV9CRVRBXzFZUi4xLzMxLzIwMTkBAAAAuF+3DwIAAAAQMS41ODIxNzAzNzEyODc5OACe+bc9K5HWCPmDVUorkdYIPkNJUS5OQVNEQVFDTTpTVE1MLklRX0NBU0hfU1RfSU5WRVNULjIwMDAuOS8zMC8yMDE2LkxGUi5GLlVTRC5IAQAAAC+onQACAAAACTU4LjE5MjgzMwEIAAAABQAAAAExAQAAAAoxODAyNDk4NjY5AwAAAAMxNjACAAAABDEwMDIEAAAAATAHAAAACTkvMzAvMjAxNggAAAAJNi8zMC8yMDE2CQAAAAEwfKu3PSuR1ghM21pKK5HWCDtDSVEuTkFTREFRR1M6RlBSWC5JUV9UT1RBTF9SRVYuQ1kyMDE4LjEvMzEvMjAxOS5MRlIuRi5VU0QuSAEAAAA3XTMAAwAAAAAAuEIHPSuR1gjBgGBKK5HWCDtDSVEuTkFTREFRR1M6VEhPUi5JUV9UT1RBTF9SRVYuQ1kyMDE3LjEvMzEvMjAxOS5MRlIuRi5VU0QuSAEAAAC4X7cPAwAAAAAAa4S3PSuR1giCclRKK5HWCDVDSVEuTkFTREFRR006Q1JWUy5JUV9EQV9DRi4yMDAwLjEvMzEvMjAxOS5MRlIuRi5VU0QuSAEAAAD0sKYQAgAAAAUwLjg4NgEIAAAABQAAAAExAQAAAAoxOTE3ODM0NDk0AwAAAAMxNjACAAAABDIxNjAEAAAAATAHAAAACTEvMzEvMjAxOQgAAAAJOS8zMC8yMDE4CQAAAAEw2pAHPSuR1gi88mtKK5HWCEdDSVEuTkFTREFRR006RkFURS5JUV9NSU5PUklUWV9JTlRFUkVTVF9UT1RB</t>
  </si>
  <si>
    <t>TC4yMDAwLjEvMzEvMjAxOS5MRlIuRi5VU0QuSAEAAABoMVcCAwAAAAAAa4S3PSuR1ghQs1FKK5HWCCdDSVEuTkFTREFRR006WE9NQS5JUV9QRVJJT0REQVRFX0lTLjEwMDABAAAAoY8AAAUAAAAKMTIvMzEvMjAxNwCN0rc9K5HWCH6aXUorkdYIJ0NJUS5OQVNEQVFHUzpOS1RSLklRX0JFVEFfNVlSLjEvMzEvMjAxOQEAAADpdAAAAgAAAA8zLjAxNDkyNzU5OTUxMDQAnvm3PSuR1gjIelBKK5HWCDtDSVEuTkFTREFRQ006Q1VFLklRX1RPVEFMX0VRVUlUWS4xOTk2LjEvMzEvMjAxOS5MRlIuRi5VU0QuSAEAAACmZugYAgAAAAc0LjM4MDY5AQgAAAAFAAAAATEBAAAACjE5MjE5NDA4OTADAAAAAzE2MAIAAAAEMTI3NQQAAAABMAcAAAAJMS8zMS8yMDE5CAAAAAk5LzMwLzIwMTcJAAAAATDJaQc9K5HWCFkqZEorkdYIPUNJUS5OQVNEQVFHTTpGQVRFLklRX1JFVkVOVUVfRVNULkNZMjAyMi4xLzMxLzIwMTkuQ09OLkYuVVNELkgBAAAAaDFXAgIAAAAHMjQ2LjgzOQEOAAAABQAAAAIxMQEAAAABMAIAAAAKMTAwMTk2NzQ1OAMAAAAGMTAwMTgwBAAAAAEyBgAAAAEwBwAAAAMxNjAIAAAAATAJAAAAATEKAAAAATALAAAACzExMjIxNTEzOTI2DAAAAAE3DQAAAAgyLzEvMjAxORAAAAAJMS8zMS8yMDE5jdK3PSuR1giDKFJKK5HWCEVDSVEuKElOVkFMSUQgSURFTlRJRklFUikuSVFfVE9UQUxfRVFVSVRZLkNZMjAxNy4x</t>
  </si>
  <si>
    <t>LzMxLzIwMTkuTEZSLkYuVVNELkgFAAAAAAAAAAgAAAAUKEludmFsaWQgSWRlbnRpZmllcikNBgg9K5HWCL82s0orkdYIH0NJUS4wLklRX1RSX0lNUExJRURfRVZfRUJJVF9GV0QFAAAAAAAAAAgAAAAYKEludmFsaWQgVHJhbnNhY3Rpb24gSWQpHfq0SSuR1gi4CU5KK5HWCCdDSVEuTkFTREFRR006Q1JWUy5JUV9QRVJJT0REQVRFX0lTLjEwMDABAAAA9LCmEAUAAAAKMTIvMzEvMjAxNwDakAc9K5HWCL2oaUorkdYIO0NJUS5OQVNEQVFDTTpPTkNTLklRX1RPVEFMX1JFVi5DWTIwMTcuMS8zMS8yMDE5LkxGUi5GLlVTRC5IAQAAAOPj2gIDAAAAAADJaQc9K5HWCOFiZUorkdYIIENJUS5JUTM2MTgzODM3LklRX0xBU1RTQUxFUFJJQ0UuAQAAAB0fKAICAAAABDIuNjUAWl23PSuR1giMjj1KK5HWCEZDSVEuTkFTREFRR006U1VSRi5JUV9UT1RBTF9SRVZfM1lSX0FOTl9DQUdSLjIwMDAuMS8zMS8yMDE5LkxGUi5GLlVTRC5IAQAAALQpxxADAAAAAADakAc9K5HWCLs8bkorkdYIGENJUS4uSVFfUFJJTUFSWV9JTkRVU1RSWQUAAAAAAAAACAAAABQoSW52YWxpZCBJZGVudGlmaWVyKVpdtz0rkdYIakA9SiuR1gg7Q0lRLk5BU0RBUUdTOk5LVFIuSVFfVE9UQUxfUkVWLkNZMjAxNy4xLzMxLzIwMTkuTEZSLkYuVVNELkgBAAAA6XQAAAIAAAAHMzA3LjcxMQEIAAAABQAAAAExAQAAAAoxODc3Mjc1NzIyAwAAAAMxNjAC</t>
  </si>
  <si>
    <t>AAAAAjI4BAAAAAEwBwAAAAkxLzMxLzIwMTkIAAAACjEyLzMxLzIwMTcJAAAAATBrhLc9K5HWCEBCT0orkdYIJUNJUS5JUVRSNTk3MDc3NzY1LklRX1RSX01BSl9NSU5fU1RBS0UBAAAABa+WIwMAAAAITWFqb3JpdHkALiG1SSuR1gjdeUdKK5HWCC9DSVEuSVFUUjU4MDI5ODA0OS5JUV9UUl9JTVBMSUVEX0VWX0ZJTkFMLi5VU0QuSAEAAABBpZYiAgAAAAk0OS44NjgxNzIBBgAAAAUAAAACNTQBAAAABjEwMjA0NQIAAAAJNTgwMjk4MDQ5AwAAAAk1ODAzMDc2MzgEAAAAAzE2MAYAAAAFRmFsc2UuIbVJK5HWCM90QEorkdYIPUNJUS5OQVNEQVFHTTpDUlZTLklRX1JFVkVOVUVfRVNULkNZMjAyMi4xLzMxLzIwMTkuQ09OLkYuVVNELkgBAAAA9LCmEAIAAAAGMzEuNTk4AQ4AAAAFAAAAAjExAQAAAAEwAgAAAAoxMDAzMzcwMzU5AwAAAAYxMDAxODAEAAAAATIGAAAAATAHAAAAAzE2MAgAAAABMAkAAAABMQoAAAABMAsAAAALMTEyNTkxOTMwNDAMAAAAATcNAAAACDIvMS8yMDE5EAAAAAkxLzMxLzIwMTkNBgg9K5HWCPAdakorkdYILkNJUS5OQVNEQVFHTTpDUlZTLklRX01BUktFVENBUC45LzMwLzIwMTYuVVNELkgBAAAA9LCmEAIAAAAKMzQzLjk2MDg0NwEGAAAABQAAAAExAQAAAAoxODAxODAwMTA1AwAAAAMxNjACAAAABjEwMDA1NAQAAAABMAcAAAAJOS8zMC8yMDE2pxsHPSuR1giJfWtKK5HWCDVDSVEuTkFT</t>
  </si>
  <si>
    <t>REFRR1M6TktUUi5JUV9DQVBFWC4yMDAwLjEvMzEvMjAxOS5MRlIuRi5VU0QuSAEAAADpdAAAAgAAAAYtNy45NDUBCAAAAAUAAAABMQEAAAAKMTkyMDU0MDUxMwMAAAADMTYwAgAAAAQyMDIxBAAAAAEwBwAAAAkxLzMxLzIwMTkIAAAACTkvMzAvMjAxOAkAAAABMGuEtz0rkdYIt1NQSiuR1gg1Q0lRLk5BU0RBUUNNOlRHVFguSVFfQ0FQRVguMjAwMC4xLzMxLzIwMTkuTEZSLkYuVVNELkgBAAAAWpSPCAIAAAAJLTAuMDg0MjI3AQgAAAAFAAAAATEBAAAACjE5MjExNzg4NDEDAAAAAzE2MAIAAAAEMjAyMQQAAAABMAcAAAAJMS8zMS8yMDE5CAAAAAk5LzMwLzIwMTgJAAAAATCN0rc9K5HWCBiwXEorkdYIR0NJUS5OQVNEQVFDTTpPTkNTLklRX01JTk9SSVRZX0lOVEVSRVNUX1RPVEFMLjIwMDAuOS8zMC8yMDE2LkxGUi5GLlVTRC5IAQAAAOPj2gIDAAAAAADJaQc9K5HWCIvpZkorkdYIKUNJUS5JUVRSNTI4NTY5MTIyLklRX0JVU0lORVNTX0RFU0NSSVBUSU9OAQAAAKUSXgADAAAAzAlBcyBvZiBBdWd1c3QgMSwgMjAxOCwgQWx0b3IgQmlvU2NpZW5jZSBDb3Jwb3JhdGlvbiB3YXMgYWNxdWlyZWQgYnkgTmFudENlbGwsIEluYy4gQWx0b3IgQmlvU2NpZW5jZSBDb3Jwb3JhdGlvbiwgYSBiaW9waGFybWFjZXV0aWNhbCBjb21wYW55LCBlbmdhZ2VzIGluIHRoZSBkaXNjb3ZlcnksIGRldmVsb3BtZW50LCBhbmQg</t>
  </si>
  <si>
    <t>Y29tbWVyY2lhbGl6YXRpb24gb2YgaW1tdW5vdGhlcmFwZXV0aWMgYWdlbnRzIGZvciB0aGUgdHJlYXRtZW50IG9mIGNhbmNlciwgdmlyYWwgaW5mZWN0aW9ucywgYW5kIGluZmxhbW1hdG9yeSBhbmQgYXV0b2ltbXVuZSBkaXNlYXNlcy4gSXRzIHByb2R1Y3QgY2FuZGlkYXRlcyBpbmNsdWRlIEFMVC04MDEsIGEgVC1jZWxsIHJlY2VwdG9yLXRhcmdldGVkIGltbXVub3RoZXJhcGV1dGljIGZvciBjYW5jZXI7IEFMVC04MzYsIGEgbW9ub2Nsb25hbCBhbnRpYm9keS1iYXNlZCB0aXNzdWUgZmFjdG9yIGFudGFnb25pc3QgdHJlYXRtZW50IG9mIHBhdGllbnRzIHdpdGggYWN1dGUgcmVzcGlyYXRvcnkgZGlzdHJlc3Mgc3luZHJvbWUgYW5kIGFjdXRlIGx1bmcgaW5qdXJ5OyBhbmQgQUxULTgwMywgYW4gSUwtMTUgc3VwZXJhZ29uaXN0IGZvciBwYXRpZW50cyB3aXRoIHNvbGlkIGFuZCBoZW1hdG9sb2dpY2FsIHR1bW9ycy9tZXRhc3RhdGljIG1lbGFub21hLiBUaGUgY29tcGFueeKAmXMgcHJvZHVjdCBjYW5kaWRhdGVzIGFsc28gaW5jbHVkZSBBTFQtODAyLCBhIHA1My1UQ1IgKFQtY2VsbCByZWNlcHRvcnMpL0lnRzEgZnVzaW9uIHByb3RlaW4gZm9yIHRyZWF0aW5nIG5vbi1zbWFsbCBjZWxsIGx1bmcgY2FuY2VyOyBBTFQtODA0LCBhIHA1My1UQ1IvSUwtMTUgZnVzaW9uIHByb3RlaW4gZm9yIHRyZWF0</t>
  </si>
  <si>
    <t>aW5nIGNhbmNlcjsgYW50aXZpcmFsIFRDUuKAk0NrIGFuZCBUQ1LigJNJZyBmdXNpb25zIHRhcmdldGVkIHRvIGFudGlnZW5zIGRlcml2ZWQgZnJvbSBISVYsIGN5dG9tZWdhbG92aXJ1cywgYW5kIGhlcGF0aXRpcyBDOyBhbmQgb3RoZXIgcHJvZHVjdCBjYW5kaWRhdGVzLiBJbiBhZGRpdGlvbiwgaXQgb2ZmZXJzIG11bHRpbWVycyByZWFnZW50cyBmb3IgdGhlIGRldGVjdGlvbiBvZiBkaXNlYXNlIHRhcmdldHMgcHJlc2VudGVkIG9uIHRoZSBzdXJmYWNlIG9mIGNlbGxzIGFuZCB0aXNzdWVzLiBBbHRvciBCaW9TY2llbmNlIENvcnBvcmF0aW9uIHdhcyBmb3VuZGVkIGluIDIwMDIgYW5kIGlzIGJhc2VkIGluIE1pcmFtYXIsIEZsb3JpZGEuAC4htUkrkdYIATRDSiuR1gg1Q0lRLihJTlZBTElEIElERU5USUZJRVIpLklRX01BUktFVENBUC45LzMwLzIwMTYuVVNELkgFAAAAAAAAAAgAAAAUKEludmFsaWQgSWRlbnRpZmllcimnGwc9K5HWCNBds0orkdYIN0NJUS5OQVNEQVFDTTpDVUUuSVFfRUJJVERBLkNZMjAxNy4xLzMxLzIwMTkuTEZSLkYuVVNELkgBAAAApmboGAIAAAAKLTIyLjgxNDMwMgEIAAAABQAAAAExAQAAAAoxODgwNDc0MzQ0AwAAAAMxNjACAAAABDQwNTEEAAAAATAHAAAACTEvMzEvMjAxOQgAAAAKMTIvMzEvMjAxNwkAAAABMLhCBz0rkdYI8z9jSiuR1gglQ0lRLklRVFI1NjM5MTkwNDku</t>
  </si>
  <si>
    <t>SVFfVFJfTUFKX01JTl9TVEFLRQEAAADJuJwhAwAAAAhNYWpvcml0eQA/SLVJK5HWCCQ4QUorkdYIL0NJUS5JUVRSNTQ3ODI5OTQ5LklRX1RSX0lNUExJRURfRVZfRklOQUwuLlVTRC5IAQAAAL04pyACAAAAAABQb7VJK5HWCGceREorkdYIPENJUS5OQVNEQVFHUzpOSy5JUV9UT1RBTF9FUVVJVFkuQ1kyMDE4LjEvMzEvMjAxOS5MRlIuRi5VU0QuSAEAAAANfaEPAwAAAAAAyWkHPSuR1gh5DGlKK5HWCCFDSVEuTkFTREFRR1M6VEhPUi5JUV9DT01QQU5ZX05BTUUBAAAAuF+3DwMAAAAOU3ludGhvcngsIEluYy4AWl23PSuR1ghP/VNKK5HWCENDSVEuTkFTREFRR1M6TktUUi5JUV9FQklUREFfNVlSX0FOTl9DQUdSLjIwMDAuMS8zMS8yMDE5LkxGUi5GLlVTRC5IAQAAAOl0AAADAAAAAk5NAQgAAAAFAAAAATEBAAAACjE5MjA1NDA1MTMDAAAAAzE2MAIAAAAENDIzNQQAAAABMAcAAAAJMS8zMS8yMDE5CAAAAAk5LzMwLzIwMTgJAAAAATBrhLc9K5HWCAwXUUorkdYIOkNJUS5OQVNEQVFDTTpTVE1MLklRX0VBUk5JTkdfQ08uMTk5Mi4xLzMxLzIwMTkuTEZSLkYuVVNELkgBAAAAL6idAAIAAAAKLTM4LjQ3MzUxNQEIAAAABQAAAAExAQAAAAoxODY0ODY1OTEwAwAAAAMxNjACAAAAATcEAAAAATAHAAAACTEvMzEvMjAxOQgAAAAJOS8zMC8yMDE2CQAAAAEwfKu3PSuR1ggZZlpKK5HWCENDSVEuTkFTREFRR1M6VEhP</t>
  </si>
  <si>
    <t>Ui5JUV9FQklUREFfM1lSX0FOTl9DQUdSLjIwMDAuMS8zMS8yMDE5LkxGUi5GLlVTRC5IAQAAALhftw8DAAAAAAB8q7c9K5HWCE5HVkorkdYIKENJUS5OQVNEQVFHUzpOS1RSLklRX1RFVi4xLzMxLzIwMTkuVVNELkgBAAAA6XQAAAIAAAAKNjE1NC41MzI2OAEGAAAABQAAAAExAQAAAAoxOTIwNTQwMjQ0AwAAAAMxNjACAAAABjEwMDA2MAQAAAABMAcAAAAJMS8zMS8yMDE5Wl23PSuR1gge9E5KK5HWCCNDSVEuSVFUUjQxODA4MzM0My5JUV9UUl9DTE9TRURfREFURQEAAAAPcusYBQAAAAgyLzMvMjAxNwBQb7VJK5HWCIZKS0orkdYIPENJUS5OQVNEQVFHTTpYT01BLklRX0VBUk5JTkdfQ08uQ1kyMDE4LjEvMzEvMjAxOS5MRlIuRi5VU0QuSAEAAAChjwAAAwAAAAAAuEIHPSuR1ghKb19KK5HWCCFDSVEuSVFUUjQzMDEwOTU2Mi5JUV9UUl9CVVlFUk5BTUUBAAAAevOiGQMAAAAlSG9yaXpvbiBQaGFybWEgUHVibGljIExpbWl0ZWQgQ29tcGFueQA/SLVJK5HWCGWySEorkdYIP0NJUS5OQVNEQVFHTTpDUlZTLklRX05FVF9XT1JLSU5HX0NBUC4yMDAwLjEvMzEvMjAxOS5MRlIuRi5VU0QuSAEAAAD0sKYQAgAAAAYtNS44NTUBCAAAAAUAAAABMQEAAAAKMTkxNzgzNDQ5NAMAAAADMTYwAgAAAAQxMzExBAAAAAEwBwAAAAkxLzMxLzIwMTkIAAAACTkvMzAvMjAxOAkAAAABMNqQBz0rkdYIReFqSiuR1gg7Q0lRLk5B</t>
  </si>
  <si>
    <t>U0RBUUdTOlRIT1IuSVFfVE9UQUxfUkVWLkNZMjAxOC4xLzMxLzIwMTkuTEZSLkYuVVNELkgBAAAAuF+3DwMAAAAAAGuEtz0rkdYIgnJUSiuR1ggrQ0lRLklRVFIzMjY5OTU0MDguSVFfVFJfVE9UQUxfR1JPU1NfVFYuLlVTRAEAAADQjX0TAgAAAAAAUG+1SSuR1ggRpUVKK5HWCB5DSVEuSVEzNjE4MzgxOS5JUV9DT01QQU5ZX05BTUUBAAAACx8oAgMAAAAyVW5pdGVkIFN0YXRlcyBUcmVhc3VyeSBDb25zdGFudCBNYXR1cml0eSAtIDYgTW9udGgALiG1SSuR1gi/Az5KK5HWCCdDSVEuTkFTREFRQ006U1RNTC5JUV9QRVJJT0REQVRFX0lTLjEwMDABAAAAL6idAAUAAAAKMTIvMzEvMjAxNwB8q7c9K5HWCG/fWEorkdYIPkNJUS5OQVNEQVFHTTpYT01BLklRX0NBU0hfU1RfSU5WRVNULjIwMDAuMS8zMS8yMDE5LkxGUi5GLlVTRC5IAQAAAKGPAAACAAAABjI4LjQzMwEIAAAABQAAAAExAQAAAAoxOTE5OTI4MTI0AwAAAAMxNjACAAAABDEwMDIEAAAAATAHAAAACTEvMzEvMjAxOQgAAAAJOS8zMC8yMDE4CQAAAAEwjdK3PSuR1gig6F1KK5HWCC9DSVEuSVFUUjU5NzA3Nzc2NS5JUV9UUl9UQVJHRVRfVE9UQUxfUkVWLi5VU0QuSAEAAAAFr5YjAgAAAAAALiG1SSuR1gjuoEdKK5HWCCxDSVEuSVFUUjQxODA4MzM0My5JUV9UUl9UT1RBTF9HUk9TU19UVi5VU0QuSAUAAAAAAAAACAAAABooSW52YWxpZCBDdXJyZW5j</t>
  </si>
  <si>
    <t>eSBSZXF1ZXN0KR36tEkrkdYIub9LSiuR1gg7Q0lRLk5BU0RBUUdTOkZQUlguSVFfRUJJVF9NQVJHSU4uMjAwMC4xLzMxLzIwMTkuTEZSLkYuVVNELkgBAAAAN10zAAIAAAAJLTIyOS45NjUyAQgAAAAFAAAAATEBAAAACjE5MTk3OTUxNzIDAAAAAzE2MAIAAAAENDA1MwQAAAABMAcAAAAJMS8zMS8yMDE5CAAAAAk5LzMwLzIwMTgJAAAAATC4Qgc9K5HWCAUdYUorkdYIPENJUS5OQVNEQVFHUzpGUFJYLklRX1RPVEFMX0VRVUlUWS4yMDAwLjEvMzEvMjAxOS5MRlIuRi5VU0QuSAEAAAA3XTMAAgAAAAcyOTYuNzc4AQgAAAAFAAAAATEBAAAACjE5MTk3OTUxNzIDAAAAAzE2MAIAAAAEMTI3NQQAAAABMAcAAAAJMS8zMS8yMDE5CAAAAAk5LzMwLzIwMTgJAAAAATC4Qgc9K5HWCGsHYkorkdYIPENJUS5OQVNEQVFHTTpTVVJGLklRX0VCSVREQV9FU1QuQ1kyMDIwLjEvMzEvMjAxOS5DT04uRi5VU0QuSAEAAAC0KccQAgAAAActOTcuNzE3AQ4AAAAFAAAAAjExAQAAAAEwAgAAAAoxMDA0MDkwMzg0AwAAAAYxMDAxODcEAAAAATIGAAAAATAHAAAAAzE2MAgAAAABMAkAAAABMQoAAAABMAsAAAALMTEyNjU5ODcwMTQMAAAAATcNAAAACDIvMS8yMDE5EAAAAAkxLzMxLzIwMTkeLQg9K5HWCCLdbEorkdYIPUNJUS5OQVNEQVFHUzpGUFJYLklRX0VCSVREQV9NQVJHSU4uMjAwMC4xLzMxLzIwMTkuTEZSLkYuVVNELkgBAAAA</t>
  </si>
  <si>
    <t>N10zAAIAAAAJLTIyMi4zMjY2AQgAAAAFAAAAATEBAAAACjE5MTk3OTUxNzIDAAAAAzE2MAIAAAAENDA0NwQAAAABMAcAAAAJMS8zMS8yMDE5CAAAAAk5LzMwLzIwMTgJAAAAATC4Qgc9K5HWCAUdYUorkdYINkNJUS5OQVNEQVFDTTpUR1RYLklRX0VCSVREQS4xOTkyLjEvMzEvMjAxOS5MRlIuRi5VU0QuSAEAAABalI8IAgAAAAotNzIuNTMzNDgxAQgAAAAFAAAAATEBAAAACjE4NjUxMjk2OTIDAAAAAzE2MAIAAAAENDA1MQQAAAABMAcAAAAJMS8zMS8yMDE5CAAAAAk5LzMwLzIwMTYJAAAAATCN0rc9K5HWCMPsW0orkdYIOUNJUS5OQVNEQVFHUzpGUFJYLklRX1RPVEFMX1JFVi4xOTk2LjEvMzEvMjAxOS5MRlIuRi5VU0QuSAEAAAA3XTMAAgAAAAYzNC41NTIBCAAAAAUAAAABMQEAAAAKMTkxOTc5NTE3MAMAAAADMTYwAgAAAAIyOAQAAAABMAcAAAAJMS8zMS8yMDE5CAAAAAk5LzMwLzIwMTcJAAAAATC4Qgc9K5HWCLBZYEorkdYIP0NJUS5OQVNEQVFHUzpOS1RSLklRX05FVF9XT1JLSU5HX0NBUC4xOTkyLjEvMzEvMjAxOS5MRlIuRi5VU0QuSAEAAADpdAAAAgAAAActNDQuOTI0AQgAAAAFAAAAATEBAAAACjE4NjQ3MDA5MjcDAAAAAzE2MAIAAAAEMTMxMQQAAAABMAcAAAAJMS8zMS8yMDE5CAAAAAk5LzMwLzIwMTYJAAAAATBrhLc9K5HWCJUFUEorkdYIIENJUS5JUTExNjg2MzIzLklRX0NPTVBBTllfVElD</t>
  </si>
  <si>
    <t>S0VSAQAAALNRsgADAAAADU5hc2RhcUNNOlpJT1AALiG1SSuR1ghwlVZKK5HWCCBDSVEuSVExMDMzMjIwNy5JUV9DT01QQU5ZX1RJQ0tFUgEAAAAvqJ0AAwAAAA1OYXNkYXFDTTpTVE1MAC4htUkrkdYIb99YSiuR1gg8Q0lRLk5BU0RBUUNNOlNUTUwuSVFfVE9UQUxfRVFVSVRZLjIwMDAuMS8zMS8yMDE5LkxGUi5GLlVTRC5IAQAAAC+onQACAAAACTYzLjUzODE2NgEIAAAABQAAAAExAQAAAAoxOTIwNDQwNjI1AwAAAAMxNjACAAAABDEyNzUEAAAAATAHAAAACTEvMzEvMjAxOQgAAAAJOS8zMC8yMDE4CQAAAAEwfKu3PSuR1ggqjVpKK5HWCDVDSVEuTkFTREFRR006U1VSRi5JUV9DQVBFWC4xOTk2LjEvMzEvMjAxOS5MRlIuRi5VU0QuSAEAAAC0KccQAgAAAAYtMS44MjUBCAAAAAUAAAABMQEAAAAKMTkyMTgxMzg2NwMAAAADMTYwAgAAAAQyMDIxBAAAAAEwBwAAAAkxLzMxLzIwMTkIAAAACTkvMzAvMjAxNwkAAAABMNqQBz0rkdYIZnltSiuR1ggdQ0lRLk5BU0RBUUdNOkNSVlMuSVFfRVhDSEFOR0UBAAAA9LCmEAMAAAAITmFzZGFxR00ApxsHPSuR1gisgWlKK5HWCCBDSVEuSVFUUjI4Mzc4MjcxMy5JUV9UUl9FQVJOT1VUUwEAAAA5LuoQAgAAAAAAYZa1SSuR1ghVQUZKK5HWCCRDSVEuTkFTREFRR006U1VSRi5JUV9FRkZFQ1RfVEFYX1JBVEUBAAAAtCnHEAMAAAACTk0BCAAAAAUAAAABMQEAAAAKMTkyMTgx</t>
  </si>
  <si>
    <t>Mzg5MwMAAAADMTYwAgAAAAQ0Mzc2BAAAAAEwBwAAAAkyLzEyLzIwMTkIAAAACTkvMzAvMjAxOAkAAAABMNqQBz0rkdYIqhVuSiuR1gg3Q0lRLk5BU0RBUUNNOlNUTUwuSVFfUEVSSU9EREFURV9JUy4yMDAwLjEvMzEvMjAxOS5MRlIuRgEAAAAvqJ0ABQAAAAk5LzMwLzIwMTgAfKu3PSuR1giABllKK5HWCBxDSVEuTkFTREFRQ006Q1VFLklRX0VYQ0hBTkdFAQAAAKZm6BgDAAAACE5hc2RhcUNNAKcbBz0rkdYIr6NiSiuR1ghDQ0lRLk5BU0RBUUdTOk5LVFIuSVFfRUJJVERBXzJZUl9BTk5fQ0FHUi4yMDAwLjEvMzEvMjAxOS5MRlIuRi5VU0QuSAEAAADpdAAAAwAAAAJOTQEIAAAABQAAAAExAQAAAAoxOTIwNTQwNTEzAwAAAAMxNjACAAAABDQyMDkEAAAAATAHAAAACTEvMzEvMjAxOQgAAAAJOS8zMC8yMDE4CQAAAAEwa4S3PSuR1ggMF1FKK5HWCDpDSVEuTkFTREFRR1M6TksuSVFfR1JPU1NfTUFSR0lOLjIwMDAuMS8zMS8yMDE5LkxGUi5GLlVTRC5IAQAAAA19oQ8CAAAAAzEwMAEIAAAABQAAAAExAQAAAAoxOTE5OTY2NTAzAwAAAAMxNjACAAAABDQwNzQEAAAAATAHAAAACTEvMzEvMjAxOQgAAAAJOS8zMC8yMDE4CQAAAAEwyWkHPSuR1ggTImhKK5HWCDBDSVEuSVFUUjU0NzgyOTk0OS5JUV9UUl9UQVJHRVRfRUJJVERBX0VTVC4uVVNELkgBAAAAvTinIAIAAAAAAFBvtUkrkdYIiWxESiuR1gg2Q0lRLk5B</t>
  </si>
  <si>
    <t>U0RBUUdTOk5LVFIuSVFfRUJJVERBLjE5OTYuMS8zMS8yMDE5LkxGUi5GLlVTRC5IAQAAAOl0AAACAAAABy01MS44MjIBCAAAAAUAAAABMQEAAAAKMTkyMDU0MDUwMwMAAAADMTYwAgAAAAQ0MDUxBAAAAAEwBwAAAAkxLzMxLzIwMTkIAAAACTkvMzAvMjAxNwkAAAABMGuEtz0rkdYIYpBPSiuR1gg+Q0lRLk5BU0RBUUdNOkZBVEUuSVFfVE9UQUxfRVFVSVRZLkNZMjAxOC4xLzMxLzIwMTkuTEZSLkYuVVNELkgBAAAAaDFXAgMAAAAAAGuEtz0rkdYI+jlTSiuR1gg+Q0lRLk5BU0RBUUNNOlpJT1AuSVFfVE9UQUxfRVFVSVRZLkNZMjAxNy4xLzMxLzIwMTkuTEZSLkYuVVNELkgBAAAAs1GyAAIAAAAGNDcuMTg2AQgAAAAFAAAAATEBAAAACjE4NzcyMDQ0NjYDAAAAAzE2MAIAAAAEMTI3NQQAAAABMAcAAAAJMS8zMS8yMDE5CAAAAAoxMi8zMS8yMDE3CQAAAAEwfKu3PSuR1ggrQ1hKK5HWCDxDSVEuTkFTREFRR006U1VSRi5JUV9UT1RBTF9FUVVJVFkuMjAwMC4xLzMxLzIwMTkuTEZSLkYuVVNELkgBAAAAtCnHEAIAAAAGMTA2LjAyAQgAAAAFAAAAATEBAAAACjE5MjE4MTM4OTMDAAAAAzE2MAIAAAAEMTI3NQQAAAABMAcAAAAJMS8zMS8yMDE5CAAAAAk5LzMwLzIwMTgJAAAAATDakAc9K5HWCIjHbUorkdYIQ0NJUS5OQVNEQVFHTTpGQVRFLklRX0VCSVREQV8yWVJfQU5OX0NBR1IuMjAwMC4xLzMxLzIwMTkuTEZS</t>
  </si>
  <si>
    <t>LkYuVVNELkgBAAAAaDFXAgMAAAACTk0BCAAAAAUAAAABMQEAAAAKMTkxNzczMTkyOQMAAAADMTYwAgAAAAQ0MjA5BAAAAAEwBwAAAAkxLzMxLzIwMTkIAAAACTkvMzAvMjAxOAkAAAABMGuEtz0rkdYILa9TSiuR1gg1Q0lRLk5BU0RBUUdNOlhPTUEuSVFfQ0FQRVguMTk5Ni4xLzMxLzIwMTkuTEZSLkYuVVNELkgBAAAAoY8AAAIAAAAGLTAuMDUyAQgAAAAFAAAAATEBAAAACjE5MTk5MjgxMjIDAAAAAzE2MAIAAAAEMjAyMQQAAAABMAcAAAAJMS8zMS8yMDE5CAAAAAk5LzMwLzIwMTcJAAAAATC4Qgc9K5HWCBf6XkorkdYIIkNJUS5JUVRSMzI4OTc4NTE5LklRX1RSX1RPVEFMX0NBU0gBAAAAV9CbEwIAAAAAAFBvtUkrkdYI/VtMSiuR1gguQ0lRLk5BU0RBUUdNOkZBVEUuSVFfTUFSS0VUQ0FQLjkvMzAvMjAxNi5VU0QuSAEAAABoMVcCAgAAAAoxMDYuNTM5ODQxAQYAAAAFAAAAATEBAAAACjE4MDIzNzI3NzQDAAAAAzE2MAIAAAAGMTAwMDU0BAAAAAEwBwAAAAk5LzMwLzIwMTZaXbc9K5HWCPo5U0orkdYINUNJUS5OQVNEQVFDTTpUR1RYLklRX0NBUEVYLjE5OTYuMS8zMS8yMDE5LkxGUi5GLlVTRC5IAQAAAFqUjwgCAAAACC0wLjAyMjk3AQgAAAAFAAAAATEBAAAACjE5MjExNzg4MjMDAAAAAzE2MAIAAAAEMjAyMQQAAAABMAcAAAAJMS8zMS8yMDE5CAAAAAk5LzMwLzIwMTcJAAAAATCN0rc9K5HWCAeJXEor</t>
  </si>
  <si>
    <t>kdYIIENJUS5JUVRSNTQ3ODI5OTQ5LklRX1RSX0VBUk5PVVRTAQAAAL04pyACAAAAAABQb7VJK5HWCGceREorkdYIRkNJUS5OQVNEQVFHTTpDUlZTLklRX1RPVEFMX1JFVl8yWVJfQU5OX0NBR1IuMjAwMC4xLzMxLzIwMTkuTEZSLkYuVVNELkgBAAAA9LCmEAMAAAAAANqQBz0rkdYImqRrSiuR1ggoQ0lRLk5BU0RBUUdNOkNSVlMuSVFfVEVWLjEvMzEvMjAxOS5VU0QuSAEAAAD0sKYQAgAAAAktNS44MDM0NzcBBgAAAAUAAAABMQEAAAAKMTkxNzgzNDExNgMAAAADMTYwAgAAAAYxMDAwNjAEAAAAATAHAAAACTEvMzEvMjAxOacbBz0rkdYIvahpSiuR1gglQ0lRLklRVFI0MzAxMDk1NjIuSVFfVFJfSU1QTElFRF9FUV9CVgEAAAB686IZAgAAAAAAP0i1SSuR1giYJ0lKK5HWCEZDSVEuTkFTREFRQ006U1RNTC5JUV9UT1RBTF9SRVZfMllSX0FOTl9DQUdSLjIwMDAuMS8zMS8yMDE5LkxGUi5GLlVTRC5IAQAAAC+onQACAAAACC0yNy4zNjA4AQgAAAAFAAAAATEBAAAACjE5MjA0NDA2MjUDAAAAAzE2MAIAAAAENDIwNwQAAAABMAcAAAAJMS8zMS8yMDE5CAAAAAk5LzMwLzIwMTgJAAAAATB8q7c9K5HWCEzbWkorkdYII0NJUS5JUVRSNDMwMTA5NTYyLklRX1RSX1RPVEFMX1NUT0NLAQAAAHrzohkCAAAAAAA/SLVJK5HWCIcASUorkdYIOUNJUS5OQVNEQVFDTTpaSU9QLklRX1RPVEFMX1JFVi4xOTkyLjEvMzEvMjAx</t>
  </si>
  <si>
    <t>OS5MRlIuRi5VU0QuSAEAAACzUbIAAgAAAAU3LjE4MwEIAAAABQAAAAExAQAAAAoxODY0Mjk0Mjc2AwAAAAMxNjACAAAAAjI4BAAAAAEwBwAAAAkxLzMxLzIwMTkIAAAACTkvMzAvMjAxNgkAAAABMHyrtz0rkdYIkuNWSiuR1gg3Q0lRLihJTlZBTElEIElERU5USUZJRVIpLklRX0xBU1RTQUxFUFJJQ0UuMS8zMS8yMDE5LlVTRAUAAAAAAAAACAAAABQoSW52YWxpZCBJZGVudGlmaWVyKacbBz0rkdYIBImxSiuR1ggnQ0lRLk5BU0RBUUdNOlNVUkYuSVFfQkVUQV8xWVIuMS8zMS8yMDE5AQAAALQpxxACAAAAEDIuNTk3Mjk2NjAyNjUxNDMAHi0IPSuR1ghmeW1KK5HWCClDSVEuTkFTREFRQ006WklPUC5JUV9CVVNJTkVTU19ERVNDUklQVElPTgEAAACzUbIAAwAAAOgIWklPUEhBUk0gT25jb2xvZ3ksIEluYy4sIGEgYmlvdGVjaG5vbG9neSBjb21wYW55LCBmb2N1c2VzIG9uIGFjcXVpcmluZywgZGV2ZWxvcGluZywgYW5kIGNvbW1lcmNpYWxpemluZyBhIHBvcnRmb2xpbyBvZiBpbW11bm8tb25jb2xvZ3kgdGhlcmFwaWVzIGZvciB0cmVhdGluZyBoZXRlcm9nZW5vdXMgc29saWQgdHVtb3JzIGFuZCB1bmtub3duIGFudGlnZW5zLiBUaGUgY29tcGFueSBkZXZlbG9wcyB0d28gaW1tdW5vLW9uY29sb2d5IHBsYXRmb3JtIHRlY2hub2xvZ2llcywgaW5jbHVkaW5nIENvbnRyb2xsZWQgSUwtMTIsIHdoaWNoIGRl</t>
  </si>
  <si>
    <t>bGl2ZXJzIGludGVybGV1a2luIDEyIG9yIElMLTEyLCBhIG1hc3RlciByZWd1bGFyIG9mIHRoZSBpbW11bmUgc3lzdGVtLCBpbiBhIGNvbnRyb2xsZWQgYW5kIHNhZmUgbWFubmVyIHRvIGZvY3VzIHRoZSBwYXRpZW504oCZcyBpbW11bmUgc3lzdGVtIHRvIGNhbmNlcjsgYW5kIFNsZWVwaW5nIEJlYXV0eSAoU0IpLCB3aGljaCBpcyBiYXNlZCBvbiB0aGUgZ2VuZXRpYyBlbmdpbmVlcmluZyBvZiBULWNlbGxzIHVzaW5nIHRoZSAoU0IpIHN5c3RlbSB0byByYXBpZGx5IHJlcHJvZ3JhbSBULWNlbGxzIG91dHNpZGUgb2YgdGhlIGJvZHkgZm9yIGluZnVzaW9uLiBJdHMgbGVhZCBnZW5lIHRoZXJhcHkgcHJvZHVjdCBjYW5kaWRhdGUgaXMgQWQtUlRTLWhJTC0xMiBwbHVzIHZlbGVkaW1leCwgd2hpY2ggaXMgaW4gUGhhc2UgSSBjbGluaWNhbCB0cmlhbCwgYSBnZW5lIHRoZXJhcHkgcHJvZHVjdCBjYW5kaWRhdGUgdG8gdHJlYXQgcGF0aWVudHMgd2l0aCByZWN1cnJlbnQgZ2xpb2JsYXN0b21hLiBUaGUgY29tcGFueSBpcyBhbHNvIGRldmVsb3BpbmcgY2hpbWVyaWMgYW50aWdlbiByZWNlcHRvciAoQ0FSKSBULWNlbGwgYW5kIFQtY2VsbCByZWNlcHRvciBULWNlbGwgdGhlcmFwaWVzLiBaSU9QSEFSTSBPbmNvbG9neSwgSW5jLiBoYXMgY29sbGFib3JhdGlvbiBhZ3JlZW1lbnRzIHdpdGggUHJlY2lnZW4s</t>
  </si>
  <si>
    <t>IEluYy4sIE1EIEFuZGVyc29uIENhbmNlciBDZW50ZXIsIHRoZSBOYXRpb25hbCBDYW5jZXIgSW5zdGl0dXRlLCBhbmQgQXJlcyBUcmFkaW5nIFMuQS4gVGhlIGNvbXBhbnkgaXMgaGVhZHF1YXJ0ZXJlZCBpbiBCb3N0b24sIE1hc3NhY2h1c2V0dHMuAFpdtz0rkdYICfVXSiuR1ggiQ0lRLklRVFI0MTgwODMzNDMuSVFfVFJfVE9UQUxfQ0FTSAEAAAAPcusYAgAAAAMzMDABBgAAAAUAAAACNTQBAAAABjEwMTA1NgIAAAAJNDE4MDgzMzQzAwAAAAk0MTgwODM0NjIEAAAAAzE2MAYAAAAFRmFsc2VQb7VJK5HWCJdxS0orkdYIN0NJUS5OQVNEQVFHUzpUSE9SLklRX1BFUklPRERBVEVfSVMuMjAwMC4xLzMxLzIwMTkuTEZSLkYBAAAAuF+3DwUAAAAJOS8zMC8yMDE4AGuEtz0rkdYIT/1TSiuR1ggZQ0lRLjAuSVFfVFJfSU1QTElFRF9FUV9CVgUAAAAAAAAACAAAABgoSW52YWxpZCBUcmFuc2FjdGlvbiBJZCkd+rRJK5HWCKfiTUorkdYIPkNJUS5OQVNEQVFHUzpUSE9SLklRX1RPVEFMX0VRVUlUWS5DWTIwMTguMS8zMS8yMDE5LkxGUi5GLlVTRC5IAQAAALhftw8DAAAAAAB8q7c9K5HWCBvSVUorkdYIOUNJUS5OQVNEQVFDTTpDVUUuSVFfVE9UQUxfREVCVC4yMDAwLjkvMzAvMjAxNi5MRlIuRi5VU0QuSAEAAACmZugYAwAAAAAAyWkHPSuR1ghqUWRKK5HWCC5DSVEuSVFUUjI4Mzc4MjcxMy5JUV9UUl9UQVJHRVRf</t>
  </si>
  <si>
    <t>U1RPQ0tQUkVNSVVNXzFXAQAAADku6hACAAAABzQwLjg4NDMBBgAAAAUAAAACNTQBAAAABjEwMTA1NAIAAAAJMjgzNzgyNzEzAwAAAAkyODM3ODI3OTIEAAAAAzE2MAYAAAAFRmFsc2VhlrVJK5HWCHePRkorkdYIP0NJUS5OQVNEQVFHTTpTVVJGLklRX05FVF9XT1JLSU5HX0NBUC4xOTkyLjEvMzEvMjAxOS5MRlIuRi5VU0QuSAEAAAC0KccQAwAAAAAA2pAHPSuR1ghEK21KK5HWCClDSVEuTkFTREFRQ006T05DUy5JUV9CVVNJTkVTU19ERVNDUklQVElPTgEAAADj49oCAwAAANQOT25jb1NlYyBNZWRpY2FsIEluY29ycG9yYXRlZCwgYSBiaW90ZWNobm9sb2d5IGNvbXBhbnksIGZvY3VzZXMgb24gdGhlIGRldmVsb3BtZW50IG9mIGN5dG9raW5lLWJhc2VkIGludHJhdHVtb3JhbCBpbW11bm90aGVyYXBpZXMgdG8gc3RpbXVsYXRlIHRoZSBib2R54oCZcyBpbW11bmUgc3lzdGVtIHRvIHRhcmdldCBhbmQgYXR0YWNrIGNhbmNlci4gSXRzIGxlYWQgcHJvZHVjdCBjYW5kaWRhdGUgaXMgSW1tdW5vUHVsc2UgSUwtMTIgdGhhdCB1c2VzIGVsZWN0cm9wb3JhdGlvbiBkZXZpY2UgdG8gZGVsaXZlciBhIEROQS1lbmNvZGVkIGludGVybGV1a2luLTEyIGZvciByZXZlcnNpbmcgdGhlIGltbXVub3N1cHByZXNzaXZlIG1pY3JvZW52aXJvbm1lbnQgaW4gdGhlIHRyZWF0ZWQgdHVtb3IuIFRoZSBjb21wYW55IGlzIGFs</t>
  </si>
  <si>
    <t>c28gZGV2ZWxvcGluZyBJbW11bm9QdWxzZSBJTC0xMiB3aXRoIEtFWVRSVURBIGluIHBhdGllbnRzIHdpdGggYWR2YW5jZWQgbWVsYW5vbWEgdGhhdCBpcyBpbiB0aGUgUGhhc2UgSUliIGNsaW5pY2FsIHRyaWFscyAoUElTQ0VTL0tFWU5PVEUtNjk1KSBhbmQgYWR2YW5jZWQgb3IgbWV0YXN0YXRpYyB0cmlwbGUgbmVnYXRpdmUgYnJlYXN0IGNhbmNlciAoVE5CQyksIHdoaWNoIGlzIGluIHRoZSBQaGFzZSBJSSBjbGluaWNhbCB0cmlhbHMgKE9NUy0xNDEvS0VZTk9URS04OTApOyBJbW11bm9QdWxzZSBJTC0xMiBhbmQgS0VZVFJVREEgaW4gcGF0aWVudHMgd2l0aCBhZHZhbmNlZCBvciBtZXRhc3RhdGljIG1lbGFub21hIHRoYXQgaGFzIGNvbXBsZXRlZCBQaGFzZSBJSSBjbGluaWNhbCB0cmlhbHM7IGFuZCBJbW11bm9QdWxzZSBJTC0xMiBtb25vdGhlcmFweSBpbiBwYXRpZW50cyB3aXRoIG1ldGFzdGF0aWMgbWVsYW5vbWEsIHdoaWNoIGhhcyBjb21wbGV0ZWQgdGhlIFBoYXNlIElJIGNsaW5pY2FsIHRyaWFscy4gSW4gYWRkaXRpb24sIGl0IHVuZGVydGFrZXMgdGhlIHBoYXNlIElJIG1vbm90aGVyYXB5IGJpb21hcmtlciBzdHVkeSBpbiBwYXRpZW50cyB3aXRoIGFkdmFuY2VkIG9yIG1ldGFzdGF0aWMgVE5CQy4gRnVydGhlciwgdGhlIGNvbXBhbnkgaGFzIGNvbXBsZXRlZCBQaGFzZSBJIG5lb2Fk</t>
  </si>
  <si>
    <t>anV2YW50IGNsaW5pY2FsIHRyaWFsIG9mIEltbXVub1B1bHNlIElMLTEyIGluIGNvbWJpbmF0aW9uIHdpdGggYW4gYW50aS1QRC0xIGluIHN1cmdpY2FsbHkgcmVzZWN0YWJsZSBtZWxhbm9tYS4gQWRkaXRpb25hbGx5LCBpdCBpcyBkZXZlbG9waW5nIG5ldyBETkEtZW5jb2RlZCB0aGVyYXBldXRpYyBjYW5kaWRhdGVzIGFuZCB0dW1vciBpbmRpY2F0aW9ucy4gT25jb1NlYyBNZWRpY2FsIEluY29ycG9yYXRlZCBoYXMgY2xpbmljYWwgdHJpYWwgY29sbGFib3JhdGlvbnMgd2l0aCBNZXJjayAmIENvLiwgSW5jLiBhbmQgaXRzIHN1YnNpZGlhcnkgaW4gY29ubmVjdGlvbiB3aXRoIHRoZSBQSVNDRVMvS0VZTk9URS02OTUgYW5kIE9NUy0xNDEvS0VZTk9URS04OTAgc3R1ZGllczsgYW5kIGEgY29sbGFib3JhdGlvbiB3aXRoIHRoZSBHT0cgRm91bmRhdGlvbiwgSW5jLiB0byBjb25kdWN0IGEgcmVnaXN0cmF0aW9uLWVuYWJsZWQgc3R1ZHkgb2YgdGF2b2tpbm9nZW5lIHRlbHNlcGxhc21pZCBpbiB3b21lbiB3aXRoIHJlY3VycmVudC9wZXJzaXN0ZW50IGNlcnZpY2FsIGNhbmNlci4gVGhlIGNvbXBhbnkgd2FzIGZvcm1lcmx5IGtub3duIGFzIE5ldFZlbnRvcnkgU29sdXRpb25zIEluYy4gYW5kIGNoYW5nZWQgaXRzIG5hbWUgdG8gT25jb1NlYyBNZWRpY2FsIEluY29ycG9yYXRlZCBpbiBNYXJjaCAyMDEx</t>
  </si>
  <si>
    <t>LiBPbmNvU2VjIE1lZGljYWwgSW5jb3Jwb3JhdGVkIHdhcyBpbmNvcnBvcmF0ZWQgaW4gMjAwOCBhbmQgaXMgaGVhZHF1YXJ0ZXJlZCBpbiBQZW5uaW5ndG9uLCBOZXcgSmVyc2V5LgCnGwc9K5HWCEdNZkorkdYIL0NJUS5OQVNEQVFHUzpPVklELklRX1RPVEFMX0RFQlQuLjUvNC8yMDE3Li4uVVNEAQAAACDQNxECAAAAATABCAAAAAUAAAABMQEAAAAKMTg4ODA2Mzk3NQMAAAADMTYwAgAAAAQ0MTczBAAAAAEwBwAAAAg1LzQvMjAxNwgAAAAJMy8zMS8yMDE3CQAAAAEwLiG1SSuR1giRHDJKK5HWCDxDSVEuTkFTREFRR1M6VEhPUi5JUV9FQklUREFfRVNULkNZMjAxOS4xLzMxLzIwMTkuQ09OLkYuVVNELkgBAAAAuF+3DwIAAAAFLTM5LjgBDgAAAAUAAAACMTEBAAAAATACAAAACjEwMDQyODQzNTEDAAAABjEwMDE4NwQAAAABMgYAAAABMAcAAAADMTYwCAAAAAEwCQAAAAExCgAAAAEwCwAAAAsxMTIyNDkzMTU5NAwAAAABNw0AAAAIMi8xLzIwMTkQAAAACTEvMzEvMjAxOY3Stz0rkdYIpMBUSiuR1ggtQ0lRLk5BU0RBUUdNOlhPTUEuSVFfRElWSURFTkRfWUlFTEQuMS8zMS8yMDE5AQAAAKGPAAADAAAAAACnGwc9K5HWCDlIX0orkdYIOENJUS5OQVNEQVFDTTpDVUUuSVFfVE9UQUxfUkVWLjE5OTYuMS8zMS8yMDE5LkxGUi5GLlVTRC5IAQAAAKZm6BgDAAAAAAC4Qgc9K5HWCNHxYkorkdYIIkNJUS5JUVRSNTI5</t>
  </si>
  <si>
    <t>MTkxODgwLklRX1RSX1BDVF9TT1VHSFQBAAAAyNOKHwIAAAADMTAwAD9ItUkrkdYIIRZISiuR1gglQ0lRLklRVFI1NDc4Mjk5NDkuSVFfVFJfTUFKX01JTl9TVEFLRQEAAAC9OKcgAwAAAAhNYWpvcml0eQBQb7VJK5HWCGceREorkdYIOENJUS5OQVNEQVFHUzpGUFJYLklRX0VCSVREQS5DWTIwMTguMS8zMS8yMDE5LkxGUi5GLlVTRC5IAQAAADddMwADAAAAAAC4Qgc9K5HWCOPOYEorkdYIRkNJUS5OQVNEQVFHUzpOS1RSLklRX1RPVEFMX1JFVl8yWVJfQU5OX0NBR1IuMjAwMC4xLzMxLzIwMTkuTEZSLkYuVVNELkgBAAAA6XQAAAIAAAAIMTczLjE4NDkBCAAAAAUAAAABMQEAAAAKMTkyMDU0MDUxMwMAAAADMTYwAgAAAAQ0MjA3BAAAAAEwBwAAAAkxLzMxLzIwMTkIAAAACTkvMzAvMjAxOAkAAAABMGuEtz0rkdYI++9QSiuR1ggjQ0lRLklRVFI0MzAxMDk1NjIuSVFfVFJfQ0xPU0VEX0RBVEUBAAAAevOiGQUAAAAINS84LzIwMTcAP0i1SSuR1ghlskhKK5HWCCdDSVEuTkFTREFRR006U1VSRi5JUV9CRVRBXzJZUi4xLzMxLzIwMTkBAAAAtCnHEAMAAAAAAB4tCD0rkdYId6BtSiuR1gglQ0lRLklRVFIyODM3ODI3MTMuSVFfVFJfTUFKX01JTl9TVEFLRQEAAAA5LuoQAwAAAAhNYWpvcml0eQBhlrVJK5HWCEQaRkorkdYIPUNJUS5OQVNEQVFHUzpOSy5JUV9ORVRfV09SS0lOR19DQVAuMTk5Mi4xLzMxLzIwMTku</t>
  </si>
  <si>
    <t>TEZSLkYuVVNELkgBAAAADX2hDwIAAAAGLTUuMDE3AQgAAAAFAAAAATEBAAAACjE4NjQ0NDM3NzkDAAAAAzE2MAIAAAAEMTMxMQQAAAABMAcAAAAJMS8zMS8yMDE5CAAAAAk5LzMwLzIwMTYJAAAAATDJaQc9K5HWCCRJaEorkdYIJUNJUS4wLklRX1RSX1RBUkdFVF9SRVZFTlVFX0VTVC4uVVNELkgFAAAAAAAAAAgAAAAYKEludmFsaWQgVHJhbnNhY3Rpb24gSWQpHfq0SSuR1gi4CU5KK5HWCDlDSVEuTkFTREFRQ006VEdUWC5JUV9OSV9NQVJHSU4uMjAwMC4xLzMxLzIwMTkuTEZSLkYuVVNELkgBAAAAWpSPCAMAAAACTk0BCAAAAAUAAAABMQEAAAAKMTkyMTE3ODg0MQMAAAADMTYwAgAAAAQ0MDk0BAAAAAEwBwAAAAkxLzMxLzIwMTkIAAAACTkvMzAvMjAxOAkAAAABMI3Stz0rkdYI5TpcSiuR1gg8Q0lRLk5BU0RBUUdNOkNSVlMuSVFfRUJJVERBX0VTVC5DWTIwMjEuMS8zMS8yMDE5LkNPTi5GLlVTRC5IAQAAAPSwphACAAAABy02My4yMTUBDgAAAAUAAAACMTEBAAAAATACAAAACjEwMDMzNzAzNTgDAAAABjEwMDE4NwQAAAABMgYAAAABMAcAAAADMTYwCAAAAAEwCQAAAAExCgAAAAEwCwAAAAsxMTA0MDEzNDIxMAwAAAABNw0AAAAIMi8xLzIwMTkQAAAACTEvMzEvMjAxOR4tCD0rkdYIEmxqSiuR1gg+Q0lRLk5BU0RBUUdTOk5LVFIuSVFfQ0FTSF9TVF9JTlZFU1QuMjAwMC45LzMwLzIwMTYuTEZSLkYuVVNE</t>
  </si>
  <si>
    <t>LkgBAAAA6XQAAAIAAAAHMjc0Ljg1NAEIAAAABQAAAAExAQAAAAoxODAxOTQwMjU1AwAAAAMxNjACAAAABDEwMDIEAAAAATAHAAAACTkvMzAvMjAxNggAAAAJNi8zMC8yMDE2CQAAAAEwa4S3PSuR1gj771BKK5HWCDFDSVEuSVFUUjUyOTE5MTg4MC5JUV9UUl9UQVJHRVRfUkVWRU5VRV9FU1QuLlVTRC5IAQAAAMjTih8CAAAAAAA/SLVJK5HWCFSLSEorkdYIPENJUS4oSU5WQUxJRCBJREVOVElGSUVSKS5JUV9EQV9DRi4yMDAwLjEvMzEvMjAxOS5MRlIuRi5VU0QuSAUAAAAAAAAACAAAABQoSW52YWxpZCBJZGVudGlmaWVyKQ0GCD0rkdYIA9OzSiuR1gg+Q0lRLk5BU0RBUUNNOlRHVFguSVFfQ0FTSF9TVF9JTlZFU1QuMjAwMC45LzMwLzIwMTYuTEZSLkYuVVNELkgBAAAAWpSPCAIAAAAJNTQuMjU4MTUxAQgAAAAFAAAAATEBAAAACjE4MDI4OTI5MjgDAAAAAzE2MAIAAAAEMTAwMgQAAAABMAcAAAAJOS8zMC8yMDE2CAAAAAk2LzMwLzIwMTYJAAAAATCN0rc9K5HWCEslXUorkdYILENJUS5JUVRSMzg0MDI4NDk2LklRX1RSX1RBUkdFVF9FQklUREEuLlVTRC5IAQAAAFDP4xYCAAAACi00NS4zNDQyMjUBBgAAAAUAAAACMzcBAAAACjE4MDE5MzA0NzUCAAAABTIxNjc3AwAAAAMxNjAEAAAAATAHAAAACDEvMS8xOTAwUG+1SSuR1gjNCEVKK5HWCC5DSVEuSVFUUjU5NzA3Nzc2NS5JUV9UUl9UQVJHRVRfU1RPQ0tQ</t>
  </si>
  <si>
    <t>UkVNSVVNXzFNAQAAAAWvliMCAAAAAAAuIbVJK5HWCBDvR0orkdYIQ0NJUS5OQVNEQVFDTTpPTkNTLklRX0VCSVREQV8zWVJfQU5OX0NBR1IuMjAwMC4xLzMxLzIwMTkuTEZSLkYuVVNELkgBAAAA4+PaAgMAAAACTk0BCAAAAAUAAAABMQEAAAAKMTkzNDQ5MzMzNgMAAAADMTYwAgAAAAQ0MjIyBAAAAAEwBwAAAAkxLzMxLzIwMTkIAAAACjEwLzMxLzIwMTgJAAAAATDJaQc9K5HWCK03Z0orkdYIMENJUS5JUVRSNDE5ODY0MzAxLklRX1RSX1RBUkdFVF9FQklUREFfRVNULi5VU0QuSAEAAADtngYZAgAAAAAAP0i1SSuR1gg0qUNKK5HWCERDSVEuKElOVkFMSUQgSURFTlRJRklFUikuSVFfUkVWRU5VRV9FU1QuQ1kyMDIyLjEvMzEvMjAxOS5DT04uRi5VU0QuSAUAAAAAAAAACAAAABQoSW52YWxpZCBJZGVudGlmaWVyKR4tCD0rkdYIN/6xSiuR1ggpQ0lRLklRVFIzODQwMjg0OTYuSVFfVFJfSU1QTElFRF9FUV9OSV9MVE0BAAAAUM/jFgMAAAACTk0AUG+1SSuR1gjNCEVKK5HWCCVDSVEuSVFUUjQwMjQ2ODM0My5JUV9QUklNQVJZX0lORFVTVFJZAQAAAI6khg0DAAAADUJpb3RlY2hub2xvZ3kAHfq0SSuR1gi6dUlKK5HWCDVDSVEuTkFTREFRQ006WklPUC5JUV9DQVBFWC4xOTk2LjEvMzEvMjAxOS5MRlIuRi5VU0QuSAEAAACzUbIAAgAAAAYtMC41NDMBCAAAAAUAAAABMQEAAAAKMTkyMDUzNzY4MAMAAAADMTYw</t>
  </si>
  <si>
    <t>AgAAAAQyMDIxBAAAAAEwBwAAAAkxLzMxLzIwMTkIAAAACTkvMzAvMjAxNwkAAAABMHyrtz0rkdYI+M1XSiuR1gglQ0lRLklRVFIyOTY2Mjg4MTcuSVFfUFJJTUFSWV9JTkRVU1RSWQEAAAAwAxUPAwAAAA1CaW90ZWNobm9sb2d5AB36tEkrkdYIMNFMSiuR1gg4Q0lRLk5BU0RBUUdTOk5LLklRX0VBUk5JTkdfQ08uMTk5Ni4xLzMxLzIwMTkuTEZSLkYuVVNELkgBAAAADX2hDwIAAAAHLTk2LjE3NAEIAAAABQAAAAExAQAAAAoxOTE5OTY2NDc5AwAAAAMxNjACAAAAATcEAAAAATAHAAAACTEvMzEvMjAxOQgAAAAJOS8zMC8yMDE3CQAAAAEwyWkHPSuR1ghXvmhKK5HWCC9DSVEuSVFUUjQxOTg2NDMwMS5JUV9UUl9JTVBMSUVEX0VWX0ZJTkFMLi5VU0QuSAEAAADtngYZAgAAAAk1NzAuMTUyNjEBBgAAAAUAAAACNTQBAAAABjEwMjA0NQIAAAAJNDE5ODY0MzAxAwAAAAk0MTk4NjUzMjcEAAAAAzE2MAYAAAAFRmFsc2U/SLVJK5HWCBJbQ0orkdYIMENJUS5OQVNEQVFDTTpTVE1MLklRX0xBU1RTQUxFUFJJQ0UuMS8zMS8yMDE5LlVTRAEAAAAvqJ0AAgAAAAUxMS4wNgBaXbc9K5HWCIAGWUorkdYIQUNJUS4oSU5WQUxJRCBJREVOVElGSUVSKS5JUV9UT1RBTF9ERUJULjIwMDAuMS8zMS8yMDE5LkxGUi5GLlVTRC5IBQAAAAAAAAAIAAAAFChJbnZhbGlkIElkZW50aWZpZXIpDQYIPSuR1ggEibFKK5HWCD1DSVEuTkFT</t>
  </si>
  <si>
    <t>REFRQ006Q1VFLklRX1RPVEFMX0VRVUlUWS5DWTIwMTguMS8zMS8yMDE5LkxGUi5GLlVTRC5IAQAAAKZm6BgDAAAAAADJaQc9K5HWCGpRZEorkdYII0NJUS5JUVRSMzI4OTc4NTE5LklRX1RSX0NMT1NFRF9EQVRFAQAAAFfQmxMFAAAACDQvMS8yMDE2AFBvtUkrkdYI2w1MSiuR1gg3Q0lRLk5BU0RBUUdTOkZQUlguSVFfUEVSSU9EREFURV9JUy4yMDAwLjEvMzEvMjAxOS5MRlIuRgEAAAA3XTMABQAAAAk5LzMwLzIwMTgAuEIHPSuR1giOC2BKK5HWCC5DSVEuTkFTREFRQ006U1RNTC5JUV9NQVJLRVRDQVAuMS8zMS8yMDE5LlVTRC5IAQAAAC+onQACAAAACTQzNC4yMzU5NQEGAAAABQAAAAExAQAAAAoxOTIwNDQwNTQ1AwAAAAMxNjACAAAABjEwMDA1NAQAAAABMAcAAAAJMS8zMS8yMDE5Wl23PSuR1giABllKK5HWCDVDSVEuTkFTREFRR006WE9NQS5JUV9DQVBFWC4yMDAwLjEvMzEvMjAxOS5MRlIuRi5VU0QuSAEAAAChjwAAAgAAAAQwLjAxAQgAAAAFAAAAATEBAAAACjE5MTk5MjgxMjQDAAAAAzE2MAIAAAAEMjAyMQQAAAABMAcAAAAJMS8zMS8yMDE5CAAAAAk5LzMwLzIwMTgJAAAAATC4Qgc9K5HWCCghX0orkdYIJUNJUS5OQVNEQVFHTTpTVVJGLklRX0ZJUlNUUFJJQ0lOR0RBVEUBAAAAtCnHEAUAAAAJNC8xOS8yMDE4ALhCBz0rkdYIzRlsSiuR1ggsQ0lRLklRVFIzMjY5OTU0MDguSVFfVFJfVEFSR0VU</t>
  </si>
  <si>
    <t>X0VCSVREQS4uVVNELkgBAAAA0I19EwIAAAAAAFBvtUkrkdYIEaVFSiuR1ggjQ0lRLklRVFIzODQwMjg0OTYuSVFfVFJfQ0xPU0VEX0RBVEUBAAAAUM/jFgUAAAAKMTAvMjQvMjAxNgBQb7VJK5HWCJqTREorkdYIP0NJUS5OQVNEQVFHUzpUSE9SLklRX05FVF9XT1JLSU5HX0NBUC4yMDAwLjEvMzEvMjAxOS5MRlIuRi5VU0QuSAEAAAC4X7cPAgAAAAYtMjYuMjMBCAAAAAUAAAABMQEAAAAKMTkyMjU0OTQ2OAMAAAADMTYwAgAAAAQxMzExBAAAAAEwBwAAAAkxLzMxLzIwMTkIAAAACTkvMzAvMjAxOAkAAAABMGuEtz0rkdYI1zVVSiuR1gg8Q0lRLk5BU0RBUUdTOkZQUlguSVFfRUJJVERBX0VTVC5DWTIwMjEuMS8zMS8yMDE5LkNPTi5GLlVTRC5IAQAAADddMwADAAAAAAANBgg9K5HWCPT1YEorkdYIJUNJUS5JUVRSNTI5MTkxODgwLklRX1BSSU1BUllfSU5EVVNUUlkBAAAAQKOXAAMAAAANQmlvdGVjaG5vbG9neQAd+rRJK5HWCCEWSEorkdYIQ0NJUS5OQVNEQVFHTTpDUlZTLklRX0VCSVREQV8zWVJfQU5OX0NBR1IuMjAwMC4xLzMxLzIwMTkuTEZSLkYuVVNELkgBAAAA9LCmEAMAAAAAANqQBz0rkdYIq8trSiuR1gg8Q0lRLk5BU0RBUUNNOkNVRS5JUV9SRVZFTlVFX0VTVC5DWTIwMjEuMS8zMS8yMDE5LkNPTi5GLlVTRC5IAQAAAKZm6BgCAAAAATABDgAAAAUAAAACMTEBAAAAATACAAAACjEwMDQyMTcxNTYD</t>
  </si>
  <si>
    <t>AAAABjEwMDE4MAQAAAABMgYAAAABMAcAAAADMTYwCAAAAAEwCQAAAAExCgAAAAEwCwAAAAsxMTE3Mzk0NzIzNQwAAAABNw0AAAAIMi8xLzIwMTkQAAAACTEvMzEvMjAxOQ0GCD0rkdYI8z9jSiuR1ggtQ0lRLk5BU0RBUUNNOlpJT1AuSVFfRElWSURFTkRfWUlFTEQuMS8zMS8yMDE5AQAAALNRsgADAAAAAABaXbc9K5HWCAn1V0orkdYIOENJUS5OQVNEQVFHTTpTVVJGLklRX0VCSVREQS5DWTIwMTcuMS8zMS8yMDE5LkxGUi5GLlVTRC5IAQAAALQpxxACAAAABy00Mi43MjYBCAAAAAUAAAABMQEAAAAKMTg4MDA0NDIxNQMAAAADMTYwAgAAAAQ0MDUxBAAAAAEwBwAAAAkxLzMxLzIwMTkIAAAACjEyLzMxLzIwMTcJAAAAATDakAc9K5HWCBG2bEorkdYIIUNJUS5JUVRSNTYzOTE5MDQ5LklRX1RSX0JVWUVSTkFNRQEAAADJuJwhAwAAABVFbGkgTGlsbHkgYW5kIENvbXBhbnkAP0i1SSuR1ggTEUFKK5HWCB9DSVEuLklRX1RSX1RBUkdFVF9FQklUREEuLlVTRC5IBQAAAAAAAAAIAAAAFChJbnZhbGlkIElkZW50aWZpZXIpWl23PSuR1ghI8jxKK5HWCD1DSVEuTkFTREFRR006Q1JWUy5JUV9SRVZFTlVFX0VTVC5DWTIwMjEuMS8zMS8yMDE5LkNPTi5GLlVTRC5IAQAAAPSwphACAAAAATABDgAAAAUAAAACMTEBAAAAATACAAAACjEwMDMzNzAzNTgDAAAABjEwMDE4MAQAAAABMgYAAAABMAcAAAADMTYwCAAAAAEwCQAA</t>
  </si>
  <si>
    <t>AAExCgAAAAEwCwAAAAsxMTI1OTE5NjI3MQwAAAABNw0AAAAIMi8xLzIwMTkQAAAACTEvMzEvMjAxOQ0GCD0rkdYI8B1qSiuR1gg5Q0lRLk5BU0RBUUdNOlNVUkYuSVFfVE9UQUxfUkVWLjIwMDAuMS8zMS8yMDE5LkxGUi5GLlVTRC5IAQAAALQpxxACAAAABjUyLjEzMgEIAAAABQAAAAExAQAAAAoxOTIxODEzODkzAwAAAAMxNjACAAAAAjI4BAAAAAEwBwAAAAkxLzMxLzIwMTkIAAAACTkvMzAvMjAxOAkAAAABMNqQBz0rkdYI72dsSiuR1ghBQ0lRLihJTlZBTElEIElERU5USUZJRVIpLklRX0VBUk5JTkdfQ08uMTk5Mi4xLzMxLzIwMTkuTEZSLkYuVVNELkgFAAAAAAAAAAgAAAAUKEludmFsaWQgSWRlbnRpZmllcikNBgg9K5HWCJ3oskorkdYINkNJUS5OQVNEQVFHUzpGUFJYLklRX0VCSVREQS4xOTk2LjEvMzEvMjAxOS5MRlIuRi5VU0QuSAEAAAA3XTMAAgAAAAgtMTUwLjYzOQEIAAAABQAAAAExAQAAAAoxOTE5Nzk1MTcwAwAAAAMxNjACAAAABDQwNTEEAAAAATAHAAAACTEvMzEvMjAxOQgAAAAJOS8zMC8yMDE3CQAAAAEwuEIHPSuR1gjjzmBKK5HWCDpDSVEuTkFTREFRR1M6RlBSWC5JUV9UT1RBTF9ERUJULjIwMDAuMS8zMS8yMDE5LkxGUi5GLlVTRC5IAQAAADddMwACAAAAATABCAAAAAUAAAABMQEAAAAKMTkxOTc5NTE3MgMAAAADMTYwAgAAAAQ0MTczBAAAAAEwBwAAAAkxLzMxLzIwMTkIAAAACTkv</t>
  </si>
  <si>
    <t>MzAvMjAxOAkAAAABMLhCBz0rkdYInzJgSiuR1ggiQ0lRLi5JUV9UUl9UQVJHRVRfVE9UQUxfUkVWLi5VU0QuSAUAAAAAAAAACAAAABQoSW52YWxpZCBJZGVudGlmaWVyKVpdtz0rkdYIWRk9SiuR1ggsQ0lRLklRVFI1OTcwNzc3NjUuSVFfVFJfVE9UQUxfR1JPU1NfVFYuVVNELkgFAAAAAAAAAAgAAAAaKEludmFsaWQgQ3VycmVuY3kgUmVxdWVzdCkd+rRJK5HWCO6gR0orkdYIJ0NJUS5OQVNEQVFHUzpOS1RSLklRX0JFVEFfMllSLjEvMzEvMjAxOQEAAADpdAAAAgAAABAxLjUxNDAyMjYwMDIzMzQ4AJ75tz0rkdYIt1NQSiuR1ghAQ0lRLihJTlZBTElEIElERU5USUZJRVIpLklRX05JX01BUkdJTi4yMDAwLjEvMzEvMjAxOS5MRlIuRi5VU0QuSAUAAAAAAAAACAAAABQoSW52YWxpZCBJZGVudGlmaWVyKfzeBz0rkdYIanOySiuR1ggtQ0lRLk5BU0RBUUNNOkNVRS5JUV9NQVJLRVRDQVAuOS8zMC8yMDE2LlVTRC5IAQAAAKZm6BgDAAAAAACnGwc9K5HWCGpRZEorkdYIRkNJUS5OQVNEQVFDTTpUR1RYLklRX1RPVEFMX1JFVl8zWVJfQU5OX0NBR1IuMjAwMC4xLzMxLzIwMTkuTEZSLkYuVVNELkgBAAAAWpSPCAIAAAABMAEIAAAABQAAAAExAQAAAAoxOTIxMTc4ODQxAwAAAAMxNjACAAAABDQyMjAEAAAAATAHAAAACTEvMzEvMjAxOQgAAAAJOS8zMC8yMDE4CQAAAAEwjdK3PSuR1ghcTF1KK5HWCDlDSVEuTkFT</t>
  </si>
  <si>
    <t>REFRQ006U1RNTC5JUV9UT1RBTF9SRVYuMTk5Mi4xLzMxLzIwMTkuTEZSLkYuVVNELkgBAAAAL6idAAIAAAAIMC45NDc2MDQBCAAAAAUAAAABMQEAAAAKMTg2NDg2NTkxMAMAAAADMTYwAgAAAAIyOAQAAAABMAcAAAAJMS8zMS8yMDE5CAAAAAk5LzMwLzIwMTYJAAAAATB8q7c9K5HWCJEtWUorkdYIQ0NJUS4oSU5WQUxJRCBJREVOVElGSUVSKS5JUV9UT1RBTF9FUVVJVFkuMTk5Mi4xLzMxLzIwMTkuTEZSLkYuVVNELkgFAAAAAAAAAAgAAAAUKEludmFsaWQgSWRlbnRpZmllcikNBgg9K5HWCK4Ps0orkdYIR0NJUS5OQVNEQVFHUzpGUFJYLklRX01JTk9SSVRZX0lOVEVSRVNUX1RPVEFMLjIwMDAuOS8zMC8yMDE2LkxGUi5GLlVTRC5IAQAAADddMwADAAAAAAC4Qgc9K5HWCHwuYkorkdYIR0NJUS5OQVNEQVFHTTpGQVRFLklRX01JTk9SSVRZX0lOVEVSRVNUX1RPVEFMLjIwMDAuOS8zMC8yMDE2LkxGUi5GLlVTRC5IAQAAAGgxVwIDAAAAAABrhLc9K5HWCAthU0orkdYIO0NJUS5OQVNEQVFDTTpUR1RYLklRX1RPVEFMX1JFVi5DWTIwMTcuMS8zMS8yMDE5LkxGUi5GLlVTRC5IAQAAAFqUjwgCAAAACDAuMTUyMzgxAQgAAAAFAAAAATEBAAAACjE4Nzg2MzE3NjUDAAAAAzE2MAIAAAACMjgEAAAAATAHAAAACTEvMzEvMjAxOQgAAAAKMTIvMzEvMjAxNwkAAAABMI3Stz0rkdYIoZ5bSiuR1gg9Q0lRLihJTlZBTElE</t>
  </si>
  <si>
    <t>IElERU5USUZJRVIpLklRX0VCSVREQS4xOTkyLjEvMzEvMjAxOS5MRlIuRi5VU0QuSAUAAAAAAAAACAAAABQoSW52YWxpZCBJZGVudGlmaWVyKfzeBz0rkdYIN/6xSiuR1ggjQ0lRLk5BU0RBUUNNOkNVRS5JUV9FRkZFQ1RfVEFYX1JBVEUBAAAApmboGAMAAAAAAMlpBz0rkdYIe3hkSiuR1ggvQ0lRLklRVFI0MTgwODMzNDMuSVFfVFJfSU1QTElFRF9FVl9GSU5BTC4uVVNELkgBAAAAD3LrGAIAAAADNzc1AQYAAAAFAAAAAjU0AQAAAAYxMDIwNDUCAAAACTQxODA4MzM0MwMAAAAJNDE4MDgzNDYyBAAAAAMxNjAGAAAABUZhbHNlUG+1SSuR1giXcUtKK5HWCDhDSVEuTkFTREFRR006WE9NQS5JUV9FQklUREEuQ1kyMDE3LjEvMzEvMjAxOS5MRlIuRi5VU0QuSAEAAAChjwAAAgAAAAYyMC43ODIBCAAAAAUAAAABMQEAAAAKMTg3NzMzMDA1OQMAAAADMTYwAgAAAAQ0MDUxBAAAAAEwBwAAAAkxLzMxLzIwMTkIAAAACjEyLzMxLzIwMTcJAAAAATC4Qgc9K5HWCNNdXkorkdYINkNJUS5OQVNEQVFHUzpUSE9SLklRX0VCSVREQS4xOTkyLjEvMzEvMjAxOS5MRlIuRi5VU0QuSAEAAAC4X7cPAwAAAAAAa4S3PSuR1giTmVRKK5HWCDxDSVEuTkFTREFRR006RkFURS5JUV9UT1RBTF9FUVVJVFkuMTk5Mi4xLzMxLzIwMTkuTEZSLkYuVVNELkgBAAAAaDFXAgIAAAAGMjUuMzczAQgAAAAFAAAAATEBAAAACjE4NjM2MDE3MDgD</t>
  </si>
  <si>
    <t>AAAAAzE2MAIAAAAEMTI3NQQAAAABMAcAAAAJMS8zMS8yMDE5CAAAAAk5LzMwLzIwMTYJAAAAATBrhLc9K5HWCOkSU0orkdYIRkNJUS5OQVNEQVFHUzpGUFJYLklRX1RPVEFMX1JFVl8zWVJfQU5OX0NBR1IuMjAwMC4xLzMxLzIwMTkuTEZSLkYuVVNELkgBAAAAN10zAAIAAAAGNDAuOTE1AQgAAAAFAAAAATEBAAAACjE5MTk3OTUxNzIDAAAAAzE2MAIAAAAENDIyMAQAAAABMAcAAAAJMS8zMS8yMDE5CAAAAAk5LzMwLzIwMTgJAAAAATC4Qgc9K5HWCI1VYkorkdYIL0NJUS5JUVRSNTI4NTY5MTIyLklRX1RSX0lNUExJRURfRVZfRklOQUwuLlVTRC5IAQAAACJTgR8CAAAAAzI5MAEGAAAABQAAAAI1NAEAAAAGMTAyMDQ1AgAAAAk1Mjg1NjkxMjIDAAAACTUyODU2OTQ1MgQAAAADMTYwBgAAAAVGYWxzZT9ItUkrkdYIzr5CSiuR1gg1Q0lRLk5BU0RBUUdNOkNSVlMuSVFfQ0FQRVguMTk5Mi4xLzMxLzIwMTkuTEZSLkYuVVNELkgBAAAA9LCmEAIAAAAFLTIuNDUBCAAAAAUAAAABMQEAAAAKMTg2Mzc5MTU4OQMAAAADMTYwAgAAAAQyMDIxBAAAAAEwBwAAAAkxLzMxLzIwMTkIAAAACTkvMzAvMjAxNgkAAAABMNqQBz0rkdYIReFqSiuR1gg8Q0lRLk5BU0RBUUdNOkZBVEUuSVFfRUJJVERBX0VTVC5DWTIwMjEuMS8zMS8yMDE5LkNPTi5GLlVTRC5IAQAAAGgxVwIDAAAAAACN0rc9K5HWCJRPUkorkdYIPENJUS5OQVNE</t>
  </si>
  <si>
    <t>QVFHUzpOSy5JUV9UT1RBTF9FUVVJVFkuQ1kyMDE3LjEvMzEvMjAxOS5MRlIuRi5VU0QuSAEAAAANfaEPAgAAAAcyMTguODQ0AQgAAAAFAAAAATEBAAAACjE4NzgwMTI1OTcDAAAAAzE2MAIAAAAEMTI3NQQAAAABMAcAAAAJMS8zMS8yMDE5CAAAAAoxMi8zMS8yMDE3CQAAAAEwyWkHPSuR1gho5WhKK5HWCENDSVEuTkFTREFRR006RkFURS5JUV9FQklUREFfNVlSX0FOTl9DQUdSLjIwMDAuMS8zMS8yMDE5LkxGUi5GLlVTRC5IAQAAAGgxVwIDAAAAAk5NAQgAAAAFAAAAATEBAAAACjE5MTc3MzE5MjkDAAAAAzE2MAIAAAAENDIzNQQAAAABMAcAAAAJMS8zMS8yMDE5CAAAAAk5LzMwLzIwMTgJAAAAATBrhLc9K5HWCC2vU0orkdYIP0NJUS5OQVNEQVFDTTpaSU9QLklRX05FVF9XT1JLSU5HX0NBUC4xOTkyLjEvMzEvMjAxOS5MRlIuRi5VU0QuSAEAAACzUbIAAgAAAAQ1LjI1AQgAAAAFAAAAATEBAAAACjE4NjQyOTQyNzYDAAAAAzE2MAIAAAAEMTMxMQQAAAABMAcAAAAJMS8zMS8yMDE5CAAAAAk5LzMwLzIwMTYJAAAAATB8q7c9K5HWCOemV0orkdYIIkNJUS5JUVRSNTYzOTE5MDQ5LklRX1RSX1RBUkdFVE5BTUUBAAAAybicIQMAAAAWQVJNTyBCaW9TY2llbmNlcywgSW5jLgA/SLVJK5HWCBMRQUorkdYIMUNJUS5JUVRSNTYzOTE5MDQ5LklRX1RSX1RBUkdFVF9SRVZFTlVFX0VTVC4uVVNELkgBAAAAybicIQIA</t>
  </si>
  <si>
    <t>AAAAAD9ItUkrkdYIRoZBSiuR1ggdQ0lRLjAuSVFfQlVTSU5FU1NfREVTQ1JJUFRJT04FAAAAAAAAAAgAAAAUKEludmFsaWQgSWRlbnRpZmllcikuIbVJK5HWCLgJTkorkdYIPENJUS5OQVNEQVFHUzpGUFJYLklRX0VBUk5JTkdfQ08uQ1kyMDE3LjEvMzEvMjAxOS5MRlIuRi5VU0QuSAEAAAA3XTMAAgAAAAgtMTUwLjIyMgEIAAAABQAAAAExAQAAAAoxODc2MTM1OTkxAwAAAAMxNjACAAAAATcEAAAAATAHAAAACTEvMzEvMjAxOQgAAAAKMTIvMzEvMjAxNwkAAAABMLhCBz0rkdYIWuBhSiuR1ggoQ0lRLk5BU0RBUUdNOlNVUkYuSVFfVEVWLjEvMzEvMjAxOS5VU0QuSAEAAAC0KccQAgAAAAotMTQuMjA1MDg3AQYAAAAFAAAAATEBAAAACjE5MjE4MTI1MzEDAAAAAzE2MAIAAAAGMTAwMDYwBAAAAAEwBwAAAAkxLzMxLzIwMTmnGwc9K5HWCM0ZbEorkdYIK0NJUS5JUVRSNDE4MDgzMzQzLklRX1RSX0lNUExJRURfRVZfRUJJVF9GV0QBAAAAD3LrGAIAAAAAAFBvtUkrkdYI2w1MSiuR1ggwQ0lRLklRVFIzMTQ4MjkyMzYuSVFfVFJfVEFSR0VUX0VCSVREQV9FU1QuLlVTRC5IAQAAALTpwxICAAAAAABhlrVJK5HWCDGHSkorkdYIPENJUS5OQVNEQVFHTTpYT01BLklRX1RPVEFMX0VRVUlUWS4xOTkyLjEvMzEvMjAxOS5MRlIuRi5VU0QuSAEAAAChjwAAAgAAAActMzEuMTg3AQgAAAAFAAAAATEBAAAACjE4NjQzMDI5</t>
  </si>
  <si>
    <t>NjkDAAAAAzE2MAIAAAAEMTI3NQQAAAABMAcAAAAJMS8zMS8yMDE5CAAAAAk5LzMwLzIwMTYJAAAAATC4Qgc9K5HWCEpvX0orkdYIOENJUS5OQVNEQVFHUzpOSy5JUV9UT1RBTF9ERUJULjIwMDAuMS8zMS8yMDE5LkxGUi5GLlVTRC5IAQAAAA19oQ8CAAAABTcuMzAzAQgAAAAFAAAAATEBAAAACjE5MTk5NjY1MDMDAAAAAzE2MAIAAAAENDE3MwQAAAABMAcAAAAJMS8zMS8yMDE5CAAAAAk5LzMwLzIwMTgJAAAAATDJaQc9K5HWCM+FZ0orkdYIO0NJUS5OQVNEQVFHTTpTVVJGLklRX1RPVEFMX1JFVi5DWTIwMTcuMS8zMS8yMDE5LkxGUi5GLlVTRC5IAQAAALQpxxACAAAABjEyLjgyNgEIAAAABQAAAAExAQAAAAoxODgwMDQ0MjE1AwAAAAMxNjACAAAAAjI4BAAAAAEwBwAAAAkxLzMxLzIwMTkIAAAACjEyLzMxLzIwMTcJAAAAATDakAc9K5HWCO9nbEorkdYIJ0NJUS5OQVNEQVFHTTpDUlZTLklRX0JFVEFfNVlSLjEvMzEvMjAxOQEAAAD0sKYQAgAAABEwLjk0MTQxMzQ1NDc1MDk0NgAeLQg9K5HWCFYIa0orkdYIRkNJUS5OQVNEQVFHTTpYT01BLklRX1RPVEFMX1JFVl81WVJfQU5OX0NBR1IuMjAwMC4xLzMxLzIwMTkuTEZSLkYuVVNELkgBAAAAoY8AAAIAAAAILTIxLjYxMTMBCAAAAAUAAAABMQEAAAAKMTkxOTkyODEyNAMAAAADMTYwAgAAAAQ0MjMzBAAAAAEwBwAAAAkxLzMxLzIwMTkIAAAACTkvMzAvMjAx</t>
  </si>
  <si>
    <t>OAkAAAABMLhCBz0rkdYIfeRfSiuR1gg/Q0lRLk5BU0RBUUdTOkZQUlguSVFfTkVUX1dPUktJTkdfQ0FQLjE5OTYuMS8zMS8yMDE5LkxGUi5GLlVTRC5IAQAAADddMwACAAAABy0zMy4xMjcBCAAAAAUAAAABMQEAAAAKMTkxOTc5NTE3MAMAAAADMTYwAgAAAAQxMzExBAAAAAEwBwAAAAkxLzMxLzIwMTkIAAAACTkvMzAvMjAxNwkAAAABMLhCBz0rkdYIFkRhSiuR1ggjQ0lRLklRVFIyODM3ODI3MTMuSVFfVFJfQ0xPU0VEX0RBVEUBAAAAOS7qEAUAAAAIOS8zLzIwMTUAYZa1SSuR1ggz80VKK5HWCDxDSVEuTkFTREFRR1M6TksuSVFfQ0FTSF9TVF9JTlZFU1QuMjAwMC4xLzMxLzIwMTkuTEZSLkYuVVNELkgBAAAADX2hDwIAAAAGODMuODk4AQgAAAAFAAAAATEBAAAACjE5MTk5NjY1MDMDAAAAAzE2MAIAAAAEMTAwMgQAAAABMAcAAAAJMS8zMS8yMDE5CAAAAAk5LzMwLzIwMTgJAAAAATDJaQc9K5HWCM+FZ0orkdYIO0NJUS5OQVNEQVFHUzpGUFJYLklRX1BSRUZfRVFVSVRZLjIwMDAuMS8zMS8yMDE5LkxGUi5GLlVTRC5IAQAAADddMwADAAAAAAC4Qgc9K5HWCLBZYEorkdYIJ0NJUS5OQVNEQVFDTTpTVE1MLklRX0JFVEFfMVlSLjEvMzEvMjAxOQEAAAAvqJ0AAgAAABAxLjE5MTkxMDAyODEzOTg3AJ75tz0rkdYICD9aSiuR1ggkQ0lRLk5BU0RBUUdTOlRIT1IuSVFfRUZGRUNUX1RBWF9SQVRFAQAAALhftw8D</t>
  </si>
  <si>
    <t>AAAAAAB8q7c9K5HWCCz5VUorkdYINUNJUS5OQVNEQVFHTTpGQVRFLklRX0NBUEVYLjE5OTYuMS8zMS8yMDE5LkxGUi5GLlVTRC5IAQAAAGgxVwICAAAABi0wLjk2OAEIAAAABQAAAAExAQAAAAoxOTE3NzMxODk5AwAAAAMxNjACAAAABDIwMjEEAAAAATAHAAAACTEvMzEvMjAxOQgAAAAJOS8zMC8yMDE3CQAAAAEwa4S3PSuR1gjHxFJKK5HWCCFDSVEuLklRX1RSX1RBUkdFVF9TVE9DS1BSRU1JVU1fMU0FAAAAAAAAAAgAAAAUKEludmFsaWQgSWRlbnRpZmllcilaXbc9K5HWCDfLPEorkdYIPENJUS5OQVNEQVFHUzpUSE9SLklRX1RPVEFMX0VRVUlUWS4yMDAwLjEvMzEvMjAxOS5MRlIuRi5VU0QuSAEAAAC4X7cPAgAAAAYtMy4yNjgBCAAAAAUAAAABMQEAAAAKMTkyMjU0OTQ2OAMAAAADMTYwAgAAAAQxMjc1BAAAAAEwBwAAAAkxLzMxLzIwMTkIAAAACTkvMzAvMjAxOAkAAAABMHyrtz0rkdYIG9JVSiuR1gg8Q0lRLk5BU0RBUUNNOlpJT1AuSVFfVE9UQUxfRVFVSVRZLjE5OTIuMS8zMS8yMDE5LkxGUi5GLlVTRC5IAQAAALNRsgACAAAABjU3LjM5NgEIAAAABQAAAAExAQAAAAoxODY0Mjk0Mjc2AwAAAAMxNjACAAAABDEyNzUEAAAAATAHAAAACTEvMzEvMjAxOQgAAAAJOS8zMC8yMDE2CQAAAAEwfKu3PSuR1ggrQ1hKK5HWCCFDSVEuSVEyODE0ODc3OTYuSVFfQ09NUEFOWV9USUNLRVIBAAAAtCnHEAMAAAAN</t>
  </si>
  <si>
    <t>TmFzZGFxR006U1VSRgAuIbVJK5HWCLzya0orkdYIMENJUS5JUVRSNTUwMjU5Mzk3LklRX1RSX1RBUkdFVF9FQklUREFfRVNULi5VU0QuSAEAAADFSswgAgAAAAktNDI0LjYxMjEAP0i1SSuR1gibSUJKK5HWCCdDSVEuTkFTREFRR1M6RlBSWC5JUV9CRVRBXzVZUi4xLzMxLzIwMTkBAAAAN10zAAIAAAAQMy4wOTE5MzIzMjY2NjkzNQAeLQg9K5HWCEm5YUorkdYINUNJUS5OQVNEQVFDTTpPTkNTLklRX0RBX0NGLjIwMDAuMS8zMS8yMDE5LkxGUi5GLlVTRC5IAQAAAOPj2gICAAAACDAuMjk5MzYxAQgAAAAFAAAAATEBAAAACjE5MzQ0OTMzMzYDAAAAAzE2MAIAAAAEMjE2MAQAAAABMAcAAAAJMS8zMS8yMDE5CAAAAAoxMC8zMS8yMDE4CQAAAAEwyWkHPSuR1gitN2dKK5HWCD5DSVEuTkFTREFRQ006U1RNTC5JUV9DQVNIX1NUX0lOVkVTVC4yMDAwLjEvMzEvMjAxOS5MRlIuRi5VU0QuSAEAAAAvqJ0AAgAAAAc3OC42MDM5AQgAAAAFAAAAATEBAAAACjE5MjA0NDA2MjUDAAAAAzE2MAIAAAAEMTAwMgQAAAABMAcAAAAJMS8zMS8yMDE5CAAAAAk5LzMwLzIwMTgJAAAAATB8q7c9K5HWCJEtWUorkdYILENJUS5JUVRSMzI2OTk1NDA4LklRX1RSX1RPVEFMX0dST1NTX1RWLlVTRC5IBQAAAAAAAAAIAAAAGihJbnZhbGlkIEN1cnJlbmN5IFJlcXVlc3QpHfq0SSuR1ggRpUVKK5HWCCBDSVEuSVFUUjQxOTg2NDMwMS5J</t>
  </si>
  <si>
    <t>UV9UUl9FQVJOT1VUUwEAAADtngYZAgAAAAAAP0i1SSuR1ggjgkNKK5HWCC9DSVEuSVFUUjU1ODMwODcyOS5JUV9UUl9UQVJHRVRfVE9UQUxfUkVWLi5VU0QuSAEAAAB5HUchAgAAAAAAP0i1SSuR1ghk/EpKK5HWCDxDSVEuTkFTREFRR006WE9NQS5JUV9FQklUREFfRVNULkNZMjAyMS4xLzMxLzIwMTkuQ09OLkYuVVNELkgBAAAAoY8AAAIAAAAEMzIuNwEOAAAABQAAAAIxMQEAAAABMAIAAAAKMTAwMTUzNTg5MQMAAAAGMTAwMTg3BAAAAAEyBgAAAAEwBwAAAAMxNjAIAAAAATAJAAAAATEKAAAAATALAAAACzExMjQ2MzM2Njk5DAAAAAE3DQAAAAgyLzEvMjAxORAAAAAJMS8zMS8yMDE5DQYIPSuR1gjkhF5KK5HWCENDSVEuTkFTREFRR006U1VSRi5JUV9FQklUREFfMllSX0FOTl9DQUdSLjIwMDAuMS8zMS8yMDE5LkxGUi5GLlVTRC5IAQAAALQpxxADAAAAAADakAc9K5HWCLs8bkorkdYIKkNJUS5JUVRSNDE5ODY0MzAxLklRX1RSX1RBUkdFVF9FQklULi5VU0QuSAEAAADtngYZAgAAAAotNTkuNTA4Mzg0AQYAAAAFAAAAAjM3AQAAAAoxODI2OTE0NzQyAgAAAAUyMTY3NQMAAAADMTYwBAAAAAEwBwAAAAgxLzEvMTkwMD9ItUkrkdYII4JDSiuR1gg7Q0lRLk5BU0RBUUdNOlhPTUEuSVFfVE9UQUxfUkVWLkNZMjAxOC4xLzMxLzIwMTkuTEZSLkYuVVNELkgBAAAAoY8AAAMAAAAAALhCBz0rkdYIsQ9eSiuR1ggi</t>
  </si>
  <si>
    <t>Q0lRLklRVFIzMjY5OTU0MDguSVFfVFJfUENUX1NPVUdIVAEAAADQjX0TAgAAAAMxMDAAUG+1SSuR1gjvVkVKK5HWCCVDSVEuSVFUUjQxODA4MzM0My5JUV9UUl9JTVBMSUVEX0VRX0JWAQAAAA9y6xgCAAAAAABQb7VJK5HWCMrmS0orkdYIO0NJUS5OQVNEQVFHUzpOSy5JUV9SRVZFTlVFX0VTVC5DWTIwMTkuMS8zMS8yMDE5LkNPTi5GLlVTRC5IAQAAAA19oQ8CAAAABTAuMDE2AQ4AAAAFAAAAAjExAQAAAAEwAgAAAAoxMDAzMTY0ODA2AwAAAAYxMDAxODAEAAAAATIGAAAAATAHAAAAAzE2MAgAAAABMAkAAAABMQoAAAABMAsAAAALMTEwMjI5MTgwMDMMAAAAATcNAAAACDIvMS8yMDE5EAAAAAkxLzMxLzIwMTkNBgg9K5HWCPHTZ0orkdYIO0NJUS5OQVNEQVFHTTpDUlZTLklRX1RPVEFMX1JFVi5DWTIwMTcuMS8zMS8yMDE5LkxGUi5GLlVTRC5IAQAAAPSwphADAAAAAADakAc9K5HWCN/2aUorkdYIHkNJUS5JUTM2MTgzODEzLklRX0NPTVBBTllfTkFNRQEAAAAFHygCAwAAADJVbml0ZWQgU3RhdGVzIFRyZWFzdXJ5IENvbnN0YW50IE1hdHVyaXR5IC0gMSBNb250aAAuIbVJK5HWCNAqPkorkdYINkNJUS5OQVNEQVFHUzpUSE9SLklRX0VCSVREQS4yMDAwLjEvMzEvMjAxOS5MRlIuRi5VU0QuSAEAAAC4X7cPAgAAAActMTQuMTA0AQgAAAAFAAAAATEBAAAACjE5MjI1NDk0NjgDAAAAAzE2MAIAAAAENDA1MQQA</t>
  </si>
  <si>
    <t>AAABMAcAAAAJMS8zMS8yMDE5CAAAAAk5LzMwLzIwMTgJAAAAATBrhLc9K5HWCJOZVEorkdYIPENJUS5OQVNEQVFHTTpDUlZTLklRX0dST1NTX01BUkdJTi4yMDAwLjEvMzEvMjAxOS5MRlIuRi5VU0QuSAEAAAD0sKYQAwAAAAAA2pAHPSuR1ggSbGpKK5HWCB5DSVEuLklRX1RSX0lNUExJRURfRVZfRUJJVF9GV0QFAAAAAAAAAAgAAAAUKEludmFsaWQgSWRlbnRpZmllcilaXbc9K5HWCDfLPEorkdYILENJUS5JUVRSNTYzOTE5MDQ5LklRX1RSX1RPVEFMX0dST1NTX1RWLlVTRC5IBQAAAAAAAAAIAAAAGihJbnZhbGlkIEN1cnJlbmN5IFJlcXVlc3QpHfq0SSuR1gg1X0FKK5HWCDVDSVEuTkFTREFRR006RkFURS5JUV9DQVBFWC4yMDAwLjEvMzEvMjAxOS5MRlIuRi5VU0QuSAEAAABoMVcCAgAAAAYtMS45ODMBCAAAAAUAAAABMQEAAAAKMTkxNzczMTkyOQMAAAADMTYwAgAAAAQyMDIxBAAAAAEwBwAAAAkxLzMxLzIwMTkIAAAACTkvMzAvMjAxOAkAAAABMGuEtz0rkdYIx8RSSiuR1ghHQ0lRLk5BU0RBUUdNOkNSVlMuSVFfTUlOT1JJVFlfSU5URVJFU1RfVE9UQUwuMjAwMC45LzMwLzIwMTYuTEZSLkYuVVNELkgBAAAA9LCmEAMAAAAAANqQBz0rkdYIiX1rSiuR1gggQ0lRLklRVFI1NTAyNTkzOTcuSVFfVFJfRUFSTk9VVFMBAAAAxUrMIAIAAAAAAD9ItUkrkdYIiiJCSiuR1gghQ0lRLklRVFIzODQwMjg0OTYu</t>
  </si>
  <si>
    <t>SVFfVFJfQlVZRVJOQU1FAQAAAFDP4xYDAAAADEFsbGVyZ2FuIHBsYwBQb7VJK5HWCJqTREorkdYIMENJUS5OQVNEQVFHTTpGQVRFLklRX0xBU1RTQUxFUFJJQ0UuMS8zMS8yMDE5LlVTRAEAAABoMVcCAgAAAAUxNS4xNABaXbc9K5HWCFCzUUorkdYIIUNJUS5JUVRSMzI4OTc4NTE5LklRX1RSX0JVWUVSTkFNRQEAAABX0JsTAwAAABxCcmlzdG9sLU15ZXJzIFNxdWliYiBDb21wYW55AFBvtUkrkdYI7DRMSiuR1gg1Q0lRLk5BU0RBUUNNOk9OQ1MuSVFfQ0FQRVguMTk5Ni4xLzMxLzIwMTkuTEZSLkYuVVNELkgBAAAA4+PaAgIAAAAJLTAuMDExOTg0AQgAAAAFAAAAATEBAAAACjE5MzQ0OTMzMjcDAAAAAzE2MAIAAAAEMjAyMQQAAAABMAcAAAAJMS8zMS8yMDE5CAAAAAoxMC8zMS8yMDE3CQAAAAEwyWkHPSuR1ghHTWZKK5HWCCpDSVEuTllTRTpCSFZOLklRX0VCSVREQS4yMDAwLjkvMTkvMjAxNy4uLi4BAAAA3GcgDwIAAAAGLTkwLjUxAQgAAAAFAAAAATEBAAAACjE5MDA3Mzg2MDUDAAAAAzE2MAIAAAAENDA1MQQAAAABMAcAAAAJOS8xOS8yMDE3CAAAAAk2LzMwLzIwMTcJAAAAATAuIbVJK5HWCID1MUorkdYILkNJUS5OQVNEQVFHTTpTVVJGLklRX01BUktFVENBUC45LzMwLzIwMTYuVVNELkgBAAAAtCnHEAMAAAAAAKcbBz0rkdYIme5tSiuR1ggjQ0lRLi5JUV9UUl9UQVJHRVRfRUJJVERBX0VTVC4uVVNE</t>
  </si>
  <si>
    <t>LkgFAAAAAAAAAAgAAAAUKEludmFsaWQgSWRlbnRpZmllcilaXbc9K5HWCEjyPEorkdYIL0NJUS5JUVRSNTI5MTkxODgwLklRX1RSX1RBUkdFVF9UT1RBTF9SRVYuLlVTRC5IAQAAAMjTih8CAAAACDIuMjg5NzkzAQYAAAAFAAAAAjM3AQAAAAoxODUzNjY1MTQ5AgAAAAIyOAMAAAADMTYwBAAAAAEwBwAAAAgxLzEvMTkwMD9ItUkrkdYIMj1ISiuR1ggsQ0lRLklRVFI0MTgwODMzNDMuSVFfVFJfVEFSR0VUX0VCSVREQS4uVVNELkgBAAAAD3LrGAIAAAAAAFBvtUkrkdYIyuZLSiuR1gg1Q0lRLk5BU0RBUUdTOlRIT1IuSVFfREFfQ0YuMjAwMC4xLzMxLzIwMTkuTEZSLkYuVVNELkgBAAAAuF+3DwIAAAADMC4yAQgAAAAFAAAAATEBAAAACjE5MjI1NDk0NjgDAAAAAzE2MAIAAAAEMjE2MAQAAAABMAcAAAAJMS8zMS8yMDE5CAAAAAk5LzMwLzIwMTgJAAAAATB8q7c9K5HWCF9uVkorkdYIQ0NJUS5OQVNEQVFHTTpTVVJGLklRX0VCSVREQV81WVJfQU5OX0NBR1IuMjAwMC4xLzMxLzIwMTkuTEZSLkYuVVNELkgBAAAAtCnHEAMAAAAAANqQBz0rkdYIzGNuSiuR1gg5Q0lRLk5BU0RBUUdNOlhPTUEuSVFfVE9UQUxfUkVWLjE5OTIuMS8zMS8yMDE5LkxGUi5GLlVTRC5IAQAAAKGPAAACAAAABjUzLjIyMwEIAAAABQAAAAExAQAAAAoxODY0MzAyOTY5AwAAAAMxNjACAAAAAjI4BAAAAAEwBwAAAAkxLzMxLzIwMTkIAAAA</t>
  </si>
  <si>
    <t>CTkvMzAvMjAxNgkAAAABMLhCBz0rkdYIoOhdSiuR1gg/Q0lRLk5BU0RBUUdTOk5LVFIuSVFfTkVUX1dPUktJTkdfQ0FQLjIwMDAuMS8zMS8yMDE5LkxGUi5GLlVTRC5IAQAAAOl0AAACAAAABy0yMy4zMTEBCAAAAAUAAAABMQEAAAAKMTkyMDU0MDUxMwMAAAADMTYwAgAAAAQxMzExBAAAAAEwBwAAAAkxLzMxLzIwMTkIAAAACTkvMzAvMjAxOAkAAAABMGuEtz0rkdYIpixQSiuR1gg2Q0lRLk5BU0RBUUNNOlRHVFguSVFfRUJJVERBLjIwMDAuMS8zMS8yMDE5LkxGUi5GLlVTRC5IAQAAAFqUjwgCAAAACy0xNTEuMjAwMzk2AQgAAAAFAAAAATEBAAAACjE5MjExNzg4NDEDAAAAAzE2MAIAAAAENDA1MQQAAAABMAcAAAAJMS8zMS8yMDE5CAAAAAk5LzMwLzIwMTgJAAAAATCN0rc9K5HWCNQTXEorkdYIOkNJUS5OQVNEQVFHTTpGQVRFLklRX1RPVEFMX0RFQlQuMjAwMC4xLzMxLzIwMTkuTEZSLkYuVVNELkgBAAAAaDFXAgIAAAAGMTQuODY1AQgAAAAFAAAAATEBAAAACjE5MTc3MzE5MjkDAAAAAzE2MAIAAAAENDE3MwQAAAABMAcAAAAJMS8zMS8yMDE5CAAAAAk5LzMwLzIwMTgJAAAAATBrhLc9K5HWCFCzUUorkdYINkNJUS5OQVNEQVFHUzpOS1RSLklRX0VCSVREQS4yMDAwLjEvMzEvMjAxOS5MRlIuRi5VU0QuSAEAAADpdAAAAgAAAAc3OTUuMzMzAQgAAAAFAAAAATEBAAAACjE5MjA1NDA1MTMDAAAAAzE2MAIA</t>
  </si>
  <si>
    <t>AAAENDA1MQQAAAABMAcAAAAJMS8zMS8yMDE5CAAAAAk5LzMwLzIwMTgJAAAAATBrhLc9K5HWCGKQT0orkdYIJUNJUS5OQVNEQVFHUzpOS1RSLklRX0ZJUlNUUFJJQ0lOR0RBVEUBAAAA6XQAAAUAAAAINS8zLzE5OTQAWl23PSuR1gge9E5KK5HWCC9DSVEuSVFUUjU1ODMwODcyOS5JUV9UUl9JTVBMSUVEX0VWX0ZJTkFMLi5VU0QuSAEAAAB5HUchAgAAAAAAP0i1SSuR1ghCrkpKK5HWCEVDSVEuTkFTREFRQ006Q1VFLklRX1RPVEFMX1JFVl8yWVJfQU5OX0NBR1IuMjAwMC4xLzMxLzIwMTkuTEZSLkYuVVNELkgBAAAApmboGAMAAAAAAMlpBz0rkdYIe3hkSiuR1ggjQ0lRLklRVFI0MTk4NjQzMDEuSVFfVFJfQ0xPU0VEX0RBVEUBAAAA7Z4GGQUAAAAJMi8xMC8yMDE3AD9ItUkrkdYIATRDSiuR1ggvQ0lRLklRVFIzMTQ4MjkyMzYuSVFfVFJfSU1QTElFRF9FVl9GSU5BTC4uVVNELkgBAAAAtOnDEgIAAAADMjU4AFBvtUkrkdYI/hFKSiuR1gg+Q0lRLk5BU0RBUUdNOkNSVlMuSVFfQ0FTSF9TVF9JTlZFU1QuMjAwMC4xLzMxLzIwMTkuTEZSLkYuVVNELkgBAAAA9LCmEAIAAAAHMTIyLjYzOQEIAAAABQAAAAExAQAAAAoxOTE3ODM0NDk0AwAAAAMxNjACAAAABDEwMDIEAAAAATAHAAAACTEvMzEvMjAxOQgAAAAJOS8zMC8yMDE4CQAAAAEw2pAHPSuR1gjOz2lKK5HWCEFDSVEuTkFTREFRR1M6TksuSVFfRUJJVERB</t>
  </si>
  <si>
    <t>XzVZUl9BTk5fQ0FHUi4yMDAwLjEvMzEvMjAxOS5MRlIuRi5VU0QuSAEAAAANfaEPAwAAAAAA2pAHPSuR1gisgWlKK5HWCCZDSVEuTkFTREFRQ006Q1VFLklRX1BFUklPRERBVEVfSVMuMTAwMAEAAACmZugYBQAAAAoxMi8zMS8yMDE3ALhCBz0rkdYIr6NiSiuR1ggiQ0lRLklRVFI0MzAxMDk1NjIuSVFfVFJfUENUX1NPVUdIVAEAAAB686IZAgAAAAMxMDABBgAAAAUAAAACNTQBAAAABjEwMTAyNAIAAAAJNDMwMTA5NTYyAwAAAAk0MzAxMTAwOTMEAAAAAzE2MAYAAAAEVHJ1ZT9ItUkrkdYIZbJISiuR1gggQ0lRLjAuSVFfVFJfVEFSR0VUX0VCSVREQS4uVVNELkgFAAAAAAAAAAgAAAAYKEludmFsaWQgVHJhbnNhY3Rpb24gSWQpHfq0SSuR1gin4k1KK5HWCCNDSVEuSVFUUjI5NjYyODgxNy5JUV9UUl9UT1RBTF9TVE9DSwEAAABRMq4RAgAAAAkyMS4zODMyNTYBBgAAAAUAAAACNTQBAAAABjEwMTA1NwIAAAAJMjk2NjI4ODE3AwAAAAkyOTY2MzUxNTMEAAAAAzE2MAYAAAAFRmFsc2VhlrVJK5HWCEH4TEorkdYIRkNJUS5OQVNEQVFHUzpGUFJYLklRX1RPVEFMX1JFVl8yWVJfQU5OX0NBR1IuMjAwMC4xLzMxLzIwMTkuTEZSLkYuVVNELkgBAAAAN10zAAIAAAAILTYwLjg3NDIBCAAAAAUAAAABMQEAAAAKMTkxOTc5NTE3MgMAAAADMTYwAgAAAAQ0MjA3BAAAAAEwBwAAAAkxLzMxLzIwMTkIAAAACTkvMzAvMjAx</t>
  </si>
  <si>
    <t>OAkAAAABMLhCBz0rkdYIjVViSiuR1ghGQ0lRLk5BU0RBUUNNOlRHVFguSVFfVE9UQUxfUkVWXzJZUl9BTk5fQ0FHUi4yMDAwLjEvMzEvMjAxOS5MRlIuRi5VU0QuSAEAAABalI8IAgAAAAEwAQgAAAAFAAAAATEBAAAACjE5MjExNzg4NDEDAAAAAzE2MAIAAAAENDIwNwQAAAABMAcAAAAJMS8zMS8yMDE5CAAAAAk5LzMwLzIwMTgJAAAAATCN0rc9K5HWCFxMXUorkdYIJENJUS5OQVNEQVFHUzpGUFJYLklRX0VGRkVDVF9UQVhfUkFURQEAAAA3XTMAAwAAAAJOTQEIAAAABQAAAAExAQAAAAoxOTE5Nzk1MTcyAwAAAAMxNjACAAAABDQzNzYEAAAAATAHAAAACTIvMTIvMjAxOQgAAAAJOS8zMC8yMDE4CQAAAAEwuEIHPSuR1gh8LmJKK5HWCENDSVEuKElOVkFMSUQgSURFTlRJRklFUikuSVFfRUJJVERBX0VTVC5DWTIwMjEuMS8zMS8yMDE5LkNPTi5GLlVTRC5IBQAAAAAAAAAIAAAAFChJbnZhbGlkIElkZW50aWZpZXIpHi0IPSuR1ghZTLJKK5HWCCNDSVEuSVFUUjU1ODMwODcyOS5JUV9UUl9UT1RBTF9TVE9DSwEAAAB5HUchAgAAAAAAP0i1SSuR1ghT1UpKK5HWCD5DSVEuTkFTREFRR006RkFURS5JUV9UT1RBTF9FUVVJVFkuQ1kyMDE3LjEvMzEvMjAxOS5MRlIuRi5VU0QuSAEAAABoMVcCAgAAAAY3Ny4xODkBCAAAAAUAAAABMQEAAAAKMTg3NzA2OTA5MAMAAAADMTYwAgAAAAQxMjc1BAAAAAEwBwAAAAkxLzMx</t>
  </si>
  <si>
    <t>LzIwMTkIAAAACjEyLzMxLzIwMTcJAAAAATBrhLc9K5HWCPo5U0orkdYILENJUS5JUVRSMzI4OTc4NTE5LklRX1RSX1RBUkdFVF9FQklUREEuLlVTRC5IAQAAAFfQmxMCAAAAAABQb7VJK5HWCA6DTEorkdYIKkNJUS5JUVRSMzg0MDI4NDk2LklRX1RSX1RBUkdFVF9FQklULi5VU0QuSAEAAABQz+MWAgAAAAotNDUuNTcwNDY5AQYAAAAFAAAAAjM3AQAAAAoxODAxOTMwNDc1AgAAAAUyMTY3NQMAAAADMTYwBAAAAAEwBwAAAAgxLzEvMTkwMFBvtUkrkdYIvOFESiuR1ggdQ0lRLk5BU0RBUUdTOkZQUlguSVFfRVhDSEFOR0UBAAAAN10zAAMAAAAITmFzZGFxR1MApxsHPSuR1giOC2BKK5HWCEFDSVEuKElOVkFMSUQgSURFTlRJRklFUikuSVFfVE9UQUxfREVCVC4yMDAwLjkvMzAvMjAxNi5MRlIuRi5VU0QuSAUAAAAAAAAACAAAABQoSW52YWxpZCBJZGVudGlmaWVyKQ0GCD0rkdYI0F2zSiuR1ghNQ0lRLihJTlZBTElEIElERU5USUZJRVIpLklRX1RPVEFMX1JFVl81WVJfQU5OX0NBR1IuMjAwMC4xLzMxLzIwMTkuTEZSLkYuVVNELkgFAAAAAAAAAAgAAAAUKEludmFsaWQgSWRlbnRpZmllcikNBgg9K5HWCPKrs0orkdYIKUNJUS5JUTM2MTgzODQwLklRX0xBU1RTQUxFUFJJQ0UuMS8zMS8yMDE5AQAAACAfKAICAAAABDIuODMAHfq0SSuR1gj8pU5KK5HWCDpDSVEuTkFTREFRR006WE9NQS5JUV9FQVJOSU5HX0NP</t>
  </si>
  <si>
    <t>LjIwMDAuMS8zMS8yMDE5LkxGUi5GLlVTRC5IAQAAAKGPAAACAAAABi0xMS42NQEIAAAABQAAAAExAQAAAAoxOTE5OTI4MTI0AwAAAAMxNjACAAAAATcEAAAAATAHAAAACTEvMzEvMjAxOQgAAAAJOS8zMC8yMDE4CQAAAAEwuEIHPSuR1gg5SF9KK5HWCCdDSVEuTkFTREFRR006U1VSRi5JUV9QRVJJT0REQVRFX0lTLjEwMDABAAAAtCnHEAUAAAAKMTIvMzEvMjAxNwDakAc9K5HWCM0ZbEorkdYIJ0NJUS5OQVNEQVFDTTpUR1RYLklRX1BFUklPRERBVEVfSVMuMTAwMAEAAABalI8IBQAAAAoxMi8zMS8yMDE3AI3Stz0rkdYIf1BbSiuR1gg9Q0lRLk5BU0RBUUdTOk5LVFIuSVFfRUJJVERBX01BUkdJTi4yMDAwLjEvMzEvMjAxOS5MRlIuRi5VU0QuSAEAAADpdAAAAgAAAAc2My42Nzk0AQgAAAAFAAAAATEBAAAACjE5MjA1NDA1MTMDAAAAAzE2MAIAAAAENDA0NwQAAAABMAcAAAAJMS8zMS8yMDE5CAAAAAk5LzMwLzIwMTgJAAAAATBrhLc9K5HWCITeT0orkdYIPENJUS5OQVNEQVFHUzpGUFJYLklRX0VBUk5JTkdfQ08uQ1kyMDE4LjEvMzEvMjAxOS5MRlIuRi5VU0QuSAEAAAA3XTMAAwAAAAAAuEIHPSuR1gha4GFKK5HWCCtDSVEuSVFUUjI4Mzc4MjcxMy5JUV9UUl9JTVBMSUVEX0VWX0VCSVRfRldEAQAAADku6hACAAAACTMwLjI0MzIzMgEGAAAABQAAAAI1NAEAAAAGMTEzMzk2AgAAAAkyODM3ODI3MTMDAAAA</t>
  </si>
  <si>
    <t>CTI4Mzc4MjcxMwQAAAADMTYwBgAAAAVGYWxzZWGWtUkrkdYId49GSiuR1gg9Q0lRLk5BU0RBUUdNOkNSVlMuSVFfRUJJVERBX01BUkdJTi4yMDAwLjEvMzEvMjAxOS5MRlIuRi5VU0QuSAEAAAD0sKYQAwAAAAAA2pAHPSuR1ggjk2pKK5HWCCVDSVEuTkFTREFRQ006T05DUy5JUV9GSVJTVFBSSUNJTkdEQVRFAQAAAOPj2gIFAAAACjEyLzEwLzIwMDgAuEIHPSuR1gi/FGVKK5HWCCFDSVEuSVFUUjU5NzA3Nzc2NS5JUV9UUl9CVVlFUk5BTUUBAAAABa+WIwMAAAASR29zc2FtZXIgQmlvLCBJbmMuAC4htUkrkdYI3XlHSiuR1gg8Q0lRLk5BU0RBUUNNOlNUTUwuSVFfVE9UQUxfRVFVSVRZLjE5OTYuMS8zMS8yMDE5LkxGUi5GLlVTRC5IAQAAAC+onQACAAAACTY2LjI0NDE1MQEIAAAABQAAAAExAQAAAAoxOTIwNDQwNjIyAwAAAAMxNjACAAAABDEyNzUEAAAAATAHAAAACTEvMzEvMjAxOQgAAAAJOS8zMC8yMDE3CQAAAAEwfKu3PSuR1ggqjVpKK5HWCD1DSVEuTkFTREFRR006Q1JWUy5JUV9SRVZFTlVFX0VTVC5DWTIwMjAuMS8zMS8yMDE5LkNPTi5GLlVTRC5IAQAAAPSwphACAAAAATABDgAAAAUAAAACMTEBAAAAATACAAAACjEwMDMzNzAzNTcDAAAABjEwMDE4MAQAAAABMgYAAAABMAcAAAADMTYwCAAAAAEwCQAAAAExCgAAAAEwCwAAAAsxMTI1OTE5MzQwNwwAAAABNw0AAAAIMi8xLzIwMTkQAAAACTEvMzEv</t>
  </si>
  <si>
    <t>MjAxOQ0GCD0rkdYI3/ZpSiuR1gg6Q0lRLk5BU0RBUUNNOkNVRS5JUV9UT1RBTF9SRVYuQ1kyMDE3LjEvMzEvMjAxOS5MRlIuRi5VU0QuSAEAAACmZugYAwAAAAAAuEIHPSuR1gjR8WJKK5HWCClDSVEuSVEzNjE4Mzg0My5JUV9MQVNUU0FMRVBSSUNFLjEvMzEvMjAxOQEAAAAjHygCAgAAAAQyLjk5AB36tEkrkdYI/KVOSiuR1ggrQ0lRLklRVFIzMTQ4MjkyMzYuSVFfVFJfSU1QTElFRF9FVl9FQklUX0ZXRAEAAAC06cMSAgAAAAAAYZa1SSuR1ggxh0pKK5HWCDZDSVEuTkFTREFRR006Q1JWUy5JUV9FQklUREEuMTk5Mi4xLzMxLzIwMTkuTEZSLkYuVVNELkgBAAAA9LCmEAIAAAAHLTMxLjM2NAEIAAAABQAAAAExAQAAAAoxODYzNzkxNTg5AwAAAAMxNjACAAAABDQwNTEEAAAAATAHAAAACTEvMzEvMjAxOQgAAAAJOS8zMC8yMDE2CQAAAAEw2pAHPSuR1gjwHWpKK5HWCDVDSVEuKElOVkFMSUQgSURFTlRJRklFUikuSVFfTUFSS0VUQ0FQLjEvMzEvMjAxOS5VU0QuSAUAAAAAAAAACAAAABQoSW52YWxpZCBJZGVudGlmaWVyKacbBz0rkdYI3OWXSiuR1gg+Q0lRLk5BU0RBUUNNOlpJT1AuSVFfQ0FTSF9TVF9JTlZFU1QuMjAwMC45LzMwLzIwMTYuTEZSLkYuVVNELkgBAAAAs1GyAAIAAAAHMTA5LjAwNAEIAAAABQAAAAExAQAAAAoxODAyNjA1OTAwAwAAAAMxNjACAAAABDEwMDIEAAAAATAHAAAACTkvMzAvMjAx</t>
  </si>
  <si>
    <t>NggAAAAJNi8zMC8yMDE2CQAAAAEwfKu3PSuR1gg8alhKK5HWCCxDSVEuSVFUUjQzMDEwOTU2Mi5JUV9UUl9UT1RBTF9HUk9TU19UVi5VU0QuSAUAAAAAAAAACAAAABooSW52YWxpZCBDdXJyZW5jeSBSZXF1ZXN0KR36tEkrkdYIhwBJSiuR1gg9Q0lRLk5BU0RBUUNNOkNVRS5JUV9DQVNIX1NUX0lOVkVTVC4yMDAwLjEvMzEvMjAxOS5MRlIuRi5VU0QuSAEAAACmZugYAgAAAAYzOS4xODEBCAAAAAUAAAABMQEAAAAKMTkyMTk0MDkwMAMAAAADMTYwAgAAAAQxMDAyBAAAAAEwBwAAAAkxLzMxLzIwMTkIAAAACTkvMzAvMjAxOAkAAAABMLhCBz0rkdYI0fFiSiuR1ghDQ0lRLk5BU0RBUUdTOlRIT1IuSVFfRUJJVERBXzJZUl9BTk5fQ0FHUi4yMDAwLjEvMzEvMjAxOS5MRlIuRi5VU0QuSAEAAAC4X7cPAwAAAAAAfKu3PSuR1ghOR1ZKK5HWCDVDSVEuTkFTREFRQ006WklPUC5JUV9DQVBFWC4xOTkyLjEvMzEvMjAxOS5MRlIuRi5VU0QuSAEAAACzUbIAAgAAAAYtMC44NTYBCAAAAAUAAAABMQEAAAAKMTg2NDI5NDI3NgMAAAADMTYwAgAAAAQyMDIxBAAAAAEwBwAAAAkxLzMxLzIwMTkIAAAACTkvMzAvMjAxNgkAAAABMHyrtz0rkdYI+M1XSiuR1ggnQ0lRLk5BU0RBUUNNOlRHVFguSVFfQkVUQV8yWVIuMS8zMS8yMDE5AQAAAFqUjwgCAAAAEDEuNzM1MjM0MjQyNjU3NjkAnvm3PSuR1ggYsFxKK5HWCCVDSVEuSVFU</t>
  </si>
  <si>
    <t>UjQwMjQ2ODM0My5JUV9UUl9NQUpfTUlOX1NUQUtFAQAAAPct/RcDAAAACE1ham9yaXR5AFBvtUkrkdYIunVJSiuR1ggsQ0lRLklRVFI1NjM5MTkwNDkuSVFfVFJfVEFSR0VUX0VCSVREQS4uVVNELkgBAAAAybicIQIAAAAHLTU1LjE3MgEGAAAABQAAAAIzNwEAAAAKMTg4ODk3OTA5NQIAAAAFMjE2NzcDAAAAAzE2MAQAAAABMAcAAAAIMS8xLzE5MDA/SLVJK5HWCDVfQUorkdYIQkNJUS5OQVNEQVFDTTpDVUUuSVFfRUJJVERBXzVZUl9BTk5fQ0FHUi4yMDAwLjEvMzEvMjAxOS5MRlIuRi5VU0QuSAEAAACmZugYAwAAAAAAyWkHPSuR1gidxmRKK5HWCDlDSVEuTkFTREFRR006RkFURS5JUV9UT1RBTF9SRVYuMTk5Mi4xLzMxLzIwMTkuTEZSLkYuVVNELkgBAAAAaDFXAgIAAAAFNC40NTEBCAAAAAUAAAABMQEAAAAKMTg2MzYwMTcwOAMAAAADMTYwAgAAAAIyOAQAAAABMAcAAAAJMS8zMS8yMDE5CAAAAAk5LzMwLzIwMTYJAAAAATBrhLc9K5HWCGHaUUorkdYIRkNJUS5OQVNEQVFDTTpUR1RYLklRX1RPVEFMX1JFVl81WVJfQU5OX0NBR1IuMjAwMC4xLzMxLzIwMTkuTEZSLkYuVVNELkgBAAAAWpSPCAIAAAAGMi43MDY1AQgAAAAFAAAAATEBAAAACjE5MjExNzg4NDEDAAAAAzE2MAIAAAAENDIzMwQAAAABMAcAAAAJMS8zMS8yMDE5CAAAAAk5LzMwLzIwMTgJAAAAATCN0rc9K5HWCG1zXUorkdYIPENJUS5OQVNE</t>
  </si>
  <si>
    <t>QVFDTTpaSU9QLklRX0VCSVREQV9FU1QuQ1kyMDE5LjEvMzEvMjAxOS5DT04uRi5VU0QuSAEAAACzUbIAAwAAAAAAjdK3PSuR1gjFWFdKK5HWCD1DSVEuTkFTREFRR1M6VEhPUi5JUV9SRVZFTlVFX0VTVC5DWTIwMjEuMS8zMS8yMDE5LkNPTi5GLlVTRC5IAQAAALhftw8CAAAAATABDgAAAAUAAAACMTEBAAAAATACAAAACjEwMDQyODQzNjEDAAAABjEwMDE4MAQAAAABMgYAAAABMAcAAAADMTYwCAAAAAEwCQAAAAExCgAAAAEwCwAAAAsxMTIyNDkzMTE3NgwAAAABNw0AAAAIMi8xLzIwMTkQAAAACTEvMzEvMjAxOY3Stz0rkdYIk5lUSiuR1gghQ0lRLklRVFI1Mjg1NjkxMjIuSVFfVFJfQlVZRVJOQU1FAQAAACJTgR8DAAAADk5hbnRDZWxsLCBJbmMuAD9ItUkrkdYIvZdCSiuR1ggjQ0lRLklRVFI0MDI0NjgzNDMuSVFfVFJfVE9UQUxfU1RPQ0sBAAAA9y39FwIAAAAAAFBvtUkrkdYIy5xJSiuR1ggsQ0lRLklRVFIzMjg5Nzg1MTkuSVFfVFJfVE9UQUxfR1JPU1NfVFYuVVNELkgFAAAAAAAAAAgAAAAaKEludmFsaWQgQ3VycmVuY3kgUmVxdWVzdCkd+rRJK5HWCP1bTEorkdYIKUNJUS5JUVRSNDAyNDY4MzQzLklRX1RSX0lNUExJRURfRVFfTklfTFRNAQAAAPct/RcCAAAAAABQb7VJK5HWCNzDSUorkdYIPkNJUS5OQVNEQVFHTTpYT01BLklRX0NBU0hfU1RfSU5WRVNULjIwMDAuOS8zMC8yMDE2LkxGUi5GLlVT</t>
  </si>
  <si>
    <t>RC5IAQAAAKGPAAACAAAABjM0LjI5NgEIAAAABQAAAAExAQAAAAoxODAxNTk5NDY5AwAAAAMxNjACAAAABDEwMDIEAAAAATAHAAAACTkvMzAvMjAxNggAAAAJNi8zMC8yMDE2CQAAAAEwuEIHPSuR1ghsvV9KK5HWCBNDSVEuLklRX1RSX0VBUk5PVVRTBQAAAAAAAAAIAAAAFChJbnZhbGlkIElkZW50aWZpZXIpWl23PSuR1ghZGT1KK5HWCCVDSVEuSVFUUjU0NzgyOTk0OS5JUV9QUklNQVJZX0lORFVTVFJZAQAAAM+/VhADAAAAD1BoYXJtYWNldXRpY2FscwAd+rRJK5HWCFb3Q0orkdYIJ0NJUS5OQVNEQVFHUzpUSE9SLklRX0JFVEFfNVlSLjEvMzEvMjAxOQEAAAC4X7cPAwAAAAAAnvm3PSuR1gj5g1VKK5HWCCBDSVEuSVFUUjI5NjYyODgxNy5JUV9UUl9FQVJOT1VUUwEAAABRMq4RAgAAAAkxMS4zNzU5MTcBBgAAAAUAAAACNTQBAAAABjEwMTQwMwIAAAAJMjk2NjI4ODE3AwAAAAkyOTY2MzUxNTMEAAAAAzE2MAYAAAAFRmFsc2VhlrVJK5HWCEH4TEorkdYIIUNJUS4uSVFfVFJfVEFSR0VUX1NUT0NLUFJFTUlVTV8xVwUAAAAAAAAACAAAABQoSW52YWxpZCBJZGVudGlmaWVyKVpdtz0rkdYISPI8SiuR1gg6Q0lRLk5BU0RBUUNNOlpJT1AuSVFfRUFSTklOR19DTy4yMDAwLjEvMzEvMjAxOS5MRlIuRi5VU0QuSAEAAACzUbIAAgAAAActNTMuOTA5AQgAAAAFAAAAATEBAAAACjE5MjA1Mzc3MDkDAAAAAzE2MAIA</t>
  </si>
  <si>
    <t>AAABNwQAAAABMAcAAAAJMS8zMS8yMDE5CAAAAAk5LzMwLzIwMTgJAAAAATB8q7c9K5HWCBocWEorkdYIIkNJUS4wLklRX1RSX1RBUkdFVF9TVE9DS1BSRU1JVU1fMU0FAAAAAAAAAAgAAAAYKEludmFsaWQgVHJhbnNhY3Rpb24gSWQpHfq0SSuR1gi4CU5KK5HWCCJDSVEuSVFUUjMyNjk5NTQwOC5JUV9UUl9UQVJHRVROQU1FAQAAANCNfRMDAAAAHUFsYmEgVGhlcmFwZXV0aWNzIENvcnBvcmF0aW9uAFBvtUkrkdYI71ZFSiuR1ggoQ0lRLk5BU0RBUUNNOlNUTUwuSVFfVEVWLjEvMzEvMjAxOS5VU0QuSAEAAAAvqJ0AAgAAAAkzNTUuNjMyMDUBBgAAAAUAAAABMQEAAAAKMTkyMDQ0MDU0NQMAAAADMTYwAgAAAAYxMDAwNjAEAAAAATAHAAAACTEvMzEvMjAxOVpdtz0rkdYIgAZZSiuR1ggkQ0lRLk5BU0RBUUNNOkNVRS5JUV9GSVJTVFBSSUNJTkdEQVRFAQAAAKZm6BgFAAAACDEvMi8yMDE4ALhCBz0rkdYIr6NiSiuR1gguQ0lRLklRVFI1Mjg1NjkxMjIuSVFfVFJfVEFSR0VUX1NUT0NLUFJFTUlVTV8xVwEAAAAiU4EfAgAAAAAAP0i1SSuR1gjwDENKK5HWCEdDSVEuTkFTREFRR006U1VSRi5JUV9NSU5PUklUWV9JTlRFUkVTVF9UT1RBTC4yMDAwLjEvMzEvMjAxOS5MRlIuRi5VU0QuSAEAAAC0KccQAwAAAAAA2pAHPSuR1gjeQGxKK5HWCClDSVEuSVEzNjE4MzgzNC5JUV9MQVNUU0FMRVBSSUNFLjEvMzEvMjAx</t>
  </si>
  <si>
    <t>OQEAAAAaHygCAgAAAAQyLjUxAB36tEkrkdYI635OSiuR1gg8Q0lRLk5BU0RBUUNNOlNUTUwuSVFfRUFSTklOR19DTy5DWTIwMTcuMS8zMS8yMDE5LkxGUi5GLlVTRC5IAQAAAC+onQACAAAACi02Ny44MjgzOTQBCAAAAAUAAAABMQEAAAAKMTg3ODgxMjIwNwMAAAADMTYwAgAAAAE3BAAAAAEwBwAAAAkxLzMxLzIwMTkIAAAACjEyLzMxLzIwMTcJAAAAATB8q7c9K5HWCCqNWkorkdYINUNJUS5OQVNEQVFHUzpOSy5JUV9QRVJJT0REQVRFX0lTLjIwMDAuMS8zMS8yMDE5LkxGUi5GAQAAAA19oQ8FAAAACTkvMzAvMjAxOADJaQc9K5HWCL5eZ0orkdYIJ0NJUS5OQVNEQVFHUzpOS1RSLklRX0JFVEFfMVlSLjEvMzEvMjAxOQEAAADpdAAAAgAAABAxLjUyNTI1OTIzMjA0ODk2AJ75tz0rkdYIt1NQSiuR1ggvQ0lRLklRVFI1OTcwNzc3NjUuSVFfVFJfSU1QTElFRF9FVl9GSU5BTC4uVVNELkgBAAAABa+WIwIAAAAENjkuNQEGAAAABQAAAAI1NAEAAAAGMTAyMDQ1AgAAAAk1OTcwNzc3NjUDAAAACTU5NzA3OTg2OQQAAAADMTYwBgAAAAVGYWxzZS4htUkrkdYI3XlHSiuR1gg9Q0lRLk5BU0RBUUNNOlRHVFguSVFfRUJJVERBX01BUkdJTi4yMDAwLjEvMzEvMjAxOS5MRlIuRi5VU0QuSAEAAABalI8IAwAAAAJOTQEIAAAABQAAAAExAQAAAAoxOTIxMTc4ODQxAwAAAAMxNjACAAAABDQwNDcEAAAAATAHAAAACTEvMzEv</t>
  </si>
  <si>
    <t>MjAxOQgAAAAJOS8zMC8yMDE4CQAAAAEwjdK3PSuR1gjlOlxKK5HWCCVDSVEuSVFUUjU1MDI1OTM5Ny5JUV9UUl9NQUpfTUlOX1NUQUtFAQAAAMVKzCADAAAACE1ham9yaXR5AD9ItUkrkdYIeftBSiuR1ggjQ0lRLklRVFI1NjM5MTkwNDkuSVFfVFJfVE9UQUxfU1RPQ0sBAAAAybicIQIAAAAAAD9ItUkrkdYIJDhBSiuR1ghBQ0lRLihJTlZBTElEIElERU5USUZJRVIpLklRX0VBUk5JTkdfQ08uMTk5Ni4xLzMxLzIwMTkuTEZSLkYuVVNELkgFAAAAAAAAAAgAAAAUKEludmFsaWQgSWRlbnRpZmllcikNBgg9K5HWCJ3oskorkdYIIENJUS5JUVRSNTk3MDc3NzY1LklRX1RSX0VBUk5PVVRTAQAAAAWvliMCAAAAAjYyAQYAAAAFAAAAAjU0AQAAAAYxMDE0MDMCAAAACTU5NzA3Nzc2NQMAAAAJNTk3MDc5ODY5BAAAAAMxNjAGAAAABUZhbHNlLiG1SSuR1gjuoEdKK5HWCDxDSVEuTkFTREFRQ006U1RNTC5JUV9HUk9TU19NQVJHSU4uMjAwMC4xLzMxLzIwMTkuTEZSLkYuVVNELkgBAAAAL6idAAMAAAACTk0BCAAAAAUAAAABMQEAAAAKMTkyMDQ0MDYyNQMAAAADMTYwAgAAAAQ0MDc0BAAAAAEwBwAAAAkxLzMxLzIwMTkIAAAACTkvMzAvMjAxOAkAAAABMHyrtz0rkdYI1clZSiuR1gg0Q0lRLk5BU0RBUUdTOk5LLklRX0VCSVREQS4xOTkyLjEvMzEvMjAxOS5MRlIuRi5VU0QuSAEAAAANfaEPAgAAAAgtMTQ5LjcyMQEI</t>
  </si>
  <si>
    <t>AAAABQAAAAExAQAAAAoxODY0NDQzNzc5AwAAAAMxNjACAAAABDQwNTEEAAAAATAHAAAACTEvMzEvMjAxOQgAAAAJOS8zMC8yMDE2CQAAAAEwyWkHPSuR1gjx02dKK5HWCDpDSVEuTkFTREFRQ006VEdUWC5JUV9FQVJOSU5HX0NPLjE5OTIuMS8zMS8yMDE5LkxGUi5GLlVTRC5IAQAAAFqUjwgCAAAACi03Mi4xOTA1NjMBCAAAAAUAAAABMQEAAAAKMTg2NTEyOTY5MgMAAAADMTYwAgAAAAE3BAAAAAEwBwAAAAkxLzMxLzIwMTkIAAAACTkvMzAvMjAxNgkAAAABMI3Stz0rkdYIKddcSiuR1ggnQ0lRLk5BU0RBUUdTOkZQUlguSVFfQkVUQV8yWVIuMS8zMS8yMDE5AQAAADddMwACAAAADzEuMjc0MDA0MTAwNTA3NQAeLQg9K5HWCDiSYUorkdYIMUNJUS5OQVNEQVFHUzpPVklELklRX1RPVEFMX1JFVi4yMDAwLjkvMTkvMjAxNy4uLi4BAAAAINA3EQMAAAAAAC4htUkrkdYIgPUxSiuR1gg6Q0lRLk5BU0RBUUdNOkNSVlMuSVFfRUFSTklOR19DTy4xOTk2LjEvMzEvMjAxOS5MRlIuRi5VU0QuSAEAAAD0sKYQAgAAAAYtNTQuODIBCAAAAAUAAAABMQEAAAAKMTkxNzgzNDQ4NwMAAAADMTYwAgAAAAE3BAAAAAEwBwAAAAkxLzMxLzIwMTkIAAAACTkvMzAvMjAxNwkAAAABMNqQBz0rkdYIZy9rSiuR1gg7Q0lRLk5BU0RBUUNNOlpJT1AuSVFfUFJFRl9FUVVJVFkuMjAwMC45LzMwLzIwMTYuTEZSLkYuVVNELkgBAAAAs1Gy</t>
  </si>
  <si>
    <t>AAIAAAAHMTE5LjA0NQEIAAAABQAAAAExAQAAAAoxODAyNjA1OTAwAwAAAAMxNjACAAAABDEwMDUEAAAAATAHAAAACTkvMzAvMjAxNggAAAAJNi8zMC8yMDE2CQAAAAEwfKu3PSuR1gg8alhKK5HWCCVDSVEuSVFUUjMxNDgyOTIzNi5JUV9QUklNQVJZX0lORFVTVFJZAQAAAETmwxIDAAAADUJpb3RlY2hub2xvZ3kAHfq0SSuR1gj+EUpKK5HWCCdDSVEuTkFTREFRQ006VEdUWC5JUV9CRVRBXzFZUi4xLzMxLzIwMTkBAAAAWpSPCAIAAAAQMS41MDYxMzgwOTM5MjkyOACe+bc9K5HWCBiwXEorkdYIMUNJUS5JUVRSMzI2OTk1NDA4LklRX1RSX1RBUkdFVF9SRVZFTlVFX0VTVC4uVVNELkgBAAAA0I19EwIAAAAAAFBvtUkrkdYIIsxFSiuR1gg/Q0lRLk5BU0RBUUNNOk9OQ1MuSVFfTkVUX1dPUktJTkdfQ0FQLjE5OTIuMS8zMS8yMDE5LkxGUi5GLlVTRC5IAQAAAOPj2gICAAAACS0yLjQ1OTg2OAEIAAAABQAAAAExAQAAAAoxODY5MjExOTEzAwAAAAMxNjACAAAABDEzMTEEAAAAATAHAAAACTEvMzEvMjAxOQgAAAAKMTAvMzEvMjAxNgkAAAABMMlpBz0rkdYIJf9lSiuR1gg7Q0lRLk5BU0RBUUNNOlRHVFguSVFfUFJFRl9FUVVJVFkuMjAwMC4xLzMxLzIwMTkuTEZSLkYuVVNELkgBAAAAWpSPCAMAAAAAAI3Stz0rkdYIkHdbSiuR1gg1Q0lRLk5BU0RBUUdTOkZQUlguSVFfQ0FQRVguMTk5Mi4xLzMxLzIwMTkuTEZS</t>
  </si>
  <si>
    <t>LkYuVVNELkgBAAAAN10zAAIAAAAGLTMuMDMzAQgAAAAFAAAAATEBAAAACjE4NjQyOTQyNzUDAAAAAzE2MAIAAAAEMjAyMQQAAAABMAcAAAAJMS8zMS8yMDE5CAAAAAk5LzMwLzIwMTYJAAAAATC4Qgc9K5HWCCdrYUorkdYIOkNJUS5OQVNEQVFHUzpGUFJYLklRX0VBUk5JTkdfQ08uMjAwMC4xLzMxLzIwMTkuTEZSLkYuVVNELkgBAAAAN10zAAIAAAAILTEzMC45MDUBCAAAAAUAAAABMQEAAAAKMTkxOTc5NTE3MgMAAAADMTYwAgAAAAE3BAAAAAEwBwAAAAkxLzMxLzIwMTkIAAAACTkvMzAvMjAxOAkAAAABMLhCBz0rkdYISblhSiuR1gg6Q0lRLk5BU0RBUUdNOkZBVEUuSVFfRUFSTklOR19DTy4yMDAwLjEvMzEvMjAxOS5MRlIuRi5VU0QuSAEAAABoMVcCAgAAAActNjMuMDY4AQgAAAAFAAAAATEBAAAACjE5MTc3MzE5MjkDAAAAAzE2MAIAAAABNwQAAAABMAcAAAAJMS8zMS8yMDE5CAAAAAk5LzMwLzIwMTgJAAAAATBrhLc9K5HWCOkSU0orkdYIQkNJUS4oSU5WQUxJRCBJREVOVElGSUVSKS5JUV9UT1RBTF9SRVYuQ1kyMDE4LjEvMzEvMjAxOS5MRlIuRi5VU0QuSAUAAAAAAAAACAAAABQoSW52YWxpZCBJZGVudGlmaWVyKQ0GCD0rkdYIJtexSiuR1ghCQ0lRLk5BU0RBUUNNOkNVRS5JUV9FQklUREFfMllSX0FOTl9DQUdSLjIwMDAuMS8zMS8yMDE5LkxGUi5GLlVTRC5IAQAAAKZm6BgDAAAAAADJaQc9K5HW</t>
  </si>
  <si>
    <t>CJ3GZEorkdYIPkNJUS5OQVNEQVFHTTpYT01BLklRX1RPVEFMX0VRVUlUWS5DWTIwMTcuMS8zMS8yMDE5LkxGUi5GLlVTRC5IAQAAAKGPAAACAAAABTUuNzg2AQgAAAAFAAAAATEBAAAACjE4NzczMzAwNTkDAAAAAzE2MAIAAAAEMTI3NQQAAAABMAcAAAAJMS8zMS8yMDE5CAAAAAoxMi8zMS8yMDE3CQAAAAEwuEIHPSuR1ghKb19KK5HWCDpDSVEuTkFTREFRR006U1VSRi5JUV9FQVJOSU5HX0NPLjE5OTIuMS8zMS8yMDE5LkxGUi5GLlVTRC5IAQAAALQpxxADAAAAAADakAc9K5HWCHegbUorkdYIOUNJUS5OQVNEQVFDTTpDVUUuSVFfRUFSTklOR19DTy4xOTkyLjEvMzEvMjAxOS5MRlIuRi5VU0QuSAEAAACmZugYAgAAAAgtMS45Mjg3MwEIAAAABQAAAAExAQAAAAoxODgwODMyMzI0AwAAAAMxNjACAAAAATcEAAAAATAHAAAACTEvMzEvMjAxOQgAAAAKMTIvMzEvMjAxNQkAAAABMMlpBz0rkdYISANkSiuR1ggwQ0lRLklRVFI0MzAxMDk1NjIuSVFfVFJfVEFSR0VUX0VCSVREQV9FU1QuLlVTRC5IAQAAAHrzohkCAAAAAAA/SLVJK5HWCJgnSUorkdYIRENJUS4oSU5WQUxJRCBJREVOVElGSUVSKS5JUV9SRVZFTlVFX0VTVC5DWTIwMTkuMS8zMS8yMDE5LkNPTi5GLlVTRC5IBQAAAAAAAAAIAAAAFChJbnZhbGlkIElkZW50aWZpZXIpHi0IPSuR1ggm17FKK5HWCCxDSVEuTkFTREFRQ006VEdUWC5JUV9MQVNUU0FM</t>
  </si>
  <si>
    <t>RVBSSUNFLjkvMzAvMjAxNgEAAABalI8IAgAAAAQ3Ljc0AFpdtz0rkdYIOv5cSiuR1gguQ0lRLklRVFI1MjkxOTE4ODAuSVFfVFJfVEFSR0VUX1NUT0NLUFJFTUlVTV8xTQEAAADI04ofAgAAAAAAP0i1SSuR1ghUi0hKK5HWCEZDSVEuTkFTREFRR1M6VEhPUi5JUV9UT1RBTF9SRVZfNVlSX0FOTl9DQUdSLjIwMDAuMS8zMS8yMDE5LkxGUi5GLlVTRC5IAQAAALhftw8DAAAAAAB8q7c9K5HWCD0gVkorkdYIOkNJUS5OQVNEQVFDTTpUR1RYLklRX1RPVEFMX0RFQlQuMjAwMC45LzMwLzIwMTYuTEZSLkYuVVNELkgBAAAAWpSPCAIAAAAIMC4wOTA1NjQBCAAAAAUAAAABMQEAAAAKMTgwMjg5MjkyOAMAAAADMTYwAgAAAAQ0MTczBAAAAAEwBwAAAAk5LzMwLzIwMTYIAAAACTYvMzAvMjAxNgkAAAABMI3Stz0rkdYISyVdSiuR1gg/Q0lRLk5BU0RBUUdTOkZQUlguSVFfTkVUX1dPUktJTkdfQ0FQLjE5OTIuMS8zMS8yMDE5LkxGUi5GLlVTRC5IAQAAADddMwACAAAABy0yNS44NjgBCAAAAAUAAAABMQEAAAAKMTg2NDI5NDI3NQMAAAADMTYwAgAAAAQxMzExBAAAAAEwBwAAAAkxLzMxLzIwMTkIAAAACTkvMzAvMjAxNgkAAAABMLhCBz0rkdYIFkRhSiuR1ggqQ0lRLklRVFIyOTY2Mjg4MTcuSVFfVFJfVEFSR0VUX0VCSVQuLlVTRC5IAQAAAFEyrhECAAAAAABhlrVJK5HWCFIfTUorkdYIMENJUS5JUVRSNTgwMjk4MDQ5</t>
  </si>
  <si>
    <t>LklRX1RSX1RBUkdFVF9FQklUREFfRVNULi5VU0QuSAEAAABBpZYiAgAAAAAALiG1SSuR1ggC6kBKK5HWCDpDSVEuTkFTREFRQ006WklPUC5JUV9FQVJOSU5HX0NPLjE5OTIuMS8zMS8yMDE5LkxGUi5GLlVTRC5IAQAAALNRsgACAAAACC0xNjMuNTQ5AQgAAAAFAAAAATEBAAAACjE4NjQyOTQyNzYDAAAAAzE2MAIAAAABNwQAAAABMAcAAAAJMS8zMS8yMDE5CAAAAAk5LzMwLzIwMTYJAAAAATB8q7c9K5HWCBocWEorkdYILkNJUS5JUVRSNTU4MzA4NzI5LklRX1RSX1RBUkdFVF9TVE9DS1BSRU1JVU1fMVcBAAAAeR1HIQIAAAAAAD9ItUkrkdYIdSNLSiuR1ggjQ0lRLklRVFI1OTcwNzc3NjUuSVFfVFJfQ0xPU0VEX0RBVEUBAAAABa+WIwUAAAAJOS8yMS8yMDE4AC4htUkrkdYIzFJHSiuR1gg3Q0lRLk5BU0RBUUNNOlRHVFguSVFfUEVSSU9EREFURV9JUy4yMDAwLjEvMzEvMjAxOS5MRlIuRgEAAABalI8IBQAAAAk5LzMwLzIwMTgAjdK3PSuR1gh/UFtKK5HWCDpDSVEuTkFTREFRR006WE9NQS5JUV9FQVJOSU5HX0NPLjE5OTIuMS8zMS8yMDE5LkxGUi5GLlVTRC5IAQAAAKGPAAACAAAABy0xMC42OTgBCAAAAAUAAAABMQEAAAAKMTg2NDMwMjk2OQMAAAADMTYwAgAAAAE3BAAAAAEwBwAAAAkxLzMxLzIwMTkIAAAACTkvMzAvMjAxNgkAAAABMLhCBz0rkdYIOUhfSiuR1gggQ0lRLklRMzYxODM4MjguSVFfTEFT</t>
  </si>
  <si>
    <t>VFNBTEVQUklDRS4BAAAAFB8oAgIAAAAEMi40NwBaXbc9K5HWCK7cPUorkdYIOENJUS5OQVNEQVFHUzpGUFJYLklRX0VCSVREQS5DWTIwMTcuMS8zMS8yMDE5LkxGUi5GLlVTRC5IAQAAADddMwACAAAACC0xNDguODg5AQgAAAAFAAAAATEBAAAACjE4NzYxMzU5OTEDAAAAAzE2MAIAAAAENDA1MQQAAAABMAcAAAAJMS8zMS8yMDE5CAAAAAoxMi8zMS8yMDE3CQAAAAEwuEIHPSuR1gjjzmBKK5HWCClDSVEuSVFUUjU4MDI5ODA0OS5JUV9CVVNJTkVTU19ERVNDUklQVElPTgEAAADdus4OAwAAANwCTWVkYWMgUGhhcm1hLCBJbmMuIGVuZ2FnZXMgaW4gZGV2ZWxvcGluZyBhbmQgY29tbWVyY2lhbGl6aW5nIG1lZGljaW5lcyBmb3IgYXV0b2ltbXVuZSBkaXNlYXNlcyBhbmQgY2FuY2VyLiBUaGUgY29tcGFueSBpcyBoZWFkcXVhcnRlcmVkIGluIENoaWNhZ28sIElsbGlub2lzLiBNZWRhYyBQaGFybWEsIEluYy4gb3BlcmF0ZXMgYXMgYSBzdWJzaWRpYXJ5IG9mIG1lZGFjIEdlc2VsbHNjaGFmdCBmw7xyIGtsaW5pc2NoZSBTcGV6aWFscHLDpHBhcmF0ZSBtYkguIEFzIG9mIE9jdG9iZXIgMTYsIDIwMTgsIE1lZGFjIFBoYXJtYSwgSW5jLiBvcGVyYXRlcyBhcyBhIHN1YnNpZGlhcnkgb2YgUGVkaWFwaGFybSBJbmMuAC4htUkrkdYIAupASiuR1ggvQ0lRLklRVFI0MzAxMDk1NjIuSVFfVFJfSU1QTElFRF9FVl9G</t>
  </si>
  <si>
    <t>SU5BTC4uVVNELkgBAAAAevOiGQIAAAAFMTQ1LjYBBgAAAAUAAAACNTQBAAAABjEwMjA0NQIAAAAJNDMwMTA5NTYyAwAAAAk0MzAxMTAwOTMEAAAAAzE2MAYAAAAFRmFsc2U/SLVJK5HWCHbZSEorkdYIRUNJUS5OQVNEQVFHUzpOSy5JUV9NSU5PUklUWV9JTlRFUkVTVF9UT1RBTC4yMDAwLjkvMzAvMjAxNi5MRlIuRi5VU0QuSAEAAAANfaEPAwAAAAAAyWkHPSuR1gh5DGlKK5HWCDxDSVEuTkFTREFRQ006VEdUWC5JUV9FQVJOSU5HX0NPLkNZMjAxOC4xLzMxLzIwMTkuTEZSLkYuVVNELkgBAAAAWpSPCAMAAAAAAI3Stz0rkdYIKddcSiuR1ggWQ0lRLi5JUV9UUl9DTE9TRURfREFURQUAAAAAAAAACAAAABQoSW52YWxpZCBJZGVudGlmaWVyKR36tEkrkdYIakA9SiuR1ggpQ0lRLk5BU0RBUUdNOlhPTUEuSVFfQlVTSU5FU1NfREVTQ1JJUFRJT04BAAAAoY8AAAMAAACfCFhPTUEgQ29ycG9yYXRpb24gZW5nYWdlcyBpbiB0aGUgZGlzY292ZXJ5LCBkZXZlbG9wbWVudCwgYW5kIGxpY2Vuc2luZyBvZiB0aGVyYXBldXRpYyBhbnRpYm9kaWVzIGluIHRoZSBVbml0ZWQgU3RhdGVzLCBFdXJvcGUsIGFuZCB0aGUgQXNpYSBQYWNpZmljLiBUaGUgY29tcGFueSBoYXMgYSBwb3J0Zm9saW8gb2YgbW9ub2Nsb25hbCBhbnRpYm9kaWVzIGFuZCB0ZWNobm9sb2dpZXMgdG8gbGljZW5zZSB0byBwaGFybWFjZXV0aWNhbCBh</t>
  </si>
  <si>
    <t>bmQgYmlvdGVjaG5vbG9neSBjb21wYW5pZXMgdG8gZnVydGhlciB0aGVpciBjbGluaWNhbCBkZXZlbG9wbWVudC4gSXRzIHByb3ByaWV0YXJ5IHByb2R1Y3QgY2FuZGlkYXRlcyBpbmNsdWRlIFgyMTMsIGFuIGFsbG9zdGVyaWMgaW5oaWJpdG9yIG9mIHByb2xhY3RpbiBhY3Rpb247IFhNZXRBLCBhbiBpbnN1bGluIHJlY2VwdG9yLWFjdGl2YXRpbmcgYW50aWJvZHkgZGVzaWduZWQgdG8gcHJvdmlkZSBsb25nLWFjdGluZyByZWR1Y3Rpb24gb2YgaHlwZXJnbHljZW1pYSBpbiBUeXBlIDIgZGlhYmV0aWMgcGF0aWVudHM7IGFuZCBvdGhlciBwcmVjbGluaWNhbCBwcm9kdWN0IGNhbmRpZGF0ZXMsIHN1Y2ggYXMgaW50ZXJsZXVraW4gMiwgYSB0aGVyYXB5IGZvciBtZXRhc3RhdGljIG1lbGFub21hIGFuZCByZW5hbCBjZWxsIGNhcmNpbm9tYSwgYXMgd2VsbCBhcyBhbnRpLXBhcmF0aHlyb2lkIHJlY2VwdG9yIHRvIGFkZHJlc3MgdW5tZXQgbWVkaWNhbCBuZWVkcy4gVGhlIGNvbXBhbnkgYWxzbyBsaWNlbnNlcyBhbnRpYm9keSBkaXNjb3ZlcnksIG9wdGltaXphdGlvbiwgYW5kIGRldmVsb3BtZW50IHRlY2hub2xvZ2llcy4gSXQgaGFzIHJlc2VhcmNoIGFuZCBkZXZlbG9wbWVudCBjb2xsYWJvcmF0aW9uIGFuZCBsaWNlbnNpbmcgYWdyZWVtZW50cyB3aXRoIE5vdmFydGlzIEFHOyBUYWtlZGEgUGhhcm1h</t>
  </si>
  <si>
    <t>Y2V1dGljYWwgQ29tcGFueSBMaW1pdGVkOyBhbmQgUGZpemVyIEluYy4gWE9NQSBDb3Jwb3JhdGlvbiB3YXMgZm91bmRlZCBpbiAxOTgxIGFuZCBpcyBoZWFkcXVhcnRlcmVkIGluIEVtZXJ5dmlsbGUsIENhbGlmb3JuaWEuAKcbBz0rkdYIKCFfSiuR1gg/Q0lRLk5BU0RBUUNNOlNUTUwuSVFfTkVUX1dPUktJTkdfQ0FQLjE5OTIuMS8zMS8yMDE5LkxGUi5GLlVTRC5IAQAAAC+onQACAAAACS04LjU5MTk1NwEIAAAABQAAAAExAQAAAAoxODY0ODY1OTEwAwAAAAMxNjACAAAABDEzMTEEAAAAATAHAAAACTEvMzEvMjAxOQgAAAAJOS8zMC8yMDE2CQAAAAEwfKu3PSuR1gjm8FlKK5HWCCxDSVEuSVFUUjQwMjQ2ODM0My5JUV9UUl9UT1RBTF9HUk9TU19UVi5VU0QuSAUAAAAAAAAACAAAABooSW52YWxpZCBDdXJyZW5jeSBSZXF1ZXN0KR36tEkrkdYIy5xJSiuR1gghQ0lRLklRVFI1NDc4Mjk5NDkuSVFfVFJfQlVZRVJOQU1FAQAAAL04pyADAAAAAABQb7VJK5HWCFb3Q0orkdYILkNJUS4oSU5WQUxJRCBJREVOVElGSUVSKS5JUV9QRVJJT0REQVRFX0lTLjEwMDAFAAAAAAAAAAgAAAAUKEludmFsaWQgSWRlbnRpZmllcikNBgg9K5HWCPNhsUorkdYIIkNJUS5JUVRSNDE5ODY0MzAxLklRX1RSX1BDVF9TT1VHSFQBAAAA7Z4GGQIAAAAIMi44MjgwNjgAP0i1SSuR1ggBNENKK5HWCDFDSVEuSVFUUjMyODk3ODUxOS5J</t>
  </si>
  <si>
    <t>UV9UUl9UQVJHRVRfUkVWRU5VRV9FU1QuLlVTRC5IAQAAAFfQmxMCAAAAAABQb7VJK5HWCB+qTEorkdYIJUNJUS5JUVRSNTUwMjU5Mzk3LklRX1BSSU1BUllfSU5EVVNUUlkBAAAATgoMDwMAAAANQmlvdGVjaG5vbG9neQAd+rRJK5HWCGjUQUorkdYIL0NJUS5JUVRSNDMwMTA5NTYyLklRX1RSX1RBUkdFVF9UT1RBTF9SRVYuLlVTRC5IAQAAAHrzohkCAAAAAAA/SLVJK5HWCIcASUorkdYIIENJUS5JUTM2MTgzODI1LklRX0xBU1RTQUxFUFJJQ0UuAQAAABEfKAICAAAABDIuNDgAWl23PSuR1giu3D1KK5HWCDtDSVEuTkFTREFRR006RkFURS5JUV9QUkVGX0VRVUlUWS4yMDAwLjkvMzAvMjAxNi5MRlIuRi5VU0QuSAEAAABoMVcCAwAAAAAAa4S3PSuR1ggLYVNKK5HWCCVDSVEuTkFTREFRR1M6TksuSVFfQkVUQV81WVIuMS8zMS8yMDE5AQAAAA19oQ8CAAAAEDIuNjk0MzI0Mjg4MzMxNjMAHi0IPSuR1ghXvmhKK5HWCENDSVEuTkFTREFRR006Q1JWUy5JUV9FQklUREFfNVlSX0FOTl9DQUdSLjIwMDAuMS8zMS8yMDE5LkxGUi5GLlVTRC5IAQAAAPSwphADAAAAAADakAc9K5HWCLzya0orkdYIJ0NJUS5OQVNEQVFDTTpPTkNTLklRX1BFUklPRERBVEVfSVMuMTAwMAEAAADj49oCBQAAAAk3LzMxLzIwMTgAyWkHPSuR1giu7WRKK5HWCCJDSVEuSVFUUjQzMDEwOTU2Mi5JUV9UUl9UQVJHRVROQU1FAQAAAHrzohkD</t>
  </si>
  <si>
    <t>AAAAHlJpdmVyIFZpc2lvbiBEZXZlbG9wbWVudCBDb3JwLgA/SLVJK5HWCGWySEorkdYINENJUS5OQVNEQVFDTTpDVUUuSVFfREFfQ0YuMjAwMC4xLzMxLzIwMTkuTEZSLkYuVVNELkgBAAAApmboGAIAAAAIMC42ODI1NjgBCAAAAAUAAAABMQEAAAAKMTkyMTk0MDkwMAMAAAADMTYwAgAAAAQyMTYwBAAAAAEwBwAAAAkxLzMxLzIwMTkIAAAACTkvMzAvMjAxOAkAAAABMMlpBz0rkdYIncZkSiuR1gg2Q0lRLk5BU0RBUUNNOk9OQ1MuSVFfRUJJVERBLjE5OTYuMS8zMS8yMDE5LkxGUi5GLlVTRC5IAQAAAOPj2gICAAAACi0yMS41MTk4OTcBCAAAAAUAAAABMQEAAAAKMTkzNDQ5MzMyNwMAAAADMTYwAgAAAAQ0MDUxBAAAAAEwBwAAAAkxLzMxLzIwMTkIAAAACjEwLzMxLzIwMTcJAAAAATDJaQc9K5HWCPKJZUorkdYIIkNJUS5JUVRSMzI4OTc4NTE5LklRX1RSX1RBUkdFVE5BTUUBAAAAV9CbEwMAAAAaUGFkbG9jayBUaGVyYXBldXRpY3MsIEluYy4AUG+1SSuR1gjbDUxKK5HWCDhDSVEuTkFTREFRQ006WklPUC5JUV9FQklUREEuQ1kyMDE4LjEvMzEvMjAxOS5MRlIuRi5VU0QuSAEAAACzUbIAAwAAAAAAfKu3PSuR1gjFWFdKK5HWCCVDSVEuSVFUUjI5NjYyODgxNy5JUV9UUl9JTVBMSUVEX0VRX0JWAQAAAFEyrhECAAAACDUuMTE1NjExAQYAAAAFAAAAAjU0AQAAAAYxMDIwOTcCAAAACTI5NjYyODgxNwMAAAAJ</t>
  </si>
  <si>
    <t>Mjk2NjM1MTUzBAAAAAMxNjAGAAAABUZhbHNlYZa1SSuR1ghSH01KK5HWCENDSVEuTkFTREFRQ006T05DUy5JUV9FQklUREFfNVlSX0FOTl9DQUdSLjIwMDAuMS8zMS8yMDE5LkxGUi5GLlVTRC5IAQAAAOPj2gIDAAAAAk5NAQgAAAAFAAAAATEBAAAACjE5MzQ0OTMzMzYDAAAAAzE2MAIAAAAENDIzNQQAAAABMAcAAAAJMS8zMS8yMDE5CAAAAAoxMC8zMS8yMDE4CQAAAAEwyWkHPSuR1gitN2dKK5HWCD1DSVEuTkFTREFRQ006T05DUy5JUV9SRVZFTlVFX0VTVC5DWTIwMTkuMS8zMS8yMDE5LkNPTi5GLlVTRC5IAQAAAOPj2gICAAAAATABDgAAAAUAAAACMTEBAAAAATACAAAACTcyNzkxNTY0MQMAAAAGMTAwMTgwBAAAAAEyBgAAAAEwBwAAAAMxNjAIAAAAATAJAAAAATEKAAAAATALAAAACzExMjMzNDQyNzEzDAAAAAE3DQAAAAgyLzEvMjAxORAAAAAJMS8zMS8yMDE5DQYIPSuR1gjhYmVKK5HWCEdDSVEuTkFTREFRQ006U1RNTC5JUV9NSU5PUklUWV9JTlRFUkVTVF9UT1RBTC4yMDAwLjEvMzEvMjAxOS5MRlIuRi5VU0QuSAEAAAAvqJ0AAwAAAAAAfKu3PSuR1giRLVlKK5HWCDhDSVEuTkFTREFRR006RkFURS5JUV9FQklUREEuQ1kyMDE3LjEvMzEvMjAxOS5MRlIuRi5VU0QuSAEAAABoMVcCAgAAAActNDEuMTU0AQgAAAAFAAAAATEBAAAACjE4NzcwNjkwOTADAAAAAzE2MAIAAAAENDA1MQQAAAABMAcAAAAJ</t>
  </si>
  <si>
    <t>MS8zMS8yMDE5CAAAAAoxMi8zMS8yMDE3CQAAAAEwa4S3PSuR1giUT1JKK5HWCDlDSVEuTkFTREFRR006WE9NQS5JUV9UT1RBTF9SRVYuMTk5Ni4xLzMxLzIwMTkuTEZSLkYuVVNELkgBAAAAoY8AAAIAAAAGNDcuODU3AQgAAAAFAAAAATEBAAAACjE5MTk5MjgxMjIDAAAAAzE2MAIAAAACMjgEAAAAATAHAAAACTEvMzEvMjAxOQgAAAAJOS8zMC8yMDE3CQAAAAEwuEIHPSuR1gig6F1KK5HWCDtDSVEuTkFTREFRR1M6RlBSWC5JUV9QUkVGX0VRVUlUWS4yMDAwLjkvMzAvMjAxNi5MRlIuRi5VU0QuSAEAAAA3XTMAAwAAAAAAuEIHPSuR1gh8LmJKK5HWCCxDSVEuKElOVkFMSUQgSURFTlRJRklFUikuSVFfRklSU1RQUklDSU5HREFURQUAAAAAAAAACAAAABQoSW52YWxpZCBJZGVudGlmaWVyKS4htUkrkdYIBImxSiuR1ghGQ0lRLk5BU0RBUUNNOkNVRS5JUV9NSU5PUklUWV9JTlRFUkVTVF9UT1RBTC4yMDAwLjEvMzEvMjAxOS5MRlIuRi5VU0QuSAEAAACmZugYAwAAAAAAuEIHPSuR1gjR8WJKK5HWCCNDSVEuTkFTREFRR1M6TksuSVFfRklSU1RQUklDSU5HREFURQEAAAANfaEPBQAAAAk3LzI4LzIwMTUAuEIHPSuR1gi+XmdKK5HWCCVDSVEuSVFUUjU1MDI1OTM5Ny5JUV9UUl9JTVBMSUVEX0VRX0JWAQAAAMVKzCACAAAACDkuNjE0MzU3AQYAAAAFAAAAAjU0AQAAAAYxMDIwOTcCAAAACTU1MDI1OTM5NwMAAAAJ</t>
  </si>
  <si>
    <t>NTUwMjY0NTY0BAAAAAMxNjAGAAAABUZhbHNlP0i1SSuR1gibSUJKK5HWCCdDSVEuTkFTREFRR006Q1JWUy5JUV9CRVRBXzJZUi4xLzMxLzIwMTkBAAAA9LCmEAIAAAAQMS4xMTcyNjQxODEyMjE2MQAeLQg9K5HWCFYIa0orkdYIJkNJUS5OQVNEQVFHUzpOSy5JUV9URVYuMS8zMS8yMDE5LlVTRC5IAQAAAA19oQ8CAAAACDguOTY5MTY5AQYAAAAFAAAAATEBAAAACjE5MTk5NjU0NzcDAAAAAzE2MAIAAAAGMTAwMDYwBAAAAAEwBwAAAAkxLzMxLzIwMTmnGwc9K5HWCL5eZ0orkdYIPENJUS5OQVNEQVFDTTpaSU9QLklRX0VCSVREQV9FU1QuQ1kyMDIxLjEvMzEvMjAxOS5DT04uRi5VU0QuSAEAAACzUbIAAwAAAAAAjdK3PSuR1gjWf1dKK5HWCDZDSVEuTkFTREFRR006U1VSRi5JUV9FQklUREEuMTk5Ni4xLzMxLzIwMTkuTEZSLkYuVVNELkgBAAAAtCnHEAIAAAAHLTM1LjU2NwEIAAAABQAAAAExAQAAAAoxOTIxODEzODY3AwAAAAMxNjACAAAABDQwNTEEAAAAATAHAAAACTEvMzEvMjAxOQgAAAAJOS8zMC8yMDE3CQAAAAEw2pAHPSuR1ggRtmxKK5HWCCpDSVEuKElOVkFMSUQgSURFTlRJRklFUikuSVFfQ09NUEFOWV9USUNLRVIFAAAAAAAAAAgAAAAUKEludmFsaWQgSWRlbnRpZmllcikuIbVJK5HWCPNhsUorkdYIJ0NJUS5OQVNEQVFHTTpGQVRFLklRX0JFVEFfNVlSLjEvMzEvMjAxOQEAAABoMVcCAgAAAA8y</t>
  </si>
  <si>
    <t>LjA0NzUyMjM3NTk3MTEAnvm3PSuR1gjY61JKK5HWCC5DSVEuSVFUUjU2MzkxOTA0OS5JUV9UUl9UQVJHRVRfU1RPQ0tQUkVNSVVNXzFNAQAAAMm4nCECAAAABzU1LjkwODkBBgAAAAUAAAACNTQBAAAABjEwMTA1NQIAAAAJNTYzOTE5MDQ5AwAAAAk1NjM5NDAwNDIEAAAAAzE2MAYAAAAFRmFsc2U/SLVJK5HWCFetQUorkdYIJUNJUS5JUVRSMzI4OTc4NTE5LklRX1BSSU1BUllfSU5EVVNUUlkBAAAA7f/aDwMAAAANQmlvdGVjaG5vbG9neQAd+rRJK5HWCOw0TEorkdYIK0NJUS5JUVRSNTQ3ODI5OTQ5LklRX1RSX0lNUExJRURfRVZfRUJJVF9GV0QBAAAAvTinIAIAAAAAAFBvtUkrkdYIiWxESiuR1gg+Q0lRLk5BU0RBUUdNOlNVUkYuSVFfVE9UQUxfRVFVSVRZLkNZMjAxOC4xLzMxLzIwMTkuTEZSLkYuVVNELkgBAAAAtCnHEAMAAAAAANqQBz0rkdYIme5tSiuR1gg5Q0lRLk5BU0RBUUdTOk5LVFIuSVFfTklfTUFSR0lOLjIwMDAuMS8zMS8yMDE5LkxGUi5GLlVTRC5IAQAAAOl0AAACAAAABzU5LjcwNTQBCAAAAAUAAAABMQEAAAAKMTkyMDU0MDUxMwMAAAADMTYwAgAAAAQ0MDk0BAAAAAEwBwAAAAkxLzMxLzIwMTkIAAAACTkvMzAvMjAxOAkAAAABMGuEtz0rkdYIlQVQSiuR1gg7Q0lRLk5BU0RBUUNNOlpJT1AuSVFfVE9UQUxfUkVWLkNZMjAxOC4xLzMxLzIwMTkuTEZSLkYuVVNELkgBAAAAs1GyAAMAAAAA</t>
  </si>
  <si>
    <t>AHyrtz0rkdYIowpXSiuR1gg1Q0lRLk5BU0RBUUdTOkZQUlguSVFfREFfQ0YuMjAwMC4xLzMxLzIwMTkuTEZSLkYuVVNELkgBAAAAN10zAAIAAAAFNC41MTEBCAAAAAUAAAABMQEAAAAKMTkxOTc5NTE3MgMAAAADMTYwAgAAAAQyMTYwBAAAAAEwBwAAAAkxLzMxLzIwMTkIAAAACTkvMzAvMjAxOAkAAAABMLhCBz0rkdYInnxiSiuR1gg6Q0lRLk5BU0RBUUNNOlpJT1AuSVFfVE9UQUxfREVCVC4yMDAwLjkvMzAvMjAxNi5MRlIuRi5VU0QuSAEAAACzUbIAAgAAAAEwAQgAAAAFAAAAATEBAAAACjE4MDI2MDU5MDADAAAAAzE2MAIAAAAENDE3MwQAAAABMAcAAAAJOS8zMC8yMDE2CAAAAAk2LzMwLzIwMTYJAAAAATB8q7c9K5HWCDxqWEorkdYIOUNJUS5OQVNEQVFHTTpYT01BLklRX1RPVEFMX1JFVi4yMDAwLjEvMzEvMjAxOS5MRlIuRi5VU0QuSAEAAAChjwAAAgAAAAU4Ljk3MQEIAAAABQAAAAExAQAAAAoxOTE5OTI4MTI0AwAAAAMxNjACAAAAAjI4BAAAAAEwBwAAAAkxLzMxLzIwMTkIAAAACTkvMzAvMjAxOAkAAAABMLhCBz0rkdYIoOhdSiuR1gguQ0lRLk5BU0RBUUdTOlRIT1IuSVFfTUFSS0VUQ0FQLjkvMzAvMjAxNi5VU0QuSAEAAAC4X7cPAwAAAAAAWl23PSuR1ggb0lVKK5HWCCFDSVEuSVEyNjM2NzU4MzIuSVFfQ09NUEFOWV9USUNLRVIBAAAAuF+3DwMAAAANTmFzZGFxR1M6VEhPUgAuIbVJK5HWCE/9</t>
  </si>
  <si>
    <t>U0orkdYINUNJUS5OQVNEQVFHTTpTVVJGLklRX0RBX0NGLjIwMDAuMS8zMS8yMDE5LkxGUi5GLlVTRC5IAQAAALQpxxACAAAABTEuMjg5AQgAAAAFAAAAATEBAAAACjE5MjE4MTM4OTMDAAAAAzE2MAIAAAAEMjE2MAQAAAABMAcAAAAJMS8zMS8yMDE5CAAAAAk5LzMwLzIwMTgJAAAAATDakAc9K5HWCMxjbkorkdYIKUNJUS5JUVRSNTYzOTE5MDQ5LklRX1RSX0lNUExJRURfRVFfTklfTFRNAQAAAMm4nCEDAAAAAk5NAD9ItUkrkdYIRoZBSiuR1gg8Q0lRLk5BU0RBUUNNOkNVRS5JUV9SRVZFTlVFX0VTVC5DWTIwMjAuMS8zMS8yMDE5LkNPTi5GLlVTRC5IAQAAAKZm6BgCAAAABTAuMTEyAQ4AAAAFAAAAAjExAQAAAAEwAgAAAAoxMDA0MjE3MTUxAwAAAAYxMDAxODAEAAAAATIGAAAAATAHAAAAAzE2MAgAAAABMAkAAAABMQoAAAABMAsAAAALMTExNzM5NDczMjUMAAAAATcNAAAACDIvMS8yMDE5EAAAAAkxLzMxLzIwMTkNBgg9K5HWCOIYY0orkdYIKkNJUS5JUVRSMzE0ODI5MjM2LklRX1RSX1RBUkdFVF9FQklULi5VU0QuSAEAAAC06cMSAgAAAAAAUG+1SSuR1gggYEpKK5HWCBRDSVEuMC5JUV9UUl9FQVJOT1VUUwUAAAAAAAAACAAAABgoSW52YWxpZCBUcmFuc2FjdGlvbiBJZCkd+rRJK5HWCJa7TUorkdYINUNJUS5OQVNEQVFHUzpGUFJYLklRX0NBUEVYLjIwMDAuMS8zMS8yMDE5LkxGUi5GLlVTRC5IAQAA</t>
  </si>
  <si>
    <t>ADddMwACAAAABy0xMi40NjEBCAAAAAUAAAABMQEAAAAKMTkxOTc5NTE3MgMAAAADMTYwAgAAAAQyMDIxBAAAAAEwBwAAAAkxLzMxLzIwMTkIAAAACTkvMzAvMjAxOAkAAAABMLhCBz0rkdYIOJJhSiuR1gguQ0lRLklRVFI0MTgwODMzNDMuSVFfVFJfVEFSR0VUX1NUT0NLUFJFTUlVTV8xVwEAAAAPcusYAgAAAAAAUG+1SSuR1gjbDUxKK5HWCC9DSVEuSVFUUjU0NzgyOTk0OS5JUV9UUl9UQVJHRVRfVE9UQUxfUkVWLi5VU0QuSAEAAAC9OKcgAgAAAAAAUG+1SSuR1gh4RURKK5HWCC5DSVEuSVFUUjU0NzgyOTk0OS5JUV9UUl9UQVJHRVRfU1RPQ0tQUkVNSVVNXzFXAQAAAL04pyACAAAAAABQb7VJK5HWCIlsREorkdYIJUNJUS5JUVRSNTk3MDc3NzY1LklRX1BSSU1BUllfSU5EVVNUUlkBAAAAHkwjGAMAAAAPUGhhcm1hY2V1dGljYWxzAB36tEkrkdYI3XlHSiuR1ghGQ0lRLk5BU0RBUUNNOlNUTUwuSVFfVE9UQUxfUkVWXzNZUl9BTk5fQ0FHUi4yMDAwLjEvMzEvMjAxOS5MRlIuRi5VU0QuSAEAAAAvqJ0AAgAAAActNC4yNzAxAQgAAAAFAAAAATEBAAAACjE5MjA0NDA2MjUDAAAAAzE2MAIAAAAENDIyMAQAAAABMAcAAAAJMS8zMS8yMDE5CAAAAAk5LzMwLzIwMTgJAAAAATB8q7c9K5HWCF0CW0orkdYIPENJUS5OQVNEQVFDTTpaSU9QLklRX0VBUk5JTkdfQ08uQ1kyMDE4LjEvMzEvMjAxOS5MRlIuRi5VU0Qu</t>
  </si>
  <si>
    <t>SAEAAACzUbIAAwAAAAAAfKu3PSuR1ggaHFhKK5HWCDFDSVEuSVFUUjU0NzgyOTk0OS5JUV9UUl9UQVJHRVRfUkVWRU5VRV9FU1QuLlVTRC5IAQAAAL04pyACAAAAAABQb7VJK5HWCIlsREorkdYIIkNJUS5JUVRSNTk3MDc3NzY1LklRX1RSX1RPVEFMX0NBU0gBAAAABa+WIwIAAAADNy41AQYAAAAFAAAAAjU0AQAAAAYxMDEwNTYCAAAACTU5NzA3Nzc2NQMAAAAJNTk3MDc5ODY5BAAAAAMxNjAGAAAABUZhbHNlLiG1SSuR1gjuoEdKK5HWCCBDSVEuSVFUUjQzMDEwOTU2Mi5JUV9UUl9FQVJOT1VUUwEAAAB686IZAgAAAAAAP0i1SSuR1giHAElKK5HWCDpDSVEuTkFTREFRQ006T05DUy5JUV9UT1RBTF9ERUJULjIwMDAuOS8zMC8yMDE2LkxGUi5GLlVTRC5IAQAAAOPj2gICAAAAATABCAAAAAUAAAABMQEAAAAKMTc5NjIwMTMwOQMAAAADMTYwAgAAAAQ0MTczBAAAAAEwBwAAAAk5LzMwLzIwMTYIAAAACTQvMzAvMjAxNgkAAAABMMlpBz0rkdYIesJmSiuR1ggnQ0lRLk5BU0RBUUdNOlhPTUEuSVFfQkVUQV8xWVIuMS8zMS8yMDE5AQAAAKGPAAACAAAAETAuOTU4NzIxMTgzMTY5NTQ4AB4tCD0rkdYIKCFfSiuR1gg9Q0lRLk5BU0RBUUdTOk5LLklRX05FVF9XT1JLSU5HX0NBUC4yMDAwLjEvMzEvMjAxOS5MRlIuRi5VU0QuSAEAAAANfaEPAgAAAActMTIuNTM3AQgAAAAFAAAAATEBAAAACjE5MTk5NjY1MDMDAAAA</t>
  </si>
  <si>
    <t>AzE2MAIAAAAEMTMxMQQAAAABMAcAAAAJMS8zMS8yMDE5CAAAAAk5LzMwLzIwMTgJAAAAATDJaQc9K5HWCDVwaEorkdYIIUNJUS5OQVNEQVFDTTpUR1RYLklRX0NPTVBBTllfTkFNRQEAAABalI8IAwAAABVURyBUaGVyYXBldXRpY3MsIEluYy4AWl23PSuR1gh/UFtKK5HWCCpDSVEuSVFUUjMyODk3ODUxOS5JUV9UUl9UQVJHRVRfRUJJVC4uVVNELkgBAAAAV9CbEwIAAAAAAFBvtUkrkdYIDoNMSiuR1ghGQ0lRLk5BU0RBUUdNOlhPTUEuSVFfVE9UQUxfUkVWXzJZUl9BTk5fQ0FHUi4yMDAwLjEvMzEvMjAxOS5MRlIuRi5VU0QuSAEAAAChjwAAAgAAAAgtNTguOTQ0NwEIAAAABQAAAAExAQAAAAoxOTE5OTI4MTI0AwAAAAMxNjACAAAABDQyMDcEAAAAATAHAAAACTEvMzEvMjAxOQgAAAAJOS8zMC8yMDE4CQAAAAEwuEIHPSuR1ghsvV9KK5HWCClDSVEuTkFTREFRQ006VEdUWC5JUV9CVVNJTkVTU19ERVNDUklQVElPTgEAAABalI8IAwAAAJQOVEcgVGhlcmFwZXV0aWNzLCBJbmMuLCBhIGJpb3BoYXJtYWNldXRpY2FsIGNvbXBhbnksIGZvY3VzZXMgb24gdGhlIGFjcXVpc2l0aW9uLCBkZXZlbG9wbWVudCwgYW5kIGNvbW1lcmNpYWxpemF0aW9uIG9mIG5vdmVsIHRyZWF0bWVudHMgZm9yIEItY2VsbCBtYWxpZ25hbmNpZXMgYW5kIGF1dG9pbW11bmUgZGlzZWFzZXMgaW4gdGhlIFVuaXRlZCBTdGF0ZXMuIEl0</t>
  </si>
  <si>
    <t>IGRldmVsb3BzIFRHLTExMDEgKHVibGl0dXhpbWFiKSwgYSBjaGltZXJpYywgZ2x5Y29lbmdpbmVlcmVkIG1vbm9jbG9uYWwgYW50aWJvZHkgdGhhdCB0YXJnZXRzIGFuIGVwaXRvcGUgb24gdGhlIENEMjAgYW50aWdlbiBmb3VuZCBvbiB0aGUgc3VyZmFjZSBvZiBCLWx5bXBob2N5dGVzIGRldmVsb3BlZCB0byBhaWQgaW4gdGhlIGRlcGxldGlvbiBvZiBjaXJjdWxhdGluZyBCLWNlbGxzOyBhbmQgVEctMTEwMSBpbiBjb21iaW5hdGlvbiB3aXRoIFRHUi0xMjAyIGZvciByZWxhcHNlZC9yZWZyYWN0b3J5IGNocm9uaWMgbHltcGhvY3l0aWMgbGV1a2VtaWEuIFRoZSBjb21wYW55IGFsc28gZGV2ZWxvcHMgVEdSLTEyMDIsIGFuIG9yYWxseSBhdmFpbGFibGUgcGhvc3Bob2lub3NpdGlkZS0zLWtpbmFzZSBkZWx0YSBpbmhpYml0b3Igd2l0aCBuYW5vbW9sYXIgcG90ZW5jeSB0byB0aGUgZGVsdGEgaXNvZm9ybSBhbmQgaGlnaCBzZWxlY3Rpdml0eSBvdmVyIHRoZSBhbHBoYSwgYmV0YSwgYW5kIGdhbW1hIGlzb2Zvcm1zLCBhcyB3ZWxsIGFzIGZvciBoZW1hdG9sb2dpYyBtYWxpZ25hbmNpZXMuIEluIGFkZGl0aW9uLCBpdCBkZXZlbG9wcyBhIHByZS1jbGluaWNhbCBwcm9ncmFtIHRvIGRldmVsb3AgaW50ZXJsZXVraW4tMSByZWNlcHRvci1hc3NvY2lhdGVkIGtpbmFzZSA0IChJUkFLNCkgaW5oaWJpdG9y</t>
  </si>
  <si>
    <t>czsgYnJvbW9kb21haW4gYW5kIGV4dHJhIHRlcm1pbmFsIChCRVQpIGluaGliaXRvciBwcm9ncmFtIGZvciBjYW5jZXIgdHJlYXRtZW50OyBhbmQgYW50aS1QRC1MMSBhbmQgYW50aS1HSVRSIGFudGlib2R5IHJlc2VhcmNoIHByb2dyYW1zIHRoYXQgYXJlIGluIHByZS1jbGluaWNhbCBkZXZlbG9wbWVudCBzdGFnZSBpbiB0aGUgZmllbGQgb2YgaGVtYXRvbG9naWNhbCBtYWxpZ25hbmNpZXMuIFRoZSBjb21wYW55IGhhcyBsaWNlbnNlIGFncmVlbWVudHMgd2l0aCBMRkIgQmlvdGVjaG5vbG9naWVzIFMuQS5TLCBHVEMgQmlvdGhlcmFwZXV0aWNzLCBMRkIvR1RDIExMQywgYW5kIElsZG9uZyBQaGFybWFjZXV0aWNhbCBDby4gTHRkLiBmb3IgdGhlIGRldmVsb3BtZW50IGFuZCBjb21tZXJjaWFsaXphdGlvbiBvZiBURy0xMTAxICh1YmxpdHV4aW1hYik7IFJoaXplbiBQaGFybWFjZXV0aWNhbHMsIFNBIGZvciB0aGUgZGV2ZWxvcG1lbnQgYW5kIGNvbW1lcmNpYWxpemF0aW9uIG9mIFRHUi0xMjAyOyBMaWdhbmQgUGhhcm1hY2V1dGljYWxzIEluY29ycG9yYXRlZCBmb3IgdGhlIGRldmVsb3BtZW50IGFuZCBjb21tZXJjaWFsaXphdGlvbiBvZiBJUkFLNCBpbmhpYml0b3IgdGVjaG5vbG9neTsgQ2hlY2twb2ludCBUaGVyYXBldXRpY3MsIEluYy4gZm9yIHRoZSBkZXZlbG9wbWVudCBhbmQgY29tbWVyY2lh</t>
  </si>
  <si>
    <t>bGl6YXRpb24gb2YgYW50aS1QRC1MMSBhbmQgYW50aS1HSVRSIGFudGlib2R5IHJlc2VhcmNoIHByb2dyYW1zOyBhbmQgSnViaWxhbnQgQmlvc3lzIGZvciB0aGUgZGV2ZWxvcG1lbnQgYW5kIGNvbW1lcmNpYWxpemF0aW9uIG9mIEJFVCBpbmhpYml0b3IgcHJvZ3JhbS4gVEcgVGhlcmFwZXV0aWNzLCBJbmMuIHdhcyBpbmNvcnBvcmF0ZWQgaW4gMTk5MyBhbmQgaXMgaGVhZHF1YXJ0ZXJlZCBpbiBOZXcgWW9yaywgTmV3IFlvcmsuAFpdtz0rkdYIGLBcSiuR1gg5Q0lRLk5BU0RBUUdNOlNVUkYuSVFfTklfTUFSR0lOLjIwMDAuMS8zMS8yMDE5LkxGUi5GLlVTRC5IAQAAALQpxxACAAAACC0zMy44Mjc1AQgAAAAFAAAAATEBAAAACjE5MjE4MTM4OTMDAAAAAzE2MAIAAAAENDA5NAQAAAABMAcAAAAJMS8zMS8yMDE5CAAAAAk5LzMwLzIwMTgJAAAAATDakAc9K5HWCEQrbUorkdYIQ0NJUS5OQVNEQVFDTTpaSU9QLklRX0VCSVREQV8yWVJfQU5OX0NBR1IuMjAwMC4xLzMxLzIwMTkuTEZSLkYuVVNELkgBAAAAs1GyAAMAAAACTk0BCAAAAAUAAAABMQEAAAAKMTkyMDUzNzcwOQMAAAADMTYwAgAAAAQ0MjA5BAAAAAEwBwAAAAkxLzMxLzIwMTkIAAAACTkvMzAvMjAxOAkAAAABMHyrtz0rkdYIXrhYSiuR1ggkQ0lRLi5JUV9UUl9UQVJHRVRfUkVWRU5VRV9FU1QuLlVTRC5IBQAAAAAAAAAIAAAAFChJbnZhbGlkIElk</t>
  </si>
  <si>
    <t>ZW50aWZpZXIpWl23PSuR1ghI8jxKK5HWCCVDSVEuSVFUUjI4Mzc4MjcxMy5JUV9UUl9JTVBMSUVEX0VRX0JWAQAAADku6hACAAAACDQuNjcxMDYxAQYAAAAFAAAAAjU0AQAAAAYxMDIwOTcCAAAACTI4Mzc4MjcxMwMAAAAJMjgzNzgyNzkyBAAAAAMxNjAGAAAABUZhbHNlYZa1SSuR1ghmaEZKK5HWCDlDSVEuTkFTREFRR1M6VEhPUi5JUV9UT1RBTF9SRVYuMTk5Ni4xLzMxLzIwMTkuTEZSLkYuVVNELkgBAAAAuF+3DwMAAAAAAGuEtz0rkdYIcUtUSiuR1gglQ0lRLklRVFI1ODAyOTgwNDkuSVFfVFJfSU1QTElFRF9FUV9CVgEAAABBpZYiAgAAAAAALiG1SSuR1gjxwkBKK5HWCCFDSVEuSVE0MTc4ODM4MTQuSVFfQ09NUEFOWV9USUNLRVIBAAAApmboGAMAAAAMTmFzZGFxQ006Q1VFAC4htUkrkdYIr6NiSiuR1gg8Q0lRLk5BU0RBUUdTOk5LVFIuSVFfVE9UQUxfRVFVSVRZLjIwMDAuMS8zMS8yMDE5LkxGUi5GLlVTRC5IAQAAAOl0AAACAAAACDE3OTAuMTIyAQgAAAAFAAAAATEBAAAACjE5MjA1NDA1MTMDAAAAAzE2MAIAAAAEMTI3NQQAAAABMAcAAAAJMS8zMS8yMDE5CAAAAAk5LzMwLzIwMTgJAAAAATBrhLc9K5HWCNmhUEorkdYIPUNJUS5OQVNEQVFDTTpTVE1MLklRX1JFVkVOVUVfRVNULkNZMjAyMC4xLzMxLzIwMTkuQ09OLkYuVVNELkgBAAAAL6idAAIAAAAJMTU2LjgxNDY3AQ4AAAAFAAAAAjExAQAA</t>
  </si>
  <si>
    <t>AAEwAgAAAAoxMDAxODU4NDg5AwAAAAYxMDAxODAEAAAAATIGAAAAATAHAAAAAzE2MAgAAAABMAkAAAABMQoAAAABMAsAAAALMTEyODg5OTcwODAMAAAAATcNAAAACDIvMS8yMDE5EAAAAAkxLzMxLzIwMTmN0rc9K5HWCLN7WUorkdYIO0NJUS5OQVNEQVFHTTpYT01BLklRX1RPVEFMX1JFVi5DWTIwMTcuMS8zMS8yMDE5LkxGUi5GLlVTRC5IAQAAAKGPAAACAAAABTUyLjY5AQgAAAAFAAAAATEBAAAACjE4NzczMzAwNTkDAAAAAzE2MAIAAAACMjgEAAAAATAHAAAACTEvMzEvMjAxOQgAAAAKMTIvMzEvMjAxNwkAAAABMLhCBz0rkdYIoOhdSiuR1gg7Q0lRLk5BU0RBUUdNOkNSVlMuSVFfRUJJVF9NQVJHSU4uMjAwMC4xLzMxLzIwMTkuTEZSLkYuVVNELkgBAAAA9LCmEAMAAAAAANqQBz0rkdYII5NqSiuR1ggdQ0lRLk5BU0RBUUNNOlNUTUwuSVFfRVhDSEFOR0UBAAAAL6idAAMAAAAITmFzZGFxQ00AWl23PSuR1ghv31hKK5HWCENDSVEuTkFTREFRR006WE9NQS5JUV9FQklUREFfMllSX0FOTl9DQUdSLjIwMDAuMS8zMS8yMDE5LkxGUi5GLlVTRC5IAQAAAKGPAAADAAAAAk5NAQgAAAAFAAAAATEBAAAACjE5MTk5MjgxMjQDAAAAAzE2MAIAAAAENDIwOQQAAAABMAcAAAAJMS8zMS8yMDE5CAAAAAk5LzMwLzIwMTgJAAAAATC4Qgc9K5HWCH3kX0orkdYIPENJUS5OQVNEQVFDTTpTVE1MLklRX0VBUk5JTkdfQ08u</t>
  </si>
  <si>
    <t>Q1kyMDE4LjEvMzEvMjAxOS5MRlIuRi5VU0QuSAEAAAAvqJ0AAwAAAAAAfKu3PSuR1ggqjVpKK5HWCD5DSVEuKElOVkFMSUQgSURFTlRJRklFUikuSVFfUEVSSU9EREFURV9JUy4yMDAwLjEvMzEvMjAxOS5MRlIuRgUAAAAAAAAACAAAABQoSW52YWxpZCBJZGVudGlmaWVyKQ0GCD0rkdYI82GxSiuR1gghQ0lRLk5BU0RBUUdNOkZBVEUuSVFfQ09NUEFOWV9OQU1FAQAAAGgxVwIDAAAAF0ZhdGUgVGhlcmFwZXV0aWNzLCBJbmMuAFpdtz0rkdYIP4xRSiuR1gg6Q0lRLk5BU0RBUUdNOlhPTUEuSVFfVE9UQUxfREVCVC4yMDAwLjkvMzAvMjAxNi5MRlIuRi5VU0QuSAEAAAChjwAAAgAAAAY0Ni41MjQBCAAAAAUAAAABMQEAAAAKMTgwMTU5OTQ2OQMAAAADMTYwAgAAAAQ0MTczBAAAAAEwBwAAAAk5LzMwLzIwMTYIAAAACTYvMzAvMjAxNgkAAAABMLhCBz0rkdYIW5ZfSiuR1ggsQ0lRLklRVFI1MjkxOTE4ODAuSVFfVFJfVE9UQUxfR1JPU1NfVFYuVVNELkgFAAAAAAAAAAgAAAAaKEludmFsaWQgQ3VycmVuY3kgUmVxdWVzdCkd+rRJK5HWCENkSEorkdYIH0NJUS5OQVNEQVFHUzpOSy5JUV9DT01QQU5ZX05BTUUBAAAADX2hDwMAAAAPTmFudEt3ZXN0LCBJbmMuAKcbBz0rkdYIrTdnSiuR1ggpQ0lRLklRVFIzMjg5Nzg1MTkuSVFfVFJfSU1QTElFRF9FUV9OSV9MVE0BAAAAV9CbEwIAAAAAAFBvtUkrkdYIDoNMSiuR</t>
  </si>
  <si>
    <t>1gg/Q0lRLk5BU0RBUUdNOlhPTUEuSVFfTkVUX1dPUktJTkdfQ0FQLjIwMDAuMS8zMS8yMDE5LkxGUi5GLlVTRC5IAQAAAKGPAAACAAAABi0zLjg4MQEIAAAABQAAAAExAQAAAAoxOTE5OTI4MTI0AwAAAAMxNjACAAAABDEzMTEEAAAAATAHAAAACTEvMzEvMjAxOQgAAAAJOS8zMC8yMDE4CQAAAAEwuEIHPSuR1ggX+l5KK5HWCCNDSVEuSVFUUjMyODk3ODUxOS5JUV9UUl9UT1RBTF9TVE9DSwEAAABX0JsTAgAAAAAAUG+1SSuR1gj9W0xKK5HWCE5DSVEuKElOVkFMSUQgSURFTlRJRklFUikuSVFfTUlOT1JJVFlfSU5URVJFU1RfVE9UQUwuMjAwMC45LzMwLzIwMTYuTEZSLkYuVVNELkgFAAAAAAAAAAgAAAAUKEludmFsaWQgSWRlbnRpZmllcikNBgg9K5HWCNBds0orkdYIPENJUS5OQVNEQVFHUzpUSE9SLklRX0VCSVREQV9FU1QuQ1kyMDIwLjEvMzEvMjAxOS5DT04uRi5VU0QuSAEAAAC4X7cPAgAAAAYtNTYuMjgBDgAAAAUAAAACMTEBAAAAATACAAAACjEwMDQyODQzNTYDAAAABjEwMDE4NwQAAAABMgYAAAABMAcAAAADMTYwCAAAAAEwCQAAAAExCgAAAAEwCwAAAAsxMTIyNDkzMTIzMAwAAAABNw0AAAAIMi8xLzIwMTkQAAAACTEvMzEvMjAxOY3Stz0rkdYIpMBUSiuR1gg8Q0lRLk5BU0RBUUNNOk9OQ1MuSVFfRUJJVERBX0VTVC5DWTIwMjAuMS8zMS8yMDE5LkNPTi5GLlVTRC5IAQAAAOPj2gIDAAAAAAAN</t>
  </si>
  <si>
    <t>Bgg9K5HWCAOxZUorkdYIP0NJUS5OQVNEQVFHTTpYT01BLklRX05FVF9XT1JLSU5HX0NBUC4xOTkyLjEvMzEvMjAxOS5MRlIuRi5VU0QuSAEAAAChjwAAAgAAAAYtOC41NDYBCAAAAAUAAAABMQEAAAAKMTg2NDMwMjk2OQMAAAADMTYwAgAAAAQxMzExBAAAAAEwBwAAAAkxLzMxLzIwMTkIAAAACTkvMzAvMjAxNgkAAAABMLhCBz0rkdYIBtNeSiuR1ghDQ0lRLihJTlZBTElEIElERU5USUZJRVIpLklRX0VCSVREQV9FU1QuQ1kyMDE5LjEvMzEvMjAxOS5DT04uRi5VU0QuSAUAAAAAAAAACAAAABQoSW52YWxpZCBJZGVudGlmaWVyKR4tCD0rkdYIWUyySiuR1ggoQ0lRLk5BU0RBUUdNOkZBVEUuSVFfVEVWLjEvMzEvMjAxOS5VU0QuSAEAAABoMVcCAgAAAAo3ODEuNzYzOTA2AQYAAAAFAAAAATEBAAAACjE5MTc3MzEwMjcDAAAAAzE2MAIAAAAGMTAwMDYwBAAAAAEwBwAAAAkxLzMxLzIwMTlaXbc9K5HWCD+MUUorkdYIKkNJUS5JUVRSNTgwMjk4MDQ5LklRX1RSX1RBUkdFVF9FQklULi5VU0QuSAEAAABBpZYiAgAAAAAALiG1SSuR1gjxwkBKK5HWCDpDSVEuTkFTREFRQ006Q1VFLklRX1BSRUZfRVFVSVRZLjIwMDAuMS8zMS8yMDE5LkxGUi5GLlVTRC5IAQAAAKZm6BgDAAAAAAC4Qgc9K5HWCMDKYkorkdYILENJUS5OQVNEQVFDTTpTVE1MLklRX0xBU1RTQUxFUFJJQ0UuOS8zMC8yMDE2AQAAAC+onQACAAAABTEw</t>
  </si>
  <si>
    <t>LjgzAFpdtz0rkdYIO7RaSiuR1gg3Q0lRLk5BU0RBUUdNOkNSVlMuSVFfUEVSSU9EREFURV9JUy4yMDAwLjEvMzEvMjAxOS5MRlIuRgEAAAD0sKYQBQAAAAk5LzMwLzIwMTgA2pAHPSuR1gi9qGlKK5HWCDpDSVEuTkFTREFRQ006VEdUWC5JUV9FQVJOSU5HX0NPLjE5OTYuMS8zMS8yMDE5LkxGUi5GLlVTRC5IAQAAAFqUjwgCAAAACy0xMTEuMjkwMTQzAQgAAAAFAAAAATEBAAAACjE5MjExNzg4MjMDAAAAAzE2MAIAAAABNwQAAAABMAcAAAAJMS8zMS8yMDE5CAAAAAk5LzMwLzIwMTcJAAAAATCN0rc9K5HWCCnXXEorkdYIFkNJUS4uSVFfR1AuMjAwMC4uLi5VU0QFAAAAAAAAAAgAAAAUKEludmFsaWQgSWRlbnRpZmllcilaXbc9K5HWCCXuPkorkdYIKkNJUS5JUVRSMjgzNzgyNzEzLklRX1RSX1RBUkdFVF9FQklULi5VU0QuSAEAAAA5LuoQAgAAAAU1MTQuMgEGAAAABQAAAAIzNwEAAAAKMTcxODc1MDc3MAIAAAAFMjE2NzUDAAAAAzE2MAQAAAABMAcAAAAIMS8xLzE5MDBhlrVJK5HWCFVBRkorkdYISkNJUS4oSU5WQUxJRCBJREVOVElGSUVSKS5JUV9FQklUREFfMllSX0FOTl9DQUdSLjIwMDAuMS8zMS8yMDE5LkxGUi5GLlVTRC5IBQAAAAAAAAAIAAAAFChJbnZhbGlkIElkZW50aWZpZXIpDQYIPSuR1gjyq7NKK5HWCDpDSVEuTkFTREFRR1M6TksuSVFfRUJJVERBX0VTVC5DWTIwMTkuMS8zMS8yMDE5LkNP</t>
  </si>
  <si>
    <t>Ti5GLlVTRC5IAQAAAA19oQ8DAAAAAAANBgg9K5HWCAL7Z0orkdYINUNJUS5OQVNEQVFHTTpGQVRFLklRX0RBX0NGLjIwMDAuMS8zMS8yMDE5LkxGUi5GLlVTRC5IAQAAAGgxVwICAAAABTEuMTY3AQgAAAAFAAAAATEBAAAACjE5MTc3MzE5MjkDAAAAAzE2MAIAAAAEMjE2MAQAAAABMAcAAAAJMS8zMS8yMDE5CAAAAAk5LzMwLzIwMTgJAAAAATBrhLc9K5HWCC2vU0orkdYIPENJUS5OQVNEQVFHTTpGQVRFLklRX0VCSVREQV9FU1QuQ1kyMDIwLjEvMzEvMjAxOS5DT04uRi5VU0QuSAEAAABoMVcCAwAAAAAAjdK3PSuR1giUT1JKK5HWCC9DSVEuSVFUUjU2MzkxOTA0OS5JUV9UUl9JTVBMSUVEX0VWX0ZJTkFMLi5VU0QuSAEAAADJuJwhAgAAAAsxNDYyLjYyMzI0MgEGAAAABQAAAAI1NAEAAAAGMTAyMDQ1AgAAAAk1NjM5MTkwNDkDAAAACTU2Mzk0MDA0MgQAAAADMTYwBgAAAAVGYWxzZT9ItUkrkdYIExFBSiuR1gg8Q0lRLk5BU0RBUUNNOk9OQ1MuSVFfRUJJVERBX0VTVC5DWTIwMjEuMS8zMS8yMDE5LkNPTi5GLlVTRC5IAQAAAOPj2gIDAAAAAAANBgg9K5HWCBTYZUorkdYINkNJUS5OQVNEQVFDTTpaSU9QLklRX0VCSVREQS4yMDAwLjEvMzEvMjAxOS5MRlIuRi5VU0QuSAEAAACzUbIAAgAAAActNTQuMDU4AQgAAAAFAAAAATEBAAAACjE5MjA1Mzc3MDkDAAAAAzE2MAIAAAAENDA1MQQAAAABMAcAAAAJMS8z</t>
  </si>
  <si>
    <t>MS8yMDE5CAAAAAk5LzMwLzIwMTgJAAAAATB8q7c9K5HWCMVYV0orkdYIIkNJUS5JUVRSNDE4MDgzMzQzLklRX1RSX1BDVF9TT1VHSFQBAAAAD3LrGAIAAAADMTAwAFBvtUkrkdYIhkpLSiuR1ggpQ0lRLklRVFIyOTY2Mjg4MTcuSVFfVFJfSU1QTElFRF9FUV9OSV9MVE0BAAAAUTKuEQMAAAACTk0AYZa1SSuR1ghjRk1KK5HWCCVDSVEuTkFTREFRR1M6TksuSVFfQkVUQV8yWVIuMS8zMS8yMDE5AQAAAA19oQ8CAAAAEDIuMTA3NzUyNDMxNTI0NjEAHi0IPSuR1ghGl2hKK5HWCC9DSVEuSVFUUjU2MzkxOTA0OS5JUV9UUl9UQVJHRVRfVE9UQUxfUkVWLi5VU0QuSAEAAADJuJwhAgAAAAAAP0i1SSuR1gg1X0FKK5HWCERDSVEuKElOVkFMSUQgSURFTlRJRklFUikuSVFfUkVWRU5VRV9FU1QuQ1kyMDIwLjEvMzEvMjAxOS5DT04uRi5VU0QuSAUAAAAAAAAACAAAABQoSW52YWxpZCBJZGVudGlmaWVyKR4tCD0rkdYIJtexSiuR1gg9Q0lRLk5BU0RBUUdTOlRIT1IuSVFfUkVWRU5VRV9FU1QuQ1kyMDIwLjEvMzEvMjAxOS5DT04uRi5VU0QuSAEAAAC4X7cPAgAAAAEwAQ4AAAAFAAAAAjExAQAAAAEwAgAAAAoxMDA0Mjg0MzU2AwAAAAYxMDAxODAEAAAAATIGAAAAATAHAAAAAzE2MAgAAAABMAkAAAABMQoAAAABMAsAAAALMTEyMjQ5MzEyMzYMAAAAATcNAAAACDIvMS8yMDE5EAAAAAkxLzMxLzIwMTmN0rc9K5HWCIJy</t>
  </si>
  <si>
    <t>VEorkdYIOkNJUS5OQVNEQVFDTTpDVUUuSVFfVE9UQUxfUkVWLkNZMjAxOC4xLzMxLzIwMTkuTEZSLkYuVVNELkgBAAAApmboGAMAAAAAALhCBz0rkdYI4hhjSiuR1ggpQ0lRLk5BU0RBUUdTOk5LVFIuSVFfQlVTSU5FU1NfREVTQ1JJUFRJT04BAAAA6XQAAAMAAACzD05la3RhciBUaGVyYXBldXRpY3MsIGEgcmVzZWFyY2gtYmFzZWQgYmlvcGhhcm1hY2V1dGljYWwgY29tcGFueSwgZGlzY292ZXJzIGFuZCBkZXZlbG9wcyBkcnVnIGNhbmRpZGF0ZXMgZm9yIGNhbmNlciwgYXV0by1pbW11bmUgZGlzZWFzZSwgYW5kIGNocm9uaWMgcGFpbiBpbiB0aGUgVW5pdGVkIFN0YXRlcy4gVGhlIGNvbXBhbnkgb2ZmZXJzIE9OWkVBTEQsIGEgdG9wb2lzb21lcmFzZSBJIGluaGliaXRvciB0aGF0IGlzIGluIFBoYXNlIElJSSBjbGluaWNhbCB0cmlhbCBmb3IgYWR2YW5jZWQgbWV0YXN0YXRpYyBicmVhc3QgY2FuY2VyIGluIHBhdGllbnRzIHdpdGggYnJhaW4gbWV0YXN0YXNlczsgTktUUi0xODEsIGFuIG9yYWxseS1hdmFpbGFibGUgbXUtb3Bpb2lkIGFuYWxnZXNpYyBtb2xlY3VsZSwgd2hpY2ggaXMgaW4gUGhhc2UgSUlJIGNsaW5pY2FsIHRyaWFsIGZvciBtb2RlcmF0ZSB0byBzZXZlcmUgY2hyb25pYyBwYWluOyBOS1RSLTIxNCwgYSBjeXRva2luZSBpbW11bm9zdGltdWxhdG9yeSB0aGVyYXB5IHRoYXQgaXMg</t>
  </si>
  <si>
    <t>aW4gUGhhc2UgSS9JSSB0byB0cmVhdCBjYW5jZXI7IE5LVFItMzU4LCB3aGljaCBpcyBpbiBQaGFzZSBJIHRvIHRyZWF0IGF1dG9pbW11bmUgZGlzZWFzZXM7IGFuZCBOS1RSLTI2MiBmb3Igc29saWQgdHVtb3JzLCBhcyB3ZWxsIGFzIE5LVFItMjU1IHRoYXQgaXMgdW5kZXIgcmVzZWFyY2gvcHJlY2xpbmljYWwgc3RhZ2UgZm9yIGltbXVuby1vbmNvbG9neS4gSXQgaXMgYWxzbyBkZXZlbG9waW5nIE1PVkFOVElLIGZvciBvcGlvaWQtaW5kdWNlZCBjb25zdGlwYXRpb24gaW4gYWR1bHQgcGF0aWVudHMgd2l0aCBjaHJvbmljIG5vbi1jYW5jZXIgcGFpbiwgYW5kIHdobyBoYXZlIGFuIGluYWRlcXVhdGUgcmVzcG9uc2UgdG8gbGF4YXRpdmVzOyBBRFlOT1ZBVEUgZm9yIGhlbW9waGlsaWEgQTsgU29tYXZlcnQgdG8gdHJlYXQgYWNyb21lZ2FseTsgYW5kIE5ldWxhc3RhIGZvciB0cmVhdGluZyBuZXV0cm9wZW5pYS4gSW4gYWRkaXRpb24sIHRoZSBjb21wYW55IGRldmVsb3BzIFBFRy1JTlRST04gZm9yIHRoZSB0cmVhdG1lbnQgb2YgaGVwYXRpdGlzLUM7IE1hY3VnZW4gZm9yIGFnZS1yZWxhdGVkIG1hY3VsYXIgZGVnZW5lcmF0aW9uOyBDSU1aSUEgdG8gdHJlYXQgcmhldW1hdG9pZCBhcnRocml0aXMsIENyb2hu4oCZcyBkaXNlYXNlLCBhbmQgcHNvcmlhc2lzL2Fua3lsb3Npbmcgc3BvbmR5bGl0aXM7</t>
  </si>
  <si>
    <t>IGFuZCBNSVJDRVJBIGZvciBhbmVtaWEgcmVsYXRlZCB0byBjaHJvbmljIGtpZG5leSBkaXNlYXNlIGluIHBhdGllbnRzIG9uIGFuZCBub3Qgb24gZGlhbHlzaXMuIEZ1cnRoZXIsIGl0IGlzIGRldmVsb3BpbmcgU0VNUFJBTkEgdG8gdHJlYXQgbWlncmFpbmU7IGRhcGlyb2xpenVtYWIgcGVnb2wgZm9yIHN5c3RlbWljIGx1cHVzIGVyeXRoZW1hdG9zdXM7IFBFR1BIMjAgZm9yIGFuY3JlYXRpYywgbm9uLXNtYWxsIGNlbGwgbHVuZyBjYW5jZXIsIGFuZCBvdGhlciB0dW1vciB0eXBlczsgYW5kIGxvbmdlci1hY3RpbmcgYmxvb2QgY2xvdHRpbmcgcHJvdGVpbnMgZm9yIGhlbW9waGlsaWEuIFRoZSBjb21wYW55IGhhcyBjb2xsYWJvcmF0aW9uIGFncmVlbWVudCB3aXRoIEFzdHJhWmVuZWNhIEFCLCBTaGlyZSBwbGMsIFBmaXplciBJbmMuLCBBbWdlbiBJbmMuLCBNZXJjayAmIENvLiwgSW5jLiwgVmFsZWFudCBQaGFybWFjZXV0aWNhbHMgSW50ZXJuYXRpb25hbCwgSW5jLiwgVUNCIFBoYXJtYSBTLkEuLCBGLiBIb2ZmbWFubi1MYSBSb2NoZSBMdGQsIEFsbGVyZ2FuLCBJbmMuLCBIYWxvenltZSBUaGVyYXBldXRpY3MsIEluYy4sIEJheGFsdGEgSW5jb3Jwb3JhdGVkLCBCcmlzdG9sLU15ZXJzIFNxdWliYiBDb21wYW55LCBhbmQgVGFrZWRhIFBoYXJtYWNldXRpY2FsIENvbXBhbnkgTGltaXRlZC4gVGhl</t>
  </si>
  <si>
    <t>IGNvbXBhbnkgd2FzIGZvdW5kZWQgaW4gMTk5MCBhbmQgaXMgaGVhZHF1YXJ0ZXJlZCBpbiBTYW4gRnJhbmNpc2NvLCBDYWxpZm9ybmlhLgBaXbc9K5HWCLdTUEorkdYIKUNJUS5OQVNEQVFHUzpGUFJYLklRX0JVU0lORVNTX0RFU0NSSVBUSU9OAQAAADddMwADAAAA3gxGaXZlIFByaW1lIFRoZXJhcGV1dGljcywgSW5jLiwgYSBjbGluaWNhbC1zdGFnZSBiaW90ZWNobm9sb2d5IGNvbXBhbnksIGZvY3VzZXMgb24gdGhlIGRpc2NvdmVyeSBhbmQgZGV2ZWxvcG1lbnQgb2YgaW1tdW5vLW9uY29sb2d5IHByb3RlaW4gdGhlcmFwZXV0aWNzLiBUaGUgY29tcGFueeKAmXMgcHJvZHVjdCBjYW5kaWRhdGVzIGluY2x1ZGUgQ2FiaXJhbGl6dW1hYiwgYW4gYW50aWJvZHkgdGhhdCBpbmhpYml0cyBjb2xvbnkgc3RpbXVsYXRpbmcgZmFjdG9yLTEgcmVjZXB0b3IgdGhhdCBpcyBpbiBQaGFzZSBJYS9JYiBjbGluaWNhbCB0cmlhbHMgZm9yIHRoZSB0cmVhdG1lbnQgb2YgdmFyaW91cyBjYW5jZXJzIGluIGNvbWJpbmF0aW9uIHdpdGggbml2b2x1bWFiOyBhbmQgaXMgaW4gUGhhc2UgSS9JSSBjbGluaWNhbCB0cmlhbHMgZm9yIHRoZSB0cmVhdG1lbnQgb2YgcGlnbWVudGVkIHZpbGxvbm9kdWxhciBzeW5vdml0aXMgdHVtb3IuIEl0cyBwcm9kdWN0IGNhbmRpZGF0ZXMgYWxzbyBjb21wcmlzZSBCZW1hcml0dXp1bWFi</t>
  </si>
  <si>
    <t>LCBhbiBhbnRpYm9keSB0aGF0IGluaGliaXRzIGZpYnJvYmxhc3QgZ3Jvd3RoIGZhY3RvciByZWNlcHRvciBJSWIsIHdoaWNoIGlzIGluIFBoYXNlIEkgY2xpbmljYWwgdHJpYWxzIHRvIHRyZWF0IHBhdGllbnRzIHdpdGggZ2FzdHJpYyBvciBnYXN0cm9lc29waGFnZWFsIGp1bmN0aW9uIGFuZCBibGFkZGVyIGNhbmNlcjsgYW5kIEZQQTE1MCwgYSBDRDggVCBjZWxsIGNoZWNrcG9pbnQgaW5oaWJpdG9yIGFudGlib2R5IHRoYXQgdGFyZ2V0cyBCNy1INCBhcyBhIG1vbm90aGVyYXB5IGluIHZhcmlvdXMgY2FuY2Vycy4gVGhlIGNvbXBhbnnigJlzIEZQLTEwMzkgaXMgaW4gUGhhc2UgSWIgY2xpbmljYWwgdHJpYWxzIHRvIHRyZWF0IHBhdGllbnRzIHdpdGggbWFsaWduYW50IHBsZXVyYWwgbWVzb3RoZWxpb21hLiBJdHMgcHJlY2xpbmljYWwgcHJvZHVjdCBjYW5kaWRhdGVzIGluY2x1ZGUgRlBBMTUwLCBhIENEOCBUIGNlbGwgY2hlY2twb2ludCBpbmhpYml0b3IgYW50aWJvZHk7IEZQQTE1NCwgYSB0ZXRyYXZhbGVudCBhZ29uaXN0aWMgYW50aWJvZHkgdGhhdCBhY3RpdmF0ZXMgZ2x1Y29jb3J0aWNvaWQtaW5kdWNlZCB0dW1vciBuZWNyb3NpcyBmYWN0b3IgcmVjZXB0b3I7IGFuZCBGUFQxNTUsIGEgQ0Q4MC1GYyBmdXNpb24gcHJvdGVpbiwgd2hpY2ggbW9kdWxhdGVzIHNpZ25hbGluZyBwYXRod2F5</t>
  </si>
  <si>
    <t>cy4gVGhlIGNvbXBhbnkgaGFzIGxpY2Vuc2UgYW5kIGNvbGxhYm9yYXRpb24gYWdyZWVtZW50cyB3aXRoIEJyaXN0b2wtTXllcnMgU3F1aWJiIENvbXBhbnksIEdsYXhvU21pdGhLbGluZSBMTEMsIElOQlJYIDExMCBMUCwgVUNCIFBoYXJtYSBTLkEuLCBhbmQgWmFpIExhYiAoU2hhbmdoYWkpIENvLiwgTHRkLjsgY29sbGFib3JhdGlvbiBhZ3JlZW1lbnQgd2l0aCBSb2NoZTsgYW5kIGxpY2Vuc2UgYWdyZWVtZW50cyB3aXRoIGJsdWViaXJkIGJpbywgSW5jLiwgR2FsYXh5IEJpb3RlY2gsIExMQywgQmlvV2EsIEluYy4gYW5kIExvbnphIFNhbGVzIEFHLiBGaXZlIFByaW1lIFRoZXJhcGV1dGljcywgSW5jLiB3YXMgZm91bmRlZCBpbiAyMDAxIGFuZCBpcyBoZWFkcXVhcnRlcmVkIGluIFNvdXRoIFNhbiBGcmFuY2lzY28sIENhbGlmb3JuaWEuAKcbBz0rkdYIOJJhSiuR1gg8Q0lRLk5BU0RBUUdTOkZQUlguSVFfRUJJVERBX0VTVC5DWTIwMjAuMS8zMS8yMDE5LkNPTi5GLlVTRC5IAQAAADddMwACAAAACC0zMzguNDU4AQ4AAAAFAAAAAjExAQAAAAEwAgAAAAoxMDAxOTU2MzU0AwAAAAYxMDAxODcEAAAAATIGAAAAATAHAAAAAzE2MAgAAAABMAkAAAABMQoAAAABMAsAAAALMTExNjQ3ODEwNTkMAAAAATcNAAAACDIvMS8yMDE5EAAAAAkxLzMxLzIwMTkNBgg9K5HWCPT1YEorkdYIO0NJUS5OQVNEQVFHTTpG</t>
  </si>
  <si>
    <t>QVRFLklRX1BSRUZfRVFVSVRZLjIwMDAuMS8zMS8yMDE5LkxGUi5GLlVTRC5IAQAAAGgxVwICAAAABTAuMDAzAQgAAAAFAAAAATEBAAAACjE5MTc3MzE5MjkDAAAAAzE2MAIAAAAEMTAwNQQAAAABMAcAAAAJMS8zMS8yMDE5CAAAAAk5LzMwLzIwMTgJAAAAATBrhLc9K5HWCFCzUUorkdYIK0NJUS5JUVRSNTUwMjU5Mzk3LklRX1RSX1RPVEFMX0dST1NTX1RWLi5VU0QBAAAAxUrMIAIAAAALOTMwNS4zMzk2MzYBBgAAAAUAAAACNTQBAAAABjEwMjA4OAIAAAAJNTUwMjU5Mzk3AwAAAAk1NTAyNjQ1NjQEAAAAAzE2MAYAAAAFRmFsc2U/SLVJK5HWCIoiQkorkdYII0NJUS5JUVRSNTI4NTY5MTIyLklRX1RSX0NMT1NFRF9EQVRFAQAAACJTgR8FAAAACDgvMS8yMDE3AD9ItUkrkdYIvZdCSiuR1gg1Q0lRLk5BU0RBUUNNOlpJT1AuSVFfQ0FQRVguMjAwMC4xLzMxLzIwMTkuTEZSLkYuVVNELkgBAAAAs1GyAAIAAAAGLTAuODIxAQgAAAAFAAAAATEBAAAACjE5MjA1Mzc3MDkDAAAAAzE2MAIAAAAEMjAyMQQAAAABMAcAAAAJMS8zMS8yMDE5CAAAAAk5LzMwLzIwMTgJAAAAATB8q7c9K5HWCAn1V0orkdYIQ0NJUS5OQVNEQVFDTTpUR1RYLklRX0VCSVREQV8yWVJfQU5OX0NBR1IuMjAwMC4xLzMxLzIwMTkuTEZSLkYuVVNELkgBAAAAWpSPCAMAAAACTk0BCAAAAAUAAAABMQEAAAAKMTkyMTE3ODg0MQMAAAADMTYwAgAA</t>
  </si>
  <si>
    <t>AAQ0MjA5BAAAAAEwBwAAAAkxLzMxLzIwMTkIAAAACTkvMzAvMjAxOAkAAAABMI3Stz0rkdYIbXNdSiuR1gg1Q0lRLk5BU0RBUUNNOkNVRS5JUV9FQklUREEuMjAwMC4xLzMxLzIwMTkuTEZSLkYuVVNELkgBAAAApmboGAIAAAAKLTM3LjQ4NjMwMgEIAAAABQAAAAExAQAAAAoxOTIxOTQwOTAwAwAAAAMxNjACAAAABDQwNTEEAAAAATAHAAAACTEvMzEvMjAxOQgAAAAJOS8zMC8yMDE4CQAAAAEwuEIHPSuR1gjzP2NKK5HWCDpDSVEuTkFTREFRR006Q1JWUy5JUV9UT1RBTF9ERUJULjIwMDAuOS8zMC8yMDE2LkxGUi5GLlVTRC5IAQAAAPSwphACAAAAATABCAAAAAUAAAABMQEAAAAKMTgwMTgwMDQyMQMAAAADMTYwAgAAAAQ0MTczBAAAAAEwBwAAAAk5LzMwLzIwMTYIAAAACTYvMzAvMjAxNgkAAAABMNqQBz0rkdYIiX1rSiuR1ggrQ0lRLk5BU0RBUUNNOkNVRS5JUV9MQVNUU0FMRVBSSUNFLjkvMzAvMjAxNgEAAACmZugYAwAAAAAApxsHPSuR1ghqUWRKK5HWCEdDSVEuTkFTREFRQ006WklPUC5JUV9NSU5PUklUWV9JTlRFUkVTVF9UT1RBTC4yMDAwLjkvMzAvMjAxNi5MRlIuRi5VU0QuSAEAAACzUbIAAwAAAAAAfKu3PSuR1gg8alhKK5HWCCBDSVEuSVEzNjE4Mzg0MC5JUV9MQVNUU0FMRVBSSUNFLgEAAAAgHygCAgAAAAQyLjg1AFpdtz0rkdYIjI49SiuR1ghGQ0lRLk5BU0RBUUdNOlNVUkYuSVFfVE9UQUxf</t>
  </si>
  <si>
    <t>UkVWXzVZUl9BTk5fQ0FHUi4yMDAwLjEvMzEvMjAxOS5MRlIuRi5VU0QuSAEAAAC0KccQAwAAAAAA2pAHPSuR1gi7PG5KK5HWCEVDSVEuKElOVkFMSUQgSURFTlRJRklFUikuSVFfVE9UQUxfRVFVSVRZLkNZMjAxOC4xLzMxLzIwMTkuTEZSLkYuVVNELkgFAAAAAAAAAAgAAAAUKEludmFsaWQgSWRlbnRpZmllcikNBgg9K5HWCL82s0orkdYIO0NJUS5OQVNEQVFHTTpTVVJGLklRX0VCSVRfTUFSR0lOLjIwMDAuMS8zMS8yMDE5LkxGUi5GLlVTRC5IAQAAALQpxxACAAAACC0zNC4zNDU1AQgAAAAFAAAAATEBAAAACjE5MjE4MTM4OTMDAAAAAzE2MAIAAAAENDA1MwQAAAABMAcAAAAJMS8zMS8yMDE5CAAAAAk5LzMwLzIwMTgJAAAAATDakAc9K5HWCDMEbUorkdYILENJUS5JUVRSNTUwMjU5Mzk3LklRX1RSX1RPVEFMX0dST1NTX1RWLlVTRC5IBQAAAAAAAAAIAAAAGihJbnZhbGlkIEN1cnJlbmN5IFJlcXVlc3QpHfq0SSuR1giKIkJKK5HWCEJDSVEuKElOVkFMSUQgSURFTlRJRklFUikuSVFfUFJFRl9FUVVJVFkuMjAwMC4xLzMxLzIwMTkuTEZSLkYuVVNELkgFAAAAAAAAAAgAAAAUKEludmFsaWQgSWRlbnRpZmllcikNBgg9K5HWCASJsUorkdYILkNJUS5OQVNEQVFHTTpYT01BLklRX01BUktFVENBUC45LzMwLzIwMTYuVVNELkgBAAAAoY8AAAIAAAAJNTUuMzUxMzk4AQYAAAAFAAAAATEBAAAACjE4MDE1OTkw</t>
  </si>
  <si>
    <t>MTUDAAAAAzE2MAIAAAAGMTAwMDU0BAAAAAEwBwAAAAk5LzMwLzIwMTanGwc9K5HWCFuWX0orkdYINkNJUS5OQVNEQVFDTTpTVE1MLklRX0VCSVREQS4xOTk2LjEvMzEvMjAxOS5MRlIuRi5VU0QuSAEAAAAvqJ0AAgAAAAotNTYuNzQyOTczAQgAAAAFAAAAATEBAAAACjE5MjA0NDA2MjIDAAAAAzE2MAIAAAAENDA1MQQAAAABMAcAAAAJMS8zMS8yMDE5CAAAAAk5LzMwLzIwMTcJAAAAATB8q7c9K5HWCMSiWUorkdYIPUNJUS5OQVNEQVFHTTpYT01BLklRX1JFVkVOVUVfRVNULkNZMjAyMC4xLzMxLzIwMTkuQ09OLkYuVVNELkgBAAAAoY8AAAIAAAAGMTEuNTk2AQ4AAAAFAAAAAjExAQAAAAEwAgAAAAoxMDAxNTM1ODg2AwAAAAYxMDAxODAEAAAAATIGAAAAATAHAAAAAzE2MAgAAAABMAkAAAABMQoAAAABMAsAAAALMTEyNTA1MjQ4NDkMAAAAATcNAAAACDIvMS8yMDE5EAAAAAkxLzMxLzIwMTkNBgg9K5HWCLEPXkorkdYIQ0NJUS5OQVNEQVFHUzpGUFJYLklRX0VCSVREQV8yWVJfQU5OX0NBR1IuMjAwMC4xLzMxLzIwMTkuTEZSLkYuVVNELkgBAAAAN10zAAMAAAACTk0BCAAAAAUAAAABMQEAAAAKMTkxOTc5NTE3MgMAAAADMTYwAgAAAAQ0MjA5BAAAAAEwBwAAAAkxLzMxLzIwMTkIAAAACTkvMzAvMjAxOAkAAAABMLhCBz0rkdYInnxiSiuR1ghHQ0lRLk5BU0RBUUNNOlpJT1AuSVFfTUlOT1JJVFlfSU5URVJF</t>
  </si>
  <si>
    <t>U1RfVE9UQUwuMjAwMC4xLzMxLzIwMTkuTEZSLkYuVVNELkgBAAAAs1GyAAMAAAAAAHyrtz0rkdYIkuNWSiuR1gg/Q0lRLk5BU0RBUUdNOkZBVEUuSVFfTkVUX1dPUktJTkdfQ0FQLjIwMDAuMS8zMS8yMDE5LkxGUi5GLlVTRC5IAQAAAGgxVwICAAAABy0xNi42NzEBCAAAAAUAAAABMQEAAAAKMTkxNzczMTkyOQMAAAADMTYwAgAAAAQxMzExBAAAAAEwBwAAAAkxLzMxLzIwMTkIAAAACTkvMzAvMjAxOAkAAAABMGuEtz0rkdYItp1SSiuR1ggiQ0lRLklRVFIzMTQ4MjkyMzYuSVFfVFJfVEFSR0VUTkFNRQEAAAC06cMSAwAAABdBZG11bmUgVGhlcmFwZXV0aWNzIExMQwBQb7VJK5HWCP4RSkorkdYIK0NJUS5JUVRSNTYzOTE5MDQ5LklRX1RSX1RPVEFMX0dST1NTX1RWLi5VU0QBAAAAybicIQIAAAALMTYyNy45MzYyNDIBBgAAAAUAAAACNTQBAAAABjEwMjA4OAIAAAAJNTYzOTE5MDQ5AwAAAAk1NjM5NDAwNDIEAAAAAzE2MAYAAAAFRmFsc2U/SLVJK5HWCDVfQUorkdYIOENJUS5OQVNEQVFDTTpaSU9QLklRX0VCSVREQS5DWTIwMTcuMS8zMS8yMDE5LkxGUi5GLlVTRC5IAQAAALNRsgACAAAABy01My4xMjQBCAAAAAUAAAABMQEAAAAKMTg3NzIwNDQ2NgMAAAADMTYwAgAAAAQ0MDUxBAAAAAEwBwAAAAkxLzMxLzIwMTkIAAAACjEyLzMxLzIwMTcJAAAAATB8q7c9K5HWCMVYV0orkdYIO0NJUS5OQVNEQVFDTTpP</t>
  </si>
  <si>
    <t>TkNTLklRX1RPVEFMX1JFVi5DWTIwMTguMS8zMS8yMDE5LkxGUi5GLlVTRC5IAQAAAOPj2gIDAAAAAADJaQc9K5HWCOFiZUorkdYIO0NJUS5OQVNEQVFHTTpDUlZTLklRX1BSRUZfRVFVSVRZLjIwMDAuMS8zMS8yMDE5LkxGUi5GLlVTRC5IAQAAAPSwphADAAAAAADakAc9K5HWCM7PaUorkdYIQENJUS4oSU5WQUxJRCBJREVOVElGSUVSKS5JUV9UT1RBTF9SRVYuMTk5Ni4xLzMxLzIwMTkuTEZSLkYuVVNELkgFAAAAAAAAAAgAAAAUKEludmFsaWQgSWRlbnRpZmllcikNBgg9K5HWCBWwsUorkdYIOUNJUS5OQVNEQVFDTTpDVUUuSVFfVE9UQUxfREVCVC4yMDAwLjEvMzEvMjAxOS5MRlIuRi5VU0QuSAEAAACmZugYAgAAAAEwAQgAAAAFAAAAATEBAAAACjE5MjE5NDA5MDADAAAAAzE2MAIAAAAENDE3MwQAAAABMAcAAAAJMS8zMS8yMDE5CAAAAAk5LzMwLzIwMTgJAAAAATC4Qgc9K5HWCMDKYkorkdYIKUNJUS5JUVRSNTUwMjU5Mzk3LklRX1RSX0lNUExJRURfRVFfTklfTFRNAQAAAMVKzCADAAAAAk5NAD9ItUkrkdYIm0lCSiuR1ggXQ0lRLjAuSVFfVFJfVE9UQUxfU1RPQ0sFAAAAAAAAAAgAAAAYKEludmFsaWQgVHJhbnNhY3Rpb24gSWQpHfq0SSuR1giWu01KK5HWCClDSVEuSVEzNjE4MzgyNS5JUV9MQVNUU0FMRVBSSUNFLjEvMzEvMjAxOQEAAAARHygCAgAAAAQyLjQ1AB36tEkrkdYI635OSiuR1gg1Q0lR</t>
  </si>
  <si>
    <t>Lk5BU0RBUUdTOk5LVFIuSVFfQ0FQRVguMTk5Mi4xLzMxLzIwMTkuTEZSLkYuVVNELkgBAAAA6XQAAAIAAAAGLTYuMjE0AQgAAAAFAAAAATEBAAAACjE4NjQ3MDA5MjcDAAAAAzE2MAIAAAAEMjAyMQQAAAABMAcAAAAJMS8zMS8yMDE5CAAAAAk5LzMwLzIwMTYJAAAAATBrhLc9K5HWCKYsUEorkdYIPENJUS5OQVNEQVFHTTpTVVJGLklRX0dST1NTX01BUkdJTi4yMDAwLjEvMzEvMjAxOS5MRlIuRi5VU0QuSAEAAAC0KccQAgAAAAgtMTEuNzQxMwEIAAAABQAAAAExAQAAAAoxOTIxODEzODkzAwAAAAMxNjACAAAABDQwNzQEAAAAATAHAAAACTEvMzEvMjAxOQgAAAAJOS8zMC8yMDE4CQAAAAEw2pAHPSuR1ggzBG1KK5HWCD1DSVEuTkFTREFRR1M6RlBSWC5JUV9SRVZFTlVFX0VTVC5DWTIwMjAuMS8zMS8yMDE5LkNPTi5GLlVTRC5IAQAAADddMwACAAAACDU4LjE3NTYyAQ4AAAAFAAAAAjExAQAAAAEwAgAAAAoxMDAxOTU2MzU0AwAAAAYxMDAxODAEAAAAATIGAAAAATAHAAAAAzE2MAgAAAABMAkAAAABMQoAAAABMAsAAAALMTEyNTM0NTAyMjQMAAAAATcNAAAACDIvMS8yMDE5EAAAAAkxLzMxLzIwMTkNBgg9K5HWCNKnYEorkdYIL0NJUS5JUVRSMjgzNzgyNzEzLklRX1RSX1RBUkdFVF9UT1RBTF9SRVYuLlVTRC5IAQAAADku6hACAAAABjQ0NjMuNwEGAAAABQAAAAIzNwEAAAAKMTcxODc1MDc3MAIAAAACMjgD</t>
  </si>
  <si>
    <t>AAAAAzE2MAQAAAABMAcAAAAIMS8xLzE5MDBhlrVJK5HWCFVBRkorkdYIPUNJUS5OQVNEQVFDTTpUR1RYLklRX1JFVkVOVUVfRVNULkNZMjAxOS4xLzMxLzIwMTkuQ09OLkYuVVNELkgBAAAAWpSPCAIAAAAGMC4xNjM2AQ4AAAAFAAAAAjExAQAAAAEwAgAAAAoxMDAxNTQ4MzAwAwAAAAYxMDAxODAEAAAAATIGAAAAATAHAAAAAzE2MAgAAAABMAkAAAABMQoAAAABMAsAAAALMTExOTc2MTEwMDQMAAAAATcNAAAACDIvMS8yMDE5EAAAAAkxLzMxLzIwMTmN0rc9K5HWCLLFW0orkdYIO0NJUS5OQVNEQVFHTTpGQVRFLklRX1RPVEFMX1JFVi5DWTIwMTguMS8zMS8yMDE5LkxGUi5GLlVTRC5IAQAAAGgxVwIDAAAAAABrhLc9K5HWCGHaUUorkdYIPUNJUS5OQVNEQVFDTTpaSU9QLklRX1JFVkVOVUVfRVNULkNZMjAxOS4xLzMxLzIwMTkuQ09OLkYuVVNELkgBAAAAs1GyAAIAAAAFNS43MjQBDgAAAAUAAAACMTEBAAAAATACAAAACjEwMDA4OTgwNzUDAAAABjEwMDE4MAQAAAABMgYAAAABMAcAAAADMTYwCAAAAAEwCQAAAAExCgAAAAEwCwAAAAsxMTIxNzEzMTUyNwwAAAABNw0AAAAIMi8xLzIwMTkQAAAACTEvMzEvMjAxOY3Stz0rkdYIowpXSiuR1gglQ0lRLk5BU0RBUUdNOlhPTUEuSVFfRklSU1RQUklDSU5HREFURQEAAAChjwAABQAAAAg2LzYvMTk4NgBaXbc9K5HWCH6aXUorkdYIN0NJUS5OQVNEQVFDTTpaSU9Q</t>
  </si>
  <si>
    <t>LklRX1BFUklPRERBVEVfSVMuMjAwMC4xLzMxLzIwMTkuTEZSLkYBAAAAs1GyAAUAAAAJOS8zMC8yMDE4AHyrtz0rkdYIcJVWSiuR1ggrQ0lRLklRVFIzMjg5Nzg1MTkuSVFfVFJfVE9UQUxfR1JPU1NfVFYuLlVTRAEAAABX0JsTAgAAAAM2MDABBgAAAAUAAAACNTQBAAAABjEwMjA4OAIAAAAJMzI4OTc4NTE5AwAAAAkzMjg5Nzg2NTgEAAAAAzE2MAYAAAAFRmFsc2VQb7VJK5HWCA6DTEorkdYIIENJUS5JUVRSMzg0MDI4NDk2LklRX1RSX0VBUk5PVVRTAQAAAFDP4xYCAAAAAABQb7VJK5HWCLzhREorkdYIPENJUS5OQVNEQVFDTTpPTkNTLklRX1RPVEFMX0VRVUlUWS4xOTkyLjEvMzEvMjAxOS5MRlIuRi5VU0QuSAEAAADj49oCAgAAAAkyMy42Mzg2NDEBCAAAAAUAAAABMQEAAAAKMTg2OTIxMTkxMwMAAAADMTYwAgAAAAQxMjc1BAAAAAEwBwAAAAkxLzMxLzIwMTkIAAAACjEwLzMxLzIwMTYJAAAAATDJaQc9K5HWCGmbZkorkdYIN0NJUS5OQVNEQVFHUzpOSy5JUV9UT1RBTF9SRVYuMTk5Ni4xLzMxLzIwMTkuTEZSLkYuVVNELkgBAAAADX2hDwIAAAAFMC4wNDcBCAAAAAUAAAABMQEAAAAKMTkxOTk2NjQ3OQMAAAADMTYwAgAAAAIyOAQAAAABMAcAAAAJMS8zMS8yMDE5CAAAAAk5LzMwLzIwMTcJAAAAATDJaQc9K5HWCOCsZ0orkdYIIkNJUS5JUVRSNTI5MTkxODgwLklRX1RSX1RBUkdFVE5BTUUBAAAAyNOK</t>
  </si>
  <si>
    <t>HwMAAAAYT3BleGEgVGhlcmFwZXV0aWNzLCBJbmMuAD9ItUkrkdYIIRZISiuR1gggQ0lRLklRVFIzMTQ4MjkyMzYuSVFfVFJfRUFSTk9VVFMBAAAAtOnDEgIAAAADMTE4AFBvtUkrkdYIDzlKSiuR1ggpQ0lRLklRVFI0MDI0NjgzNDMuSVFfQlVTSU5FU1NfREVTQ1JJUFRJT04BAAAAjqSGDQMAAACoCEFzIG9mIE5vdmVtYmVyIDgsIDIwMTYsIFBhbnRoZXIgQmlvdGVjaG5vbG9neSwgSW5jLiB3YXMgYWNxdWlyZWQgYnkgQnJvd24gVGVjaG5pY2FsIE1lZGlhIENvcnAuLCBpbiBhIHJldmVyc2UgbWVyZ2VyIHRyYW5zYWN0aW9uLiBQYW50aGVyIEJpb3RlY2hub2xvZ3ksIEluYy4sIGEgYmlvdGVjaG5vbG9neSBjb21wYW55LCBzcGVjaWFsaXplcyBpbiB0aGUgYWNxdWlzaXRpb24gYW5kIGRldmVsb3BtZW50IG9mIGVuaGFuY2VkIHRoZXJhcGV1dGljcyBmb3IgdGhlIHRyZWF0bWVudCBvZiBuZW9wbGFzdGljLCBhdXRvaW1tdW5lLCBhbmQgYW50aXZpcmFsIGRpc29yZGVycy4gVGhlIGNvbXBhbnnigJlzIGxlYWQgY2FuZGlkYXRlLCBUUkYtRE9YLCBpcyBhIGNvbWJpbmF0aW9uIG9mIHRyYW5zZmVycmluIGdseWNvcHJvdGVpbnMgd2l0aCBEb3hvcnViaWNpbiBmb3IgdGFyZ2V0ZWQgZGVsaXZlcnkgdG8gdHVtb3JzIHdpdGggdGhlIHJlZHVjdGlvbiBvZiBzZXJpb3VzIHNpZGUgZWZmZWN0cy4gSXQgYWxz</t>
  </si>
  <si>
    <t>byBob2xkcyBsaWNlbnNlZCByaWdodHMgZnJvbSB0aGUgVW5pdmVyc2l0eSBvZiBSb2NoZXN0ZXIgdG8gZGV2ZWxvcCBhbmQgY29tbWVyY2lhbGl6ZSBURFpELTgsIGEgc21hbGwgbW9sZWN1bGUgZW5naW5lZXJlZCB0byBraWxsIGxldWtlbWljIHN0ZW0gY2VsbHM7IGFuZCBmcm9tIE5vcnRod2VzdGVybiBVbml2ZXJzaXR5IHRvIGRldmVsb3AgYW5kIGNvbW1lcmNpYWxpemUgTnVtb25hZmlkZXMsIHdoaWNoIGFyZSBvcHRpbWl6ZWQgZGVyaXZhdGl2ZXMgb2YgQW1vbmFmaWRlLCBhbmQgYXJlIGVuZ2luZWVyZWQgdG8gYXZvaWQgYWNldHlsYXRpb24gYW5kIGVsaW1pbmF0ZSBhIHRveGljIG1ldGFib2xpdGUuIFRoZSBjb21wYW55IHdhcyBmb3JtZXJseSBrbm93biBhcyBORUYgRW50ZXJwcmlzZXMsIEluYy4gYW5kIGNoYW5nZWQgaXRzIG5hbWUgdG8gUGFudGhlciBCaW90ZWNobm9sb2d5LCBJbmMuIGluIE1heSAyMDE0LiBQYW50aGVyIEJpb3RlY2hub2xvZ3ksIEluYy4gd2FzIGZvdW5kZWQgaW4gMjAxMSBhbmQgaXMgYmFzZWQgaW4gTGEgSm9sbGEsIENhbGlmb3JuaWEuAC4htUkrkdYI7epJSiuR1gg2Q0lRLk5BU0RBUUdNOlNVUkYuSVFfRUJJVERBLjE5OTIuMS8zMS8yMDE5LkxGUi5GLlVTRC5IAQAAALQpxxADAAAAAADakAc9K5HWCBG2bEorkdYIOkNJUS5OQVNEQVFDTTpTVE1MLklRX0VBUk5J</t>
  </si>
  <si>
    <t>TkdfQ08uMTk5Ni4xLzMxLzIwMTkuTEZSLkYuVVNELkgBAAAAL6idAAIAAAAKLTU2LjA4ODE4OQEIAAAABQAAAAExAQAAAAoxOTIwNDQwNjIyAwAAAAMxNjACAAAAATcEAAAAATAHAAAACTEvMzEvMjAxOQgAAAAJOS8zMC8yMDE3CQAAAAEwfKu3PSuR1ggZZlpKK5HWCDxDSVEuTkFTREFRQ006T05DUy5JUV9FQVJOSU5HX0NPLkNZMjAxOC4xLzMxLzIwMTkuTEZSLkYuVVNELkgBAAAA4+PaAgMAAAAAAMlpBz0rkdYIaZtmSiuR1gg1Q0lRLk5BU0RBUUNNOlpJT1AuSVFfREFfQ0YuMjAwMC4xLzMxLzIwMTkuTEZSLkYuVVNELkgBAAAAs1GyAAIAAAAFMC41MjIBCAAAAAUAAAABMQEAAAAKMTkyMDUzNzcwOQMAAAADMTYwAgAAAAQyMTYwBAAAAAEwBwAAAAkxLzMxLzIwMTkIAAAACTkvMzAvMjAxOAkAAAABMHyrtz0rkdYIXrhYSiuR1gg7Q0lRLk5BU0RBUUNNOlNUTUwuSVFfVE9UQUxfUkVWLkNZMjAxNy4xLzMxLzIwMTkuTEZSLkYuVVNELkgBAAAAL6idAAIAAAAIMC44OTgxOTkBCAAAAAUAAAABMQEAAAAKMTg3ODgxMjIwNwMAAAADMTYwAgAAAAIyOAQAAAABMAcAAAAJMS8zMS8yMDE5CAAAAAoxMi8zMS8yMDE3CQAAAAEwfKu3PSuR1giiVFlKK5HWCCVDSVEuSVFUUjQxOTg2NDMwMS5JUV9UUl9JTVBMSUVEX0VRX0JWAQAAAO2eBhkDAAAAAk5NAD9ItUkrkdYINKlDSiuR1gggQ0lRLklRVFI1NTgzMDg3Mjku</t>
  </si>
  <si>
    <t>SVFfVFJfRUFSTk9VVFMBAAAAeR1HIQIAAAAAAD9ItUkrkdYIU9VKSiuR1gg9Q0lRLk5BU0RBUUNNOk9OQ1MuSVFfUkVWRU5VRV9FU1QuQ1kyMDIxLjEvMzEvMjAxOS5DT04uRi5VU0QuSAEAAADj49oCAgAAAAc2OC45ODE1AQ4AAAAFAAAAAjExAQAAAAEwAgAAAAk3Mjc5MTU2NDMDAAAABjEwMDE4MAQAAAABMgYAAAABMAcAAAADMTYwCAAAAAEwCQAAAAExCgAAAAEwCwAAAAsxMTIzMzQ0Mjc0NQwAAAABNw0AAAAIMi8xLzIwMTkQAAAACTEvMzEvMjAxOQ0GCD0rkdYI8ollSiuR1gghQ0lRLklRVFI1MjkxOTE4ODAuSVFfVFJfQlVZRVJOQU1FAQAAAMjTih8DAAAAFkFjZXIgVGhlcmFwZXV0aWNzIEluYy4AP0i1SSuR1gghFkhKK5HWCC5DSVEuSVFUUjUyODU2OTEyMi5JUV9UUl9UQVJHRVRfU1RPQ0tQUkVNSVVNXzFNAQAAACJTgR8CAAAAAAA/SLVJK5HWCAE0Q0orkdYIP0NJUS5OQVNEQVFHUzpOS1RSLklRX05FVF9XT1JLSU5HX0NBUC4xOTk2LjEvMzEvMjAxOS5MRlIuRi5VU0QuSAEAAADpdAAAAgAAAActNTkuODM0AQgAAAAFAAAAATEBAAAACjE5MjA1NDA1MDMDAAAAAzE2MAIAAAAEMTMxMQQAAAABMAcAAAAJMS8zMS8yMDE5CAAAAAk5LzMwLzIwMTcJAAAAATBrhLc9K5HWCJUFUEorkdYIPENJUS5OQVNEQVFHTTpDUlZTLklRX1RPVEFMX0VRVUlUWS4xOTkyLjEvMzEvMjAxOS5MRlIuRi5VU0QuSAEA</t>
  </si>
  <si>
    <t>AAD0sKYQAgAAAAYxNDIuOTEBCAAAAAUAAAABMQEAAAAKMTg2Mzc5MTU4OQMAAAADMTYwAgAAAAQxMjc1BAAAAAEwBwAAAAkxLzMxLzIwMTkIAAAACTkvMzAvMjAxNgkAAAABMNqQBz0rkdYIeFZrSiuR1gguQ0lRLk5BU0RBUUNNOlNUTUwuSVFfTUFSS0VUQ0FQLjkvMzAvMjAxNi5VU0QuSAEAAAAvqJ0AAgAAAAoxOTMuMDQ1ODg3AQYAAAAFAAAAATEBAAAACjE4MDI0OTQ3NjgDAAAAAzE2MAIAAAAGMTAwMDU0BAAAAAEwBwAAAAk5LzMwLzIwMTZaXbc9K5HWCDu0WkorkdYIPkNJUS5OQVNEQVFHUzpGUFJYLklRX1RPVEFMX0VRVUlUWS5DWTIwMTcuMS8zMS8yMDE5LkxGUi5GLlVTRC5IAQAAADddMwACAAAABzI2NS4yMDIBCAAAAAUAAAABMQEAAAAKMTg3NjEzNTk5MQMAAAADMTYwAgAAAAQxMjc1BAAAAAEwBwAAAAkxLzMxLzIwMTkIAAAACjEyLzMxLzIwMTcJAAAAATC4Qgc9K5HWCGsHYkorkdYIPUNJUS5OQVNEQVFDTTpTVE1MLklRX1JFVkVOVUVfRVNULkNZMjAyMi4xLzMxLzIwMTkuQ09OLkYuVVNELkgBAAAAL6idAAIAAAAJMjkzLjg4MDY3AQ4AAAAFAAAAAjExAQAAAAEwAgAAAAoxMDAxODU4NDk5AwAAAAYxMDAxODAEAAAAATIGAAAAATAHAAAAAzE2MAgAAAABMAkAAAABMQoAAAABMAsAAAALMTEyMjE1NjgwMjgMAAAAATcNAAAACDIvMS8yMDE5EAAAAAkxLzMxLzIwMTmN0rc9K5HWCMSiWUorkdYI</t>
  </si>
  <si>
    <t>PENJUS5OQVNEQVFHTTpTVVJGLklRX1RPVEFMX0VRVUlUWS4xOTkyLjEvMzEvMjAxOS5MRlIuRi5VU0QuSAEAAAC0KccQAwAAAAAA2pAHPSuR1giIx21KK5HWCEFDSVEuTkFTREFRR1M6TksuSVFfRUJJVERBXzNZUl9BTk5fQ0FHUi4yMDAwLjEvMzEvMjAxOS5MRlIuRi5VU0QuSAEAAAANfaEPAwAAAAJOTQEIAAAABQAAAAExAQAAAAoxOTE5OTY2NTAzAwAAAAMxNjACAAAABDQyMjIEAAAAATAHAAAACTEvMzEvMjAxOQgAAAAJOS8zMC8yMDE4CQAAAAEw2pAHPSuR1gibWmlKK5HWCDVDSVEuTkFTREFRR006U1VSRi5JUV9DQVBFWC4xOTkyLjEvMzEvMjAxOS5MRlIuRi5VU0QuSAEAAAC0KccQAwAAAAAA2pAHPSuR1ghVUm1KK5HWCCVDSVEuTkFTREFRR1M6TksuSVFfUEVSSU9EREFURV9JUy4xMDAwAQAAAA19oQ8FAAAACjEyLzMxLzIwMTcAyWkHPSuR1gi+XmdKK5HWCDFDSVEuSVFUUjQxOTg2NDMwMS5JUV9UUl9UQVJHRVRfUkVWRU5VRV9FU1QuLlVTRC5IAQAAAO2eBhkCAAAABDM0LjMAP0i1SSuR1ghF0ENKK5HWCDRDSVEuTkFTREFRQ006Q1VFLklRX0NBUEVYLjE5OTIuMS8zMS8yMDE5LkxGUi5GLlVTRC5IAQAAAKZm6BgCAAAACS0wLjc1NDI4NwEIAAAABQAAAAExAQAAAAoxODgwODMyMzI0AwAAAAMxNjACAAAABDIwMjEEAAAAATAHAAAACTEvMzEvMjAxOQgAAAAKMTIvMzEvMjAxNQkAAAABMMlpBz0r</t>
  </si>
  <si>
    <t>kdYIJrVjSiuR1gg5Q0lRLk5BU0RBUUdNOlNVUkYuSVFfVE9UQUxfUkVWLjE5OTYuMS8zMS8yMDE5LkxGUi5GLlVTRC5IAQAAALQpxxACAAAABjEyLjA1NgEIAAAABQAAAAExAQAAAAoxOTIxODEzODY3AwAAAAMxNjACAAAAAjI4BAAAAAEwBwAAAAkxLzMxLzIwMTkIAAAACTkvMzAvMjAxNwkAAAABMNqQBz0rkdYI72dsSiuR1ghCQ0lRLihJTlZBTElEIElERU5USUZJRVIpLklRX1RPVEFMX1JFVi5DWTIwMTcuMS8zMS8yMDE5LkxGUi5GLlVTRC5IBQAAAAAAAAAIAAAAFChJbnZhbGlkIElkZW50aWZpZXIpDQYIPSuR1ggVsLFKK5HWCEZDSVEuTkFTREFRR006RkFURS5JUV9UT1RBTF9SRVZfM1lSX0FOTl9DQUdSLjIwMDAuMS8zMS8yMDE5LkxGUi5GLlVTRC5IAQAAAGgxVwICAAAABzQ0LjcwODIBCAAAAAUAAAABMQEAAAAKMTkxNzczMTkyOQMAAAADMTYwAgAAAAQ0MjIwBAAAAAEwBwAAAAkxLzMxLzIwMTkIAAAACTkvMzAvMjAxOAkAAAABMGuEtz0rkdYIHIhTSiuR1ghHQ0lRLk5BU0RBUUNNOk9OQ1MuSVFfTUlOT1JJVFlfSU5URVJFU1RfVE9UQUwuMjAwMC4xLzMxLzIwMTkuTEZSLkYuVVNELkgBAAAA4+PaAgMAAAAAAMlpBz0rkdYI0DtlSiuR1ggnQ0lRLk5BU0RBUUNNOkNVRS5JUV9URVYuMS8zMS8yMDE5LlVTRC5IAQAAAKZm6BgCAAAACTY2LjU4Mjk4NAEGAAAABQAAAAExAQAAAAoxOTIxOTQwNTgw</t>
  </si>
  <si>
    <t>AwAAAAMxNjACAAAABjEwMDA2MAQAAAABMAcAAAAJMS8zMS8yMDE5pxsHPSuR1gjAymJKK5HWCDdDSVEuTkFTREFRQ006Q1VFLklRX0VCSVREQS5DWTIwMTguMS8zMS8yMDE5LkxGUi5GLlVTRC5IAQAAAKZm6BgDAAAAAAC4Qgc9K5HWCARnY0orkdYIQ0NJUS5OQVNEQVFHTTpYT01BLklRX0VCSVREQV81WVJfQU5OX0NBR1IuMjAwMC4xLzMxLzIwMTkuTEZSLkYuVVNELkgBAAAAoY8AAAMAAAACTk0BCAAAAAUAAAABMQEAAAAKMTkxOTkyODEyNAMAAAADMTYwAgAAAAQ0MjM1BAAAAAEwBwAAAAkxLzMxLzIwMTkIAAAACTkvMzAvMjAxOAkAAAABMLhCBz0rkdYIfeRfSiuR1ggsQ0lRLklRVFI1NDc4Mjk5NDkuSVFfVFJfVE9UQUxfR1JPU1NfVFYuVVNELkgFAAAAAAAAAAgAAAAaKEludmFsaWQgQ3VycmVuY3kgUmVxdWVzdCkd+rRJK5HWCHhFREorkdYIPUNJUS5OQVNEQVFDTTpDVUUuSVFfVE9UQUxfRVFVSVRZLkNZMjAxNy4xLzMxLzIwMTkuTEZSLkYuVVNELkgBAAAApmboGAIAAAAJNjEuNjA3MTc4AQgAAAAFAAAAATEBAAAACjE4ODA0NzQzNDQDAAAAAzE2MAIAAAAEMTI3NQQAAAABMAcAAAAJMS8zMS8yMDE5CAAAAAoxMi8zMS8yMDE3CQAAAAEwyWkHPSuR1ghqUWRKK5HWCDtDSVEuTkFTREFRR1M6TktUUi5JUV9QUkVGX0VRVUlUWS4yMDAwLjEvMzEvMjAxOS5MRlIuRi5VU0QuSAEAAADpdAAAAwAAAAAA</t>
  </si>
  <si>
    <t>a4S3PSuR1gge9E5KK5HWCDpDSVEuTkFTREFRR1M6TksuSVFfVE9UQUxfRVFVSVRZLjE5OTYuMS8zMS8yMDE5LkxGUi5GLlVTRC5IAQAAAA19oQ8CAAAABzIzNy43MDQBCAAAAAUAAAABMQEAAAAKMTkxOTk2NjQ3OQMAAAADMTYwAgAAAAQxMjc1BAAAAAEwBwAAAAkxLzMxLzIwMTkIAAAACTkvMzAvMjAxNwkAAAABMMlpBz0rkdYIaOVoSiuR1gg7Q0lRLk5BU0RBUUNNOlRHVFguSVFfUFJFRl9FUVVJVFkuMjAwMC45LzMwLzIwMTYuTEZSLkYuVVNELkgBAAAAWpSPCAMAAAAAAI3Stz0rkdYISyVdSiuR1gguQ0lRLk5BU0RBUUNNOlpJT1AuSVFfTUFSS0VUQ0FQLjkvMzAvMjAxNi5VU0QuSAEAAACzUbIAAgAAAAo3MzQuNjkyNjc3AQYAAAAFAAAAATEBAAAACjE4MDI2MDMyNDYDAAAAAzE2MAIAAAAGMTAwMDU0BAAAAAEwBwAAAAk5LzMwLzIwMTZaXbc9K5HWCDxqWEorkdYIIUNJUS5OQVNEQVFDTTpaSU9QLklRX0NPTVBBTllfTkFNRQEAAACzUbIAAwAAABdaSU9QSEFSTSBPbmNvbG9neSwgSW5jLgBaXbc9K5HWCHCVVkorkdYIOUNJUS5OQVNEQVFHTTpGQVRFLklRX05JX01BUkdJTi4yMDAwLjEvMzEvMjAxOS5MRlIuRi5VU0QuSAEAAABoMVcCAwAAAAJOTQEIAAAABQAAAAExAQAAAAoxOTE3NzMxOTI5AwAAAAMxNjACAAAABDQwOTQEAAAAATAHAAAACTEvMzEvMjAxOQgAAAAJOS8zMC8yMDE4CQAAAAEwa4S3</t>
  </si>
  <si>
    <t>PSuR1gildlJKK5HWCCtDSVEuSVFUUjU1ODMwODcyOS5JUV9UUl9UT1RBTF9HUk9TU19UVi4uVVNEAQAAAHkdRyECAAAAAAA/SLVJK5HWCGT8SkorkdYIKUNJUS5JUVRSNDE5ODY0MzAxLklRX1RSX0lNUExJRURfRVFfTklfTFRNAQAAAO2eBhkDAAAAAk5NAD9ItUkrkdYINKlDSiuR1gg2Q0lRLk5BU0RBUUdNOlhPTUEuSVFfRUJJVERBLjE5OTIuMS8zMS8yMDE5LkxGUi5GLlVTRC5IAQAAAKGPAAACAAAABy0xNC44ODkBCAAAAAUAAAABMQEAAAAKMTg2NDMwMjk2OQMAAAADMTYwAgAAAAQ0MDUxBAAAAAEwBwAAAAkxLzMxLzIwMTkIAAAACTkvMzAvMjAxNgkAAAABMLhCBz0rkdYIwjZeSiuR1ggiQ0lRLklRVFIyOTY2Mjg4MTcuSVFfVFJfVE9UQUxfQ0FTSAEAAABRMq4RAgAAAAAAYZa1SSuR1ghB+ExKK5HWCD1DSVEuTkFTREFRQ006U1RNTC5JUV9SRVZFTlVFX0VTVC5DWTIwMTkuMS8zMS8yMDE5LkNPTi5GLlVTRC5IAQAAAC+onQACAAAACDI5LjQyMjQ0AQ4AAAAFAAAAAjExAQAAAAEwAgAAAAoxMDAxODU4NDg0AwAAAAYxMDAxODAEAAAAATIGAAAAATAHAAAAAzE2MAgAAAABMAkAAAABMQoAAAABMAsAAAALMTEyODQ4NDM4MTkMAAAAATcNAAAACDIvMS8yMDE5EAAAAAkxLzMxLzIwMTmN0rc9K5HWCKJUWUorkdYIP0NJUS5OQVNEQVFDTTpUR1RYLklRX05FVF9XT1JLSU5HX0NBUC4yMDAwLjEvMzEvMjAx</t>
  </si>
  <si>
    <t>OS5MRlIuRi5VU0QuSAEAAABalI8IAgAAAActMjguMTU2AQgAAAAFAAAAATEBAAAACjE5MjExNzg4NDEDAAAAAzE2MAIAAAAEMTMxMQQAAAABMAcAAAAJMS8zMS8yMDE5CAAAAAk5LzMwLzIwMTgJAAAAATCN0rc9K5HWCPZhXEorkdYIFkNJUS4wLklRX1RSX1BDVF9TT1VHSFQFAAAAAAAAAAgAAAAYKEludmFsaWQgVHJhbnNhY3Rpb24gSWQpHfq0SSuR1giFlE1KK5HWCDBDSVEuSVFUUjI4Mzc4MjcxMy5JUV9UUl9UQVJHRVRfRUJJVERBX0VTVC4uVVNELkgBAAAAOS7qEAIAAAAINzYxLjI3MzEAYZa1SSuR1ghmaEZKK5HWCDxDSVEuTkFTREFRR006U1VSRi5JUV9FQklUREFfRVNULkNZMjAyMS4xLzMxLzIwMTkuQ09OLkYuVVNELkgBAAAAtCnHEAMAAAAAAB4tCD0rkdYIIt1sSiuR1ghGQ0lRLihJTlZBTElEIElERU5USUZJRVIpLklRX05FVF9XT1JLSU5HX0NBUC4yMDAwLjEvMzEvMjAxOS5MRlIuRi5VU0QuSAUAAAAAAAAACAAAABQoSW52YWxpZCBJZGVudGlmaWVyKQ0GCD0rkdYIe5qySiuR1gg6Q0lRLk5BU0RBUUdNOlNVUkYuSVFfRUFSTklOR19DTy4yMDAwLjEvMzEvMjAxOS5MRlIuRi5VU0QuSAEAAAC0KccQAgAAAActMTcuNjM1AQgAAAAFAAAAATEBAAAACjE5MjE4MTM4OTMDAAAAAzE2MAIAAAABNwQAAAABMAcAAAAJMS8zMS8yMDE5CAAAAAk5LzMwLzIwMTgJAAAAATDakAc9K5HWCHegbUorkdYI</t>
  </si>
  <si>
    <t>NUNJUS5OQVNEQVFDTTpUR1RYLklRX0NBUEVYLjE5OTIuMS8zMS8yMDE5LkxGUi5GLlVTRC5IAQAAAFqUjwgCAAAACS0wLjMwNjAzOAEIAAAABQAAAAExAQAAAAoxODY1MTI5NjkyAwAAAAMxNjACAAAABDIwMjEEAAAAATAHAAAACTEvMzEvMjAxOQgAAAAJOS8zMC8yMDE2CQAAAAEwjdK3PSuR1ggHiVxKK5HWCCJDSVEuSVFUUjMxNDgyOTIzNi5JUV9UUl9UT1RBTF9DQVNIAQAAALTpwxICAAAAAzE0MABQb7VJK5HWCA85SkorkdYIIkNJUS5JUVRSMzI2OTk1NDA4LklRX1RSX1RPVEFMX0NBU0gBAAAA0I19EwIAAAAAAFBvtUkrkdYIAH5FSiuR1ggiQ0lRLklRVFI0MTgwODMzNDMuSVFfVFJfVEFSR0VUTkFNRQEAAAAPcusYAwAAAA1EZWxpbmlhLCBJbmMuAFBvtUkrkdYIhkpLSiuR1ggpQ0lRLklRVFI0MTk4NjQzMDEuSVFfQlVTSU5FU1NfREVTQ1JJUFRJT04BAAAAIEMEAAMAAADoDUltbXVub21lZGljcywgSW5jLiwgYSBjbGluaWNhbC1zdGFnZSBiaW9waGFybWFjZXV0aWNhbCBjb21wYW55LCBkZXZlbG9wcyBtb25vY2xvbmFsIGFudGlib2R5LWJhc2VkIHByb2R1Y3RzIGZvciB0aGUgdGFyZ2V0ZWQgdHJlYXRtZW50IG9mIGNhbmNlci4gSXRzIGFkdmFuY2VkIGFudGlib2R5LWRydWcgY29uanVnYXRlcyBhcmUgc2FjaXR1enVtYWIgZ292aXRlY2FuIGFuZCBsYWJldHV6dW1hYiBnb3ZpdGVjYW4sIHdo</t>
  </si>
  <si>
    <t>aWNoIGFyZSBpbiBhZHZhbmNlZCB0cmlhbHMgZm9yIHZhcmlvdXMgc29saWQgdHVtb3JzIGFuZCBtZXRhc3RhdGljIGNvbG9yZWN0YWwgY2FuY2VyLCByZXNwZWN0aXZlbHkuIFRoZSBjb21wYW55IGZvY3VzZXMgb24gY29tbWVyY2lhbGl6aW5nIHNhY2l0dXp1bWFiIGdvdml0ZWNhbiBhcyBhIHRoaXJkLWxpbmUgdGhlcmFweSBmb3IgcGF0aWVudHMgd2l0aCBtZXRhc3RhdGljIHRyaXBsZS1uZWdhdGl2ZSBicmVhc3QgY2FuY2VyIGluIHRoZSBVbml0ZWQgU3RhdGVzLiBUaGUgY29tcGFueSBhbHNvIGRldmVsb3BzIElNTVUtMTQwLCBhIGh1bWFuaXplZCBhbnRpYm9keSBkaXJlY3RlZCBhZ2FpbnN0IGFuIGltbXVuZSByZXNwb25zZSB0YXJnZXQuIEl0cyBvdGhlciBwcm9kdWN0IGNhbmRpZGF0ZXMgaW5jbHVkZSBwcm9kdWN0cyBmb3IgdGhlIHRyZWF0bWVudCBvZiBjYW5jZXIgYW5kIGF1dG9pbW11bmUgZGlzZWFzZXMsIGluY2x1ZGluZyBlcHJhdHV6dW1hYiwgYW4gYW50aS1DRDIyIGFudGlib2R5OyB2ZWx0dXp1bWFiLCBhbiBhbnRpLUNEMjAgYW50aWJvZHk7IG1pbGF0dXp1bWFiLCBhbiBhbnRpLUNENzQgYW50aWJvZHk7IGFuZCBJTU1VLTExNCwgYSBodW1hbml6ZWQgYW50aS1ITEEtRFIgYW50aWJvZHkuIEltbXVub21lZGljcywgSW5jLiBoYXMgY2xpbmljYWwgY29sbGFib3JhdGlvbiB3aXRo</t>
  </si>
  <si>
    <t>IEFzdHJhWmVuZWNhIGFuZCBNZWRJbW11bmUsIHRvIGV2YWx1YXRlIEltZmluemksIGEgaHVtYW4gbW9ub2Nsb25hbCBhbnRpYm9keSBhZ2FpbnN0IFBELUwxLCB3aXRoIHNhY2l0dXp1bWFiIGdvdml0ZWNhbiBhcyBhIGZyb250bGluZSB0cmVhdG1lbnQgb2YgcGF0aWVudHMgd2l0aCBUTkJDIGFuZCB1cm90aGVsaWFsIGNhbmNlcjsgY29sbGFib3JhdGlvbiBhZ3JlZW1lbnQgd2l0aCBUaGUgQmF5ZXIgR3JvdXAgZm9yIHRoZSBkZXZlbG9wbWVudCBvZiBlcHJhdHV6dW1hYjsgY2xpbmljYWwgYW5kIHByZWNsaW5pY2FsIGNvbGxhYm9yYXRpb25zIHdpdGggYWNhZGVtaWMgY2FuY2VyIGluc3RpdHV0aW9ucywgaWRlbnRpZnlpbmcgbmV3IGNhbmNlciBpbmRpY2F0aW9ucyBmb3Igc2FjaXR1enVtYWIgZ292aXRlY2FuIGFuZCB0aGUgYmlvbG9neSBvZiB0aGUgVHJvcC0yIGFudGlnZW47IGFuZCByZXNlYXJjaCBjb2xsYWJvcmF0aW9uIHdpdGggdGhlIE1lbW9yaWFsIFNsb2FuIEtldHRlcmluZyBDYW5jZXIgQ2VudGVyIHRvIGludmVzdGlnYXRlIFNhY2l0dXp1bWFiIEdvdml0ZWNhbiBhbmQgTGFiZXR1enVtYWIgR292aXRlY2FuIGluIHByZWNsaW5pY2FsIGNhbmNlciBtb2RlbHMuIEltbXVub21lZGljcywgSW5jLiBoYXMgYSBwYXJ0bmVyc2hpcCBhZ3JlZW1lbnQgd2l0aCB0aGUgU2Ftc3VuZyBCaW9M</t>
  </si>
  <si>
    <t>b2dpY3MgQ28uLCBMdGQuIHRvIG1hbnVmYWN0dXJlIGhSUzcsIGFuIEltbXVub21lZGljcyBwcm9wcmlldGFyeSBodW1hbml6ZWQgYW50aWJvZHkuIFRoZSBjb21wYW55IHdhcyBmb3VuZGVkIGluIDE5ODIgYW5kIGlzIGhlYWRxdWFydGVyZWQgaW4gTW9ycmlzIFBsYWlucywgTmV3IEplcnNleS4ALiG1SSuR1ghF0ENKK5HWCDdDSVEuTkFTREFRQ006T05DUy5JUV9QRVJJT0REQVRFX0lTLjIwMDAuMS8zMS8yMDE5LkxGUi5GAQAAAOPj2gIFAAAACjEwLzMxLzIwMTgAyWkHPSuR1giu7WRKK5HWCClDSVEuSVFUUjQxODA4MzM0My5JUV9UUl9JTVBMSUVEX0VRX05JX0xUTQEAAAAPcusYAgAAAAAAUG+1SSuR1gjK5ktKK5HWCDlDSVEuTkFTREFRR1M6RlBSWC5JUV9UT1RBTF9SRVYuMjAwMC4xLzMxLzIwMTkuTEZSLkYuVVNELkgBAAAAN10zAAIAAAAGNTkuMDU1AQgAAAAFAAAAATEBAAAACjE5MTk3OTUxNzIDAAAAAzE2MAIAAAACMjgEAAAAATAHAAAACTEvMzEvMjAxOQgAAAAJOS8zMC8yMDE4CQAAAAEwuEIHPSuR1giwWWBKK5HWCDxDSVEuTkFTREFRQ006VEdUWC5JUV9UT1RBTF9FUVVJVFkuMTk5Ni4xLzMxLzIwMTkuTEZSLkYuVVNELkgBAAAAWpSPCAIAAAAJNzkuNTQ1NzY2AQgAAAAFAAAAATEBAAAACjE5MjExNzg4MjMDAAAAAzE2MAIAAAAEMTI3NQQAAAABMAcAAAAJMS8zMS8yMDE5CAAAAAk5LzMw</t>
  </si>
  <si>
    <t>LzIwMTcJAAAAATCN0rc9K5HWCDr+XEorkdYIOkNJUS5OQVNEQVFHUzpOSy5JUV9FQVJOSU5HX0NPLkNZMjAxOC4xLzMxLzIwMTkuTEZSLkYuVVNELkgBAAAADX2hDwMAAAAAAMlpBz0rkdYIaOVoSiuR1gg6Q0lRLk5BU0RBUUdTOlRIT1IuSVFfRUFSTklOR19DTy4yMDAwLjEvMzEvMjAxOS5MRlIuRi5VU0QuSAEAAAC4X7cPAgAAAActMzAuNjQxAQgAAAAFAAAAATEBAAAACjE5MjI1NDk0NjgDAAAAAzE2MAIAAAABNwQAAAABMAcAAAAJMS8zMS8yMDE5CAAAAAk5LzMwLzIwMTgJAAAAATB8q7c9K5HWCAqrVUorkdYIOENJUS5OQVNEQVFDTTpUR1RYLklRX0VCSVREQS5DWTIwMTguMS8zMS8yMDE5LkxGUi5GLlVTRC5IAQAAAFqUjwgDAAAAAACN0rc9K5HWCNQTXEorkdYIK0NJUS5JUVRSNDE4MDgzMzQzLklRX1RSX1RPVEFMX0dST1NTX1RWLi5VU0QBAAAAD3LrGAIAAAADNzc1AQYAAAAFAAAAAjU0AQAAAAYxMDIwODgCAAAACTQxODA4MzM0MwMAAAAJNDE4MDgzNDYyBAAAAAMxNjAGAAAABUZhbHNlUG+1SSuR1gi5v0tKK5HWCC5DSVEuSVFUUjUyOTE5MTg4MC5JUV9UUl9UQVJHRVRfU1RPQ0tQUkVNSVVNXzFXAQAAAMjTih8CAAAAAAA/SLVJK5HWCFSLSEorkdYIL0NJUS5JUVRSNDE4MDgzMzQzLklRX1RSX1RBUkdFVF9UT1RBTF9SRVYuLlVTRC5IAQAAAA9y6xgCAAAAAABQb7VJK5HWCLm/S0orkdYIO0NJ</t>
  </si>
  <si>
    <t>US5OQVNEQVFDTTpTVE1MLklRX1RPVEFMX1JFVi5DWTIwMTguMS8zMS8yMDE5LkxGUi5GLlVTRC5IAQAAAC+onQADAAAAAAB8q7c9K5HWCKJUWUorkdYIOUNJUS5OQVNEQVFHUzpOS1RSLklRX1RPVEFMX1JFVi4xOTkyLjEvMzEvMjAxOS5MRlIuRi5VU0QuSAEAAADpdAAAAgAAAAcxNjcuMzU0AQgAAAAFAAAAATEBAAAACjE4NjQ3MDA5MjcDAAAAAzE2MAIAAAACMjgEAAAAATAHAAAACTEvMzEvMjAxOQgAAAAJOS8zMC8yMDE2CQAAAAEwa4S3PSuR1ggvG09KK5HWCD1DSVEuTkFTREFRQ006VEdUWC5JUV9SRVZFTlVFX0VTVC5DWTIwMjIuMS8zMS8yMDE5LkNPTi5GLlVTRC5IAQAAAFqUjwgCAAAACTI1My4yNDQ2NwEOAAAABQAAAAIxMQEAAAABMAIAAAAKMTAwMTU0ODMwMwMAAAAGMTAwMTgwBAAAAAEyBgAAAAEwBwAAAAMxNjAIAAAAATAJAAAAATEKAAAAATALAAAACzExMTk3NjEwODg1DAAAAAE3DQAAAAgyLzEvMjAxORAAAAAJMS8zMS8yMDE5jdK3PSuR1gjD7FtKK5HWCCtDSVEuKElOVkFMSUQgSURFTlRJRklFUikuSVFfRUZGRUNUX1RBWF9SQVRFBQAAAAAAAAAIAAAAFChJbnZhbGlkIElkZW50aWZpZXIpDQYIPSuR1gjhhLNKK5HWCD1DSVEuTkFTREFRR1M6TksuSVFfTkVUX1dPUktJTkdfQ0FQLjE5OTYuMS8zMS8yMDE5LkxGUi5GLlVTRC5IAQAAAA19oQ8CAAAABy0yMy40NTcBCAAAAAUAAAABMQEA</t>
  </si>
  <si>
    <t>AAAKMTkxOTk2NjQ3OQMAAAADMTYwAgAAAAQxMzExBAAAAAEwBwAAAAkxLzMxLzIwMTkIAAAACTkvMzAvMjAxNwkAAAABMMlpBz0rkdYIJEloSiuR1ghDQ0lRLk5BU0RBUUdTOkZQUlguSVFfRUJJVERBXzVZUl9BTk5fQ0FHUi4yMDAwLjEvMzEvMjAxOS5MRlIuRi5VU0QuSAEAAAA3XTMAAwAAAAJOTQEIAAAABQAAAAExAQAAAAoxOTE5Nzk1MTcyAwAAAAMxNjACAAAABDQyMzUEAAAAATAHAAAACTEvMzEvMjAxOQgAAAAJOS8zMC8yMDE4CQAAAAEwuEIHPSuR1giefGJKK5HWCC9DSVEuTkFTREFRR1M6T1ZJRC5JUV9DQVNIX0VRVUlWLi41LzQvMjAxNy4uLlVTRAEAAAAg0DcRAgAAAAk0NC4yMjU4MDcBCAAAAAUAAAABMQEAAAAKMTg4ODA2Mzk3NQMAAAADMTYwAgAAAAQxMDk2BAAAAAEwBwAAAAg1LzQvMjAxNwgAAAAJMy8zMS8yMDE3CQAAAAEwLiG1SSuR1giRHDJKK5HWCDVDSVEuTkFTREFRQ006U1RNTC5JUV9DQVBFWC4xOTkyLjEvMzEvMjAxOS5MRlIuRi5VU0QuSAEAAAAvqJ0AAgAAAAktMC4wMjY1ODYBCAAAAAUAAAABMQEAAAAKMTg2NDg2NTkxMAMAAAADMTYwAgAAAAQyMDIxBAAAAAEwBwAAAAkxLzMxLzIwMTkIAAAACTkvMzAvMjAxNgkAAAABMHyrtz0rkdYI9xdaSiuR1gglQ0lRLklRVFI1Mjg1NjkxMjIuSVFfVFJfSU1QTElFRF9FUV9CVgEAAAAiU4EfAgAAAAAAP0i1SSuR1gjwDENKK5HWCDxD</t>
  </si>
  <si>
    <t>SVEuTkFTREFRQ006Q1VFLklRX1JFVkVOVUVfRVNULkNZMjAyMi4xLzMxLzIwMTkuQ09OLkYuVVNELkgBAAAApmboGAIAAAABMAEOAAAABQAAAAIxMQEAAAABMAIAAAAKMTAwNDIxNzE2MQMAAAAGMTAwMTgwBAAAAAEyBgAAAAEwBwAAAAMxNjAIAAAAATAJAAAAATEKAAAAATALAAAACzExMTczOTQ3MTY5DAAAAAE3DQAAAAgyLzEvMjAxORAAAAAJMS8zMS8yMDE5DQYIPSuR1gjzP2NKK5HWCDxDSVEuTkFTREFRR006RkFURS5JUV9HUk9TU19NQVJHSU4uMjAwMC4xLzMxLzIwMTkuTEZSLkYuVVNELkgBAAAAaDFXAgMAAAACTk0BCAAAAAUAAAABMQEAAAAKMTkxNzczMTkyOQMAAAADMTYwAgAAAAQ0MDc0BAAAAAEwBwAAAAkxLzMxLzIwMTkIAAAACTkvMzAvMjAxOAkAAAABMGuEtz0rkdYIpXZSSiuR1gguQ0lRLk5BU0RBUUdNOkZBVEUuSVFfTUFSS0VUQ0FQLjEvMzEvMjAxOS5VU0QuSAEAAABoMVcCAgAAAAo5NzguMDg3OTA2AQYAAAAFAAAAATEBAAAACjE5MTc3MzEwMjcDAAAAAzE2MAIAAAAGMTAwMDU0BAAAAAEwBwAAAAkxLzMxLzIwMTlaXbc9K5HWCFCzUUorkdYIKUNJUS5OQVNEQVFDTTpTVE1MLklRX0JVU0lORVNTX0RFU0NSSVBUSU9OAQAAAC+onQADAAAAqgpTdGVtbGluZSBUaGVyYXBldXRpY3MsIEluYy4sIGEgY2xpbmljYWwgc3RhZ2UgYmlvcGhhcm1hY2V1dGljYWwgY29tcGFueSwgZm9jdXNl</t>
  </si>
  <si>
    <t>cyBvbiB0aGUgZGlzY292ZXJ5LCBhY3F1aXNpdGlvbiwgZGV2ZWxvcG1lbnQsIGFuZCBjb21tZXJjaWFsaXphdGlvbiBvZiBwcm9wcmlldGFyeSBvbmNvbG9neSB0aGVyYXBldXRpY3MgaW4gdGhlIFVuaXRlZCBTdGF0ZXMgYW5kIGludGVybmF0aW9uYWxseS4gVGhlIGNvbXBhbnkgZGV2ZWxvcHMgU0wtNDAxLCBhIHRhcmdldGVkIHRoZXJhcHkgZGlyZWN0ZWQgdG8gdGhlIGludGVybGV1a2luLTMgcmVjZXB0b3IgKElMLTNSKSwgd2hpY2ggaGFzIGNvbXBsZXRlZCBQaGFzZSBJSSBjbGluaWNhbCB0cmlhbCBmb3IgcGF0aWVudHMgd2l0aCBibGFzdGljIHBsYXNtYWN5dG9pZCBkZW5kcml0aWMgY2VsbCBuZW9wbGFzbTsgaXMgaW4gUGhhc2UgSS9JSSBjbGluaWNhbCB0cmlhbHMgZm9yIHBhdGllbnRzIHdpdGggbXllbG9wcm9saWZlcmF0aXZlIG5lb3BsYXNtcywgY2hyb25pYyBteWVsb21vbm9jeXRpYyBsZXVrZW1pYSwgbXllbG9maWJyb3NpcywgYW5kIGFjdXRlIG15ZWxvaWQgbGV1a2VtaWE7IGFuZCBpcyBpbiBQaGFzZSBJIGNsaW5pY2FsIHRyaWFsIGluIGNvbWJpbmF0aW9uIHdpdGggb3RoZXIgYWdlbnRzIGZvciBwYXRpZW50cyB3aXRoIHJlbGFwc2VkL3JlZnJhY3RvcnkgbXVsdGlwbGUgbXllbG9tYS4gSXQgYWxzbyBkZXZlbG9wcyBTTC04MDEsIGEgbm92ZWwgb3JhbCBzbWFsbCBtb2xlY3Vs</t>
  </si>
  <si>
    <t>ZSByZXZlcnNpYmxlIGluaGliaXRvciBvZiBudWNsZWFyIHRyYW5zcG9ydCBwcm90ZWluLCB3aGljaCBpcyBpbiBQaGFzZSBJIGNsaW5pY2FsIHRyaWFsIGZvciB0aGUgdHJlYXRtZW50IG9mIHNvbGlkIGFuZCBoZW1hdG9sb2dpYyBjYW5jZXJzOyBhbmQgU0wtNzAxLCBhbiBpbW11bm90aGVyYXB5IHRoYXQgaGFzIGNvbXBsZXRlZCBQaGFzZSBJSSBjbGluaWNhbCB0cmlhbCB0byBhdHRhY2sgYnJhaW4gY2FuY2VyLiBUaGUgY29tcGFueSdzIHByZWNsaW5pY2FsIHBpcGVsaW5lIHByb2R1Y3RzIGluY2x1ZGUgU0wtNTAxLCBhIG5leHQgZ2VuZXJhdGlvbiBJTC0zUi10YXJnZXRlZCB0aGVyYXB5OyBTTC0xMDEsIGEgc2luZ2xlIGNoYWluIG1vbm9jbG9uYWwgYW50aWJvZHkgZnJhZ21lbnQgZm9yIHRoZSB0cmVhdG1lbnQgb2YgaGVtYXRvbG9naWMgY2FuY2VyczsgYW5kIFNMLTkwMSwgYSBzbWFsbCBtb2xlY3VsZSBraW5hc2UgaW5oaWJpdG9yLiBTdGVtbGluZSBUaGVyYXBldXRpY3MsIEluYy4gd2FzIGZvdW5kZWQgaW4gMjAwMyBhbmQgaXMgYmFzZWQgaW4gTmV3IFlvcmssIE5ldyBZb3JrLgBaXbc9K5HWCAg/WkorkdYIH0NJUS5OQVNEQVFHUzpPQlNWLklRX01BUktFVENBUC4BAAAAVoefDgIAAAAKNTU3LjA5NjIwMgEGAAAABQAAAAExAQAAAAoxOTIxNDE5ODgzAwAAAAMxNjACAAAABjEwMDA1NAQA</t>
  </si>
  <si>
    <t>AAABMAcAAAAJMi8xMS8yMDE5Hfq0SSuR1ghvzjFKK5HWCDxDSVEuTkFTREFRQ006WklPUC5JUV9FQklUREFfRVNULkNZMjAyMC4xLzMxLzIwMTkuQ09OLkYuVVNELkgBAAAAs1GyAAMAAAAAAI3Stz0rkdYI1n9XSiuR1ggiQ0lRLklRVFIzODQwMjg0OTYuSVFfVFJfUENUX1NPVUdIVAEAAABQz+MWAgAAAAk5MC45NjE5NjgAUG+1SSuR1giak0RKK5HWCCtDSVEuSVFUUjU2MzkxOTA0OS5JUV9UUl9JTVBMSUVEX0VWX0VCSVRfRldEAQAAAMm4nCEDAAAAAk5NAD9ItUkrkdYIV61BSiuR1ggrQ0lRLklRVFIzMTQ4MjkyMzYuSVFfVFJfVE9UQUxfR1JPU1NfVFYuLlVTRAEAAAC06cMSAgAAAAMyNTgAUG+1SSuR1gggYEpKK5HWCC1DSVEuTkFTREFRR1M6VEhPUi5JUV9ESVZJREVORF9ZSUVMRC4xLzMxLzIwMTkBAAAAuF+3DwMAAAAAAFpdtz0rkdYI+YNVSiuR1ggsQ0lRLklRVFI1NDc4Mjk5NDkuSVFfVFJfVEFSR0VUX0VCSVREQS4uVVNELkgBAAAAvTinIAIAAAAAAFBvtUkrkdYIeEVESiuR1ggjQ0lRLklRVFI1NDc4Mjk5NDkuSVFfVFJfQ0xPU0VEX0RBVEUBAAAAvTinIAUAAAAKMTEvMTgvMjAxNgBQb7VJK5HWCFb3Q0orkdYIMENJUS5JUVRSMzI2OTk1NDA4LklRX1RSX1RBUkdFVF9FQklUREFfRVNULi5VU0QuSAEAAADQjX0TAgAAAAAAUG+1SSuR1ggizEVKK5HWCCxDSVEuSVFUUjUyODU2OTEyMi5JUV9U</t>
  </si>
  <si>
    <t>Ul9UQVJHRVRfRUJJVERBLi5VU0QuSAEAAAAiU4EfAgAAAAAAP0i1SSuR1gjf5UJKK5HWCCxDSVEuSVFUUjU1MDI1OTM5Ny5JUV9UUl9UQVJHRVRfRUJJVERBLi5VU0QuSAEAAADFSswgAgAAAAgtNDI3LjM5OAEGAAAABQAAAAIzNwEAAAAKMTg3NjU2NTUyOAIAAAAFMjE2NzcDAAAAAzE2MAQAAAABMAcAAAAIMS8xLzE5MDA/SLVJK5HWCIoiQkorkdYIPUNJUS5OQVNEQVFHUzpOS1RSLklRX1JFVkVOVUVfRVNULkNZMjAyMi4xLzMxLzIwMTkuQ09OLkYuVVNELkgBAAAA6XQAAAIAAAAHNzI4LjAzNwEOAAAABQAAAAIxMQEAAAABMAIAAAAKMTAwMTE4OTQyMAMAAAAGMTAwMTgwBAAAAAEyBgAAAAEwBwAAAAMxNjAIAAAAATAJAAAAATEKAAAAATALAAAACzExMTc0MDI2Nzg3DAAAAAE3DQAAAAgyLzEvMjAxORAAAAAJMS8zMS8yMDE5jdK3PSuR1ghRaU9KK5HWCDtDSVEuTkFTREFRQ006Q1VFLklRX0dST1NTX01BUkdJTi4yMDAwLjEvMzEvMjAxOS5MRlIuRi5VU0QuSAEAAACmZugYAwAAAAJOTQEIAAAABQAAAAExAQAAAAoxOTIxOTQwOTAwAwAAAAMxNjACAAAABDQwNzQEAAAAATAHAAAACTEvMzEvMjAxOQgAAAAJOS8zMC8yMDE4CQAAAAEwuEIHPSuR1ggEZ2NKK5HWCB1DSVEuLklRX1RSX1RBUkdFVF9FQklULi5VU0QuSAUAAAAAAAAACAAAABQoSW52YWxpZCBJZGVudGlmaWVyKVpdtz0rkdYIWRk9SiuR1ggs</t>
  </si>
  <si>
    <t>Q0lRLk5BU0RBUUdTOkZQUlguSVFfTEFTVFNBTEVQUklDRS45LzMwLzIwMTYBAAAAN10zAAIAAAAFNTIuNDkApxsHPSuR1ghrB2JKK5HWCB5DSVEuMC5JUV9UUl9UQVJHRVRfRUJJVC4uVVNELkgFAAAAAAAAAAgAAAAYKEludmFsaWQgVHJhbnNhY3Rpb24gSWQpHfq0SSuR1gin4k1KK5HWCCZDSVEuTkFTREFRQ006Q1VFLklRX0JFVEFfMllSLjEvMzEvMjAxOQEAAACmZugYAgAAABAxLjM4NTI1NjY0Mzg0NjAzAB4tCD0rkdYISANkSiuR1gg9Q0lRLk5BU0RBUUdTOkZQUlguSVFfUkVWRU5VRV9FU1QuQ1kyMDIxLjEvMzEvMjAxOS5DT04uRi5VU0QuSAEAAAA3XTMAAgAAAAgxMDEuNDE3NAEOAAAABQAAAAIxMQEAAAABMAIAAAAKMTAwMTk1NjM1OQMAAAAGMTAwMTgwBAAAAAEyBgAAAAEwBwAAAAMxNjAIAAAAATAJAAAAATEKAAAAATALAAAACzExMjUzNDUwMTc2DAAAAAE3DQAAAAgyLzEvMjAxORAAAAAJMS8zMS8yMDE5DQYIPSuR1gjSp2BKK5HWCDpDSVEuTkFTREFRR1M6TksuSVFfRUFSTklOR19DTy5DWTIwMTcuMS8zMS8yMDE5LkxGUi5GLlVTRC5IAQAAAA19oQ8CAAAABy05Ni40MjMBCAAAAAUAAAABMQEAAAAKMTg3ODAxMjU5NwMAAAADMTYwAgAAAAE3BAAAAAEwBwAAAAkxLzMxLzIwMTkIAAAACjEyLzMxLzIwMTcJAAAAATDJaQc9K5HWCFe+aEorkdYIRkNJUS5OQVNEQVFHUzpUSE9SLklRX1RPVEFM</t>
  </si>
  <si>
    <t>X1JFVl8zWVJfQU5OX0NBR1IuMjAwMC4xLzMxLzIwMTkuTEZSLkYuVVNELkgBAAAAuF+3DwMAAAAAAHyrtz0rkdYIPSBWSiuR1ggpQ0lRLklRVFI1NDc4Mjk5NDkuSVFfQlVTSU5FU1NfREVTQ1JJUFRJT04BAAAAz79WEAMAAADOBUFydGVsbyBCaW9zY2llbmNlcywgSW5jLiwgYW4gZXRoaWNhbCBiaW9waGFybWFjZXV0aWNhbCBjb21wYW55LCBmb2N1c2VzIG9uIGRldmVsb3BpbmcsIGxpY2Vuc2luZywgYW5kIGNvbW1lcmNpYWxpemluZyBjYW5uYWJpbm9pZCB0aGVyYXBldXRpYyB0cmVhdG1lbnRzLiBJdHMgcHJvZHVjdHMgcGlwZWxpbmUgaW5jbHVkZXMgQVJUMTIuMTEsIGEgY2FubmFiaWRpb2wgY29tcG9zaXRpb24gZm9yIHRoZSB0cmVhdG1lbnQgb2YgaW5mbGFtbWF0b3J5IGJvd2VsIGRpc2Vhc2UsIHN0cm9rZSwgYW5kIHJhcmUvb3JwaGFuIGRpc2Vhc2VzOyBBUlQyNi4xMiwgYW4gZW5kb2Nhbm5hYmlub2lkIHRyYW5zcG9ydCBwcm90ZWluIChGQUJQNSkgaW5oaWJpdG9yIGZvciB0aGUgdHJlYXRtZW50IG9mIGJyZWFzdCBjYW5jZXIsIHByb3N0YXRlIGNhbmNlciwgYW5kIG5ldXJvcGF0aGljIGFuZCBub2NpY2VwdGl2ZSBwYWluOyBhbmQgQVJUMjcuMTMgZm9yIHRoZSB0cmVhdG1lbnQgb2YgY2FuY2VyIGFuZCBjYWNoZXhpYS4gVGhlIGNvbXBhbnkgd2FzIGZvcm1lcmx5IGtub3duIGFzIFJl</t>
  </si>
  <si>
    <t>YWN0aXZlIE1lZGljYWwsIEluYy4gYW5kIGNoYW5nZWQgaXRzIG5hbWUgdG8gQXJ0ZWxvIEJpb3NjaWVuY2VzLCBJbmMuIGluIEFwcmlsIDIwMTcuIEFydGVsbyBCaW9zY2llbmNlcywgSW5jLiB3YXMgZm91bmRlZCBpbiAyMDExIGFuZCBpcyBiYXNlZCBpbiBMYSBKb2xsYSwgQ2FsaWZvcm5pYS4ALiG1SSuR1giak0RKK5HWCDNDSVEuTkFTREFRR1M6TksuSVFfQ0FQRVguMTk5Ni4xLzMxLzIwMTkuTEZSLkYuVVNELkgBAAAADX2hDwIAAAAGLTI0Ljc0AQgAAAAFAAAAATEBAAAACjE5MTk5NjY0NzkDAAAAAzE2MAIAAAAEMjAyMQQAAAABMAcAAAAJMS8zMS8yMDE5CAAAAAk5LzMwLzIwMTcJAAAAATDJaQc9K5HWCDVwaEorkdYIK0NJUS5JUVRSMjgzNzgyNzEzLklRX1RSX1RPVEFMX0dST1NTX1RWLi5VU0QBAAAAOS7qEAIAAAALMTc3NDMuMTc2ODEBBgAAAAUAAAACNTQBAAAABjEwMjA4OAIAAAAJMjgzNzgyNzEzAwAAAAkyODM3ODI3OTIEAAAAAzE2MAYAAAAFRmFsc2VhlrVJK5HWCFVBRkorkdYINENJUS5OQVNEQVFHUzpOSy5JUV9FQklUREEuMjAwMC4xLzMxLzIwMTkuTEZSLkYuVVNELkgBAAAADX2hDwIAAAAHLTk2LjUyNwEIAAAABQAAAAExAQAAAAoxOTE5OTY2NTAzAwAAAAMxNjACAAAABDQwNTEEAAAAATAHAAAACTEvMzEvMjAxOQgAAAAJOS8zMC8yMDE4CQAAAAEwyWkHPSuR1ggC+2dKK5HWCCdD</t>
  </si>
  <si>
    <t>SVEuTkFTREFRQ006T05DUy5JUV9CRVRBXzFZUi4xLzMxLzIwMTkBAAAA4+PaAgIAAAARMC4yNTg2NjE4NTAzMzE3MzIAHi0IPSuR1ghHTWZKK5HWCC5DSVEuSVFUUjU1MDI1OTM5Ny5JUV9UUl9UQVJHRVRfU1RPQ0tQUkVNSVVNXzFNAQAAAMVKzCACAAAABzg5LjEzMDQBBgAAAAUAAAACNTQBAAAABjEwMTA1NQIAAAAJNTUwMjU5Mzk3AwAAAAk1NTAyNjQ1NjQEAAAAAzE2MAYAAAAFRmFsc2U/SLVJK5HWCKxwQkorkdYIJUNJUS5JUVRSNTgwMjk4MDQ5LklRX1BSSU1BUllfSU5EVVNUUlkBAAAA3brODgMAAAAPUGhhcm1hY2V1dGljYWxzAB36tEkrkdYIz3RASiuR1gg2Q0lRLk5BU0RBUUdNOlNVUkYuSVFfRUJJVERBLjIwMDAuMS8zMS8yMDE5LkxGUi5GLlVTRC5IAQAAALQpxxACAAAABy0xNi42MTYBCAAAAAUAAAABMQEAAAAKMTkyMTgxMzg5MwMAAAADMTYwAgAAAAQ0MDUxBAAAAAEwBwAAAAkxLzMxLzIwMTkIAAAACTkvMzAvMjAxOAkAAAABMNqQBz0rkdYIEbZsSiuR1gghQ0lRLklRVFI1ODAyOTgwNDkuSVFfVFJfQlVZRVJOQU1FAQAAAEGlliIDAAAAMlBlZGlhcGhhcm0gSW5jLiAobmthOk1lZGV4dXMgUGhhcm1hY2V1dGljYWxzIEluYy4pAC4htUkrkdYIz3RASiuR1gg6Q0lRLk5BU0RBUUdTOk5LVFIuSVFfRUFSTklOR19DTy4yMDAwLjEvMzEvMjAxOS5MRlIuRi5VU0QuSAEAAADpdAAAAgAAAAc3</t>
  </si>
  <si>
    <t>NDUuNjk5AQgAAAAFAAAAATEBAAAACjE5MjA1NDA1MTMDAAAAAzE2MAIAAAABNwQAAAABMAcAAAAJMS8zMS8yMDE5CAAAAAk5LzMwLzIwMTgJAAAAATBrhLc9K5HWCMh6UEorkdYILENJUS5OQVNEQVFDTTpaSU9QLklRX0xBU1RTQUxFUFJJQ0UuOS8zMC8yMDE2AQAAALNRsgACAAAABDUuNjMAWl23PSuR1ggrQ1hKK5HWCB1DSVEuSVEzNjc2OS5JUV9DT01QQU5ZX1RJQ0tFUgEAAAChjwAAAwAAAA1OYXNkYXFHTTpYT01BAC4htUkrkdYIfppdSiuR1gglQ0lRLk5BU0RBUUdNOkNSVlMuSVFfRklSU1RQUklDSU5HREFURQEAAAD0sKYQBQAAAAkzLzIzLzIwMTYAuEIHPSuR1gi9qGlKK5HWCD5DSVEuTkFTREFRQ006Q1VFLklRX05FVF9XT1JLSU5HX0NBUC4yMDAwLjEvMzEvMjAxOS5MRlIuRi5VU0QuSAEAAACmZugYAgAAAAYtMy4xNTUBCAAAAAUAAAABMQEAAAAKMTkyMTk0MDkwMAMAAAADMTYwAgAAAAQxMzExBAAAAAEwBwAAAAkxLzMxLzIwMTkIAAAACTkvMzAvMjAxOAkAAAABMMlpBz0rkdYIJrVjSiuR1gg8Q0lRLk5BU0RBUUdNOkNSVlMuSVFfRUJJVERBX0VTVC5DWTIwMTkuMS8zMS8yMDE5LkNPTi5GLlVTRC5IAQAAAPSwphACAAAAAy03NwEOAAAABQAAAAIxMQEAAAABMAIAAAAKMTAwMzM3MDM1NgMAAAAGMTAwMTg3BAAAAAEyBgAAAAEwBwAAAAMxNjAIAAAAATAJAAAAATEKAAAAATALAAAACzExMTcy</t>
  </si>
  <si>
    <t>ODYxNTEwDAAAAAE3DQAAAAgyLzEvMjAxORAAAAAJMS8zMS8yMDE5DQYIPSuR1ggBRWpKK5HWCCFDSVEuSVFUUjU1MDI1OTM5Ny5JUV9UUl9CVVlFUk5BTUUBAAAAxUrMIAMAAAATQ2VsZ2VuZSBDb3Jwb3JhdGlvbgA/SLVJK5HWCGjUQUorkdYIJUNJUS5OQVNEQVFDTTpTVE1MLklRX0ZJUlNUUFJJQ0lOR0RBVEUBAAAAL6idAAUAAAAJMS8zMC8yMDEzAFpdtz0rkdYIgAZZSiuR1ggwQ0lRLk5BU0RBUUdTOlRIT1IuSVFfTEFTVFNBTEVQUklDRS4xLzMxLzIwMTkuVVNEAQAAALhftw8CAAAABTE0LjA5AFpdtz0rkdYIYCRUSiuR1gg/Q0lRLk5BU0RBUUNNOlpJT1AuSVFfTkVUX1dPUktJTkdfQ0FQLjE5OTYuMS8zMS8yMDE5LkxGUi5GLlVTRC5IAQAAALNRsgACAAAABjEyLjI5MwEIAAAABQAAAAExAQAAAAoxOTIwNTM3NjgwAwAAAAMxNjACAAAABDEzMTEEAAAAATAHAAAACTEvMzEvMjAxOQgAAAAJOS8zMC8yMDE3CQAAAAEwfKu3PSuR1gjnpldKK5HWCDhDSVEuTkFTREFRR1M6TksuSVFfRUFSTklOR19DTy4yMDAwLjEvMzEvMjAxOS5MRlIuRi5VU0QuSAEAAAANfaEPAgAAAAgtMTAzLjM3MwEIAAAABQAAAAExAQAAAAoxOTE5OTY2NTAzAwAAAAMxNjACAAAAATcEAAAAATAHAAAACTEvMzEvMjAxOQgAAAAJOS8zMC8yMDE4CQAAAAEwyWkHPSuR1ghXvmhKK5HWCEZDSVEuTkFTREFRR006U1VSRi5JUV9UT1RB</t>
  </si>
  <si>
    <t>TF9SRVZfMllSX0FOTl9DQUdSLjIwMDAuMS8zMS8yMDE5LkxGUi5GLlVTRC5IAQAAALQpxxADAAAAAADakAc9K5HWCKoVbkorkdYIGENJUS4uSVFfVFJfSU1QTElFRF9FUV9CVgUAAAAAAAAACAAAABQoSW52YWxpZCBJZGVudGlmaWVyKVpdtz0rkdYISPI8SiuR1ggnQ0lRLk5BU0RBUUdNOkZBVEUuSVFfUEVSSU9EREFURV9JUy4xMDAwAQAAAGgxVwIFAAAACjEyLzMxLzIwMTcAa4S3PSuR1gg/jFFKK5HWCDVDSVEuTkFTREFRR006Q1JWUy5JUV9DQVBFWC4xOTk2LjEvMzEvMjAxOS5MRlIuRi5VU0QuSAEAAAD0sKYQAgAAAAYtMC44ODcBCAAAAAUAAAABMQEAAAAKMTkxNzgzNDQ4NwMAAAADMTYwAgAAAAQyMDIxBAAAAAEwBwAAAAkxLzMxLzIwMTkIAAAACTkvMzAvMjAxNwkAAAABMNqQBz0rkdYIReFqSiuR1gg/Q0lRLk5BU0RBUUdNOkNSVlMuSVFfTkVUX1dPUktJTkdfQ0FQLjE5OTYuMS8zMS8yMDE5LkxGUi5GLlVTRC5IAQAAAPSwphACAAAABi04LjgwNwEIAAAABQAAAAExAQAAAAoxOTE3ODM0NDg3AwAAAAMxNjACAAAABDEzMTEEAAAAATAHAAAACTEvMzEvMjAxOQgAAAAJOS8zMC8yMDE3CQAAAAEw2pAHPSuR1gg0umpKK5HWCDRDSVEuKElOVkFMSUQgSURFTlRJRklFUikuSVFfRElWSURFTkRfWUlFTEQuMS8zMS8yMDE5BQAAAAAAAAAIAAAAFChJbnZhbGlkIElkZW50aWZpZXIppxsHPSuR1gh1RZlK</t>
  </si>
  <si>
    <t>K5HWCCtDSVEuSVFUUjI5NjYyODgxNy5JUV9UUl9UT1RBTF9HUk9TU19UVi4uVVNEAQAAAFEyrhECAAAACTMyLjc1OTE3MwEGAAAABQAAAAI1NAEAAAAGMTAyMDg4AgAAAAkyOTY2Mjg4MTcDAAAACTI5NjYzNTE1MwQAAAADMTYwBgAAAAVGYWxzZWGWtUkrkdYIUh9NSiuR1gg8Q0lRLk5BU0RBUUNNOk9OQ1MuSVFfRUJJVERBX0VTVC5DWTIwMTkuMS8zMS8yMDE5LkNPTi5GLlVTRC5IAQAAAOPj2gIDAAAAAAANBgg9K5HWCAOxZUorkdYIOkNJUS5OQVNEQVFDTTpPTkNTLklRX0VBUk5JTkdfQ08uMTk5Mi4xLzMxLzIwMTkuTEZSLkYuVVNELkgBAAAA4+PaAgIAAAAKLTI1LjQ1NDcwOAEIAAAABQAAAAExAQAAAAoxODY5MjExOTEzAwAAAAMxNjACAAAAATcEAAAAATAHAAAACTEvMzEvMjAxOQgAAAAKMTAvMzEvMjAxNgkAAAABMMlpBz0rkdYIWHRmSiuR1gg8Q0lRLk5BU0RBUUdNOlNVUkYuSVFfRUFSTklOR19DTy5DWTIwMTcuMS8zMS8yMDE5LkxGUi5GLlVTRC5IAQAAALQpxxACAAAABy00NS4zNzcBCAAAAAUAAAABMQEAAAAKMTg4MDA0NDIxNQMAAAADMTYwAgAAAAE3BAAAAAEwBwAAAAkxLzMxLzIwMTkIAAAACjEyLzMxLzIwMTcJAAAAATDakAc9K5HWCIjHbUorkdYIH0NJUS5JUTI2Njg2NDIuSVFfTEFTVFNBTEVQUklDRS4BAAAAYrgoAAIAAAAENC45NgBaXbc9K5HWCHtnPUorkdYILUNJUS5OQVNEQVFH</t>
  </si>
  <si>
    <t>TTpDUlZTLklRX0RJVklERU5EX1lJRUxELjEvMzEvMjAxOQEAAAD0sKYQAwAAAAAApxsHPSuR1ghnL2tKK5HWCEdDSVEuTkFTREFRR1M6RlBSWC5JUV9NSU5PUklUWV9JTlRFUkVTVF9UT1RBTC4yMDAwLjEvMzEvMjAxOS5MRlIuRi5VU0QuSAEAAAA3XTMAAwAAAAAAuEIHPSuR1giwWWBKK5HWCD1DSVEuTkFTREFRQ006T05DUy5JUV9SRVZFTlVFX0VTVC5DWTIwMjIuMS8zMS8yMDE5LkNPTi5GLlVTRC5IAQAAAOPj2gICAAAABzExOC4xMzkBDgAAAAUAAAACMTEBAAAAATACAAAACTcyNzkxNTY0NAMAAAAGMTAwMTgwBAAAAAEyBgAAAAEwBwAAAAMxNjAIAAAAATAJAAAAATEKAAAAATALAAAACzExMjMzNDQyNDczDAAAAAE3DQAAAAgyLzEvMjAxORAAAAAJMS8zMS8yMDE5DQYIPSuR1gjyiWVKK5HWCC5DSVEuSVFUUjMyODk3ODUxOS5JUV9UUl9UQVJHRVRfU1RPQ0tQUkVNSVVNXzFNAQAAAFfQmxMCAAAAAABQb7VJK5HWCB+qTEorkdYIRkNJUS4oSU5WQUxJRCBJREVOVElGSUVSKS5JUV9ORVRfV09SS0lOR19DQVAuMTk5Mi4xLzMxLzIwMTkuTEZSLkYuVVNELkgFAAAAAAAAAAgAAAAUKEludmFsaWQgSWRlbnRpZmllcin83gc9K5HWCGpzskorkdYIPENJUS5OQVNEQVFDTTpUR1RYLklRX0VCSVREQV9FU1QuQ1kyMDIxLjEvMzEvMjAxOS5DT04uRi5VU0QuSAEAAABalI8IAwAAAAAAnvm3PSuR1gjUE1xKK5HW</t>
  </si>
  <si>
    <t>CDxDSVEuTkFTREFRR006WE9NQS5JUV9UT1RBTF9FUVVJVFkuMTk5Ni4xLzMxLzIwMTkuTEZSLkYuVVNELkgBAAAAoY8AAAIAAAAFNC4wNjMBCAAAAAUAAAABMQEAAAAKMTkxOTkyODEyMgMAAAADMTYwAgAAAAQxMjc1BAAAAAEwBwAAAAkxLzMxLzIwMTkIAAAACTkvMzAvMjAxNwkAAAABMLhCBz0rkdYISm9fSiuR1ggpQ0lRLklRMzYxODM4MzcuSVFfTEFTVFNBTEVQUklDRS4xLzMxLzIwMTkBAAAAHR8oAgIAAAAEMi42MwAd+rRJK5HWCPylTkorkdYIK0NJUS5JUVRSNTI5MTkxODgwLklRX1RSX0lNUExJRURfRVZfRUJJVF9GV0QBAAAAyNOKHwIAAAAAAD9ItUkrkdYIVItISiuR1ghEQ0lRLihJTlZBTElEIElERU5USUZJRVIpLklRX0VCSVREQV9NQVJHSU4uMjAwMC4xLzMxLzIwMTkuTEZSLkYuVVNELkgFAAAAAAAAAAgAAAAUKEludmFsaWQgSWRlbnRpZmllcin83gc9K5HWCGpzskorkdYIO0NJUS5OQVNEQVFDTTpTVE1MLklRX1BSRUZfRVFVSVRZLjIwMDAuMS8zMS8yMDE5LkxGUi5GLlVTRC5IAQAAAC+onQADAAAAAAB8q7c9K5HWCJEtWUorkdYIJENJUS5OQVNEQVFDTTpTVE1MLklRX0VGRkVDVF9UQVhfUkFURQEAAAAvqJ0AAwAAAAAAfKu3PSuR1ghM21pKK5HWCDVDSVEuTkFTREFRR006WE9NQS5JUV9DQVBFWC4xOTkyLjEvMzEvMjAxOS5MRlIuRi5VU0QuSAEAAAChjwAAAgAAAAUwLjAwNQEIAAAA</t>
  </si>
  <si>
    <t>BQAAAAExAQAAAAoxODY0MzAyOTY5AwAAAAMxNjACAAAABDIwMjEEAAAAATAHAAAACTEvMzEvMjAxOQgAAAAJOS8zMC8yMDE2CQAAAAEwuEIHPSuR1ggX+l5KK5HWCDlDSVEuTkFTREFRR1M6TktUUi5JUV9UT1RBTF9SRVYuMjAwMC4xLzMxLzIwMTkuTEZSLkYuVVNELkgBAAAA6XQAAAIAAAAIMTI0OC45NjMBCAAAAAUAAAABMQEAAAAKMTkyMDU0MDUxMwMAAAADMTYwAgAAAAIyOAQAAAABMAcAAAAJMS8zMS8yMDE5CAAAAAk5LzMwLzIwMTgJAAAAATBrhLc9K5HWCC8bT0orkdYIJ0NJUS5OQVNEQVFHTTpYT01BLklRX0JFVEFfNVlSLjEvMzEvMjAxOQEAAAChjwAAAgAAABAyLjQyNDU0NTgwNTU4OTYzAB4tCD0rkdYIKCFfSiuR1gg7Q0lRLk5BU0RBUUNNOk9OQ1MuSVFfRUJJVF9NQVJHSU4uMjAwMC4xLzMxLzIwMTkuTEZSLkYuVVNELkgBAAAA4+PaAgMAAAAAAMlpBz0rkdYIJf9lSiuR1gghQ0lRLklRMTQzNjI3MzU0LklRX0NPTVBBTllfVElDS0VSAQAAAFqUjwgDAAAADU5hc2RhcUNNOlRHVFgALiG1SSuR1ghuKVtKK5HWCCBDSVEuMC5JUV9UUl9UT1RBTF9HUk9TU19UVi5VU0QuSAUAAAAAAAAACAAAABgoSW52YWxpZCBUcmFuc2FjdGlvbiBJZCkd+rRJK5HWCJa7TUorkdYIPENJUS5OQVNEQVFDTTpUR1RYLklRX0VCSVREQV9FU1QuQ1kyMDIwLjEvMzEvMjAxOS5DT04uRi5VU0QuSAEAAABalI8IAwAA</t>
  </si>
  <si>
    <t>AAAAnvm3PSuR1gjUE1xKK5HWCCBDSVEuTkFTREFRQ006Q1VFLklRX0NPTVBBTllfTkFNRQEAAACmZugYAwAAABNDdWUgQmlvcGhhcm1hLCBJbmMuAKcbBz0rkdYIr6NiSiuR1gglQ0lRLklRVFIyODM3ODI3MTMuSVFfUFJJTUFSWV9JTkRVU1RSWQEAAACnuJMAAwAAAA9QaGFybWFjZXV0aWNhbHMAHfq0SSuR1ghEGkZKK5HWCCJDSVEuLklRX1RSX0lNUExJRURfRVZfRklOQUwuLlVTRC5IBQAAAAAAAAAIAAAAFChJbnZhbGlkIElkZW50aWZpZXIpWl23PSuR1ghqQD1KK5HWCDVDSVEuTkFTREFRR006U1VSRi5JUV9DQVBFWC4yMDAwLjEvMzEvMjAxOS5MRlIuRi5VU0QuSAEAAAC0KccQAgAAAAYtMS40NzQBCAAAAAUAAAABMQEAAAAKMTkyMTgxMzg5MwMAAAADMTYwAgAAAAQyMDIxBAAAAAEwBwAAAAkxLzMxLzIwMTkIAAAACTkvMzAvMjAxOAkAAAABMNqQBz0rkdYIZnltSiuR1ggnQ0lRLk5BU0RBUUdTOlRIT1IuSVFfUEVSSU9EREFURV9JUy4xMDAwAQAAALhftw8FAAAACjEyLzMxLzIwMTcAa4S3PSuR1ghP/VNKK5HWCDxDSVEuTkFTREFRQ006T05DUy5JUV9HUk9TU19NQVJHSU4uMjAwMC4xLzMxLzIwMTkuTEZSLkYuVVNELkgBAAAA4+PaAgMAAAAAAMlpBz0rkdYIFNhlSiuR1ghHQ0lRLk5BU0RBUUdTOlRIT1IuSVFfTUlOT1JJVFlfSU5URVJFU1RfVE9UQUwuMjAwMC45LzMwLzIwMTYuTEZSLkYuVVNE</t>
  </si>
  <si>
    <t>LkgBAAAAuF+3DwMAAAAAAHyrtz0rkdYILPlVSiuR1ggqQ0lRLk5BU0RBUUdTOk5LLklRX0xBU1RTQUxFUFJJQ0UuOS8zMC8yMDE2AQAAAA19oQ8CAAAABDcuNzgApxsHPSuR1gh5DGlKK5HWCDhDSVEuTkFTREFRR006WE9NQS5JUV9FQklUREEuQ1kyMDE4LjEvMzEvMjAxOS5MRlIuRi5VU0QuSAEAAAChjwAAAwAAAAAAuEIHPSuR1gjTXV5KK5HWCDxDSVEuTkFTREFRQ006VEdUWC5JUV9UT1RBTF9FUVVJVFkuMjAwMC4xLzMxLzIwMTkuTEZSLkYuVVNELkgBAAAAWpSPCAIAAAAGNzEuNzQ0AQgAAAAFAAAAATEBAAAACjE5MjExNzg4NDEDAAAAAzE2MAIAAAAEMTI3NQQAAAABMAcAAAAJMS8zMS8yMDE5CAAAAAk5LzMwLzIwMTgJAAAAATCN0rc9K5HWCDr+XEorkdYIIkNJUS5JUVRSNTU4MzA4NzI5LklRX1RSX1BDVF9TT1VHSFQBAAAAeR1HIQIAAAADMTAwAD9ItUkrkdYIQq5KSiuR1ghFQ0lRLk5BU0RBUUNNOkNVRS5JUV9UT1RBTF9SRVZfM1lSX0FOTl9DQUdSLjIwMDAuMS8zMS8yMDE5LkxGUi5GLlVTRC5IAQAAAKZm6BgDAAAAAADJaQc9K5HWCIyfZEorkdYILENJUS5JUVRSNDE5ODY0MzAxLklRX1RSX1RPVEFMX0dST1NTX1RWLlVTRC5IBQAAAAAAAAAIAAAAGihJbnZhbGlkIEN1cnJlbmN5IFJlcXVlc3QpHfq0SSuR1ggjgkNKK5HWCCVDSVEuSVFUUjUyODU2OTEyMi5JUV9QUklNQVJZX0lORFVTVFJZ</t>
  </si>
  <si>
    <t>AQAAAKUSXgADAAAADUJpb3RlY2hub2xvZ3kAHfq0SSuR1gi9l0JKK5HWCDlDSVEuTkFTREFRR006U1VSRi5JUV9UT1RBTF9SRVYuMTk5Mi4xLzMxLzIwMTkuTEZSLkYuVVNELkgBAAAAtCnHEAMAAAAAANqQBz0rkdYI3kBsSiuR1gg7Q0lRLk5BU0RBUUdTOk5LLklRX1JFVkVOVUVfRVNULkNZMjAyMi4xLzMxLzIwMTkuQ09OLkYuVVNELkgBAAAADX2hDwMAAAAAAA0GCD0rkdYI8dNnSiuR1ghHQ0lRLk5BU0RBUUdNOlhPTUEuSVFfTUlOT1JJVFlfSU5URVJFU1RfVE9UQUwuMjAwMC45LzMwLzIwMTYuTEZSLkYuVVNELkgBAAAAoY8AAAMAAAAAALhCBz0rkdYIW5ZfSiuR1ggjQ0lRLjAuSVFfVFJfSU1QTElFRF9FVl9GSU5BTC4uVVNELkgFAAAAAAAAAAgAAAAYKEludmFsaWQgVHJhbnNhY3Rpb24gSWQpHfq0SSuR1giFlE1KK5HWCDlDSVEuTkFTREFRR006RkFURS5JUV9UT1RBTF9SRVYuMjAwMC4xLzMxLzIwMTkuTEZSLkYuVVNELkgBAAAAaDFXAgIAAAAFNC4xMDYBCAAAAAUAAAABMQEAAAAKMTkxNzczMTkyOQMAAAADMTYwAgAAAAIyOAQAAAABMAcAAAAJMS8zMS8yMDE5CAAAAAk5LzMwLzIwMTgJAAAAATBrhLc9K5HWCGHaUUorkdYIHENJUS4uSVFfVFJfSU1QTElFRF9FUV9OSV9MVE0FAAAAAAAAAAgAAAAUKEludmFsaWQgSWRlbnRpZmllcilaXbc9K5HWCEjyPEorkdYIMUNJUS5JUVRSMzE0ODI5MjM2</t>
  </si>
  <si>
    <t>LklRX1RSX1RBUkdFVF9SRVZFTlVFX0VTVC4uVVNELkgBAAAAtOnDEgIAAAAAAGGWtUkrkdYIMYdKSiuR1gg/Q0lRLk5BU0RBUUdNOlNVUkYuSVFfTkVUX1dPUktJTkdfQ0FQLjIwMDAuMS8zMS8yMDE5LkxGUi5GLlVTRC5IAQAAALQpxxACAAAABS0yMy4xAQgAAAAFAAAAATEBAAAACjE5MjE4MTM4OTMDAAAAAzE2MAIAAAAEMTMxMQQAAAABMAcAAAAJMS8zMS8yMDE5CAAAAAk5LzMwLzIwMTgJAAAAATDakAc9K5HWCFVSbUorkdYIOkNJUS5OQVNEQVFDTTpUR1RYLklRX1RPVEFMX0RFQlQuMjAwMC4xLzMxLzIwMTkuTEZSLkYuVVNELkgBAAAAWpSPCAIAAAAFMC4wOTEBCAAAAAUAAAABMQEAAAAKMTkyMTE3ODg0MQMAAAADMTYwAgAAAAQ0MTczBAAAAAEwBwAAAAkxLzMxLzIwMTkIAAAACTkvMzAvMjAxOAkAAAABMI3Stz0rkdYIkHdbSiuR1ggpQ0lRLklRVFI1OTcwNzc3NjUuSVFfQlVTSU5FU1NfREVTQ1JJUFRJT04BAAAAHkwjGAMAAADXA0FkaGFlcmUgUGhhcm1hY2V1dGljYWxzLCBJbmMuIGRldmVsb3BzIG5vdmVsIHNtYWxsIG1vbGVjdWxlIHRoZXJhcGV1dGljcyBmb3IgdGhlIHRyZWF0bWVudCBvZiBjYW5jZXIgYW5kIGluZmxhbW1hdG9yeSwgYW5kIGF1dG9pbW11bmUgZGlzZWFzZXMuIEl0IGZvY3VzZXMgb24gZGV2ZWxvcGluZyBub3ZlbCBjb21wb3VuZHMgdG8gcmVkdWNlIGxldWtvY3l0ZSBh</t>
  </si>
  <si>
    <t>Y3RpdmF0aW9uIGFuZCB0aXNzdWUgcmVjcnVpdG1lbnQgYXMgYSB3YXkgdG8gdHJlYXQgYSB2YXJpb3VzIGluZmxhbW1hdG9yeSBhbmQgYXV0b2ltbXVuZSBkaXNlYXNlcy4gVGhlIGNvbXBhbnkgd2FzIGZvdW5kZWQgaW4gMjAxMCBhbmQgaXMgYmFzZWQgaW4gTWlhbWksIEZsb3JpZGEuIEFzIG9mIFNlcHRlbWJlciAyMSwgMjAxOCwgQWRoYWVyZSBQaGFybWFjZXV0aWNhbHMsIEluYy4gb3BlcmF0ZXMgYXMgYSBzdWJzaWRpYXJ5IG9mIEdvc3NhbWVyIEJpbywgSW5jLgAuIbVJK5HWCBDvR0orkdYINUNJUS5OQVNEQVFDTTpUR1RYLklRX0RBX0NGLjIwMDAuMS8zMS8yMDE5LkxGUi5GLlVTRC5IAQAAAFqUjwgCAAAACDAuMDg0MzU1AQgAAAAFAAAAATEBAAAACjE5MjExNzg4NDEDAAAAAzE2MAIAAAAEMjE2MAQAAAABMAcAAAAJMS8zMS8yMDE5CAAAAAk5LzMwLzIwMTgJAAAAATCN0rc9K5HWCG1zXUorkdYIOkNJUS5OQVNEQVFHUzpOSy5JUV9UT1RBTF9FUVVJVFkuMTk5Mi4xLzMxLzIwMTkuTEZSLkYuVVNELkgBAAAADX2hDwIAAAAHMzEwLjg5MQEIAAAABQAAAAExAQAAAAoxODY0NDQzNzc5AwAAAAMxNjACAAAABDEyNzUEAAAAATAHAAAACTEvMzEvMjAxOQgAAAAJOS8zMC8yMDE2CQAAAAEwyWkHPSuR1gho5WhKK5HWCD1DSVEuTkFTREFRR006WE9NQS5JUV9SRVZFTlVFX0VTVC5DWTIwMjEuMS8zMS8y</t>
  </si>
  <si>
    <t>MDE5LkNPTi5GLlVTRC5IAQAAAKGPAAACAAAACDIzLjQ4ODMzAQ4AAAAFAAAAAjExAQAAAAEwAgAAAAoxMDAxNTM1ODkxAwAAAAYxMDAxODAEAAAAATIGAAAAATAHAAAAAzE2MAgAAAABMAkAAAABMQoAAAABMAsAAAALMTEyNTA1MjQ3NzcMAAAAATcNAAAACDIvMS8yMDE5EAAAAAkxLzMxLzIwMTkNBgg9K5HWCMI2XkorkdYIFkNJUS4wLklRX1RSX1RBUkdFVE5BTUUFAAAAAAAAAAgAAAAYKEludmFsaWQgVHJhbnNhY3Rpb24gSWQpHfq0SSuR1gh0bU1KK5HWCCdDSVEuTkFTREFRQ006T05DUy5JUV9CRVRBXzJZUi4xLzMxLzIwMTkBAAAA4+PaAgIAAAARMC40MjMxMzkxMjg4NzM3NTQAHi0IPSuR1ghYdGZKK5HWCDtDSVEuTkFTREFRR006WE9NQS5JUV9FQklUX01BUkdJTi4yMDAwLjEvMzEvMjAxOS5MRlIuRi5VU0QuSAEAAAChjwAAAgAAAAktMTU2Ljk3MjQBCAAAAAUAAAABMQEAAAAKMTkxOTkyODEyNAMAAAADMTYwAgAAAAQ0MDUzBAAAAAEwBwAAAAkxLzMxLzIwMTkIAAAACTkvMzAvMjAxOAkAAAABMLhCBz0rkdYI9ateSiuR1gg4Q0lRLk5BU0RBUUNNOlNUTUwuSVFfRUJJVERBLkNZMjAxOC4xLzMxLzIwMTkuTEZSLkYuVVNELkgBAAAAL6idAAMAAAAAAHyrtz0rkdYIxKJZSiuR1ghHQ0lRLk5BU0RBUUNNOlNUTUwuSVFfTUlOT1JJVFlfSU5URVJFU1RfVE9UQUwuMjAwMC45LzMwLzIwMTYuTEZSLkYu</t>
  </si>
  <si>
    <t>VVNELkgBAAAAL6idAAMAAAAAAHyrtz0rkdYITNtaSiuR1ggiQ0lRLklRVFIzODQwMjg0OTYuSVFfVFJfVEFSR0VUTkFNRQEAAABQz+MWAwAAABtWaXRhZSBQaGFybWFjZXV0aWNhbHMsIEluYy4AUG+1SSuR1giak0RKK5HWCC5DSVEuTkFTREFRR1M6VEhPUi5JUV9NQVJLRVRDQVAuMS8zMS8yMDE5LlVTRC5IAQAAALhftw8CAAAACjQ0MS44OTcwMTkBBgAAAAUAAAABMQEAAAAKMTkyMjU0ODM2OAMAAAADMTYwAgAAAAYxMDAwNTQEAAAAATAHAAAACTEvMzEvMjAxOVpdtz0rkdYIYCRUSiuR1ggvQ0lRLklRVFI1ODAyOTgwNDkuSVFfVFJfVEFSR0VUX1RPVEFMX1JFVi4uVVNELkgBAAAAQaWWIgIAAAAAAC4htUkrkdYI4JtASiuR1gg7Q0lRLk5BU0RBUUdNOlNVUkYuSVFfUFJFRl9FUVVJVFkuMjAwMC45LzMwLzIwMTYuTEZSLkYuVVNELkgBAAAAtCnHEAMAAAAAANqQBz0rkdYIme5tSiuR1ggiQ0lRLklRVFI1NTgzMDg3MjkuSVFfVFJfVEFSR0VUTkFNRQEAAAB5HUchAwAAAA5SZWJpb3RpeCwgSW5jLgA/SLVJK5HWCEKuSkorkdYIRENJUS5OQVNEQVFHUzpOSy5JUV9UT1RBTF9SRVZfMllSX0FOTl9DQUdSLjIwMDAuMS8zMS8yMDE5LkxGUi5GLlVTRC5IAQAAAA19oQ8CAAAABjguNzExNQEIAAAABQAAAAExAQAAAAoxOTE5OTY2NTAzAwAAAAMxNjACAAAABDQyMDcEAAAAATAHAAAACTEvMzEvMjAxOQgAAAAJ</t>
  </si>
  <si>
    <t>OS8zMC8yMDE4CQAAAAEwyWkHPSuR1giKM2lKK5HWCCJDSVEuSVFUUjQzMDEwOTU2Mi5JUV9UUl9UT1RBTF9DQVNIAQAAAHrzohkCAAAABTE1MS45AQYAAAAFAAAAAjU0AQAAAAYxMDEwNTYCAAAACTQzMDEwOTU2MgMAAAAJNDMwMTEwMDkzBAAAAAMxNjAGAAAABUZhbHNlP0i1SSuR1gh22UhKK5HWCCxDSVEuSVFUUjI4Mzc4MjcxMy5JUV9UUl9UQVJHRVRfRUJJVERBLi5VU0QuSAEAAAA5LuoQAgAAAAU3NDYuOAEGAAAABQAAAAIzNwEAAAAKMTcxODc1MDc3MAIAAAAFMjE2NzcDAAAAAzE2MAQAAAABMAcAAAAIMS8xLzE5MDBhlrVJK5HWCGZoRkorkdYIG0NJUS5OQVNEQVFHUzpOSy5JUV9FWENIQU5HRQEAAAANfaEPAwAAAAhOYXNkYXFHUwCnGwc9K5HWCL5eZ0orkdYIIENJUS5JUVRSNTYzOTE5MDQ5LklRX1RSX0VBUk5PVVRTAQAAAMm4nCECAAAAAAA/SLVJK5HWCCQ4QUorkdYIO0NJUS5OQVNEQVFDTTpUR1RYLklRX1RPVEFMX1JFVi5DWTIwMTguMS8zMS8yMDE5LkxGUi5GLlVTRC5IAQAAAFqUjwgDAAAAAACN0rc9K5HWCLLFW0orkdYII0NJUS5JUVRSNDE4MDgzMzQzLklRX1RSX1RPVEFMX1NUT0NLAQAAAA9y6xgCAAAAAABQb7VJK5HWCJdxS0orkdYIMUNJUS5JUVRSMzg0MDI4NDk2LklRX1RSX1RBUkdFVF9SRVZFTlVFX0VTVC4uVVNELkgBAAAAUM/jFgIAAAAGMC4xMzQ1AFBvtUkrkdYI3i9FSiuR</t>
  </si>
  <si>
    <t>1gg5Q0lRLk5BU0RBUUNNOlNUTUwuSVFfTklfTUFSR0lOLjIwMDAuMS8zMS8yMDE5LkxGUi5GLlVTRC5IAQAAAC+onQADAAAAAk5NAQgAAAAFAAAAATEBAAAACjE5MjA0NDA2MjUDAAAAAzE2MAIAAAAENDA5NAQAAAABMAcAAAAJMS8zMS8yMDE5CAAAAAk5LzMwLzIwMTgJAAAAATB8q7c9K5HWCObwWUorkdYIO0NJUS5OQVNEQVFDTTpDVUUuSVFfRUFSTklOR19DTy5DWTIwMTguMS8zMS8yMDE5LkxGUi5GLlVTRC5IAQAAAKZm6BgDAAAAAADJaQc9K5HWCFkqZEorkdYIHUNJUS4lVVNQTVJULklRX0xBU1RTQUxFUFJJQ0UuAQAAAFntWgACAAAAAzUuNQBaXbc9K5HWCGpAPUorkdYIL0NJUS5JUVRSNDAyNDY4MzQzLklRX1RSX1RBUkdFVF9UT1RBTF9SRVYuLlVTRC5IAQAAAPct/RcCAAAAAABQb7VJK5HWCMucSUorkdYIPENJUS5OQVNEQVFHUzpGUFJYLklRX0VCSVREQV9FU1QuQ1kyMDE5LjEvMzEvMjAxOS5DT04uRi5VU0QuSAEAAAA3XTMAAgAAAAgtMjAyLjc3MQEOAAAABQAAAAIxMQEAAAABMAIAAAAKMTAwMTk1NjM0OQMAAAAGMTAwMTg3BAAAAAEyBgAAAAEwBwAAAAMxNjAIAAAAATAJAAAAATEKAAAAATALAAAACzExMTY0NzgxMzE4DAAAAAE3DQAAAAgyLzEvMjAxORAAAAAJMS8zMS8yMDE5DQYIPSuR1gj09WBKK5HWCCJDSVEuSVFUUjUyODU2OTEyMi5JUV9UUl9QQ1RfU09VR0hUAQAAACJTgR8CAAAA</t>
  </si>
  <si>
    <t>AzEwMAA/SLVJK5HWCL2XQkorkdYIOENJUS5OQVNEQVFDTTpDVUUuSVFfTklfTUFSR0lOLjIwMDAuMS8zMS8yMDE5LkxGUi5GLlVTRC5IAQAAAKZm6BgDAAAAAk5NAQgAAAAFAAAAATEBAAAACjE5MjE5NDA5MDADAAAAAzE2MAIAAAAENDA5NAQAAAABMAcAAAAJMS8zMS8yMDE5CAAAAAk5LzMwLzIwMTgJAAAAATDJaQc9K5HWCBWOY0orkdYIOUNJUS5OQVNEQVFDTTpPTkNTLklRX1RPVEFMX1JFVi4xOTkyLjEvMzEvMjAxOS5MRlIuRi5VU0QuSAEAAADj49oCAwAAAAAAyWkHPSuR1gjQO2VKK5HWCDBDSVEuTkFTREFRQ006VEdUWC5JUV9MQVNUU0FMRVBSSUNFLjEvMzEvMjAxOS5VU0QBAAAAWpSPCAIAAAADNC4xAFpdtz0rkdYIkHdbSiuR1gg8Q0lRLk5BU0RBUUNNOlRHVFguSVFfVE9UQUxfRVFVSVRZLjE5OTIuMS8zMS8yMDE5LkxGUi5GLlVTRC5IAQAAAFqUjwgCAAAACTU2Ljc1NDcyMQEIAAAABQAAAAExAQAAAAoxODY1MTI5NjkyAwAAAAMxNjACAAAABDEyNzUEAAAAATAHAAAACTEvMzEvMjAxOQgAAAAJOS8zMC8yMDE2CQAAAAEwjdK3PSuR1gg6/lxKK5HWCBhDSVEuLklRX0ZJUlNUUFJJQ0lOR0RBVEUFAAAAAAAAAAgAAAAUKEludmFsaWQgSWRlbnRpZmllcilaXbc9K5HWCCXuPkorkdYILENJUS5JUVRSNTI5MTkxODgwLklRX1RSX1RBUkdFVF9FQklUREEuLlVTRC5IAQAAAMjTih8CAAAACS0zLjIy</t>
  </si>
  <si>
    <t>OTkzNgEGAAAABQAAAAIzNwEAAAAKMTg1MzY2NTE0OQIAAAAFMjE2NzcDAAAAAzE2MAQAAAABMAcAAAAIMS8xLzE5MDA/SLVJK5HWCENkSEorkdYIKUNJUS5JUTM2MTgzODI4LklRX0xBU1RTQUxFUFJJQ0UuMS8zMS8yMDE5AQAAABQfKAICAAAABDIuNDMAHfq0SSuR1gjrfk5KK5HWCC1DSVEuTkFTREFRQ006U1RNTC5JUV9ESVZJREVORF9ZSUVMRC4xLzMxLzIwMTkBAAAAL6idAAMAAAAAAFpdtz0rkdYIGWZaSiuR1ggkQ0lRLk5BU0RBUUdNOkNSVlMuSVFfRUZGRUNUX1RBWF9SQVRFAQAAAPSwphADAAAAAADakAc9K5HWCJqka0orkdYINENJUS5OQVNEQVFDTTpDVUUuSVFfQ0FQRVguMjAwMC4xLzMxLzIwMTkuTEZSLkYuVVNELkgBAAAApmboGAIAAAAJLTEuNzUyOTQyAQgAAAAFAAAAATEBAAAACjE5MjE5NDA5MDADAAAAAzE2MAIAAAAEMjAyMQQAAAABMAcAAAAJMS8zMS8yMDE5CAAAAAk5LzMwLzIwMTgJAAAAATDJaQc9K5HWCDfcY0orkdYIOUNJUS5OQVNEQVFDTTpUR1RYLklRX1RPVEFMX1JFVi4xOTk2LjEvMzEvMjAxOS5MRlIuRi5VU0QuSAEAAABalI8IAgAAAAgwLjE1MjA5NQEIAAAABQAAAAExAQAAAAoxOTIxMTc4ODIzAwAAAAMxNjACAAAAAjI4BAAAAAEwBwAAAAkxLzMxLzIwMTkIAAAACTkvMzAvMjAxNwkAAAABMI3Stz0rkdYIoZ5bSiuR1ggVQ0lRLi5JUV9UUl9UT1RBTF9DQVNIBQAAAAAA</t>
  </si>
  <si>
    <t>AAAIAAAAFChJbnZhbGlkIElkZW50aWZpZXIpWl23PSuR1ghZGT1KK5HWCDxDSVEuTkFTREFRQ006U1RNTC5JUV9FQklUREFfRVNULkNZMjAxOS4xLzMxLzIwMTkuQ09OLkYuVVNELkgBAAAAL6idAAIAAAAJLTg0Ljg1NTI0AQ4AAAAFAAAAAjExAQAAAAEwAgAAAAoxMDAxODU4NDg0AwAAAAYxMDAxODcEAAAAATIGAAAAATAHAAAAAzE2MAgAAAABMAkAAAABMQoAAAABMAsAAAALMTEyMDc1MzQxMjkMAAAAATcNAAAACDIvMS8yMDE5EAAAAAkxLzMxLzIwMTmN0rc9K5HWCNXJWUorkdYIJUNJUS5OQVNEQVFHUzpOSy5JUV9CRVRBXzFZUi4xLzMxLzIwMTkBAAAADX2hDwIAAAAQMi4yMjYxMDgxODU1NTIzNQAeLQg9K5HWCEaXaEorkdYIKkNJUS5JUVRSNTQ3ODI5OTQ5LklRX1RSX1RBUkdFVF9FQklULi5VU0QuSAEAAAC9OKcgAgAAAAgtMC4wMjk2OQEGAAAABQAAAAIzNwEAAAAKMTgyMTM1MTI3NQIAAAAFMjE2NzUDAAAAAzE2MAQAAAABMAcAAAAIMS8xLzE5MDBQb7VJK5HWCHhFREorkdYIP0NJUS5OQVNEQVFHTTpGQVRFLklRX05FVF9XT1JLSU5HX0NBUC4xOTk2LjEvMzEvMjAxOS5MRlIuRi5VU0QuSAEAAABoMVcCAgAAAAYtOC44OTEBCAAAAAUAAAABMQEAAAAKMTkxNzczMTg5OQMAAAADMTYwAgAAAAQxMzExBAAAAAEwBwAAAAkxLzMxLzIwMTkIAAAACTkvMzAvMjAxNwkAAAABMGuEtz0rkdYItp1SSiuR</t>
  </si>
  <si>
    <t>1ggpQ0lRLklRVFIzMTQ4MjkyMzYuSVFfQlVTSU5FU1NfREVTQ1JJUFRJT04BAAAARObDEgMAAACKA0FkbXVuZSBUaGVyYXBldXRpY3MgTExDLCBhIGNsaW5pY2FsLXN0YWdlIGJpb3RlY2ggY29tcGFueSwgZGV2ZWxvcHMgYW5kIGRlbGl2ZXJzIGN5dG9raW5lIHRoZXJhcHkgZHJ1Z3MgZm9yIHRoZSB0cmVhdG1lbnQgb2YgdmFyaW91cyBjYW5jZXJzLiBJdCBmb2N1c2VzIG9uIGhldGVyb2RpbWVyaWMgSUwtMTUsIGFuIElMLTE1IGFnb25pc3QgZm9yIHZhcmlvdXMgYXBwbGljYXRpb25zIGluIGNhbmNlciBpbW11bm90aGVyYXB5LiBUaGUgY29tcGFueSBpcyBiYXNlZCBpbiBEYW52ZXJzLCBNYXNzYWNodXNldHRzLiBBcyBvZiBPY3RvYmVyIDE2LCAyMDE1LCBBZG11bmUgVGhlcmFwZXV0aWNzIExMQyBvcGVyYXRlcyBhcyBhIHN1YnNpZGlhcnkgb2YgTm92YXJ0aXMgSW50ZXJuYXRpb25hbCBBRy4ALiG1SSuR1ggxh0pKK5HWCENDSVEuKElOVkFMSUQgSURFTlRJRklFUikuSVFfRUJJVERBX0VTVC5DWTIwMjAuMS8zMS8yMDE5LkNPTi5GLlVTRC5IBQAAAAAAAAAIAAAAFChJbnZhbGlkIElkZW50aWZpZXIpHi0IPSuR1ghZTLJKK5HWCClDSVEuSVEzNjE4MzgzMS5JUV9MQVNUU0FMRVBSSUNFLjEvMzEvMjAxOQEAAAAXHygCAgAAAAQyLjQzAB36tEkrkdYI635OSiuR1ggpQ0lRLklRVFI0MzAxMDk1NjIu</t>
  </si>
  <si>
    <t>SVFfVFJfSU1QTElFRF9FUV9OSV9MVE0BAAAAevOiGQIAAAAAAD9ItUkrkdYImCdJSiuR1ggiQ0lRLklRVFIzMTQ4MjkyMzYuSVFfVFJfUENUX1NPVUdIVAEAAAC06cMSAgAAAAMxMDAAUG+1SSuR1gj+EUpKK5HWCD5DSVEuTkFTREFRR006RkFURS5JUV9DQVNIX1NUX0lOVkVTVC4yMDAwLjEvMzEvMjAxOS5MRlIuRi5VU0QuSAEAAABoMVcCAgAAAAcyMTEuMTkyAQgAAAAFAAAAATEBAAAACjE5MTc3MzE5MjkDAAAAAzE2MAIAAAAEMTAwMgQAAAABMAcAAAAJMS8zMS8yMDE5CAAAAAk5LzMwLzIwMTgJAAAAATBrhLc9K5HWCGHaUUorkdYIL0NJUS5JUVRSMjk2NjI4ODE3LklRX1RSX1RBUkdFVF9UT1RBTF9SRVYuLlVTRC5IAQAAAFEyrhECAAAAAABhlrVJK5HWCEH4TEorkdYIJUNJUS5JUVRSNTgwMjk4MDQ5LklRX1RSX01BSl9NSU5fU1RBS0UBAAAAQaWWIgMAAAAITWFqb3JpdHkALiG1SSuR1gjPdEBKK5HWCDhDSVEuTkFTREFRQ006VEdUWC5JUV9FQklUREEuQ1kyMDE3LjEvMzEvMjAxOS5MRlIuRi5VU0QuSAEAAABalI8IAgAAAAstMTE4LjYyOTM5NgEIAAAABQAAAAExAQAAAAoxODc4NjMxNzY1AwAAAAMxNjACAAAABDQwNTEEAAAAATAHAAAACTEvMzEvMjAxOQgAAAAKMTIvMzEvMjAxNwkAAAABMI3Stz0rkdYI1BNcSiuR1ggiQ0lRLklRVFIyODM3ODI3MTMuSVFfVFJfVEFSR0VUTkFNRQEAAAA5LuoQ</t>
  </si>
  <si>
    <t>AwAAAAxIb3NwaXJhIEluYy4AYZa1SSuR1ggz80VKK5HWCENDSVEuTkFTREFRR006RkFURS5JUV9FQklUREFfM1lSX0FOTl9DQUdSLjIwMDAuMS8zMS8yMDE5LkxGUi5GLlVTRC5IAQAAAGgxVwIDAAAAAk5NAQgAAAAFAAAAATEBAAAACjE5MTc3MzE5MjkDAAAAAzE2MAIAAAAENDIyMgQAAAABMAcAAAAJMS8zMS8yMDE5CAAAAAk5LzMwLzIwMTgJAAAAATBrhLc9K5HWCC2vU0orkdYII0NJUS5JUVRSNTI5MTkxODgwLklRX1RSX0NMT1NFRF9EQVRFAQAAAMjTih8FAAAACTkvMTkvMjAxNwA/SLVJK5HWCBDvR0orkdYINkNJUS5OQVNEQVFDTTpDVUUuSVFfUEVSSU9EREFURV9JUy4yMDAwLjEvMzEvMjAxOS5MRlIuRgEAAACmZugYBQAAAAk5LzMwLzIwMTgAuEIHPSuR1givo2JKK5HWCENDSVEuTkFTREFRR006Q1JWUy5JUV9FQklUREFfMllSX0FOTl9DQUdSLjIwMDAuMS8zMS8yMDE5LkxGUi5GLlVTRC5IAQAAAPSwphADAAAAAk5NAQgAAAAFAAAAATEBAAAACjE5MTc4MzQ0OTQDAAAAAzE2MAIAAAAENDIwOQQAAAABMAcAAAAJMS8zMS8yMDE5CAAAAAk5LzMwLzIwMTgJAAAAATDakAc9K5HWCKvLa0orkdYIPkNJUS5OQVNEQVFHTTpGQVRFLklRX0NBU0hfU1RfSU5WRVNULjIwMDAuOS8zMC8yMDE2LkxGUi5GLlVTRC5IAQAAAGgxVwICAAAABTQ1LjkzAQgAAAAFAAAAATEBAAAACjE4MDIzODA0MDQDAAAAAzE2</t>
  </si>
  <si>
    <t>MAIAAAAEMTAwMgQAAAABMAcAAAAJOS8zMC8yMDE2CAAAAAk2LzMwLzIwMTYJAAAAATBrhLc9K5HWCAthU0orkdYINkNJUS5OQVNEQVFHTTpDUlZTLklRX0VCSVREQS4xOTk2LjEvMzEvMjAxOS5MRlIuRi5VU0QuSAEAAAD0sKYQAgAAAActNTQuNzc3AQgAAAAFAAAAATEBAAAACjE5MTc4MzQ0ODcDAAAAAzE2MAIAAAAENDA1MQQAAAABMAcAAAAJMS8zMS8yMDE5CAAAAAk5LzMwLzIwMTcJAAAAATDakAc9K5HWCPAdakorkdYIQkNJUS5OQVNEQVFDTTpDVUUuSVFfRUJJVERBXzNZUl9BTk5fQ0FHUi4yMDAwLjEvMzEvMjAxOS5MRlIuRi5VU0QuSAEAAACmZugYAwAAAAAAyWkHPSuR1gidxmRKK5HWCDxDSVEuTkFTREFRQ006U1RNTC5JUV9UT1RBTF9FUVVJVFkuMTk5Mi4xLzMxLzIwMTkuTEZSLkYuVVNELkgBAAAAL6idAAIAAAAJNjUuODA1NjI4AQgAAAAFAAAAATEBAAAACjE4NjQ4NjU5MTADAAAAAzE2MAIAAAAEMTI3NQQAAAABMAcAAAAJMS8zMS8yMDE5CAAAAAk5LzMwLzIwMTYJAAAAATB8q7c9K5HWCCqNWkorkdYIPUNJUS5OQVNEQVFHTTpTVVJGLklRX0VCSVREQV9NQVJHSU4uMjAwMC4xLzMxLzIwMTkuTEZSLkYuVVNELkgBAAAAtCnHEAIAAAAILTMxLjg3MjkBCAAAAAUAAAABMQEAAAAKMTkyMTgxMzg5MwMAAAADMTYwAgAAAAQ0MDQ3BAAAAAEwBwAAAAkxLzMxLzIwMTkIAAAACTkvMzAvMjAxOAkA</t>
  </si>
  <si>
    <t>AAABMNqQBz0rkdYIMwRtSiuR1gg2Q0lRLk5BU0RBUUdNOkZBVEUuSVFfRUJJVERBLjE5OTIuMS8zMS8yMDE5LkxGUi5GLlVTRC5IAQAAAGgxVwICAAAABy0zMC4zMzMBCAAAAAUAAAABMQEAAAAKMTg2MzYwMTcwOAMAAAADMTYwAgAAAAQ0MDUxBAAAAAEwBwAAAAkxLzMxLzIwMTkIAAAACTkvMzAvMjAxNgkAAAABMGuEtz0rkdYIgyhSSiuR1ggdQ0lRLk5BU0RBUUdNOlhPTUEuSVFfRVhDSEFOR0UBAAAAoY8AAAMAAAAITmFzZGFxR00AWl23PSuR1gh+ml1KK5HWCCtDSVEuSVFUUjU5NzA3Nzc2NS5JUV9UUl9UT1RBTF9HUk9TU19UVi4uVVNEAQAAAAWvliMCAAAABDY5LjUBBgAAAAUAAAACNTQBAAAABjEwMjA4OAIAAAAJNTk3MDc3NzY1AwAAAAk1OTcwNzk4NjkEAAAAAzE2MAYAAAAFRmFsc2UuIbVJK5HWCP/HR0orkdYILkNJUS5JUVRSMjk2NjI4ODE3LklRX1RSX1RBUkdFVF9TVE9DS1BSRU1JVU1fMU0BAAAAUTKuEQIAAAAAAGGWtUkrkdYIdG1NSiuR1ggpQ0lRLklRMzYxODM4MTMuSVFfTEFTVFNBTEVQUklDRS4xLzMxLzIwMTkBAAAABR8oAgIAAAAEMi40MgAd+rRJK5HWCNpXTkorkdYIMUNJUS5JUVRSNDMwMTA5NTYyLklRX1RSX1RBUkdFVF9SRVZFTlVFX0VTVC4uVVNELkgBAAAAevOiGQIAAAAAAD9ItUkrkdYImCdJSiuR1ggrQ0lRLklRVFI1Mjg1NjkxMjIuSVFfVFJfVE9UQUxfR1JPU1NfVFYu</t>
  </si>
  <si>
    <t>LlVTRAEAAAAiU4EfAgAAAAMyOTABBgAAAAUAAAACNTQBAAAABjEwMjA4OAIAAAAJNTI4NTY5MTIyAwAAAAk1Mjg1Njk0NTIEAAAAAzE2MAYAAAAFRmFsc2U/SLVJK5HWCN/lQkorkdYIKkNJUS5JUVRSNTUwMjU5Mzk3LklRX1RSX1RBUkdFVF9FQklULi5VU0QuSAEAAADFSswgAgAAAAgtNDQzLjc3NgEGAAAABQAAAAIzNwEAAAAKMTg3NjU2NTUyOAIAAAAFMjE2NzUDAAAAAzE2MAQAAAABMAcAAAAIMS8xLzE5MDA/SLVJK5HWCIoiQkorkdYIPUNJUS4oSU5WQUxJRCBJREVOVElGSUVSKS5JUV9FQklUREEuMTk5Ni4xLzMxLzIwMTkuTEZSLkYuVVNELkgFAAAAAAAAAAgAAAAUKEludmFsaWQgSWRlbnRpZmllcin83gc9K5HWCEglskorkdYIOENJUS5OQVNEQVFHTTpDUlZTLklRX0VCSVREQS5DWTIwMTcuMS8zMS8yMDE5LkxGUi5GLlVTRC5IAQAAAPSwphACAAAABy01NS42ODIBCAAAAAUAAAABMQEAAAAKMTg3NzIyMDgwNQMAAAADMTYwAgAAAAQ0MDUxBAAAAAEwBwAAAAkxLzMxLzIwMTkIAAAACjEyLzMxLzIwMTcJAAAAATDakAc9K5HWCAFFakorkdYIIkNJUS5JUVRSNTI4NTY5MTIyLklRX1RSX1RBUkdFVE5BTUUBAAAAIlOBHwMAAAAcQWx0b3IgQmlvU2NpZW5jZSBDb3Jwb3JhdGlvbgA/SLVJK5HWCL2XQkorkdYIJUNJUS5JUVRSMzE0ODI5MjM2LklRX1RSX01BSl9NSU5fU1RBS0UBAAAAtOnDEgMAAAAI</t>
  </si>
  <si>
    <t>TWFqb3JpdHkAUG+1SSuR1gj+EUpKK5HWCC5DSVEuTkFTREFRQ006T05DUy5JUV9NQVJLRVRDQVAuMS8zMS8yMDE5LlVTRC5IAQAAAOPj2gICAAAACTU2Ljc2NjE2MgEGAAAABQAAAAExAQAAAAoxOTM0NDkzMjI5AwAAAAMxNjACAAAABjEwMDA1NAQAAAABMAcAAAAJMS8zMS8yMDE5pxsHPSuR1gi/FGVKK5HWCCJDSVEuSVFUUjQxOTg2NDMwMS5JUV9UUl9UQVJHRVROQU1FAQAAAO2eBhkDAAAAEkltbXVub21lZGljcywgSW5jLgA/SLVJK5HWCAE0Q0orkdYIOUNJUS5OQVNEQVFHTTpGQVRFLklRX1RPVEFMX1JFVi4xOTk2LjEvMzEvMjAxOS5MRlIuRi5VU0QuSAEAAABoMVcCAgAAAAU0LjEwNgEIAAAABQAAAAExAQAAAAoxOTE3NzMxODk5AwAAAAMxNjACAAAAAjI4BAAAAAEwBwAAAAkxLzMxLzIwMTkIAAAACTkvMzAvMjAxNwkAAAABMGuEtz0rkdYIYdpRSiuR1gguQ0lRLk5BU0RBUUNNOlpJT1AuSVFfTUFSS0VUQ0FQLjEvMzEvMjAxOS5VU0QuSAEAAACzUbIAAgAAAAozMTYuMzIyNTM2AQYAAAAFAAAAATEBAAAACjE5MjA1MzcyNDYDAAAAAzE2MAIAAAAGMTAwMDU0BAAAAAEwBwAAAAkxLzMxLzIwMTlaXbc9K5HWCIG8VkorkdYIKENJUS5OQVNEQVFDTTpUR1RYLklRX1RFVi4xLzMxLzIwMTkuVVNELkgBAAAAWpSPCAIAAAAKMjE3LjM0MDcxNgEGAAAABQAAAAExAQAAAAoxOTIxMTc4MDkwAwAAAAMxNjAC</t>
  </si>
  <si>
    <t>AAAABjEwMDA2MAQAAAABMAcAAAAJMS8zMS8yMDE5Wl23PSuR1giQd1tKK5HWCDpDSVEuTkFTREFRR006RkFURS5JUV9FQVJOSU5HX0NPLjE5OTYuMS8zMS8yMDE5LkxGUi5GLlVTRC5IAQAAAGgxVwICAAAABy0zOC4zOTUBCAAAAAUAAAABMQEAAAAKMTkxNzczMTg5OQMAAAADMTYwAgAAAAE3BAAAAAEwBwAAAAkxLzMxLzIwMTkIAAAACTkvMzAvMjAxNwkAAAABMGuEtz0rkdYI6RJTSiuR1ggrQ0lRLklRVFIzMjg5Nzg1MTkuSVFfVFJfSU1QTElFRF9FVl9FQklUX0ZXRAEAAABX0JsTAgAAAAAAUG+1SSuR1ggfqkxKK5HWCCpDSVEuSVFUUjMyNjk5NTQwOC5JUV9UUl9UQVJHRVRfRUJJVC4uVVNELkgBAAAA0I19EwIAAAAAAFBvtUkrkdYIEaVFSiuR1gg2Q0lRLk5BU0RBUUdTOk5LLklRX0VCSVREQS5DWTIwMTcuMS8zMS8yMDE5LkxGUi5GLlVTRC5IAQAAAA19oQ8CAAAABy05My41NTQBCAAAAAUAAAABMQEAAAAKMTg3ODAxMjU5NwMAAAADMTYwAgAAAAQ0MDUxBAAAAAEwBwAAAAkxLzMxLzIwMTkIAAAACjEyLzMxLzIwMTcJAAAAATDJaQc9K5HWCAL7Z0orkdYIO0NJUS5OQVNEQVFHUzpOS1RSLklRX0VCSVRfTUFSR0lOLjIwMDAuMS8zMS8yMDE5LkxGUi5GLlVTRC5IAQAAAOl0AAACAAAABjYyLjg0MgEIAAAABQAAAAExAQAAAAoxOTIwNTQwNTEzAwAAAAMxNjACAAAABDQwNTMEAAAAATAHAAAACTEvMzEv</t>
  </si>
  <si>
    <t>MjAxOQgAAAAJOS8zMC8yMDE4CQAAAAEwa4S3PSuR1giE3k9KK5HWCDNDSVEuTkFTREFRR1M6TksuSVFfQ0FQRVguMTk5Mi4xLzMxLzIwMTkuTEZSLkYuVVNELkgBAAAADX2hDwIAAAAGLTYuMTU3AQgAAAAFAAAAATEBAAAACjE4NjQ0NDM3NzkDAAAAAzE2MAIAAAAEMjAyMQQAAAABMAcAAAAJMS8zMS8yMDE5CAAAAAk5LzMwLzIwMTYJAAAAATDJaQc9K5HWCDVwaEorkdYIL0NJUS5JUVRSNTI4NTY5MTIyLklRX1RSX1RBUkdFVF9UT1RBTF9SRVYuLlVTRC5IAQAAACJTgR8CAAAAAAA/SLVJK5HWCN/lQkorkdYIFUNJUS4wLklRX1RSX0JVWUVSTkFNRQUAAAAAAAAACAAAABgoSW52YWxpZCBUcmFuc2FjdGlvbiBJZCkd+rRJK5HWCHRtTUorkdYIOkNJUS5OQVNEQVFHUzpUSE9SLklRX0VBUk5JTkdfQ08uMTk5Ni4xLzMxLzIwMTkuTEZSLkYuVVNELkgBAAAAuF+3DwIAAAAGLTMuMTI4AQgAAAAFAAAAATEBAAAACjE5MjI1OTQwMTcDAAAAAzE2MAIAAAABNwQAAAABMAcAAAAJMS8zMS8yMDE5CAAAAAoxMi8zMS8yMDE2CQAAAAEwfKu3PSuR1ggKq1VKK5HWCDpDSVEuTkFTREFRR006U1VSRi5JUV9UT1RBTF9ERUJULjIwMDAuMS8zMS8yMDE5LkxGUi5GLlVTRC5IAQAAALQpxxACAAAAATABCAAAAAUAAAABMQEAAAAKMTkyMTgxMzg5MwMAAAADMTYwAgAAAAQ0MTczBAAAAAEwBwAAAAkxLzMxLzIwMTkIAAAACTkv</t>
  </si>
  <si>
    <t>MzAvMjAxOAkAAAABMNqQBz0rkdYI3kBsSiuR1gglQ0lRLklRVFI1NjM5MTkwNDkuSVFfUFJJTUFSWV9JTkRVU1RSWQEAAAD2Q2wNAwAAAA1CaW90ZWNobm9sb2d5AB36tEkrkdYIExFBSiuR1ggjQ0lRLjAuSVFfVFJfVEFSR0VUX1RPVEFMX1JFVi4uVVNELkgFAAAAAAAAAAgAAAAYKEludmFsaWQgVHJhbnNhY3Rpb24gSWQpHfq0SSuR1giWu01KK5HWCCtDSVEuSVFUUjQwMjQ2ODM0My5JUV9UUl9JTVBMSUVEX0VWX0VCSVRfRldEAQAAAPct/RcCAAAAAABQb7VJK5HWCO3qSUorkdYILkNJUS5JUVRSMjgzNzgyNzEzLklRX1RSX1RBUkdFVF9TVE9DS1BSRU1JVU1fMU0BAAAAOS7qEAIAAAAHNTAuNTI3NQEGAAAABQAAAAI1NAEAAAAGMTAxMDU1AgAAAAkyODM3ODI3MTMDAAAACTI4Mzc4Mjc5MgQAAAADMTYwBgAAAAVGYWxzZWGWtUkrkdYIiLZGSiuR1ggvQ0lRLklRVFIzODQwMjg0OTYuSVFfVFJfVEFSR0VUX1RPVEFMX1JFVi4uVVNELkgBAAAAUM/jFgIAAAAIMC4zMjI0NzQBBgAAAAUAAAACMzcBAAAACjE4MDE5MzA0NzUCAAAAAjI4AwAAAAMxNjAEAAAAATAHAAAACDEvMS8xOTAwUG+1SSuR1gi84URKK5HWCB9DSVEuLklRX0dQLjIwMDAuMS8zMS8yMDE5Li4uVVNEBQAAAAAAAAAIAAAAFChJbnZhbGlkIElkZW50aWZpZXIpWl23PSuR1gjaV05KK5HWCDBDSVEuSVFUUjM4NDAyODQ5Ni5JUV9UUl9UQVJH</t>
  </si>
  <si>
    <t>RVRfRUJJVERBX0VTVC4uVVNELkgBAAAAUM/jFgIAAAAAAFBvtUkrkdYIzQhFSiuR1ghGQ0lRLk5BU0RBUUdNOkNSVlMuSVFfVE9UQUxfUkVWXzVZUl9BTk5fQ0FHUi4yMDAwLjEvMzEvMjAxOS5MRlIuRi5VU0QuSAEAAAD0sKYQAwAAAAAA2pAHPSuR1giry2tKK5HWCCVDSVEuTkFTREFRR1M6RlBSWC5JUV9GSVJTVFBSSUNJTkdEQVRFAQAAADddMwAFAAAACTkvMTgvMjAxMwC4Qgc9K5HWCJ8yYEorkdYIOkNJUS5OQVNEQVFHTTpDUlZTLklRX0VBUk5JTkdfQ08uMTk5Mi4xLzMxLzIwMTkuTEZSLkYuVVNELkgBAAAA9LCmEAIAAAAHLTMxLjMyOAEIAAAABQAAAAExAQAAAAoxODYzNzkxNTg5AwAAAAMxNjACAAAAATcEAAAAATAHAAAACTEvMzEvMjAxOQgAAAAJOS8zMC8yMDE2CQAAAAEw2pAHPSuR1ghnL2tKK5HWCCVDSVEuSVFUUjU1ODMwODcyOS5JUV9UUl9JTVBMSUVEX0VRX0JWAQAAAHkdRyECAAAAAAA/SLVJK5HWCGT8SkorkdYIKkNJUS5JUVRSNTk3MDc3NzY1LklRX1RSX1RBUkdFVF9FQklULi5VU0QuSAEAAAAFr5YjAgAAAAAALiG1SSuR1gj/x0dKK5HWCD5DSVEuTkFTREFRR1M6TktUUi5JUV9UT1RBTF9FUVVJVFkuQ1kyMDE3LjEvMzEvMjAxOS5MRlIuRi5VU0QuSAEAAADpdAAAAgAAAAY4Ny44MjgBCAAAAAUAAAABMQEAAAAKMTg3NzI3NTcyMgMAAAADMTYwAgAAAAQxMjc1BAAAAAEwBwAAAAkx</t>
  </si>
  <si>
    <t>LzMxLzIwMTkIAAAACjEyLzMxLzIwMTcJAAAAATBrhLc9K5HWCNmhUEorkdYIHUNJUS5OQVNEQVFHUzpUSE9SLklRX0VYQ0hBTkdFAQAAALhftw8DAAAACE5hc2RhcUdTAFpdtz0rkdYIT/1TSiuR1gg/Q0lRLk5BU0RBUUdNOkNSVlMuSVFfTkVUX1dPUktJTkdfQ0FQLjE5OTIuMS8zMS8yMDE5LkxGUi5GLlVTRC5IAQAAAPSwphACAAAABi00LjY4MwEIAAAABQAAAAExAQAAAAoxODYzNzkxNTg5AwAAAAMxNjACAAAABDEzMTEEAAAAATAHAAAACTEvMzEvMjAxOQgAAAAJOS8zMC8yMDE2CQAAAAEw2pAHPSuR1gg0umpKK5HWCC1DSVEuTkFTREFRR1M6RlBSWC5JUV9ESVZJREVORF9ZSUVMRC4xLzMxLzIwMTkBAAAAN10zAAMAAAAAAKcbBz0rkdYISblhSiuR1gg1Q0lRLk5BU0RBUUdTOkZQUlguSVFfQ0FQRVguMTk5Ni4xLzMxLzIwMTkuTEZSLkYuVVNELkgBAAAAN10zAAIAAAAGLTQuNDY3AQgAAAAFAAAAATEBAAAACjE5MTk3OTUxNzADAAAAAzE2MAIAAAAEMjAyMQQAAAABMAcAAAAJMS8zMS8yMDE5CAAAAAk5LzMwLzIwMTcJAAAAATC4Qgc9K5HWCDiSYUorkdYIJUNJUS5JUVRSMzI2OTk1NDA4LklRX1BSSU1BUllfSU5EVVNUUlkBAAAAlsesAAMAAAAPUGhhcm1hY2V1dGljYWxzAB36tEkrkdYI71ZFSiuR1ggpQ0lRLklRVFIzMjg5Nzg1MTkuSVFfQlVTSU5FU1NfREVTQ1JJUFRJT04BAAAA7f/aDwMAAAD1</t>
  </si>
  <si>
    <t>AlBhZGxvY2sgVGhlcmFwZXV0aWNzLCBJbmMuIGlzIGEgYmlvdGVjaG5vbG9neSBjb21wYW55IHRoYXQgZGV2ZWxvcHMgbmV3IG1lZGljaW5lcyBmb3IgZGVzdHJ1Y3RpdmUgYXV0b2ltbXVuZSBkaXNlYXNlcy4gSXQgZGV2ZWxvcHMgZHJ1Z3MgdGhhdCBibG9jayB0aGUgcHJvdGVpbi1hcmdpbmluZSBkZWltaW5hc2UgKFBBRCkgZW56eW1lcy4gVGhlIGNvbXBhbnkgd2FzIGZvdW5kZWQgaW4gMjAxNCBhbmQgaXMgYmFzZWQgaW4gQ2FtYnJpZGdlLCBNYXNzYWNodXNldHRzLiBBcyBvZiBBcHJpbCAxLCAyMDE2LCBQYWRsb2NrIFRoZXJhcGV1dGljcywgSW5jLiBvcGVyYXRlcyBhcyBhIHN1YnNpZGlhcnkgb2YgQnJpc3RvbC1NeWVycyBTcXVpYmIgQ29tcGFueS4ALiG1SSuR1ggfqkxKK5HWCD5DSVEuTkFTREFRR006Q1JWUy5JUV9DQVNIX1NUX0lOVkVTVC4yMDAwLjkvMzAvMjAxNi5MRlIuRi5VU0QuSAEAAAD0sKYQAgAAAAcxNTIuMTUyAQgAAAAFAAAAATEBAAAACjE4MDE4MDA0MjEDAAAAAzE2MAIAAAAEMTAwMgQAAAABMAcAAAAJOS8zMC8yMDE2CAAAAAk2LzMwLzIwMTYJAAAAATDakAc9K5HWCIl9a0orkdYIPENJUS5OQVNEQVFHUzpOS1RSLklRX1RPVEFMX0VRVUlUWS4xOTk2LjEvMzEvMjAxOS5MRlIuRi5VU0QuSAEAAADpdAAAAgAAAAY4NC4xNjIBCAAAAAUAAAABMQEAAAAKMTkyMDU0MDUwMwMA</t>
  </si>
  <si>
    <t>AAADMTYwAgAAAAQxMjc1BAAAAAEwBwAAAAkxLzMxLzIwMTkIAAAACTkvMzAvMjAxNwkAAAABMGuEtz0rkdYI2aFQSiuR1ggnQ0lRLk5BU0RBUUdNOlhPTUEuSVFfQkVUQV8yWVIuMS8zMS8yMDE5AQAAAKGPAAACAAAAETAuODQ4NzE5ODkyODYyMDY3AB4tCD0rkdYIKCFfSiuR1gg6Q0lRLk5BU0RBUUdNOkZBVEUuSVFfVE9UQUxfREVCVC4yMDAwLjkvMzAvMjAxNi5MRlIuRi5VU0QuSAEAAABoMVcCAgAAAAUxNC41NAEIAAAABQAAAAExAQAAAAoxODAyMzgwNDA0AwAAAAMxNjACAAAABDQxNzMEAAAAATAHAAAACTkvMzAvMjAxNggAAAAJNi8zMC8yMDE2CQAAAAEwa4S3PSuR1ggLYVNKK5HWCCFDSVEuTkFTREFRR1M6RlBSWC5JUV9DT01QQU5ZX05BTUUBAAAAN10zAAMAAAAdRml2ZSBQcmltZSBUaGVyYXBldXRpY3MsIEluYy4ApxsHPSuR1giOC2BKK5HWCD1DSVEuTkFTREFRQ006VEdUWC5JUV9SRVZFTlVFX0VTVC5DWTIwMjEuMS8zMS8yMDE5LkNPTi5GLlVTRC5IAQAAAFqUjwgCAAAABzEwNi4wMDYBDgAAAAUAAAACMTEBAAAAATACAAAACjEwMDE1NDgzMDIDAAAABjEwMDE4MAQAAAABMgYAAAABMAcAAAADMTYwCAAAAAEwCQAAAAExCgAAAAEwCwAAAAsxMTE5NzYxMDc0NQwAAAABNw0AAAAIMi8xLzIwMTkQAAAACTEvMzEvMjAxOY3Stz0rkdYIw+xbSiuR1ggdQ0lRLjAuSVFfVFJfSU1QTElFRF9FUV9O</t>
  </si>
  <si>
    <t>SV9MVE0FAAAAAAAAAAgAAAAYKEludmFsaWQgVHJhbnNhY3Rpb24gSWQpHfq0SSuR1gin4k1KK5HWCDtDSVEuTkFTREFRR1M6RlBSWC5JUV9UT1RBTF9SRVYuQ1kyMDE3LjEvMzEvMjAxOS5MRlIuRi5VU0QuSAEAAAA3XTMAAgAAAAYzOS41MDgBCAAAAAUAAAABMQEAAAAKMTg3NjEzNTk5MQMAAAADMTYwAgAAAAIyOAQAAAABMAcAAAAJMS8zMS8yMDE5CAAAAAoxMi8zMS8yMDE3CQAAAAEwuEIHPSuR1gjBgGBKK5HWCDVDSVEuTkFTREFRQ006T05DUy5JUV9DQVBFWC4xOTkyLjEvMzEvMjAxOS5MRlIuRi5VU0QuSAEAAADj49oCAgAAAAktMS4wNzkyMDgBCAAAAAUAAAABMQEAAAAKMTg2OTIxMTkxMwMAAAADMTYwAgAAAAQyMDIxBAAAAAEwBwAAAAkxLzMxLzIwMTkIAAAACjEwLzMxLzIwMTYJAAAAATDJaQc9K5HWCDYmZkorkdYIPkNJUS5OQVNEQVFDTTpTVE1MLklRX1RPVEFMX0VRVUlUWS5DWTIwMTguMS8zMS8yMDE5LkxGUi5GLlVTRC5IAQAAAC+onQADAAAAAAB8q7c9K5HWCDu0WkorkdYIOkNJUS5OQVNEQVFDTTpaSU9QLklRX0VBUk5JTkdfQ08uMTk5Ni4xLzMxLzIwMTkuTEZSLkYuVVNELkgBAAAAs1GyAAIAAAAHLTUyLjI3NAEIAAAABQAAAAExAQAAAAoxOTIwNTM3NjgwAwAAAAMxNjACAAAAATcEAAAAATAHAAAACTEvMzEvMjAxOQgAAAAJOS8zMC8yMDE3CQAAAAEwfKu3PSuR1ggaHFhKK5HWCC5D</t>
  </si>
  <si>
    <t>SVEuTkFTREFRQ006VEdUWC5JUV9NQVJLRVRDQVAuOS8zMC8yMDE2LlVTRC5IAQAAAFqUjwgCAAAACjQyMS40OTQyNjIBBgAAAAUAAAABMQEAAAAKMTgwMjg5MTQ2MgMAAAADMTYwAgAAAAYxMDAwNTQEAAAAATAHAAAACTkvMzAvMjAxNlpdtz0rkdYISyVdSiuR1gg/Q0lRLk5BU0RBUUNNOlRHVFguSVFfTkVUX1dPUktJTkdfQ0FQLjE5OTIuMS8zMS8yMDE5LkxGUi5GLlVTRC5IAQAAAFqUjwgCAAAACS02LjAzMzg5OQEIAAAABQAAAAExAQAAAAoxODY1MTI5NjkyAwAAAAMxNjACAAAABDEzMTEEAAAAATAHAAAACTEvMzEvMjAxOQgAAAAJOS8zMC8yMDE2CQAAAAEwjdK3PSuR1gj2YVxKK5HWCDZDSVEuTkFTREFRR006WE9NQS5JUV9FQklUREEuMjAwMC4xLzMxLzIwMTkuTEZSLkYuVVNELkgBAAAAoY8AAAIAAAAHLTE0LjA0NAEIAAAABQAAAAExAQAAAAoxOTE5OTI4MTI0AwAAAAMxNjACAAAABDQwNTEEAAAAATAHAAAACTEvMzEvMjAxOQgAAAAJOS8zMC8yMDE4CQAAAAEwuEIHPSuR1gjTXV5KK5HWCDpDSVEuTkFTREFRR1M6VEhPUi5JUV9UT1RBTF9ERUJULjIwMDAuMS8zMS8yMDE5LkxGUi5GLlVTRC5IAQAAALhftw8CAAAAATABCAAAAAUAAAABMQEAAAAKMTkyMjU0OTQ2OAMAAAADMTYwAgAAAAQ0MTczBAAAAAEwBwAAAAkxLzMxLzIwMTkIAAAACTkvMzAvMjAxOAkAAAABMGuEtz0rkdYIYCRUSiuR1gg6</t>
  </si>
  <si>
    <t>Q0lRLk5BU0RBUUNNOlpJT1AuSVFfVE9UQUxfREVCVC4yMDAwLjEvMzEvMjAxOS5MRlIuRi5VU0QuSAEAAACzUbIAAgAAAAEwAQgAAAAFAAAAATEBAAAACjE5MjA1Mzc3MDkDAAAAAzE2MAIAAAAENDE3MwQAAAABMAcAAAAJMS8zMS8yMDE5CAAAAAk5LzMwLzIwMTgJAAAAATB8q7c9K5HWCIG8VkorkdYIJkNJUS5OQVNEQVFDTTpDVUUuSVFfQkVUQV8xWVIuMS8zMS8yMDE5AQAAAKZm6BgCAAAAEDEuMzUyMjE1MjkzMjQ0NzUAHi0IPSuR1ghIA2RKK5HWCDxDSVEuTkFTREFRR1M6VEhPUi5JUV9FQVJOSU5HX0NPLkNZMjAxNy4xLzMxLzIwMTkuTEZSLkYuVVNELkgBAAAAuF+3DwIAAAAFLTUuODUBCAAAAAUAAAABMQEAAAAKMTkyMjU5NDAxOQMAAAADMTYwAgAAAAE3BAAAAAEwBwAAAAkxLzMxLzIwMTkIAAAACjEyLzMxLzIwMTcJAAAAATB8q7c9K5HWCAqrVUorkdYIHENJUS4uSVFfQlVTSU5FU1NfREVTQ1JJUFRJT04FAAAAAAAAAAgAAAAUKEludmFsaWQgSWRlbnRpZmllcilaXbc9K5HWCDfLPEorkdYIPUNJUS5OQVNEQVFHUzpOS1RSLklRX1JFVkVOVUVfRVNULkNZMjAxOS4xLzMxLzIwMTkuQ09OLkYuVVNELkgBAAAA6XQAAAIAAAAJMzI5LjU1MTc4AQ4AAAAFAAAAAjExAQAAAAEwAgAAAAoxMDAwMTExOTYwAwAAAAYxMDAxODAEAAAAATIGAAAAATAHAAAAAzE2MAgAAAABMAkAAAABMQoAAAABMAsAAAAL</t>
  </si>
  <si>
    <t>MTEyMzMxNjc1NTUMAAAAATcNAAAACDIvMS8yMDE5EAAAAAkxLzMxLzIwMTmN0rc9K5HWCEBCT0orkdYIK0NJUS5OWVNFOkJIVk4uSVFfVE9UQUxfREVCVC4uNS8zLzIwMTcuLi5VU0QBAAAA3GcgDwIAAAAFNS4wOTEBCAAAAAUAAAABMQEAAAAKMTg4OTA0MzM0NAMAAAADMTYwAgAAAAQ0MTczBAAAAAEwBwAAAAg1LzMvMjAxNwgAAAAJMy8zMS8yMDE3CQAAAAEwLiG1SSuR1giA9TFKK5HWCD5DSVEuTkFTREFRQ006WklPUC5JUV9DQVNIX1NUX0lOVkVTVC4yMDAwLjEvMzEvMjAxOS5MRlIuRi5VU0QuSAEAAACzUbIAAgAAAAYzMS43MjgBCAAAAAUAAAABMQEAAAAKMTkyMDUzNzcwOQMAAAADMTYwAgAAAAQxMDAyBAAAAAEwBwAAAAkxLzMxLzIwMTkIAAAACTkvMzAvMjAxOAkAAAABMHyrtz0rkdYIkuNWSiuR1ggdQ0lRLk5BU0RBUUdTOk5LVFIuSVFfRVhDSEFOR0UBAAAA6XQAAAMAAAAITmFzZGFxR1MAWl23PSuR1ggNzU5KK5HWCD9DSVEuTkFTREFRQ006U1RNTC5JUV9ORVRfV09SS0lOR19DQVAuMTk5Ni4xLzMxLzIwMTkuTEZSLkYuVVNELkgBAAAAL6idAAIAAAAILTEzLjg2NjgBCAAAAAUAAAABMQEAAAAKMTkyMDQ0MDYyMgMAAAADMTYwAgAAAAQxMzExBAAAAAEwBwAAAAkxLzMxLzIwMTkIAAAACTkvMzAvMjAxNwkAAAABMHyrtz0rkdYI9xdaSiuR1gg6Q0lRLk5BU0RBUUNNOkNVRS5JUV9FQklUX01B</t>
  </si>
  <si>
    <t>UkdJTi4yMDAwLjEvMzEvMjAxOS5MRlIuRi5VU0QuSAEAAACmZugYAwAAAAJOTQEIAAAABQAAAAExAQAAAAoxOTIxOTQwOTAwAwAAAAMxNjACAAAABDQwNTMEAAAAATAHAAAACTEvMzEvMjAxOQgAAAAJOS8zMC8yMDE4CQAAAAEwuEIHPSuR1ggVjmNKK5HWCCJDSVEuSVFUUjU4MDI5ODA0OS5JUV9UUl9QQ1RfU09VR0hUAQAAAEGlliICAAAAAzEwMAEGAAAABQAAAAI1NAEAAAAGMTAxMDI0AgAAAAk1ODAyOTgwNDkDAAAACTU4MDMwNzYzOAQAAAADMTYwBgAAAARUcnVlLiG1SSuR1gjPdEBKK5HWCDhDSVEuTkFTREFRR1M6VEhPUi5JUV9FQklUREEuQ1kyMDE3LjEvMzEvMjAxOS5MRlIuRi5VU0QuSAEAAAC4X7cPAgAAAAYtNS43MzYBCAAAAAUAAAABMQEAAAAKMTkyMjU5NDAxOQMAAAADMTYwAgAAAAQ0MDUxBAAAAAEwBwAAAAkxLzMxLzIwMTkIAAAACjEyLzMxLzIwMTcJAAAAATBrhLc9K5HWCKTAVEorkdYIOENJUS5OQVNEQVFHUzpOS1RSLklRX0VCSVREQS5DWTIwMTcuMS8zMS8yMDE5LkxGUi5GLlVTRC5IAQAAAOl0AAACAAAABi0yNC4yMgEIAAAABQAAAAExAQAAAAoxODc3Mjc1NzIyAwAAAAMxNjACAAAABDQwNTEEAAAAATAHAAAACTEvMzEvMjAxOQgAAAAKMTIvMzEvMjAxNwkAAAABMGuEtz0rkdYIYpBPSiuR1gg6Q0lRLk5BU0RBUUNNOlNUTUwuSVFfRUFSTklOR19DTy4yMDAwLjEvMzEvMjAxOS5M</t>
  </si>
  <si>
    <t>RlIuRi5VU0QuSAEAAAAvqJ0AAgAAAAotODAuMTM4NzUyAQgAAAAFAAAAATEBAAAACjE5MjA0NDA2MjUDAAAAAzE2MAIAAAABNwQAAAABMAcAAAAJMS8zMS8yMDE5CAAAAAk5LzMwLzIwMTgJAAAAATB8q7c9K5HWCBlmWkorkdYIO0NJUS5OQVNEQVFDTTpaSU9QLklRX0VCSVRfTUFSR0lOLjIwMDAuMS8zMS8yMDE5LkxGUi5GLlVTRC5IAQAAALNRsgADAAAAAk5NAQgAAAAFAAAAATEBAAAACjE5MjA1Mzc3MDkDAAAAAzE2MAIAAAAENDA1MwQAAAABMAcAAAAJMS8zMS8yMDE5CAAAAAk5LzMwLzIwMTgJAAAAATB8q7c9K5HWCNZ/V0orkdYINUNJUS5OQVNEQVFHTTpYT01BLklRX0RBX0NGLjIwMDAuMS8zMS8yMDE5LkxGUi5GLlVTRC5IAQAAAKGPAAACAAAABTAuMDM4AQgAAAAFAAAAATEBAAAACjE5MTk5MjgxMjQDAAAAAzE2MAIAAAAEMjE2MAQAAAABMAcAAAAJMS8zMS8yMDE5CAAAAAk5LzMwLzIwMTgJAAAAATC4Qgc9K5HWCI4LYEorkdYILENJUS5OQVNEQVFDTTpDVUUuSVFfRElWSURFTkRfWUlFTEQuMS8zMS8yMDE5AQAAAKZm6BgDAAAAAACnGwc9K5HWCEgDZEorkdYIO0NJUS5OQVNEQVFHUzpOSy5JUV9FQklUREFfTUFSR0lOLjIwMDAuMS8zMS8yMDE5LkxGUi5GLlVTRC5IAQAAAA19oQ8DAAAAAk5NAQgAAAAFAAAAATEBAAAACjE5MTk5NjY1MDMDAAAAAzE2MAIAAAAENDA0NwQAAAABMAcAAAAJMS8z</t>
  </si>
  <si>
    <t>MS8yMDE5CAAAAAk5LzMwLzIwMTgJAAAAATDJaQc9K5HWCBMiaEorkdYIJkNJUS4lVVNQTVJULklRX0xBU1RTQUxFUFJJQ0UuMS8zMS8yMDE5AQAAAFntWgACAAAAAzUuNQAd+rRJK5HWCA3NTkorkdYIKkNJUS5JUVRSNTU4MzA4NzI5LklRX1RSX1RBUkdFVF9FQklULi5VU0QuSAEAAAB5HUchAgAAAAAAP0i1SSuR1ghk/EpKK5HWCC5DSVEuTkFTREFRR1M6TksuSVFfTEFTVFNBTEVQUklDRS4xLzMxLzIwMTkuVVNEAQAAAA19oQ8CAAAABDEuMDgApxsHPSuR1gi+XmdKK5HWCDxDSVEuTkFTREFRR006WE9NQS5JUV9FQVJOSU5HX0NPLkNZMjAxNy4xLzMxLzIwMTkuTEZSLkYuVVNELkgBAAAAoY8AAAIAAAAGMTQuNTk2AQgAAAAFAAAAATEBAAAACjE4NzczMzAwNTkDAAAAAzE2MAIAAAABNwQAAAABMAcAAAAJMS8zMS8yMDE5CAAAAAoxMi8zMS8yMDE3CQAAAAEwuEIHPSuR1gg5SF9KK5HWCC1DSVEuTkFTREFRR006U1VSRi5JUV9ESVZJREVORF9ZSUVMRC4xLzMxLzIwMTkBAAAAtCnHEAMAAAAAAKcbBz0rkdYId6BtSiuR1ghGQ0lRLk5BU0RBUUdTOk5LVFIuSVFfVE9UQUxfUkVWXzVZUl9BTk5fQ0FHUi4yMDAwLjEvMzEvMjAxOS5MRlIuRi5VU0QuSAEAAADpdAAAAgAAAAc1NS4xNTE2AQgAAAAFAAAAATEBAAAACjE5MjA1NDA1MTMDAAAAAzE2MAIAAAAENDIzMwQAAAABMAcAAAAJMS8zMS8yMDE5CAAAAAk5</t>
  </si>
  <si>
    <t>LzMwLzIwMTgJAAAAATBrhLc9K5HWCAwXUUorkdYIIkNJUS5JUVRSMjk2NjI4ODE3LklRX1RSX1BDVF9TT1VHSFQBAAAAUTKuEQIAAAADMTAwAGGWtUkrkdYIMNFMSiuR1gglQ0lRLklRVFIzMjY5OTU0MDguSVFfVFJfSU1QTElFRF9FUV9CVgEAAADQjX0TAgAAAAAAUG+1SSuR1ggizEVKK5HWCClDSVEuSVFUUjU5NzA3Nzc2NS5JUV9UUl9JTVBMSUVEX0VRX05JX0xUTQEAAAAFr5YjAgAAAAAALiG1SSuR1gj/x0dKK5HWCDxDSVEuTkFTREFRQ006Q1VFLklRX1JFVkVOVUVfRVNULkNZMjAxOS4xLzMxLzIwMTkuQ09OLkYuVVNELkgBAAAApmboGAIAAAADMC45AQ4AAAAFAAAAAjExAQAAAAEwAgAAAAoxMDA0MjE3MTQ2AwAAAAYxMDAxODAEAAAAATIGAAAAATAHAAAAAzE2MAgAAAABMAkAAAABMQoAAAABMAsAAAALMTEyMDMxNjQzMTYMAAAAATcNAAAACDIvMS8yMDE5EAAAAAkxLzMxLzIwMTkNBgg9K5HWCOIYY0orkdYIPkNJUS5OQVNEQVFDTTpDVUUuSVFfTkVUX1dPUktJTkdfQ0FQLjE5OTYuMS8zMS8yMDE5LkxGUi5GLlVTRC5IAQAAAKZm6BgCAAAACS0xLjIzNDY0MwEIAAAABQAAAAExAQAAAAoxOTIxOTQwODkwAwAAAAMxNjACAAAABDEzMTEEAAAAATAHAAAACTEvMzEvMjAxOQgAAAAJOS8zMC8yMDE3CQAAAAEwyWkHPSuR1ggmtWNKK5HWCCRDSVEuTkFTREFRQ006WklPUC5JUV9FRkZFQ1RfVEFYX1JB</t>
  </si>
  <si>
    <t>VEUBAAAAs1GyAAMAAAAAAHyrtz0rkdYITZFYSiuR1gg9Q0lRLk5BU0RBUUNNOlpJT1AuSVFfUkVWRU5VRV9FU1QuQ1kyMDIwLjEvMzEvMjAxOS5DT04uRi5VU0QuSAEAAACzUbIAAgAAAAU2LjM5MgEOAAAABQAAAAIxMQEAAAABMAIAAAAKMTAwMDg5ODA3NgMAAAAGMTAwMTgwBAAAAAEyBgAAAAEwBwAAAAMxNjAIAAAAATAJAAAAATEKAAAAATALAAAACzExMTc2MTk0ODk3DAAAAAE3DQAAAAgyLzEvMjAxORAAAAAJMS8zMS8yMDE5jdK3PSuR1gijCldKK5HWCDxDSVEuTkFTREFRQ006Q1VFLklRX0VCSVREQV9NQVJHSU4uMjAwMC4xLzMxLzIwMTkuTEZSLkYuVVNELkgBAAAApmboGAMAAAACTk0BCAAAAAUAAAABMQEAAAAKMTkyMTk0MDkwMAMAAAADMTYwAgAAAAQ0MDQ3BAAAAAEwBwAAAAkxLzMxLzIwMTkIAAAACTkvMzAvMjAxOAkAAAABMLhCBz0rkdYIFY5jSiuR1ggiQ0lRLklRVFI1ODAyOTgwNDkuSVFfVFJfVEFSR0VUTkFNRQEAAABBpZYiAwAAABJNZWRhYyBQaGFybWEsIEluYy4ALiG1SSuR1gjPdEBKK5HWCEZDSVEuTkFTREFRR1M6VEhPUi5JUV9UT1RBTF9SRVZfMllSX0FOTl9DQUdSLjIwMDAuMS8zMS8yMDE5LkxGUi5GLlVTRC5IAQAAALhftw8DAAAAAAB8q7c9K5HWCD0gVkorkdYIPENJUS5OQVNEQVFHUzpUSE9SLklRX1RPVEFMX0VRVUlUWS4xOTkyLjEvMzEvMjAxOS5MRlIuRi5VU0QuSAEA</t>
  </si>
  <si>
    <t>AAC4X7cPAwAAAAAAfKu3PSuR1ggKq1VKK5HWCC5DSVEuTkFTREFRR1M6TktUUi5JUV9NQVJLRVRDQVAuMS8zMS8yMDE5LlVTRC5IAQAAAOl0AAACAAAACzczMjguNDI4NjgxAQYAAAAFAAAAATEBAAAACjE5MjA1NDAyNDQDAAAAAzE2MAIAAAAGMTAwMDU0BAAAAAEwBwAAAAkxLzMxLzIwMTlaXbc9K5HWCB70TkorkdYIPkNJUS5OQVNEQVFHUzpGUFJYLklRX0NBU0hfU1RfSU5WRVNULjIwMDAuMS8zMS8yMDE5LkxGUi5GLlVTRC5IAQAAADddMwACAAAABzMyMS41OTYBCAAAAAUAAAABMQEAAAAKMTkxOTc5NTE3MgMAAAADMTYwAgAAAAQxMDAyBAAAAAEwBwAAAAkxLzMxLzIwMTkIAAAACTkvMzAvMjAxOAkAAAABMLhCBz0rkdYIsFlgSiuR1gg6Q0lRLk5BU0RBUUdNOkNSVlMuSVFfVE9UQUxfREVCVC4yMDAwLjEvMzEvMjAxOS5MRlIuRi5VU0QuSAEAAAD0sKYQAgAAAAEwAQgAAAAFAAAAATEBAAAACjE5MTc4MzQ0OTQDAAAAAzE2MAIAAAAENDE3MwQAAAABMAcAAAAJMS8zMS8yMDE5CAAAAAk5LzMwLzIwMTgJAAAAATDakAc9K5HWCM7PaUorkdYIQ0NJUS4oSU5WQUxJRCBJREVOVElGSUVSKS5JUV9FQVJOSU5HX0NPLkNZMjAxOC4xLzMxLzIwMTkuTEZSLkYuVVNELkgFAAAAAAAAAAgAAAAUKEludmFsaWQgSWRlbnRpZmllcikNBgg9K5HWCK4Ps0orkdYIOENJUS5OQVNEQVFHUzpUSE9SLklRX0VCSVREQS5D</t>
  </si>
  <si>
    <t>WTIwMTguMS8zMS8yMDE5LkxGUi5GLlVTRC5IAQAAALhftw8DAAAAAABrhLc9K5HWCKTAVEorkdYIFUNJUS4uSVFfVFJfUENUX1NPVUdIVAUAAAAAAAAACAAAABQoSW52YWxpZCBJZGVudGlmaWVyKVpdtz0rkdYIakA9SiuR1ggfQ0lRLklRMzM2NjE5OS5JUV9DT01QQU5ZX1RJQ0tFUgEAAAA3XTMAAwAAAA1OYXNkYXFHUzpGUFJYAC4htUkrkdYIjgtgSiuR1gg1Q0lRLk5BU0RBUUNNOkNVRS5JUV9FQklUREEuMTk5Mi4xLzMxLzIwMTkuTEZSLkYuVVNELkgBAAAApmboGAIAAAAJLTEuODgzOTE1AQgAAAAFAAAAATEBAAAACjE4ODA4MzIzMjQDAAAAAzE2MAIAAAAENDA1MQQAAAABMAcAAAAJMS8zMS8yMDE5CAAAAAoxMi8zMS8yMDE1CQAAAAEwuEIHPSuR1gjzP2NKK5HWCCVDSVEuSVFUUjQzMDEwOTU2Mi5JUV9UUl9NQUpfTUlOX1NUQUtFAQAAAHrzohkDAAAACE1ham9yaXR5AD9ItUkrkdYIdtlISiuR1ggiQ0lRLklRVFIzODQwMjg0OTYuSVFfVFJfVE9UQUxfQ0FTSAEAAABQz+MWAgAAAAk1NTAuOTM5NDEBBgAAAAUAAAACNTQBAAAABjEwMTA1NgIAAAAJMzg0MDI4NDk2AwAAAAk0MDcyNzU3NzYEAAAAAzE2MAYAAAAFRmFsc2VQb7VJK5HWCKu6REorkdYIOUNJUS5OQVNEQVFDTTpPTkNTLklRX1RPVEFMX1JFVi4xOTk2LjEvMzEvMjAxOS5MRlIuRi5VU0QuSAEAAADj49oCAwAAAAAAyWkHPSuR1gjQO2VK</t>
  </si>
  <si>
    <t>K5HWCCdDSVEuTkFTREFRQ006WklPUC5JUV9CRVRBXzJZUi4xLzMxLzIwMTkBAAAAs1GyAAIAAAAPMS4yNzQ0ODk2Mjk1NjkzAJ75tz0rkdYICfVXSiuR1gg7Q0lRLk5BU0RBUUdTOlRIT1IuSVFfRUJJVF9NQVJHSU4uMjAwMC4xLzMxLzIwMTkuTEZSLkYuVVNELkgBAAAAuF+3DwMAAAAAAGuEtz0rkdYIxg5VSiuR1ghFQ0lRLk5BU0RBUUNNOkNVRS5JUV9UT1RBTF9SRVZfNVlSX0FOTl9DQUdSLjIwMDAuMS8zMS8yMDE5LkxGUi5GLlVTRC5IAQAAAKZm6BgDAAAAAADJaQc9K5HWCIyfZEorkdYIJ0NJUS5OQVNEQVFDTTpTVE1MLklRX0JFVEFfMllSLjEvMzEvMjAxOQEAAAAvqJ0AAgAAABAxLjM5MTYzODk5NzIwMjAyAJ75tz0rkdYIGWZaSiuR1ggsQ0lRLklRVFI1NTgzMDg3MjkuSVFfVFJfVE9UQUxfR1JPU1NfVFYuVVNELkgFAAAAAAAAAAgAAAAaKEludmFsaWQgQ3VycmVuY3kgUmVxdWVzdCkd+rRJK5HWCGT8SkorkdYINUNJUS5OQVNEQVFDTTpTVE1MLklRX0RBX0NGLjIwMDAuMS8zMS8yMDE5LkxGUi5GLlVTRC5IAQAAAC+onQACAAAACDAuMDUwNDI0AQgAAAAFAAAAATEBAAAACjE5MjA0NDA2MjUDAAAAAzE2MAIAAAAEMjE2MAQAAAABMAcAAAAJMS8zMS8yMDE5CAAAAAk5LzMwLzIwMTgJAAAAATCN0rc9K5HWCG4pW0orkdYI</t>
  </si>
  <si>
    <t>Error in last year's report</t>
  </si>
  <si>
    <t>THOR-707; Variant of IL-2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</si>
</sst>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4">
    <numFmt numFmtId="5" formatCode="&quot;$&quot;#,##0_);\(&quot;$&quot;#,##0\)"/>
    <numFmt numFmtId="6" formatCode="&quot;$&quot;#,##0_);[Red]\(&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mm/dd/yy;@"/>
    <numFmt numFmtId="165" formatCode="0.0%"/>
    <numFmt numFmtId="166" formatCode="_(&quot;$&quot;* #,##0.0_);_(&quot;$&quot;* \(#,##0.0\);_(&quot;$&quot;* &quot;-&quot;??_);_(@_)"/>
    <numFmt numFmtId="167" formatCode="_(* #,##0.0_);_(* \(#,##0.0\);_(* &quot;-&quot;??_);_(@_)"/>
    <numFmt numFmtId="168" formatCode="_(* #,##0.00_);_(* \(#,##0.00\);_(* &quot;-&quot;_);_(@_)"/>
    <numFmt numFmtId="169" formatCode="_(* #,##0.0_);_(* \(#,##0.0\);_(* &quot;-&quot;_);_(@_)"/>
    <numFmt numFmtId="170" formatCode="_(* #,##0.00000_);_(* \(#,##0.00000\);_(* &quot;-&quot;??_);_(@_)"/>
    <numFmt numFmtId="171" formatCode="_-* #,##0\ &quot;F&quot;_-;\-* #,##0\ &quot;F&quot;_-;_-* &quot;-&quot;\ &quot;F&quot;_-;_-@_-"/>
    <numFmt numFmtId="172" formatCode="_-&quot;$&quot;* #,##0.00_-;\-&quot;$&quot;* #,##0.00_-;_-&quot;$&quot;* &quot;-&quot;??_-;_-@_-"/>
    <numFmt numFmtId="173" formatCode="[$€-2]\ #,##0_);\([$€-2]\ #,##0\)"/>
    <numFmt numFmtId="174" formatCode="#,##0.0_);\(#,##0.0\);@_)"/>
    <numFmt numFmtId="175" formatCode="#,##0.0_);\(#,##0.0\);&quot;-&quot;?_);@_)"/>
    <numFmt numFmtId="176" formatCode="&quot;$&quot;#,##0.0_);\(&quot;$&quot;#,##0.0\);&quot;-&quot;?_);@_)"/>
    <numFmt numFmtId="177" formatCode="&quot;$&quot;#,##0.0_);\(&quot;$&quot;#,##0.0\)"/>
    <numFmt numFmtId="178" formatCode="0.0000000000000\x"/>
    <numFmt numFmtId="179" formatCode="0.00000000000000\x"/>
    <numFmt numFmtId="180" formatCode="0.000000000000000\x"/>
    <numFmt numFmtId="181" formatCode="0.0%;\-0.0%;&quot;-&quot;?_);@_)"/>
    <numFmt numFmtId="182" formatCode="0.00%;\(0.00\)%"/>
    <numFmt numFmtId="183" formatCode="0%;[Red]\(0%\)"/>
    <numFmt numFmtId="184" formatCode=";;;"/>
    <numFmt numFmtId="185" formatCode="_-&quot;$&quot;* #,##0_-;\-&quot;$&quot;* #,##0_-;_-&quot;$&quot;* &quot;-&quot;_-;_-@_-"/>
    <numFmt numFmtId="186" formatCode="_-* #,##0_-;\-* #,##0_-;_-* &quot;-&quot;_-;_-@_-"/>
    <numFmt numFmtId="187" formatCode="_(* &quot;$&quot;\ #,##0\ \ ;_(* &quot;$&quot;\ \(#,##0\)\ ;_(* &quot;-&quot;\ \ ;_(@\ "/>
    <numFmt numFmtId="188" formatCode="0.0_)\%;\(0.0\)\%;0.0_)\%;@_)_%"/>
    <numFmt numFmtId="189" formatCode="#,##0.0_)_%;\(#,##0.0\)_%;0.0_)_%;@_)_%"/>
    <numFmt numFmtId="190" formatCode="_(* #,##0\ \ ;_(* \(#,##0\)\ \ ;_(* &quot;-&quot;\ \ ;_(* @_)"/>
    <numFmt numFmtId="191" formatCode="0.0"/>
    <numFmt numFmtId="192" formatCode="#,##0.0_);\(#,##0.0\)"/>
    <numFmt numFmtId="193" formatCode="&quot;$&quot;_(#,##0.00_);&quot;$&quot;\(#,##0.00\);&quot;$&quot;_(0.00_);@_)"/>
    <numFmt numFmtId="194" formatCode="&quot;$&quot;_(#,##0.00_);&quot;$&quot;\(#,##0.00\)"/>
    <numFmt numFmtId="195" formatCode="&quot;£&quot;_(#,##0.00_);&quot;£&quot;\(#,##0.00\)"/>
    <numFmt numFmtId="196" formatCode="&quot;€&quot;_(#,##0.00_);&quot;€&quot;\(#,##0.00\)"/>
    <numFmt numFmtId="197" formatCode="&quot;£&quot;_(#,##0.00_);&quot;£&quot;\(#,##0.00\);&quot;£&quot;_(0.00_);@_)"/>
    <numFmt numFmtId="198" formatCode="&quot;€&quot;_(#,##0.00_);&quot;€&quot;\(#,##0.00\);&quot;€&quot;_(0.00_);@_)"/>
    <numFmt numFmtId="199" formatCode="&quot;DM&quot;_(#,##0.00_);&quot;DM&quot;\(#,##0.00\)"/>
    <numFmt numFmtId="200" formatCode="#,##0.00_);\(#,##0.00\);0.00_);@_)"/>
    <numFmt numFmtId="201" formatCode="_-* #,##0.00_-;\-* #,##0.00_-;_-* &quot;-&quot;??_-;_-@_-"/>
    <numFmt numFmtId="202" formatCode="\€_(#,##0.00_);\€\(#,##0.00\);\€_(0.00_);@_)"/>
    <numFmt numFmtId="203" formatCode="\£_(#,##0_);\£\(#,##0\)"/>
    <numFmt numFmtId="204" formatCode="* \L\+0.00%;* \L\-0.00%;* @\ \ "/>
    <numFmt numFmtId="205" formatCode="* \L\+0.00%;* \L\-0.00%;* &quot;-&quot;\ \ ;* @\ \ "/>
    <numFmt numFmtId="206" formatCode="#,##0_)\x;\(#,##0\)\x;0_)\x;@_)_x"/>
    <numFmt numFmtId="207" formatCode="#,##0.0_)\x;\(#,##0.0\)\x"/>
    <numFmt numFmtId="208" formatCode="#,##0.0\ \x;\(#,##0.0\)\x;@\ \ "/>
    <numFmt numFmtId="209" formatCode="#,##0.0_)\x;\(#,##0.0\)\x;0.0_)\x;@_)_x"/>
    <numFmt numFmtId="210" formatCode="#,##0.0\ \x;\(#,##0.0\)\x;@\ "/>
    <numFmt numFmtId="211" formatCode="#,##0.0\ \x;\(#,##0.0\)\x;@\ \ \x"/>
    <numFmt numFmtId="212" formatCode="#,##0_)_x;\(#,##0\)_x;0_)_x;@_)_x"/>
    <numFmt numFmtId="213" formatCode="#,##0.0_)_x;\(#,##0.0\)_x"/>
    <numFmt numFmtId="214" formatCode="#,##0.0_)_x;\(#,##0.0\)_x;0.0_)_x;@_)_x"/>
    <numFmt numFmtId="215" formatCode="0.0_)\%;\(0.0\)\%"/>
    <numFmt numFmtId="216" formatCode="* 0.0%;* \(0.0\)%;* &quot;-&quot;\ \ ;* @\ \ "/>
    <numFmt numFmtId="217" formatCode="0.0%;\(0.0\)%;@\ \ "/>
    <numFmt numFmtId="218" formatCode="#,##0.0_)_%;\(#,##0.0\)_%"/>
    <numFmt numFmtId="219" formatCode="&quot;$&quot;#,##0"/>
    <numFmt numFmtId="220" formatCode="0.000000"/>
    <numFmt numFmtId="221" formatCode="\£\ #,##0_);[Red]\(\£\ #,##0\)"/>
    <numFmt numFmtId="222" formatCode="_(\£* #,##0_);_(\£* \(#,##0\);_(\£* &quot;-&quot;_);_(@_)"/>
    <numFmt numFmtId="223" formatCode="_(\£* #,##0.0_);_(\£* \(#,##0.0\);_(\£* &quot;-&quot;_);_(@_)"/>
    <numFmt numFmtId="224" formatCode="_(\£* #,##0.00_);_(\£* \(#,##0.00\);_(\£* &quot;-&quot;_);_(@_)"/>
    <numFmt numFmtId="225" formatCode="_(* #,##0\p_);_(* \(#,##0\p\);_(* &quot;-&quot;\ \p_);_(@_)"/>
    <numFmt numFmtId="226" formatCode="_(* #,##0.00\p_);_(* \(#,##0.00\p\);_(* &quot;-&quot;\ \p_);_(@_)"/>
    <numFmt numFmtId="227" formatCode="\£#,##0.00"/>
    <numFmt numFmtId="228" formatCode="\¥\ #,##0_);[Red]\(\¥\ #,##0\)"/>
    <numFmt numFmtId="229" formatCode="0_)"/>
    <numFmt numFmtId="230" formatCode="#,##0.0;\(#,##0.0\);\-"/>
    <numFmt numFmtId="231" formatCode="#,##0.0&quot; F&quot;;\(#,##0.0&quot; F&quot;\);\-"/>
    <numFmt numFmtId="232" formatCode="0.0%;\(0.0%\);\-"/>
    <numFmt numFmtId="233" formatCode="\ "/>
    <numFmt numFmtId="234" formatCode="0.00\x"/>
    <numFmt numFmtId="235" formatCode="0.0\x"/>
    <numFmt numFmtId="236" formatCode="0.0\ \x"/>
    <numFmt numFmtId="237" formatCode="#,##0;\(#,##0\);\-"/>
    <numFmt numFmtId="238" formatCode="#,##0&quot; MF&quot;;\(#,##0&quot; MF&quot;\);\-"/>
    <numFmt numFmtId="239" formatCode="mmmm\-yy"/>
    <numFmt numFmtId="240" formatCode="0.00;[Red]0.00"/>
    <numFmt numFmtId="241" formatCode="00000000"/>
    <numFmt numFmtId="242" formatCode="0.0000000000000000\x"/>
    <numFmt numFmtId="243" formatCode="&quot;$&quot;#,##0.00"/>
    <numFmt numFmtId="244" formatCode="#,##0.0\ ;\(#,##0.0\)"/>
    <numFmt numFmtId="245" formatCode="0.00%;[Red]\(0.00%\)"/>
    <numFmt numFmtId="246" formatCode="#,##0.00\ ;\(#,##0.00\)"/>
    <numFmt numFmtId="247" formatCode="[$-409]d\-mmm\-yy;@"/>
    <numFmt numFmtId="248" formatCode="_(* #,##0_);_(* \(#,##0\);_(* &quot;-&quot;??_);_(@_)"/>
    <numFmt numFmtId="249" formatCode="#,##0.0_x;&quot;NM&quot;_x"/>
    <numFmt numFmtId="250" formatCode="#,##0\x_);&quot;NM&quot;_)"/>
    <numFmt numFmtId="251" formatCode="#,##0&quot; kr&quot;;[Red]\-#,##0&quot; kr&quot;"/>
    <numFmt numFmtId="252" formatCode="0\ \ \ \ \ \ "/>
    <numFmt numFmtId="253" formatCode="&quot;$&quot;0.00\ \ \ _);\(&quot;$&quot;0.00\)\ \ \ "/>
    <numFmt numFmtId="254" formatCode="0.0\ \ \ \ \ _);\(0.0\)\ \ \ \ \ "/>
    <numFmt numFmtId="255" formatCode="0.00\ \x\ \ _);\(0.00\)\ \x\ \ "/>
    <numFmt numFmtId="256" formatCode="0.00\ \ \ \ \ _);\(0.00\)\ \ \ \ \ "/>
    <numFmt numFmtId="257" formatCode="0.0\ \ \ _);\(0.0\)\ \ \ "/>
    <numFmt numFmtId="258" formatCode="[Blue]#,##0.000_);[Blue]\(#,##0.000\)"/>
    <numFmt numFmtId="259" formatCode="[Blue]&quot;$&quot;#,##0.000_);[Blue]\(&quot;$&quot;#,##0.000\)"/>
    <numFmt numFmtId="260" formatCode="&quot;$&quot;#,##0.0_);[Red]\(&quot;$&quot;#,##0.0\);&quot;$&quot;0.0_);@_)"/>
    <numFmt numFmtId="261" formatCode="#,##0;\(#,##0\);&quot; - &quot;"/>
    <numFmt numFmtId="262" formatCode="#,##0\ ;\(#,##0\);\-\ \ \ \ \ "/>
    <numFmt numFmtId="263" formatCode="#,##0\ ;\(#,##0\);\–\ \ \ \ \ "/>
    <numFmt numFmtId="264" formatCode="#,##0.00&quot;w&quot;_);[Red]\(#,##0.00&quot;w&quot;\)"/>
    <numFmt numFmtId="265" formatCode="_(* #,##0.000000_);_(* \(#,##0.000000\);_(* &quot;-&quot;??_);_(@_)"/>
    <numFmt numFmtId="266" formatCode="_(* #,##0.0000_);_(* \(#,##0.0000\);_(* &quot;-&quot;??_);_(@_)"/>
    <numFmt numFmtId="267" formatCode="_-* #,##0\ _F_-;\-* #,##0\ _F_-;_-* &quot;-&quot;\ _F_-;_-@_-"/>
    <numFmt numFmtId="268" formatCode="#,##0.0000000000;[Red]\-#,##0.0000000000"/>
    <numFmt numFmtId="269" formatCode="0.00_)"/>
    <numFmt numFmtId="270" formatCode="#,##0.0_);[Red]\(#,##0.0\)"/>
    <numFmt numFmtId="271" formatCode="#,##0_)_%;\(#,##0\)_%;"/>
    <numFmt numFmtId="272" formatCode="_(* #,##0.0_);_(* \(#,##0.0\);_(* &quot;-&quot;?_);_(@_)"/>
    <numFmt numFmtId="273" formatCode="0.000%"/>
    <numFmt numFmtId="274" formatCode="#,##0.000_);[Red]\(#,##0.000\)"/>
    <numFmt numFmtId="275" formatCode="#,##0_%_);\(#,##0\)_%;**;@_%_)"/>
    <numFmt numFmtId="276" formatCode="&quot;$&quot;* \(#,##0\);&quot;$&quot;* #,##0_);&quot;$&quot;* &quot;-&quot;??_);@_)"/>
    <numFmt numFmtId="277" formatCode="#,##0.0000,"/>
    <numFmt numFmtId="278" formatCode="_-* #,##0.00_ _k_r_-;\-* #,##0.00_ _k_r_-;_-* &quot;-&quot;??_ _k_r_-;_-@_-"/>
    <numFmt numFmtId="279" formatCode="_(&quot;$&quot;* #,##0,_);_(&quot;$&quot;* \(#,##0,\);_(&quot;$&quot;* &quot;-&quot;_);_(@_)"/>
    <numFmt numFmtId="280" formatCode="&quot;$&quot;* \(#,##0\)_%;&quot;$&quot;* #,##0_)_%;&quot;$&quot;* &quot;-&quot;??_)_%;@_)_%"/>
    <numFmt numFmtId="281" formatCode="_(* #,##0.0000,_);_(* \(#,##0.0000,\);_(* &quot;-&quot;_);_(@_)"/>
    <numFmt numFmtId="282" formatCode="&quot;$&quot;* \(#,##0.0\);&quot;$&quot;* #,##0.0_);&quot;$&quot;* &quot;-&quot;??_);@_)"/>
    <numFmt numFmtId="283" formatCode="#,##0.00_%_);\(#,##0.00\)_%;**;@_%_)"/>
    <numFmt numFmtId="284" formatCode="General_)"/>
    <numFmt numFmtId="285" formatCode="#,##0.00000000_);[Red]\(#,##0.00000000\)"/>
    <numFmt numFmtId="286" formatCode="#,##0.000000_);[Red]\(#,##0.000000\)"/>
    <numFmt numFmtId="287" formatCode="0.00_);\(0.00\);0.00"/>
    <numFmt numFmtId="288" formatCode="#,##0.0000000_);[Red]\(#,##0.0000000\)"/>
    <numFmt numFmtId="289" formatCode="&quot;$&quot;#,##0.0_);[Red]\(&quot;$&quot;#,##0.0\)"/>
    <numFmt numFmtId="290" formatCode="&quot;$&quot;#,##0_%_);\(&quot;$&quot;#,##0\)_%;&quot;$&quot;#,##0_%_);@_%_)"/>
    <numFmt numFmtId="291" formatCode="\(#,##0\)_%;#,##0_)_%;"/>
    <numFmt numFmtId="292" formatCode="&quot;$&quot;\ #,##0.00;[Red]&quot;$&quot;\ \-#,##0.00"/>
    <numFmt numFmtId="293" formatCode="\(#,##0.0\);#,##0.0_);"/>
    <numFmt numFmtId="294" formatCode="_ * #,##0_ ;_ * \-#,##0_ ;_ * &quot;-&quot;_ ;_ @_ "/>
    <numFmt numFmtId="295" formatCode="\(#,##0.0\)_%;#,##0.0_)_%;"/>
    <numFmt numFmtId="296" formatCode="_ * #,##0.00_ ;_ * \-#,##0.00_ ;_ * &quot;-&quot;??_ ;_ @_ "/>
    <numFmt numFmtId="297" formatCode="mmm\-d\-yy"/>
    <numFmt numFmtId="298" formatCode="mmm\-d\-yyyy"/>
    <numFmt numFmtId="299" formatCode="#,##0.00&quot; kr&quot;;\-#,##0.00&quot; kr&quot;"/>
    <numFmt numFmtId="300" formatCode="#,##0.000,_);[Red]\(#,##0.000,\)"/>
    <numFmt numFmtId="301" formatCode="yyyy"/>
    <numFmt numFmtId="302" formatCode="yyyy&quot;E&quot;"/>
    <numFmt numFmtId="303" formatCode="###0_);\(###0\)"/>
    <numFmt numFmtId="304" formatCode="#,##0&quot; kr&quot;;\-#,##0&quot; kr&quot;"/>
    <numFmt numFmtId="305" formatCode="&quot;$&quot;#,##0.000"/>
    <numFmt numFmtId="306" formatCode="\ #,##0\ \ \ ;\(#,##0\)\ \ ;\—\ \ \ \ "/>
    <numFmt numFmtId="307" formatCode="0.0%;[Red]\(0.0%\)"/>
    <numFmt numFmtId="308" formatCode="#,##0.00&quot; kr&quot;;[Red]\-#,##0.00&quot; kr&quot;"/>
    <numFmt numFmtId="309" formatCode="0.00_);\(0.00\)"/>
    <numFmt numFmtId="310" formatCode="#,##0.0"/>
    <numFmt numFmtId="311" formatCode="_-* #,##0&quot; kr&quot;_-;\-* #,##0&quot; kr&quot;_-;_-* &quot;-&quot;&quot; kr&quot;_-;_-@_-"/>
    <numFmt numFmtId="312" formatCode="_-* #,##0_ _k_r_-;\-* #,##0_ _k_r_-;_-* &quot;-&quot;_ _k_r_-;_-@_-"/>
    <numFmt numFmtId="313" formatCode="_-* #,##0.00&quot; kr&quot;_-;\-* #,##0.00&quot; kr&quot;_-;_-* &quot;-&quot;??&quot; kr&quot;_-;_-@_-"/>
    <numFmt numFmtId="314" formatCode="_(* #,##0.0000_);_(* \(#,##0.0000\);_(* &quot;-&quot;_);_(@_)"/>
    <numFmt numFmtId="315" formatCode="0.0\ \ "/>
    <numFmt numFmtId="316" formatCode="&quot;$&quot;#,##0.0_);&quot;$&quot;\(#,##0.0\)"/>
    <numFmt numFmtId="317" formatCode="_(* #,##0.00\ ___);_(* \(#,##0.00\ __\);_(* &quot;-&quot;??_);_(@_)"/>
    <numFmt numFmtId="318" formatCode="_(* #,##0\ \x_);_(* \(#,##0\ \x\);_(* &quot;-&quot;??_);_(@_)"/>
    <numFmt numFmtId="319" formatCode="_(* #,##0\ ___);_(* \(#,##0\ __\);_(* &quot;-&quot;??_);_(@_)"/>
    <numFmt numFmtId="320" formatCode="_(* #,##0.0\ ___);_(* \(#,##0.0\ __\);_(* &quot;-&quot;??_);_(@_)"/>
    <numFmt numFmtId="321" formatCode="* #,##0_);* \(\ #,##0_);* \-"/>
    <numFmt numFmtId="322" formatCode="0.0_)_x;\(0.0\)_x"/>
    <numFmt numFmtId="323" formatCode="&quot;$&quot;#,##0.0;[Red]\-&quot;$&quot;#,##0.0"/>
    <numFmt numFmtId="324" formatCode="#,##0.0_)\ \ ;[Red]\(#,##0.0\)\ \ "/>
    <numFmt numFmtId="325" formatCode="&quot;$&quot;#,##0.0000"/>
    <numFmt numFmtId="326" formatCode="0.0%;\(0.0%\)"/>
    <numFmt numFmtId="327" formatCode="\(#,##0.00\);#,##0.00_);"/>
    <numFmt numFmtId="328" formatCode="\(#,##0.00\)_%;#,##0.00_)_%;"/>
    <numFmt numFmtId="329" formatCode="0.0_%"/>
    <numFmt numFmtId="330" formatCode="\(#,##0.000\);#,##0.000_);"/>
    <numFmt numFmtId="331" formatCode="\(#,##0.000\)_%;#,##0.000_)_%;"/>
    <numFmt numFmtId="332" formatCode="mm/dd/yy"/>
    <numFmt numFmtId="333" formatCode="0.00\%;\-0.00\%;0.00\%"/>
    <numFmt numFmtId="334" formatCode="_(* #,##0%_);_(* \(#,##0%\);_(* &quot;-&quot;_);_(@_)"/>
    <numFmt numFmtId="335" formatCode="0.0%&quot;Sales&quot;"/>
    <numFmt numFmtId="336" formatCode="#,##0_)&quot; %&quot;;[Red]\(#,##0\)&quot; %&quot;"/>
    <numFmt numFmtId="337" formatCode="_(* &quot;$&quot;#,##0.0_);_(* &quot;$&quot;\(#,##0.0\);_(* &quot;$&quot;\ &quot;-&quot;_);_(@_)"/>
    <numFmt numFmtId="338" formatCode="0.00\x;\-0.00\x;0.00\x"/>
    <numFmt numFmtId="339" formatCode="#,##0.00;[Red]\(#,##0.00\)"/>
    <numFmt numFmtId="340" formatCode="_(&quot;SGD&quot;\ * #,##0.00_);_(&quot;SGD&quot;\ * \(#,##0.00\);_(* &quot;-&quot;_);_(@_)"/>
    <numFmt numFmtId="341" formatCode="0_%_);\(0\)_%;0_%_);@_%_)"/>
    <numFmt numFmtId="342" formatCode="&quot;$&quot;#,##0.0"/>
    <numFmt numFmtId="343" formatCode="[$-409]mmmm\ d\,\ yyyy;@"/>
    <numFmt numFmtId="344" formatCode="0.00_);[Red]\(0.00\)"/>
    <numFmt numFmtId="345" formatCode="#0.0%_);\(#0.0%\)"/>
    <numFmt numFmtId="346" formatCode="#,##0\ &quot;DM&quot;;[Red]\-#,##0\ &quot;DM&quot;"/>
    <numFmt numFmtId="347" formatCode="_(\ #,##0_);_(\ \(#,##0\);_(\ &quot;-&quot;_);_(@_)"/>
    <numFmt numFmtId="348" formatCode="#0.0\x"/>
    <numFmt numFmtId="349" formatCode="#0.00\x"/>
    <numFmt numFmtId="350" formatCode="0.0\ \x\ "/>
    <numFmt numFmtId="351" formatCode="_-#,##0&quot; £/GJ&quot;"/>
    <numFmt numFmtId="352" formatCode="_-#,##0&quot; £/t&quot;"/>
    <numFmt numFmtId="353" formatCode="_-#,##0&quot;°&quot;"/>
    <numFmt numFmtId="354" formatCode="_-#\,##0&quot;°&quot;"/>
    <numFmt numFmtId="355" formatCode="0_);\(0\)"/>
    <numFmt numFmtId="356" formatCode="0.00\ ;\(0.00\)"/>
    <numFmt numFmtId="357" formatCode="_(&quot;$&quot;* #,##0.0_);_(* \(#,##0.0\);_(&quot;$&quot;* &quot;0.0&quot;_);_(@_)"/>
    <numFmt numFmtId="358" formatCode="_(&quot;$&quot;* #,##0.0_);_(&quot;$&quot;* \(#,##0.0\);_(&quot;$&quot;* &quot;-&quot;?_);_(@_)"/>
    <numFmt numFmtId="359" formatCode="&quot;$&quot;#,##0_);[Red]\(&quot;$&quot;#,##0\);0_);@_)"/>
    <numFmt numFmtId="360" formatCode="0.0_x_);\(0.0\)_x"/>
    <numFmt numFmtId="361" formatCode="#,##0;\(#,##0\)"/>
    <numFmt numFmtId="362" formatCode="#,##0_}&quot;bar&quot;;\(#,##0\)&quot;bar&quot;"/>
    <numFmt numFmtId="363" formatCode="0.00000"/>
    <numFmt numFmtId="364" formatCode="\«#,##0;_(* #,##0;_(* &quot;-&quot;??_);_(@_)"/>
    <numFmt numFmtId="365" formatCode="#,##0\ \ \ ;[Red]\(#,##0\)\ \ ;\—\ \ \ \ "/>
    <numFmt numFmtId="366" formatCode="#,##0.0\%_);\(#,##0.0\%\);#,##0.0\%_);@_%_)"/>
    <numFmt numFmtId="367" formatCode="#,##0.00_);\(#,##0.00\);_(* &quot;-&quot;_)"/>
    <numFmt numFmtId="368" formatCode="#,##0.0\x"/>
    <numFmt numFmtId="369" formatCode="_(* #,##0.000_);_(* \(#,##0.000\);_(* &quot;-&quot;??_);_(@_)"/>
  </numFmts>
  <fonts count="274">
    <font>
      <sz val="10"/>
      <color theme="1"/>
      <name val="Garamond"/>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9"/>
      <color indexed="81"/>
      <name val="Tahoma"/>
      <family val="2"/>
    </font>
    <font>
      <sz val="9"/>
      <color indexed="81"/>
      <name val="Tahoma"/>
      <family val="2"/>
    </font>
    <font>
      <sz val="8"/>
      <color indexed="12"/>
      <name val="Arial"/>
      <family val="2"/>
    </font>
    <font>
      <sz val="8"/>
      <name val="Helv"/>
    </font>
    <font>
      <sz val="10"/>
      <name val="Arial"/>
      <family val="2"/>
    </font>
    <font>
      <sz val="10"/>
      <name val="Times New Roman"/>
      <family val="1"/>
      <charset val="204"/>
    </font>
    <font>
      <sz val="10"/>
      <name val="Arial"/>
      <family val="2"/>
      <charset val="204"/>
    </font>
    <font>
      <sz val="12"/>
      <name val="Arial"/>
      <family val="2"/>
    </font>
    <font>
      <sz val="10"/>
      <name val="Times New Roman"/>
      <family val="1"/>
    </font>
    <font>
      <sz val="10"/>
      <name val="Arial Narrow"/>
      <family val="2"/>
    </font>
    <font>
      <sz val="10"/>
      <name val="Geneva"/>
      <family val="2"/>
    </font>
    <font>
      <sz val="10"/>
      <name val="Geneva"/>
    </font>
    <font>
      <sz val="8"/>
      <name val="MS Serif"/>
      <family val="1"/>
    </font>
    <font>
      <sz val="8"/>
      <name val="Times New Roman"/>
      <family val="1"/>
    </font>
    <font>
      <sz val="10"/>
      <name val="David"/>
      <family val="2"/>
      <charset val="177"/>
    </font>
    <font>
      <sz val="10"/>
      <color indexed="8"/>
      <name val="MS Sans Serif"/>
      <family val="2"/>
    </font>
    <font>
      <sz val="9"/>
      <name val="Arial"/>
      <family val="2"/>
    </font>
    <font>
      <sz val="9"/>
      <name val="Times New Roman"/>
      <family val="1"/>
    </font>
    <font>
      <sz val="10"/>
      <name val="Courier"/>
      <family val="3"/>
    </font>
    <font>
      <sz val="10"/>
      <name val="MS Sans Serif"/>
      <family val="2"/>
    </font>
    <font>
      <sz val="11"/>
      <name val="Arial"/>
      <family val="2"/>
    </font>
    <font>
      <sz val="8"/>
      <name val="Arial Narrow"/>
      <family val="2"/>
    </font>
    <font>
      <sz val="12"/>
      <name val="宋体"/>
      <charset val="134"/>
    </font>
    <font>
      <b/>
      <sz val="9"/>
      <name val="Arial"/>
      <family val="2"/>
    </font>
    <font>
      <b/>
      <sz val="10"/>
      <color indexed="9"/>
      <name val="Arial"/>
      <family val="2"/>
    </font>
    <font>
      <b/>
      <sz val="22"/>
      <color indexed="18"/>
      <name val="Arial"/>
      <family val="2"/>
    </font>
    <font>
      <sz val="8"/>
      <color indexed="12"/>
      <name val="Arial Narrow"/>
      <family val="2"/>
    </font>
    <font>
      <b/>
      <sz val="11"/>
      <color indexed="9"/>
      <name val="Arial"/>
      <family val="2"/>
    </font>
    <font>
      <b/>
      <sz val="10"/>
      <name val="Arial"/>
      <family val="2"/>
    </font>
    <font>
      <sz val="9"/>
      <color indexed="8"/>
      <name val="Arial"/>
      <family val="2"/>
    </font>
    <font>
      <sz val="12"/>
      <name val="Times New Roman"/>
      <family val="1"/>
    </font>
    <font>
      <b/>
      <sz val="10"/>
      <name val="Verdana"/>
      <family val="2"/>
    </font>
    <font>
      <b/>
      <sz val="8"/>
      <color indexed="9"/>
      <name val="Arial"/>
      <family val="2"/>
    </font>
    <font>
      <b/>
      <sz val="14"/>
      <name val="Arial"/>
      <family val="2"/>
    </font>
    <font>
      <sz val="8"/>
      <name val="Arial"/>
      <family val="2"/>
    </font>
    <font>
      <i/>
      <sz val="8"/>
      <name val="Arial"/>
      <family val="2"/>
    </font>
    <font>
      <b/>
      <i/>
      <sz val="8"/>
      <color indexed="18"/>
      <name val="Arial"/>
      <family val="2"/>
    </font>
    <font>
      <i/>
      <sz val="10"/>
      <name val="Arial"/>
      <family val="2"/>
    </font>
    <font>
      <b/>
      <sz val="14"/>
      <color indexed="18"/>
      <name val="Arial"/>
      <family val="2"/>
    </font>
    <font>
      <b/>
      <sz val="10"/>
      <color indexed="18"/>
      <name val="Arial"/>
      <family val="2"/>
    </font>
    <font>
      <b/>
      <sz val="9"/>
      <color indexed="8"/>
      <name val="Arial"/>
      <family val="2"/>
    </font>
    <font>
      <b/>
      <sz val="8"/>
      <color indexed="8"/>
      <name val="Arial Narrow"/>
      <family val="2"/>
    </font>
    <font>
      <b/>
      <u val="singleAccounting"/>
      <sz val="10"/>
      <color indexed="18"/>
      <name val="Arial"/>
      <family val="2"/>
    </font>
    <font>
      <b/>
      <u val="singleAccounting"/>
      <sz val="8"/>
      <name val="Arial Narrow"/>
      <family val="2"/>
    </font>
    <font>
      <b/>
      <sz val="10"/>
      <name val="MS Sans Serif"/>
      <family val="2"/>
    </font>
    <font>
      <sz val="11"/>
      <name val="Miriam"/>
      <family val="2"/>
      <charset val="177"/>
    </font>
    <font>
      <sz val="12"/>
      <name val="Times New Roman"/>
      <family val="1"/>
      <charset val="177"/>
    </font>
    <font>
      <sz val="8"/>
      <color indexed="8"/>
      <name val="Times New Roman"/>
      <family val="1"/>
    </font>
    <font>
      <sz val="8"/>
      <color indexed="14"/>
      <name val="Times New Roman"/>
      <family val="1"/>
    </font>
    <font>
      <sz val="11"/>
      <name val="Times New Roman"/>
      <family val="1"/>
    </font>
    <font>
      <sz val="8"/>
      <name val="Helvetica"/>
      <family val="2"/>
    </font>
    <font>
      <u/>
      <sz val="10"/>
      <color indexed="36"/>
      <name val="Arial"/>
      <family val="2"/>
    </font>
    <font>
      <sz val="10"/>
      <name val="Palatino"/>
      <family val="1"/>
    </font>
    <font>
      <sz val="10"/>
      <color indexed="8"/>
      <name val="Palatino"/>
      <family val="1"/>
    </font>
    <font>
      <u/>
      <sz val="10"/>
      <name val="Arial"/>
      <family val="2"/>
    </font>
    <font>
      <sz val="8"/>
      <name val="Antique Olive"/>
      <family val="2"/>
    </font>
    <font>
      <sz val="8"/>
      <name val="Geneva"/>
      <family val="2"/>
    </font>
    <font>
      <sz val="11"/>
      <color indexed="8"/>
      <name val="Calibri"/>
      <family val="2"/>
    </font>
    <font>
      <sz val="11"/>
      <color indexed="13"/>
      <name val="Calibri"/>
      <family val="2"/>
    </font>
    <font>
      <sz val="11"/>
      <color indexed="8"/>
      <name val="맑은 고딕"/>
      <family val="3"/>
      <charset val="129"/>
    </font>
    <font>
      <sz val="11"/>
      <color theme="0"/>
      <name val="Calibri"/>
      <family val="2"/>
      <scheme val="minor"/>
    </font>
    <font>
      <sz val="11"/>
      <color indexed="9"/>
      <name val="Calibri"/>
      <family val="2"/>
    </font>
    <font>
      <sz val="11"/>
      <color indexed="9"/>
      <name val="맑은 고딕"/>
      <family val="3"/>
      <charset val="129"/>
    </font>
    <font>
      <b/>
      <sz val="12"/>
      <color indexed="8"/>
      <name val="Times New Roman"/>
      <family val="1"/>
    </font>
    <font>
      <sz val="8"/>
      <name val="Times"/>
      <family val="1"/>
    </font>
    <font>
      <sz val="8"/>
      <name val="Tahoma"/>
      <family val="2"/>
    </font>
    <font>
      <sz val="14"/>
      <name val="Arial"/>
      <family val="2"/>
    </font>
    <font>
      <b/>
      <sz val="6"/>
      <name val="Arial"/>
      <family val="2"/>
    </font>
    <font>
      <b/>
      <sz val="8"/>
      <name val="Arial"/>
      <family val="2"/>
    </font>
    <font>
      <sz val="11"/>
      <color rgb="FF9C0006"/>
      <name val="Calibri"/>
      <family val="2"/>
      <scheme val="minor"/>
    </font>
    <font>
      <sz val="11"/>
      <color indexed="20"/>
      <name val="Calibri"/>
      <family val="2"/>
    </font>
    <font>
      <b/>
      <sz val="10"/>
      <color theme="0"/>
      <name val="Arial"/>
      <family val="2"/>
    </font>
    <font>
      <sz val="8"/>
      <name val="Tms Rmn"/>
    </font>
    <font>
      <sz val="8"/>
      <color indexed="12"/>
      <name val="Times New Roman"/>
      <family val="1"/>
    </font>
    <font>
      <b/>
      <sz val="8"/>
      <name val="Times New Roman"/>
      <family val="1"/>
    </font>
    <font>
      <b/>
      <i/>
      <sz val="8"/>
      <name val="Frutiger 55"/>
    </font>
    <font>
      <sz val="7"/>
      <name val="Swis721 BlkCn BT"/>
      <family val="2"/>
    </font>
    <font>
      <b/>
      <sz val="8"/>
      <name val="Frutiger 55"/>
      <family val="2"/>
    </font>
    <font>
      <b/>
      <sz val="12"/>
      <name val="Times New Roman"/>
      <family val="1"/>
    </font>
    <font>
      <sz val="10"/>
      <name val="Helv"/>
    </font>
    <font>
      <b/>
      <sz val="11"/>
      <color indexed="52"/>
      <name val="Calibri"/>
      <family val="2"/>
    </font>
    <font>
      <b/>
      <sz val="10"/>
      <name val="MS Serif"/>
      <family val="1"/>
    </font>
    <font>
      <b/>
      <sz val="8"/>
      <color indexed="8"/>
      <name val="Verdana"/>
      <family val="2"/>
    </font>
    <font>
      <sz val="8"/>
      <color indexed="17"/>
      <name val="Times New Roman"/>
      <family val="1"/>
    </font>
    <font>
      <b/>
      <sz val="9.75"/>
      <name val="Abadi MT Condensed"/>
      <family val="2"/>
    </font>
    <font>
      <b/>
      <u val="singleAccounting"/>
      <sz val="8"/>
      <name val="Arial"/>
      <family val="2"/>
    </font>
    <font>
      <sz val="11"/>
      <name val="돋움"/>
      <family val="3"/>
      <charset val="129"/>
    </font>
    <font>
      <sz val="10"/>
      <color theme="1"/>
      <name val="Arial"/>
      <family val="2"/>
    </font>
    <font>
      <sz val="12"/>
      <color theme="1"/>
      <name val="Calibri"/>
      <family val="2"/>
      <scheme val="minor"/>
    </font>
    <font>
      <sz val="10"/>
      <name val="BERNHARD"/>
    </font>
    <font>
      <b/>
      <sz val="8"/>
      <name val="Helv"/>
    </font>
    <font>
      <sz val="24"/>
      <name val="Arial"/>
      <family val="2"/>
    </font>
    <font>
      <sz val="12"/>
      <name val="Helv"/>
    </font>
    <font>
      <sz val="10"/>
      <color indexed="8"/>
      <name val="Arial"/>
      <family val="2"/>
    </font>
    <font>
      <b/>
      <sz val="14"/>
      <color indexed="10"/>
      <name val="Times New Roman"/>
      <family val="1"/>
    </font>
    <font>
      <b/>
      <sz val="7"/>
      <color indexed="12"/>
      <name val="Helvetica"/>
      <family val="2"/>
    </font>
    <font>
      <sz val="9"/>
      <name val="Century Schoolbook"/>
      <family val="1"/>
    </font>
    <font>
      <sz val="9"/>
      <color indexed="9"/>
      <name val="Geneva"/>
    </font>
    <font>
      <sz val="12"/>
      <color indexed="9"/>
      <name val="Helv"/>
    </font>
    <font>
      <sz val="10"/>
      <color indexed="8"/>
      <name val="Trade Gothic LT Com"/>
      <family val="2"/>
    </font>
    <font>
      <i/>
      <sz val="12"/>
      <color indexed="9"/>
      <name val="Helv"/>
    </font>
    <font>
      <b/>
      <sz val="14"/>
      <color indexed="9"/>
      <name val="Helv"/>
    </font>
    <font>
      <b/>
      <sz val="12"/>
      <name val="Arial"/>
      <family val="2"/>
    </font>
    <font>
      <b/>
      <u/>
      <sz val="8"/>
      <color indexed="8"/>
      <name val="Tahoma"/>
      <family val="2"/>
    </font>
    <font>
      <sz val="14"/>
      <color indexed="8"/>
      <name val="Times New Roman"/>
      <family val="1"/>
    </font>
    <font>
      <b/>
      <sz val="11"/>
      <name val="Arial"/>
      <family val="2"/>
    </font>
    <font>
      <b/>
      <sz val="12"/>
      <color indexed="8"/>
      <name val="Arial"/>
      <family val="2"/>
    </font>
    <font>
      <u/>
      <sz val="10"/>
      <color indexed="12"/>
      <name val="Arial"/>
      <family val="2"/>
    </font>
    <font>
      <sz val="10"/>
      <name val="R Frutiger Roman"/>
    </font>
    <font>
      <sz val="8"/>
      <color indexed="39"/>
      <name val="Arial"/>
      <family val="2"/>
    </font>
    <font>
      <sz val="10"/>
      <color indexed="12"/>
      <name val="Times New Roman"/>
      <family val="1"/>
    </font>
    <font>
      <sz val="10"/>
      <color indexed="12"/>
      <name val="Arial"/>
      <family val="2"/>
    </font>
    <font>
      <sz val="10"/>
      <color indexed="17"/>
      <name val="Arial"/>
      <family val="2"/>
    </font>
    <font>
      <u/>
      <sz val="8"/>
      <color indexed="12"/>
      <name val="MS Sans Serif"/>
      <family val="2"/>
    </font>
    <font>
      <b/>
      <sz val="36"/>
      <name val="Times New Roman"/>
      <family val="1"/>
    </font>
    <font>
      <u val="doubleAccounting"/>
      <sz val="10"/>
      <name val="Arial"/>
      <family val="2"/>
    </font>
    <font>
      <sz val="8"/>
      <color indexed="8"/>
      <name val="Helv"/>
      <family val="2"/>
    </font>
    <font>
      <b/>
      <sz val="8"/>
      <color indexed="72"/>
      <name val="Arial"/>
      <family val="2"/>
    </font>
    <font>
      <sz val="10"/>
      <color indexed="39"/>
      <name val="Arial"/>
      <family val="2"/>
    </font>
    <font>
      <i/>
      <sz val="8"/>
      <name val="Times New Roman"/>
      <family val="1"/>
    </font>
    <font>
      <sz val="9"/>
      <color indexed="12"/>
      <name val="Arial"/>
      <family val="2"/>
    </font>
    <font>
      <b/>
      <sz val="8"/>
      <color indexed="18"/>
      <name val="Times New Roman"/>
      <family val="1"/>
    </font>
    <font>
      <b/>
      <sz val="14"/>
      <name val="Times New Roman"/>
      <family val="1"/>
    </font>
    <font>
      <b/>
      <sz val="10"/>
      <name val="Helvetica"/>
      <family val="2"/>
    </font>
    <font>
      <sz val="8"/>
      <color indexed="10"/>
      <name val="Arial"/>
      <family val="2"/>
    </font>
    <font>
      <sz val="11"/>
      <name val="Abadi MT Condensed Extra Bold"/>
      <family val="2"/>
    </font>
    <font>
      <sz val="10"/>
      <name val="Abadi MT Condensed"/>
      <family val="2"/>
    </font>
    <font>
      <b/>
      <i/>
      <sz val="8"/>
      <name val="Arial"/>
      <family val="2"/>
    </font>
    <font>
      <sz val="8"/>
      <name val="Wingdings"/>
      <charset val="2"/>
    </font>
    <font>
      <b/>
      <sz val="8"/>
      <color indexed="16"/>
      <name val="Times New Roman"/>
      <family val="1"/>
    </font>
    <font>
      <i/>
      <sz val="12"/>
      <color indexed="12"/>
      <name val="Times New Roman"/>
      <family val="1"/>
    </font>
    <font>
      <b/>
      <sz val="9"/>
      <name val="Palatino"/>
      <family val="1"/>
    </font>
    <font>
      <sz val="9"/>
      <color indexed="21"/>
      <name val="Helvetica-Black"/>
    </font>
    <font>
      <b/>
      <i/>
      <sz val="10"/>
      <name val="Times New Roman"/>
      <family val="1"/>
    </font>
    <font>
      <b/>
      <sz val="11"/>
      <color theme="1"/>
      <name val="Calibri"/>
      <family val="2"/>
      <scheme val="minor"/>
    </font>
    <font>
      <sz val="11"/>
      <color rgb="FFFF0000"/>
      <name val="Calibri"/>
      <family val="2"/>
      <scheme val="minor"/>
    </font>
    <font>
      <sz val="10"/>
      <color theme="1"/>
      <name val="Times New Roman"/>
      <family val="1"/>
    </font>
    <font>
      <b/>
      <sz val="10"/>
      <color theme="1"/>
      <name val="Times New Roman"/>
      <family val="1"/>
    </font>
    <font>
      <b/>
      <sz val="10"/>
      <name val="Times New Roman"/>
      <family val="1"/>
    </font>
    <font>
      <i/>
      <sz val="10"/>
      <color theme="1"/>
      <name val="Times New Roman"/>
      <family val="1"/>
    </font>
    <font>
      <b/>
      <sz val="12"/>
      <color rgb="FF1F4E78"/>
      <name val="Times New Roman"/>
      <family val="1"/>
    </font>
    <font>
      <sz val="11"/>
      <color theme="1"/>
      <name val="Times New Roman"/>
      <family val="2"/>
    </font>
    <font>
      <b/>
      <sz val="10"/>
      <color rgb="FFFFFFFF"/>
      <name val="Times New Roman"/>
      <family val="1"/>
    </font>
    <font>
      <sz val="10"/>
      <color theme="1"/>
      <name val="Garamond"/>
      <family val="2"/>
    </font>
    <font>
      <sz val="10"/>
      <color rgb="FF0000FF"/>
      <name val="Times New Roman"/>
      <family val="1"/>
    </font>
    <font>
      <sz val="10"/>
      <name val="Garamond"/>
      <family val="1"/>
    </font>
    <font>
      <sz val="12"/>
      <color theme="1"/>
      <name val="Times New Roman"/>
      <family val="2"/>
    </font>
    <font>
      <sz val="10"/>
      <color indexed="16"/>
      <name val="Credit Suisse Type Roman"/>
      <family val="2"/>
    </font>
    <font>
      <sz val="10"/>
      <name val="GillSans"/>
      <family val="2"/>
    </font>
    <font>
      <sz val="10"/>
      <name val="Century Schoolbook"/>
      <family val="1"/>
    </font>
    <font>
      <sz val="10"/>
      <name val="Helv"/>
      <family val="2"/>
    </font>
    <font>
      <sz val="10"/>
      <color indexed="0"/>
      <name val="Helv"/>
    </font>
    <font>
      <sz val="10"/>
      <color indexed="9"/>
      <name val="Arial"/>
      <family val="2"/>
    </font>
    <font>
      <i/>
      <sz val="10"/>
      <color indexed="13"/>
      <name val="Arial"/>
      <family val="2"/>
    </font>
    <font>
      <sz val="10"/>
      <color indexed="13"/>
      <name val="Arial"/>
      <family val="2"/>
    </font>
    <font>
      <b/>
      <i/>
      <sz val="9"/>
      <name val="Arial"/>
      <family val="2"/>
    </font>
    <font>
      <sz val="12"/>
      <name val="¹ÙÅÁÃ¼"/>
      <family val="1"/>
      <charset val="129"/>
    </font>
    <font>
      <b/>
      <u/>
      <sz val="9"/>
      <color indexed="10"/>
      <name val="Times New Roman"/>
      <family val="1"/>
    </font>
    <font>
      <b/>
      <sz val="9"/>
      <color indexed="18"/>
      <name val="Times New Roman"/>
      <family val="1"/>
    </font>
    <font>
      <b/>
      <i/>
      <sz val="12"/>
      <name val="Footlight MT Light"/>
      <family val="1"/>
    </font>
    <font>
      <sz val="14"/>
      <name val="Tms Rmn"/>
    </font>
    <font>
      <b/>
      <sz val="10"/>
      <name val="Footlight MT Light"/>
      <family val="1"/>
    </font>
    <font>
      <i/>
      <sz val="11"/>
      <color indexed="23"/>
      <name val="Calibri"/>
      <family val="2"/>
    </font>
    <font>
      <sz val="10"/>
      <name val="Book Antiqua"/>
      <family val="1"/>
    </font>
    <font>
      <sz val="10"/>
      <name val="CG Times"/>
      <family val="1"/>
    </font>
    <font>
      <b/>
      <sz val="18"/>
      <color indexed="56"/>
      <name val="Cambria"/>
      <family val="2"/>
    </font>
    <font>
      <b/>
      <sz val="12"/>
      <name val="Tms Rmn"/>
    </font>
    <font>
      <sz val="7"/>
      <name val="Ariel"/>
    </font>
    <font>
      <sz val="8"/>
      <name val="MS Sans Serif"/>
      <family val="2"/>
    </font>
    <font>
      <sz val="11"/>
      <color indexed="52"/>
      <name val="Calibri"/>
      <family val="2"/>
    </font>
    <font>
      <b/>
      <sz val="10"/>
      <color indexed="9"/>
      <name val="Trebuchet MS"/>
      <family val="2"/>
    </font>
    <font>
      <b/>
      <sz val="15"/>
      <color indexed="56"/>
      <name val="Calibri"/>
      <family val="2"/>
    </font>
    <font>
      <b/>
      <sz val="13"/>
      <color indexed="56"/>
      <name val="Calibri"/>
      <family val="2"/>
    </font>
    <font>
      <b/>
      <sz val="11"/>
      <color indexed="56"/>
      <name val="Calibri"/>
      <family val="2"/>
    </font>
    <font>
      <b/>
      <sz val="9"/>
      <color indexed="0"/>
      <name val="Arial"/>
      <family val="2"/>
    </font>
    <font>
      <sz val="9"/>
      <color indexed="0"/>
      <name val="Arial"/>
      <family val="2"/>
    </font>
    <font>
      <sz val="10"/>
      <name val="Arial"/>
      <family val="2"/>
      <charset val="1"/>
    </font>
    <font>
      <sz val="12"/>
      <color theme="1"/>
      <name val="Calibri"/>
      <family val="2"/>
      <charset val="204"/>
      <scheme val="minor"/>
    </font>
    <font>
      <sz val="8"/>
      <color indexed="8"/>
      <name val="Arial"/>
      <family val="2"/>
    </font>
    <font>
      <sz val="10"/>
      <color rgb="FFFF0000"/>
      <name val="Times New Roman"/>
      <family val="1"/>
    </font>
    <font>
      <sz val="8"/>
      <color rgb="FFFF0000"/>
      <name val="Times New Roman"/>
      <family val="1"/>
    </font>
    <font>
      <b/>
      <u/>
      <sz val="8"/>
      <name val="Times New Roman"/>
      <family val="1"/>
    </font>
    <font>
      <b/>
      <sz val="8"/>
      <color indexed="9"/>
      <name val="Tahoma"/>
      <family val="2"/>
    </font>
    <font>
      <b/>
      <sz val="10"/>
      <color indexed="39"/>
      <name val="Times New Roman"/>
      <family val="1"/>
    </font>
    <font>
      <sz val="8"/>
      <color theme="3" tint="-0.499984740745262"/>
      <name val="Times New Roman"/>
      <family val="1"/>
    </font>
    <font>
      <u/>
      <sz val="10"/>
      <color theme="10"/>
      <name val="Garamond"/>
      <family val="2"/>
    </font>
    <font>
      <sz val="9"/>
      <name val="Verdana"/>
      <family val="2"/>
    </font>
    <font>
      <sz val="11"/>
      <color theme="1"/>
      <name val="Georgia"/>
      <family val="1"/>
    </font>
    <font>
      <b/>
      <sz val="11"/>
      <color theme="4" tint="-0.499984740745262"/>
      <name val="Georgia"/>
      <family val="1"/>
    </font>
    <font>
      <sz val="11"/>
      <color theme="4" tint="-0.499984740745262"/>
      <name val="Georgia"/>
      <family val="1"/>
    </font>
    <font>
      <b/>
      <sz val="32"/>
      <color theme="4" tint="-0.499984740745262"/>
      <name val="Georgia"/>
      <family val="1"/>
    </font>
    <font>
      <b/>
      <i/>
      <sz val="24"/>
      <color rgb="FF1F4E78"/>
      <name val="Georgia"/>
      <family val="1"/>
    </font>
    <font>
      <sz val="32"/>
      <color theme="1"/>
      <name val="Georgia"/>
      <family val="1"/>
    </font>
    <font>
      <b/>
      <sz val="32"/>
      <color rgb="FFFF0000"/>
      <name val="Georgia"/>
      <family val="1"/>
    </font>
    <font>
      <b/>
      <i/>
      <sz val="11"/>
      <color theme="4" tint="-0.499984740745262"/>
      <name val="Georgia"/>
      <family val="1"/>
    </font>
    <font>
      <i/>
      <sz val="18"/>
      <color rgb="FF1F4E78"/>
      <name val="Georgia"/>
      <family val="1"/>
    </font>
    <font>
      <i/>
      <sz val="15"/>
      <color rgb="FF1F4E78"/>
      <name val="Georgia"/>
      <family val="1"/>
    </font>
    <font>
      <i/>
      <sz val="14"/>
      <color rgb="FF1F4E78"/>
      <name val="Georgia"/>
      <family val="1"/>
    </font>
    <font>
      <i/>
      <sz val="14"/>
      <color theme="1"/>
      <name val="Georgia"/>
      <family val="1"/>
    </font>
    <font>
      <sz val="18"/>
      <color theme="4" tint="-0.249977111117893"/>
      <name val="Georgia"/>
      <family val="1"/>
    </font>
    <font>
      <i/>
      <sz val="14"/>
      <color theme="0" tint="-0.499984740745262"/>
      <name val="Georgia"/>
      <family val="1"/>
    </font>
    <font>
      <sz val="14"/>
      <color theme="0" tint="-0.499984740745262"/>
      <name val="Georgia"/>
      <family val="1"/>
    </font>
    <font>
      <sz val="10"/>
      <color theme="1"/>
      <name val="Georgia"/>
      <family val="1"/>
    </font>
    <font>
      <b/>
      <sz val="10"/>
      <color theme="1"/>
      <name val="Georgia"/>
      <family val="1"/>
    </font>
    <font>
      <sz val="10"/>
      <color rgb="FFFF0000"/>
      <name val="Georgia"/>
      <family val="1"/>
    </font>
    <font>
      <b/>
      <sz val="11"/>
      <color rgb="FF1F4E78"/>
      <name val="Georgia"/>
      <family val="1"/>
    </font>
    <font>
      <b/>
      <sz val="24"/>
      <color rgb="FF1F4E78"/>
      <name val="Georgia"/>
      <family val="1"/>
    </font>
    <font>
      <sz val="11"/>
      <color rgb="FF1F4E78"/>
      <name val="Georgia"/>
      <family val="1"/>
    </font>
    <font>
      <b/>
      <u/>
      <sz val="10"/>
      <color theme="1"/>
      <name val="Georgia"/>
      <family val="1"/>
    </font>
    <font>
      <sz val="10"/>
      <color rgb="FF0000FF"/>
      <name val="Georgia"/>
      <family val="1"/>
    </font>
    <font>
      <sz val="10"/>
      <color indexed="39"/>
      <name val="Georgia"/>
      <family val="1"/>
    </font>
    <font>
      <sz val="10"/>
      <color indexed="12"/>
      <name val="Georgia"/>
      <family val="1"/>
    </font>
    <font>
      <b/>
      <sz val="10"/>
      <color rgb="FF1F4E78"/>
      <name val="Georgia"/>
      <family val="1"/>
    </font>
    <font>
      <sz val="10"/>
      <color rgb="FFC00000"/>
      <name val="Georgia"/>
      <family val="1"/>
    </font>
    <font>
      <b/>
      <sz val="10"/>
      <color rgb="FFFFFFFF"/>
      <name val="Georgia"/>
      <family val="1"/>
    </font>
    <font>
      <sz val="10"/>
      <color rgb="FF008000"/>
      <name val="Georgia"/>
      <family val="1"/>
    </font>
    <font>
      <sz val="10"/>
      <color indexed="17"/>
      <name val="Georgia"/>
      <family val="1"/>
    </font>
    <font>
      <i/>
      <sz val="10"/>
      <color theme="1"/>
      <name val="Georgia"/>
      <family val="1"/>
    </font>
    <font>
      <b/>
      <sz val="10"/>
      <color rgb="FF0000FF"/>
      <name val="Georgia"/>
      <family val="1"/>
    </font>
    <font>
      <b/>
      <sz val="10"/>
      <name val="Georgia"/>
      <family val="1"/>
    </font>
    <font>
      <sz val="10"/>
      <name val="Georgia"/>
      <family val="1"/>
    </font>
    <font>
      <b/>
      <sz val="10"/>
      <color rgb="FF008000"/>
      <name val="Georgia"/>
      <family val="1"/>
    </font>
    <font>
      <b/>
      <sz val="10"/>
      <color rgb="FFC00000"/>
      <name val="Georgia"/>
      <family val="1"/>
    </font>
    <font>
      <b/>
      <sz val="10"/>
      <color rgb="FFFF0000"/>
      <name val="Georgia"/>
      <family val="1"/>
    </font>
    <font>
      <b/>
      <sz val="10"/>
      <color indexed="12"/>
      <name val="Georgia"/>
      <family val="1"/>
    </font>
    <font>
      <b/>
      <i/>
      <sz val="10"/>
      <color theme="1"/>
      <name val="Georgia"/>
      <family val="1"/>
    </font>
    <font>
      <sz val="10"/>
      <color rgb="FFFFFFFF"/>
      <name val="Georgia"/>
      <family val="1"/>
    </font>
    <font>
      <b/>
      <sz val="10"/>
      <color theme="0"/>
      <name val="Georgia"/>
      <family val="1"/>
    </font>
    <font>
      <b/>
      <i/>
      <u/>
      <sz val="10"/>
      <color theme="1"/>
      <name val="Georgia"/>
      <family val="1"/>
    </font>
    <font>
      <sz val="10"/>
      <color indexed="10"/>
      <name val="Georgia"/>
      <family val="1"/>
    </font>
    <font>
      <sz val="10"/>
      <color theme="0"/>
      <name val="Georgia"/>
      <family val="1"/>
    </font>
    <font>
      <b/>
      <sz val="10"/>
      <color theme="4" tint="-0.499984740745262"/>
      <name val="Georgia"/>
      <family val="1"/>
    </font>
    <font>
      <i/>
      <sz val="10"/>
      <name val="Georgia"/>
      <family val="1"/>
    </font>
    <font>
      <b/>
      <sz val="10"/>
      <color indexed="10"/>
      <name val="Georgia"/>
      <family val="1"/>
    </font>
    <font>
      <b/>
      <sz val="10"/>
      <color indexed="9"/>
      <name val="Georgia"/>
      <family val="1"/>
    </font>
    <font>
      <i/>
      <sz val="10"/>
      <color rgb="FF5A5A5A"/>
      <name val="Georgia"/>
      <family val="1"/>
    </font>
    <font>
      <b/>
      <sz val="10"/>
      <color indexed="17"/>
      <name val="Georgia"/>
      <family val="1"/>
    </font>
    <font>
      <i/>
      <sz val="10"/>
      <color indexed="12"/>
      <name val="Georgia"/>
      <family val="1"/>
    </font>
    <font>
      <u/>
      <sz val="10"/>
      <color theme="1"/>
      <name val="Georgia"/>
      <family val="1"/>
    </font>
    <font>
      <sz val="10"/>
      <color rgb="FF000000"/>
      <name val="Georgia"/>
      <family val="1"/>
    </font>
    <font>
      <i/>
      <sz val="10"/>
      <color rgb="FFFF0000"/>
      <name val="Georgia"/>
      <family val="1"/>
    </font>
    <font>
      <b/>
      <i/>
      <u/>
      <sz val="10"/>
      <name val="Georgia"/>
      <family val="1"/>
    </font>
    <font>
      <u/>
      <sz val="10"/>
      <color theme="10"/>
      <name val="Georgia"/>
      <family val="1"/>
    </font>
    <font>
      <sz val="10"/>
      <color theme="4"/>
      <name val="Georgia"/>
      <family val="1"/>
    </font>
    <font>
      <b/>
      <sz val="10"/>
      <color theme="4"/>
      <name val="Georgia"/>
      <family val="1"/>
    </font>
    <font>
      <b/>
      <sz val="12"/>
      <color rgb="FF1F4E78"/>
      <name val="Georgia"/>
      <family val="1"/>
    </font>
    <font>
      <b/>
      <u/>
      <sz val="16"/>
      <name val="Arial"/>
      <family val="2"/>
    </font>
    <font>
      <b/>
      <u/>
      <sz val="10"/>
      <name val="Arial"/>
      <family val="2"/>
    </font>
    <font>
      <i/>
      <sz val="8"/>
      <color indexed="55"/>
      <name val="Arial"/>
      <family val="2"/>
    </font>
    <font>
      <b/>
      <i/>
      <sz val="10"/>
      <name val="Arial"/>
      <family val="2"/>
    </font>
    <font>
      <b/>
      <i/>
      <sz val="11"/>
      <color theme="1"/>
      <name val="Calibri"/>
      <family val="2"/>
      <scheme val="minor"/>
    </font>
    <font>
      <b/>
      <sz val="10"/>
      <color theme="1"/>
      <name val="Garamond"/>
      <family val="1"/>
    </font>
    <font>
      <b/>
      <sz val="10"/>
      <color theme="0"/>
      <name val="Garamond"/>
      <family val="1"/>
    </font>
    <font>
      <b/>
      <sz val="8"/>
      <color rgb="FF000000"/>
      <name val="Arial"/>
      <family val="2"/>
    </font>
    <font>
      <sz val="8"/>
      <color rgb="FF000000"/>
      <name val="Arial"/>
      <family val="2"/>
    </font>
    <font>
      <sz val="11"/>
      <color rgb="FF000000"/>
      <name val="Calibri"/>
      <family val="2"/>
      <charset val="204"/>
    </font>
    <font>
      <sz val="9"/>
      <color theme="1"/>
      <name val="Arial"/>
      <family val="2"/>
    </font>
    <font>
      <sz val="9"/>
      <color rgb="FF0070C0"/>
      <name val="Arial"/>
      <family val="2"/>
    </font>
    <font>
      <sz val="9"/>
      <color rgb="FFFF0000"/>
      <name val="Arial"/>
      <family val="2"/>
    </font>
    <font>
      <sz val="10"/>
      <color indexed="39"/>
      <name val="Times New Roman"/>
      <family val="1"/>
    </font>
    <font>
      <b/>
      <sz val="20"/>
      <color theme="1"/>
      <name val="Georgia"/>
      <family val="1"/>
    </font>
  </fonts>
  <fills count="103">
    <fill>
      <patternFill patternType="none"/>
    </fill>
    <fill>
      <patternFill patternType="gray125"/>
    </fill>
    <fill>
      <patternFill patternType="solid">
        <fgColor rgb="FFFFC7CE"/>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5A5A5A"/>
        <bgColor indexed="64"/>
      </patternFill>
    </fill>
    <fill>
      <patternFill patternType="solid">
        <fgColor indexed="22"/>
        <bgColor indexed="64"/>
      </patternFill>
    </fill>
    <fill>
      <patternFill patternType="solid">
        <fgColor indexed="41"/>
        <bgColor indexed="64"/>
      </patternFill>
    </fill>
    <fill>
      <patternFill patternType="solid">
        <fgColor indexed="22"/>
        <bgColor indexed="22"/>
      </patternFill>
    </fill>
    <fill>
      <patternFill patternType="solid">
        <fgColor indexed="18"/>
        <bgColor indexed="64"/>
      </patternFill>
    </fill>
    <fill>
      <patternFill patternType="solid">
        <fgColor indexed="43"/>
      </patternFill>
    </fill>
    <fill>
      <patternFill patternType="solid">
        <fgColor indexed="8"/>
        <bgColor indexed="64"/>
      </patternFill>
    </fill>
    <fill>
      <patternFill patternType="solid">
        <fgColor indexed="44"/>
        <bgColor indexed="64"/>
      </patternFill>
    </fill>
    <fill>
      <patternFill patternType="solid">
        <fgColor indexed="26"/>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9"/>
      </patternFill>
    </fill>
    <fill>
      <patternFill patternType="solid">
        <fgColor indexed="26"/>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15"/>
        <bgColor indexed="64"/>
      </patternFill>
    </fill>
    <fill>
      <patternFill patternType="solid">
        <fgColor indexed="9"/>
        <bgColor indexed="64"/>
      </patternFill>
    </fill>
    <fill>
      <patternFill patternType="solid">
        <fgColor theme="3" tint="0.39997558519241921"/>
        <bgColor indexed="64"/>
      </patternFill>
    </fill>
    <fill>
      <patternFill patternType="solid">
        <fgColor theme="4" tint="-0.249977111117893"/>
        <bgColor indexed="64"/>
      </patternFill>
    </fill>
    <fill>
      <patternFill patternType="gray0625"/>
    </fill>
    <fill>
      <patternFill patternType="lightGray">
        <fgColor indexed="12"/>
      </patternFill>
    </fill>
    <fill>
      <patternFill patternType="gray0625">
        <fgColor indexed="12"/>
        <bgColor indexed="9"/>
      </patternFill>
    </fill>
    <fill>
      <patternFill patternType="lightGray">
        <bgColor indexed="41"/>
      </patternFill>
    </fill>
    <fill>
      <patternFill patternType="solid">
        <fgColor indexed="13"/>
        <bgColor indexed="64"/>
      </patternFill>
    </fill>
    <fill>
      <patternFill patternType="solid">
        <fgColor indexed="42"/>
        <bgColor indexed="64"/>
      </patternFill>
    </fill>
    <fill>
      <patternFill patternType="solid">
        <fgColor indexed="11"/>
        <bgColor indexed="64"/>
      </patternFill>
    </fill>
    <fill>
      <patternFill patternType="solid">
        <fgColor rgb="FFEDEDED"/>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rgb="FFDCE6F1"/>
        <bgColor indexed="64"/>
      </patternFill>
    </fill>
    <fill>
      <patternFill patternType="solid">
        <fgColor rgb="FF808080"/>
        <bgColor indexed="64"/>
      </patternFill>
    </fill>
    <fill>
      <patternFill patternType="solid">
        <fgColor theme="0" tint="-0.249977111117893"/>
        <bgColor indexed="64"/>
      </patternFill>
    </fill>
    <fill>
      <patternFill patternType="solid">
        <fgColor rgb="FFFFFF00"/>
        <bgColor indexed="64"/>
      </patternFill>
    </fill>
    <fill>
      <patternFill patternType="solid">
        <fgColor theme="0" tint="-0.14999847407452621"/>
        <bgColor indexed="64"/>
      </patternFill>
    </fill>
    <fill>
      <patternFill patternType="solid">
        <fgColor indexed="55"/>
        <bgColor indexed="64"/>
      </patternFill>
    </fill>
    <fill>
      <patternFill patternType="solid">
        <fgColor indexed="54"/>
        <bgColor indexed="64"/>
      </patternFill>
    </fill>
    <fill>
      <patternFill patternType="solid">
        <fgColor indexed="48"/>
        <bgColor indexed="64"/>
      </patternFill>
    </fill>
    <fill>
      <patternFill patternType="solid">
        <fgColor indexed="27"/>
        <bgColor indexed="64"/>
      </patternFill>
    </fill>
    <fill>
      <patternFill patternType="lightGray">
        <fgColor indexed="22"/>
      </patternFill>
    </fill>
    <fill>
      <patternFill patternType="solid">
        <fgColor indexed="47"/>
        <bgColor indexed="22"/>
      </patternFill>
    </fill>
    <fill>
      <patternFill patternType="darkVertical">
        <fgColor indexed="9"/>
        <bgColor indexed="10"/>
      </patternFill>
    </fill>
    <fill>
      <patternFill patternType="darkHorizontal">
        <fgColor indexed="9"/>
        <bgColor indexed="10"/>
      </patternFill>
    </fill>
    <fill>
      <patternFill patternType="solid">
        <fgColor indexed="62"/>
        <bgColor indexed="64"/>
      </patternFill>
    </fill>
    <fill>
      <patternFill patternType="solid">
        <fgColor indexed="63"/>
        <bgColor indexed="64"/>
      </patternFill>
    </fill>
    <fill>
      <patternFill patternType="solid">
        <fgColor theme="1" tint="0.499984740745262"/>
        <bgColor indexed="64"/>
      </patternFill>
    </fill>
    <fill>
      <patternFill patternType="solid">
        <fgColor rgb="FF92D050"/>
        <bgColor indexed="64"/>
      </patternFill>
    </fill>
    <fill>
      <patternFill patternType="solid">
        <fgColor rgb="FF00B0F0"/>
        <bgColor indexed="64"/>
      </patternFill>
    </fill>
    <fill>
      <patternFill patternType="solid">
        <fgColor theme="3" tint="-0.249977111117893"/>
        <bgColor indexed="64"/>
      </patternFill>
    </fill>
    <fill>
      <patternFill patternType="solid">
        <fgColor rgb="FFFFFFFF"/>
        <bgColor indexed="64"/>
      </patternFill>
    </fill>
    <fill>
      <patternFill patternType="solid">
        <fgColor theme="0" tint="-0.34998626667073579"/>
        <bgColor indexed="64"/>
      </patternFill>
    </fill>
    <fill>
      <patternFill patternType="solid">
        <fgColor theme="0"/>
        <bgColor indexed="64"/>
      </patternFill>
    </fill>
    <fill>
      <patternFill patternType="solid">
        <fgColor theme="5"/>
        <bgColor indexed="64"/>
      </patternFill>
    </fill>
    <fill>
      <patternFill patternType="solid">
        <fgColor rgb="FFFFC000"/>
        <bgColor indexed="64"/>
      </patternFill>
    </fill>
    <fill>
      <patternFill patternType="solid">
        <fgColor theme="4" tint="0.39997558519241921"/>
        <bgColor indexed="64"/>
      </patternFill>
    </fill>
    <fill>
      <patternFill patternType="solid">
        <fgColor theme="5" tint="0.79998168889431442"/>
        <bgColor indexed="64"/>
      </patternFill>
    </fill>
    <fill>
      <patternFill patternType="solid">
        <fgColor theme="2"/>
        <bgColor indexed="64"/>
      </patternFill>
    </fill>
    <fill>
      <patternFill patternType="solid">
        <fgColor theme="7" tint="0.79998168889431442"/>
        <bgColor indexed="64"/>
      </patternFill>
    </fill>
    <fill>
      <patternFill patternType="solid">
        <fgColor rgb="FFFF99CC"/>
        <bgColor indexed="64"/>
      </patternFill>
    </fill>
    <fill>
      <patternFill patternType="solid">
        <fgColor rgb="FFD9D9D6"/>
        <bgColor indexed="64"/>
      </patternFill>
    </fill>
    <fill>
      <patternFill patternType="solid">
        <fgColor theme="0" tint="-0.499984740745262"/>
        <bgColor indexed="64"/>
      </patternFill>
    </fill>
    <fill>
      <patternFill patternType="solid">
        <fgColor theme="4" tint="0.59999389629810485"/>
        <bgColor indexed="64"/>
      </patternFill>
    </fill>
  </fills>
  <borders count="210">
    <border>
      <left/>
      <right/>
      <top/>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right style="thick">
        <color indexed="9"/>
      </right>
      <top/>
      <bottom style="thick">
        <color indexed="9"/>
      </bottom>
      <diagonal/>
    </border>
    <border>
      <left/>
      <right/>
      <top style="hair">
        <color indexed="8"/>
      </top>
      <bottom style="hair">
        <color indexed="8"/>
      </bottom>
      <diagonal/>
    </border>
    <border>
      <left/>
      <right/>
      <top style="thin">
        <color indexed="8"/>
      </top>
      <bottom style="thin">
        <color indexed="8"/>
      </bottom>
      <diagonal/>
    </border>
    <border>
      <left/>
      <right/>
      <top/>
      <bottom style="medium">
        <color indexed="18"/>
      </bottom>
      <diagonal/>
    </border>
    <border>
      <left/>
      <right/>
      <top/>
      <bottom style="medium">
        <color indexed="8"/>
      </bottom>
      <diagonal/>
    </border>
    <border>
      <left style="thin">
        <color indexed="9"/>
      </left>
      <right style="thin">
        <color indexed="9"/>
      </right>
      <top style="thin">
        <color indexed="9"/>
      </top>
      <bottom style="thin">
        <color indexed="9"/>
      </bottom>
      <diagonal/>
    </border>
    <border>
      <left style="medium">
        <color indexed="9"/>
      </left>
      <right style="medium">
        <color indexed="9"/>
      </right>
      <top style="medium">
        <color indexed="9"/>
      </top>
      <bottom style="medium">
        <color indexed="9"/>
      </bottom>
      <diagonal/>
    </border>
    <border>
      <left style="medium">
        <color indexed="9"/>
      </left>
      <right style="medium">
        <color indexed="9"/>
      </right>
      <top/>
      <bottom/>
      <diagonal/>
    </border>
    <border>
      <left/>
      <right/>
      <top style="hair">
        <color indexed="64"/>
      </top>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right/>
      <top/>
      <bottom style="double">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55"/>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style="thin">
        <color indexed="8"/>
      </right>
      <top/>
      <bottom/>
      <diagonal/>
    </border>
    <border>
      <left/>
      <right/>
      <top style="medium">
        <color indexed="64"/>
      </top>
      <bottom/>
      <diagonal/>
    </border>
    <border>
      <left/>
      <right/>
      <top/>
      <bottom style="thick">
        <color indexed="64"/>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right/>
      <top/>
      <bottom style="thin">
        <color indexed="8"/>
      </bottom>
      <diagonal/>
    </border>
    <border>
      <left/>
      <right/>
      <top/>
      <bottom style="thin">
        <color auto="1"/>
      </bottom>
      <diagonal/>
    </border>
    <border>
      <left style="hair">
        <color indexed="64"/>
      </left>
      <right style="hair">
        <color indexed="64"/>
      </right>
      <top style="double">
        <color indexed="64"/>
      </top>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style="thick">
        <color rgb="FF333F4F"/>
      </top>
      <bottom/>
      <diagonal/>
    </border>
    <border>
      <left/>
      <right/>
      <top/>
      <bottom style="thick">
        <color rgb="FF333F4F"/>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top style="hair">
        <color auto="1"/>
      </top>
      <bottom style="hair">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indexed="64"/>
      </left>
      <right/>
      <top style="thin">
        <color indexed="64"/>
      </top>
      <bottom/>
      <diagonal/>
    </border>
    <border>
      <left style="thin">
        <color auto="1"/>
      </left>
      <right style="thin">
        <color auto="1"/>
      </right>
      <top style="thin">
        <color auto="1"/>
      </top>
      <bottom style="thin">
        <color auto="1"/>
      </bottom>
      <diagonal/>
    </border>
    <border>
      <left/>
      <right/>
      <top style="thin">
        <color indexed="64"/>
      </top>
      <bottom/>
      <diagonal/>
    </border>
    <border>
      <left/>
      <right/>
      <top style="thin">
        <color indexed="64"/>
      </top>
      <bottom style="thin">
        <color indexed="64"/>
      </bottom>
      <diagonal/>
    </border>
    <border>
      <left/>
      <right/>
      <top style="double">
        <color indexed="64"/>
      </top>
      <bottom/>
      <diagonal/>
    </border>
    <border>
      <left style="double">
        <color indexed="64"/>
      </left>
      <right/>
      <top/>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auto="1"/>
      </left>
      <right style="thin">
        <color indexed="64"/>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indexed="64"/>
      </top>
      <bottom/>
      <diagonal/>
    </border>
    <border>
      <left/>
      <right/>
      <top style="thin">
        <color indexed="8"/>
      </top>
      <bottom style="thin">
        <color indexed="8"/>
      </bottom>
      <diagonal/>
    </border>
    <border>
      <left style="thin">
        <color indexed="9"/>
      </left>
      <right style="thin">
        <color indexed="9"/>
      </right>
      <top style="thin">
        <color indexed="9"/>
      </top>
      <bottom style="thin">
        <color indexed="9"/>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auto="1"/>
      </bottom>
      <diagonal/>
    </border>
    <border>
      <left/>
      <right/>
      <top style="hair">
        <color auto="1"/>
      </top>
      <bottom style="hair">
        <color auto="1"/>
      </bottom>
      <diagonal/>
    </border>
    <border>
      <left style="thin">
        <color auto="1"/>
      </left>
      <right/>
      <top style="thin">
        <color auto="1"/>
      </top>
      <bottom/>
      <diagonal/>
    </border>
    <border>
      <left/>
      <right/>
      <top style="thin">
        <color indexed="64"/>
      </top>
      <bottom/>
      <diagonal/>
    </border>
    <border>
      <left/>
      <right style="thin">
        <color auto="1"/>
      </right>
      <top style="thin">
        <color auto="1"/>
      </top>
      <bottom/>
      <diagonal/>
    </border>
    <border>
      <left/>
      <right/>
      <top style="medium">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auto="1"/>
      </left>
      <right/>
      <top style="thin">
        <color auto="1"/>
      </top>
      <bottom/>
      <diagonal/>
    </border>
    <border>
      <left/>
      <right style="thin">
        <color auto="1"/>
      </right>
      <top style="thin">
        <color auto="1"/>
      </top>
      <bottom/>
      <diagonal/>
    </border>
    <border>
      <left/>
      <right/>
      <top style="thin">
        <color auto="1"/>
      </top>
      <bottom/>
      <diagonal/>
    </border>
    <border>
      <left/>
      <right style="thin">
        <color indexed="64"/>
      </right>
      <top style="thin">
        <color auto="1"/>
      </top>
      <bottom/>
      <diagonal/>
    </border>
    <border>
      <left/>
      <right/>
      <top style="hair">
        <color auto="1"/>
      </top>
      <bottom style="hair">
        <color auto="1"/>
      </bottom>
      <diagonal/>
    </border>
    <border>
      <left/>
      <right/>
      <top style="thin">
        <color auto="1"/>
      </top>
      <bottom/>
      <diagonal/>
    </border>
    <border>
      <left style="thin">
        <color auto="1"/>
      </left>
      <right style="thin">
        <color indexed="64"/>
      </right>
      <top style="thin">
        <color auto="1"/>
      </top>
      <bottom style="thin">
        <color auto="1"/>
      </bottom>
      <diagonal/>
    </border>
    <border>
      <left style="thin">
        <color indexed="64"/>
      </left>
      <right/>
      <top style="thin">
        <color auto="1"/>
      </top>
      <bottom style="thin">
        <color auto="1"/>
      </bottom>
      <diagonal/>
    </border>
    <border>
      <left/>
      <right style="thin">
        <color indexed="64"/>
      </right>
      <top style="thin">
        <color indexed="64"/>
      </top>
      <bottom style="thin">
        <color auto="1"/>
      </bottom>
      <diagonal/>
    </border>
    <border>
      <left/>
      <right style="thin">
        <color indexed="64"/>
      </right>
      <top style="thin">
        <color indexed="64"/>
      </top>
      <bottom/>
      <diagonal/>
    </border>
    <border>
      <left/>
      <right/>
      <top style="hair">
        <color auto="1"/>
      </top>
      <bottom style="hair">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indexed="64"/>
      </right>
      <top style="thin">
        <color auto="1"/>
      </top>
      <bottom style="thin">
        <color auto="1"/>
      </bottom>
      <diagonal/>
    </border>
    <border>
      <left/>
      <right/>
      <top style="thin">
        <color auto="1"/>
      </top>
      <bottom style="thin">
        <color auto="1"/>
      </bottom>
      <diagonal/>
    </border>
    <border>
      <left/>
      <right/>
      <top style="thin">
        <color auto="1"/>
      </top>
      <bottom/>
      <diagonal/>
    </border>
    <border>
      <left style="thin">
        <color auto="1"/>
      </left>
      <right/>
      <top/>
      <bottom style="thin">
        <color auto="1"/>
      </bottom>
      <diagonal/>
    </border>
    <border>
      <left style="thin">
        <color auto="1"/>
      </left>
      <right style="thin">
        <color indexed="64"/>
      </right>
      <top/>
      <bottom style="thin">
        <color auto="1"/>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auto="1"/>
      </top>
      <bottom/>
      <diagonal/>
    </border>
    <border>
      <left/>
      <right style="thin">
        <color auto="1"/>
      </right>
      <top style="thin">
        <color auto="1"/>
      </top>
      <bottom/>
      <diagonal/>
    </border>
    <border>
      <left style="thin">
        <color auto="1"/>
      </left>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right/>
      <top style="thin">
        <color auto="1"/>
      </top>
      <bottom/>
      <diagonal/>
    </border>
    <border>
      <left style="thin">
        <color indexed="64"/>
      </left>
      <right style="thin">
        <color indexed="64"/>
      </right>
      <top style="thin">
        <color indexed="64"/>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indexed="64"/>
      </right>
      <top style="thin">
        <color auto="1"/>
      </top>
      <bottom/>
      <diagonal/>
    </border>
    <border>
      <left/>
      <right/>
      <top style="thin">
        <color auto="1"/>
      </top>
      <bottom/>
      <diagonal/>
    </border>
    <border>
      <left/>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indexed="64"/>
      </right>
      <top style="thin">
        <color auto="1"/>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auto="1"/>
      </top>
      <bottom/>
      <diagonal/>
    </border>
    <border>
      <left/>
      <right/>
      <top style="thin">
        <color auto="1"/>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bottom/>
      <diagonal/>
    </border>
    <border>
      <left style="medium">
        <color indexed="64"/>
      </left>
      <right/>
      <top/>
      <bottom/>
      <diagonal/>
    </border>
    <border>
      <left style="medium">
        <color indexed="64"/>
      </left>
      <right/>
      <top style="thin">
        <color indexed="64"/>
      </top>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double">
        <color indexed="64"/>
      </bottom>
      <diagonal/>
    </border>
    <border>
      <left/>
      <right/>
      <top style="thin">
        <color indexed="64"/>
      </top>
      <bottom style="medium">
        <color indexed="64"/>
      </bottom>
      <diagonal/>
    </border>
    <border>
      <left style="thin">
        <color auto="1"/>
      </left>
      <right style="thin">
        <color auto="1"/>
      </right>
      <top style="thin">
        <color auto="1"/>
      </top>
      <bottom style="thin">
        <color indexed="64"/>
      </bottom>
      <diagonal/>
    </border>
    <border>
      <left style="thin">
        <color auto="1"/>
      </left>
      <right/>
      <top style="thin">
        <color auto="1"/>
      </top>
      <bottom style="thin">
        <color auto="1"/>
      </bottom>
      <diagonal/>
    </border>
    <border>
      <left/>
      <right style="thin">
        <color indexed="64"/>
      </right>
      <top style="thin">
        <color auto="1"/>
      </top>
      <bottom style="thin">
        <color auto="1"/>
      </bottom>
      <diagonal/>
    </border>
    <border>
      <left/>
      <right/>
      <top style="thin">
        <color auto="1"/>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indexed="64"/>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indexed="64"/>
      </right>
      <top style="thin">
        <color auto="1"/>
      </top>
      <bottom/>
      <diagonal/>
    </border>
    <border>
      <left/>
      <right/>
      <top style="thin">
        <color auto="1"/>
      </top>
      <bottom style="thin">
        <color auto="1"/>
      </bottom>
      <diagonal/>
    </border>
    <border>
      <left/>
      <right/>
      <top/>
      <bottom style="medium">
        <color auto="1"/>
      </bottom>
      <diagonal/>
    </border>
    <border>
      <left/>
      <right style="thin">
        <color indexed="64"/>
      </right>
      <top style="thin">
        <color auto="1"/>
      </top>
      <bottom style="thin">
        <color auto="1"/>
      </bottom>
      <diagonal/>
    </border>
  </borders>
  <cellStyleXfs count="20408">
    <xf numFmtId="0" fontId="0" fillId="0" borderId="0"/>
    <xf numFmtId="43" fontId="12" fillId="0" borderId="0" applyFont="0" applyFill="0" applyBorder="0" applyAlignment="0" applyProtection="0"/>
    <xf numFmtId="9" fontId="12" fillId="0" borderId="0" applyFont="0" applyFill="0" applyBorder="0" applyAlignment="0" applyProtection="0"/>
    <xf numFmtId="44" fontId="12" fillId="0" borderId="0" applyFont="0" applyFill="0" applyBorder="0" applyAlignment="0" applyProtection="0"/>
    <xf numFmtId="9" fontId="15" fillId="0" borderId="0">
      <alignment horizontal="right"/>
    </xf>
    <xf numFmtId="37" fontId="16" fillId="0" borderId="0">
      <alignment horizontal="fill"/>
    </xf>
    <xf numFmtId="0" fontId="17" fillId="0" borderId="0"/>
    <xf numFmtId="0" fontId="17" fillId="0" borderId="0"/>
    <xf numFmtId="0" fontId="17" fillId="0" borderId="0"/>
    <xf numFmtId="0" fontId="17" fillId="0" borderId="0"/>
    <xf numFmtId="171" fontId="18" fillId="0" borderId="0" applyFont="0" applyFill="0" applyBorder="0" applyAlignment="0" applyProtection="0"/>
    <xf numFmtId="171" fontId="18" fillId="0" borderId="0" applyFont="0" applyFill="0" applyBorder="0" applyAlignment="0" applyProtection="0"/>
    <xf numFmtId="171" fontId="18" fillId="0" borderId="0" applyFont="0" applyFill="0" applyBorder="0" applyAlignment="0" applyProtection="0"/>
    <xf numFmtId="171" fontId="18" fillId="0" borderId="0" applyFont="0" applyFill="0" applyBorder="0" applyAlignment="0" applyProtection="0"/>
    <xf numFmtId="171" fontId="18" fillId="0" borderId="0" applyFont="0" applyFill="0" applyBorder="0" applyAlignment="0" applyProtection="0"/>
    <xf numFmtId="171" fontId="18" fillId="0" borderId="0" applyFont="0" applyFill="0" applyBorder="0" applyAlignment="0" applyProtection="0"/>
    <xf numFmtId="171" fontId="18" fillId="0" borderId="0" applyFont="0" applyFill="0" applyBorder="0" applyAlignment="0" applyProtection="0"/>
    <xf numFmtId="171" fontId="18" fillId="0" borderId="0" applyFont="0" applyFill="0" applyBorder="0" applyAlignment="0" applyProtection="0"/>
    <xf numFmtId="172" fontId="19" fillId="0" borderId="0" applyFont="0" applyFill="0" applyBorder="0" applyAlignment="0" applyProtection="0"/>
    <xf numFmtId="0" fontId="19" fillId="0" borderId="0" applyFont="0" applyFill="0" applyBorder="0" applyAlignment="0" applyProtection="0"/>
    <xf numFmtId="171" fontId="18" fillId="0" borderId="0" applyFont="0" applyFill="0" applyBorder="0" applyAlignment="0" applyProtection="0"/>
    <xf numFmtId="0" fontId="19" fillId="0" borderId="0" applyFont="0" applyFill="0" applyBorder="0" applyAlignment="0" applyProtection="0"/>
    <xf numFmtId="172" fontId="19" fillId="0" borderId="0" applyFont="0" applyFill="0" applyBorder="0" applyAlignment="0" applyProtection="0"/>
    <xf numFmtId="172"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172" fontId="19" fillId="0" borderId="0" applyFont="0" applyFill="0" applyBorder="0" applyAlignment="0" applyProtection="0"/>
    <xf numFmtId="0" fontId="19" fillId="0" borderId="0" applyFont="0" applyFill="0" applyBorder="0" applyAlignment="0" applyProtection="0"/>
    <xf numFmtId="172" fontId="19" fillId="0" borderId="0" applyFont="0" applyFill="0" applyBorder="0" applyAlignment="0" applyProtection="0"/>
    <xf numFmtId="0" fontId="19" fillId="0" borderId="0" applyFont="0" applyFill="0" applyBorder="0" applyAlignment="0" applyProtection="0"/>
    <xf numFmtId="172" fontId="19" fillId="0" borderId="0" applyFont="0" applyFill="0" applyBorder="0" applyAlignment="0" applyProtection="0"/>
    <xf numFmtId="172" fontId="19" fillId="0" borderId="0" applyFont="0" applyFill="0" applyBorder="0" applyAlignment="0" applyProtection="0"/>
    <xf numFmtId="172" fontId="19" fillId="0" borderId="0" applyFont="0" applyFill="0" applyBorder="0" applyAlignment="0" applyProtection="0"/>
    <xf numFmtId="172" fontId="19" fillId="0" borderId="0" applyFont="0" applyFill="0" applyBorder="0" applyAlignment="0" applyProtection="0"/>
    <xf numFmtId="0" fontId="19" fillId="0" borderId="0" applyFont="0" applyFill="0" applyBorder="0" applyAlignment="0" applyProtection="0"/>
    <xf numFmtId="0" fontId="18" fillId="0" borderId="0" applyFont="0" applyFill="0" applyBorder="0" applyAlignment="0" applyProtection="0"/>
    <xf numFmtId="171" fontId="18" fillId="0" borderId="0" applyFont="0" applyFill="0" applyBorder="0" applyAlignment="0" applyProtection="0"/>
    <xf numFmtId="0" fontId="19" fillId="0" borderId="0" applyFont="0" applyFill="0" applyBorder="0" applyAlignment="0" applyProtection="0"/>
    <xf numFmtId="171" fontId="18" fillId="0" borderId="0" applyFont="0" applyFill="0" applyBorder="0" applyAlignment="0" applyProtection="0"/>
    <xf numFmtId="0" fontId="18" fillId="0" borderId="0" applyFont="0" applyFill="0" applyBorder="0" applyAlignment="0" applyProtection="0"/>
    <xf numFmtId="171" fontId="18" fillId="0" borderId="0" applyFont="0" applyFill="0" applyBorder="0" applyAlignment="0" applyProtection="0"/>
    <xf numFmtId="171" fontId="18" fillId="0" borderId="0" applyFont="0" applyFill="0" applyBorder="0" applyAlignment="0" applyProtection="0"/>
    <xf numFmtId="171" fontId="18" fillId="0" borderId="0" applyFont="0" applyFill="0" applyBorder="0" applyAlignment="0" applyProtection="0"/>
    <xf numFmtId="171" fontId="18" fillId="0" borderId="0" applyFont="0" applyFill="0" applyBorder="0" applyAlignment="0" applyProtection="0"/>
    <xf numFmtId="171" fontId="18" fillId="0" borderId="0" applyFont="0" applyFill="0" applyBorder="0" applyAlignment="0" applyProtection="0"/>
    <xf numFmtId="171" fontId="18" fillId="0" borderId="0" applyFont="0" applyFill="0" applyBorder="0" applyAlignment="0" applyProtection="0"/>
    <xf numFmtId="171" fontId="18" fillId="0" borderId="0" applyFont="0" applyFill="0" applyBorder="0" applyAlignment="0" applyProtection="0"/>
    <xf numFmtId="171" fontId="18" fillId="0" borderId="0" applyFont="0" applyFill="0" applyBorder="0" applyAlignment="0" applyProtection="0"/>
    <xf numFmtId="0" fontId="19" fillId="0" borderId="0" applyFont="0" applyFill="0" applyBorder="0" applyAlignment="0" applyProtection="0"/>
    <xf numFmtId="171" fontId="18" fillId="0" borderId="0" applyFont="0" applyFill="0" applyBorder="0" applyAlignment="0" applyProtection="0"/>
    <xf numFmtId="171" fontId="18" fillId="0" borderId="0" applyFont="0" applyFill="0" applyBorder="0" applyAlignment="0" applyProtection="0"/>
    <xf numFmtId="171" fontId="18" fillId="0" borderId="0" applyFont="0" applyFill="0" applyBorder="0" applyAlignment="0" applyProtection="0"/>
    <xf numFmtId="171" fontId="18" fillId="0" borderId="0" applyFont="0" applyFill="0" applyBorder="0" applyAlignment="0" applyProtection="0"/>
    <xf numFmtId="171" fontId="18" fillId="0" borderId="0" applyFont="0" applyFill="0" applyBorder="0" applyAlignment="0" applyProtection="0"/>
    <xf numFmtId="0" fontId="18" fillId="0" borderId="0" applyFont="0" applyFill="0" applyBorder="0" applyAlignment="0" applyProtection="0"/>
    <xf numFmtId="171" fontId="18" fillId="0" borderId="0" applyFont="0" applyFill="0" applyBorder="0" applyAlignment="0" applyProtection="0"/>
    <xf numFmtId="171" fontId="18" fillId="0" borderId="0" applyFont="0" applyFill="0" applyBorder="0" applyAlignment="0" applyProtection="0"/>
    <xf numFmtId="171" fontId="18" fillId="0" borderId="0" applyFont="0" applyFill="0" applyBorder="0" applyAlignment="0" applyProtection="0"/>
    <xf numFmtId="171" fontId="18" fillId="0" borderId="0" applyFont="0" applyFill="0" applyBorder="0" applyAlignment="0" applyProtection="0"/>
    <xf numFmtId="0" fontId="19" fillId="0" borderId="0" applyFont="0" applyFill="0" applyBorder="0" applyAlignment="0" applyProtection="0"/>
    <xf numFmtId="171" fontId="18" fillId="0" borderId="0" applyFont="0" applyFill="0" applyBorder="0" applyAlignment="0" applyProtection="0"/>
    <xf numFmtId="171" fontId="18" fillId="0" borderId="0" applyFont="0" applyFill="0" applyBorder="0" applyAlignment="0" applyProtection="0"/>
    <xf numFmtId="171" fontId="18" fillId="0" borderId="0" applyFont="0" applyFill="0" applyBorder="0" applyAlignment="0" applyProtection="0"/>
    <xf numFmtId="171" fontId="18" fillId="0" borderId="0" applyFont="0" applyFill="0" applyBorder="0" applyAlignment="0" applyProtection="0"/>
    <xf numFmtId="171" fontId="18" fillId="0" borderId="0" applyFont="0" applyFill="0" applyBorder="0" applyAlignment="0" applyProtection="0"/>
    <xf numFmtId="171" fontId="18" fillId="0" borderId="0" applyFont="0" applyFill="0" applyBorder="0" applyAlignment="0" applyProtection="0"/>
    <xf numFmtId="171" fontId="18" fillId="0" borderId="0" applyFont="0" applyFill="0" applyBorder="0" applyAlignment="0" applyProtection="0"/>
    <xf numFmtId="171" fontId="18" fillId="0" borderId="0" applyFont="0" applyFill="0" applyBorder="0" applyAlignment="0" applyProtection="0"/>
    <xf numFmtId="171" fontId="18" fillId="0" borderId="0" applyFont="0" applyFill="0" applyBorder="0" applyAlignment="0" applyProtection="0"/>
    <xf numFmtId="171" fontId="18" fillId="0" borderId="0" applyFont="0" applyFill="0" applyBorder="0" applyAlignment="0" applyProtection="0"/>
    <xf numFmtId="0" fontId="19" fillId="0" borderId="0" applyFont="0" applyFill="0" applyBorder="0" applyAlignment="0" applyProtection="0"/>
    <xf numFmtId="171" fontId="18"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173" fontId="20" fillId="0" borderId="0" applyNumberFormat="0" applyFill="0" applyBorder="0" applyAlignment="0" applyProtection="0"/>
    <xf numFmtId="0" fontId="17" fillId="0" borderId="0" applyNumberFormat="0" applyFill="0" applyBorder="0" applyAlignment="0" applyProtection="0"/>
    <xf numFmtId="0" fontId="17" fillId="0" borderId="0"/>
    <xf numFmtId="0" fontId="19" fillId="0" borderId="0" applyFont="0" applyFill="0" applyBorder="0" applyAlignment="0" applyProtection="0"/>
    <xf numFmtId="0" fontId="21" fillId="0" borderId="0"/>
    <xf numFmtId="0" fontId="21" fillId="0" borderId="0"/>
    <xf numFmtId="0" fontId="17" fillId="0" borderId="0"/>
    <xf numFmtId="0" fontId="21" fillId="0" borderId="0"/>
    <xf numFmtId="0" fontId="21" fillId="0" borderId="0"/>
    <xf numFmtId="0" fontId="21" fillId="0" borderId="0"/>
    <xf numFmtId="174" fontId="22" fillId="0" borderId="0" applyFont="0" applyFill="0" applyBorder="0" applyAlignment="0" applyProtection="0"/>
    <xf numFmtId="175" fontId="22" fillId="0" borderId="0" applyFont="0" applyFill="0" applyBorder="0" applyAlignment="0" applyProtection="0"/>
    <xf numFmtId="3" fontId="23" fillId="0" borderId="0" applyFont="0" applyFill="0" applyBorder="0" applyAlignment="0" applyProtection="0"/>
    <xf numFmtId="174" fontId="22" fillId="0" borderId="0" applyFont="0" applyFill="0" applyBorder="0" applyAlignment="0" applyProtection="0"/>
    <xf numFmtId="174" fontId="22" fillId="0" borderId="0" applyFont="0" applyFill="0" applyBorder="0" applyAlignment="0" applyProtection="0"/>
    <xf numFmtId="174" fontId="22" fillId="0" borderId="0" applyFont="0" applyFill="0" applyBorder="0" applyAlignment="0" applyProtection="0"/>
    <xf numFmtId="174" fontId="22" fillId="0" borderId="0" applyFont="0" applyFill="0" applyBorder="0" applyAlignment="0" applyProtection="0"/>
    <xf numFmtId="174" fontId="22" fillId="0" borderId="0" applyFont="0" applyFill="0" applyBorder="0" applyAlignment="0" applyProtection="0"/>
    <xf numFmtId="5" fontId="24" fillId="0" borderId="0" applyFont="0" applyFill="0" applyBorder="0" applyAlignment="0" applyProtection="0"/>
    <xf numFmtId="176" fontId="22" fillId="0" borderId="0" applyFont="0" applyFill="0" applyBorder="0" applyAlignment="0" applyProtection="0"/>
    <xf numFmtId="8" fontId="24" fillId="0" borderId="0" applyFont="0" applyFill="0" applyBorder="0" applyAlignment="0" applyProtection="0"/>
    <xf numFmtId="0" fontId="21" fillId="0" borderId="0"/>
    <xf numFmtId="177" fontId="21" fillId="0" borderId="0">
      <alignment horizontal="right"/>
    </xf>
    <xf numFmtId="177" fontId="17" fillId="0" borderId="0">
      <alignment horizontal="right"/>
    </xf>
    <xf numFmtId="178" fontId="17" fillId="0" borderId="0" applyFont="0" applyFill="0" applyBorder="0" applyAlignment="0" applyProtection="0"/>
    <xf numFmtId="179" fontId="17" fillId="0" borderId="0"/>
    <xf numFmtId="180" fontId="17" fillId="0" borderId="0" applyFont="0" applyFill="0" applyBorder="0" applyAlignment="0" applyProtection="0"/>
    <xf numFmtId="0" fontId="17" fillId="0" borderId="0"/>
    <xf numFmtId="181" fontId="22" fillId="0" borderId="0" applyFont="0" applyFill="0" applyBorder="0" applyAlignment="0" applyProtection="0"/>
    <xf numFmtId="182" fontId="17" fillId="0" borderId="0" applyFont="0" applyFill="0" applyBorder="0" applyAlignment="0" applyProtection="0"/>
    <xf numFmtId="9" fontId="25" fillId="31" borderId="17">
      <alignment horizontal="right" vertical="center"/>
    </xf>
    <xf numFmtId="9" fontId="17" fillId="0" borderId="0">
      <alignment horizontal="right" vertical="center"/>
    </xf>
    <xf numFmtId="183" fontId="26" fillId="0" borderId="0" applyBorder="0"/>
    <xf numFmtId="183" fontId="26" fillId="0" borderId="0" applyBorder="0"/>
    <xf numFmtId="183" fontId="17" fillId="0" borderId="0" applyBorder="0"/>
    <xf numFmtId="183" fontId="26" fillId="0" borderId="0" applyBorder="0"/>
    <xf numFmtId="183" fontId="26" fillId="0" borderId="0" applyBorder="0"/>
    <xf numFmtId="183" fontId="26" fillId="0" borderId="0" applyBorder="0"/>
    <xf numFmtId="10" fontId="24" fillId="0" borderId="0" applyFont="0" applyFill="0" applyBorder="0" applyAlignment="0" applyProtection="0"/>
    <xf numFmtId="0" fontId="27" fillId="0" borderId="0"/>
    <xf numFmtId="0" fontId="27" fillId="0" borderId="0"/>
    <xf numFmtId="0" fontId="28" fillId="0" borderId="0" applyNumberFormat="0" applyFont="0" applyFill="0" applyBorder="0" applyAlignment="0" applyProtection="0"/>
    <xf numFmtId="0" fontId="17" fillId="0" borderId="0" applyNumberFormat="0" applyFont="0" applyFill="0" applyBorder="0" applyAlignment="0" applyProtection="0"/>
    <xf numFmtId="184" fontId="21" fillId="0" borderId="0" applyFont="0" applyFill="0" applyBorder="0" applyAlignment="0"/>
    <xf numFmtId="184" fontId="21" fillId="0" borderId="0" applyFont="0" applyFill="0" applyBorder="0" applyAlignment="0"/>
    <xf numFmtId="184" fontId="17" fillId="0" borderId="0" applyFont="0" applyFill="0" applyBorder="0" applyAlignment="0"/>
    <xf numFmtId="184" fontId="21" fillId="0" borderId="0" applyFont="0" applyFill="0" applyBorder="0" applyAlignment="0"/>
    <xf numFmtId="184" fontId="21" fillId="0" borderId="0" applyFont="0" applyFill="0" applyBorder="0" applyAlignment="0"/>
    <xf numFmtId="184" fontId="21" fillId="0" borderId="0" applyFont="0" applyFill="0" applyBorder="0" applyAlignment="0"/>
    <xf numFmtId="186" fontId="17" fillId="0" borderId="0" applyFont="0" applyFill="0" applyBorder="0" applyAlignment="0" applyProtection="0"/>
    <xf numFmtId="9" fontId="17" fillId="0" borderId="0" applyFont="0" applyFill="0" applyBorder="0" applyAlignment="0" applyProtection="0"/>
    <xf numFmtId="187" fontId="29" fillId="0" borderId="0" applyFont="0" applyFill="0" applyBorder="0" applyProtection="0">
      <alignment horizontal="right"/>
    </xf>
    <xf numFmtId="187" fontId="17" fillId="0" borderId="0" applyFont="0" applyFill="0" applyBorder="0" applyProtection="0">
      <alignment horizontal="right"/>
    </xf>
    <xf numFmtId="188" fontId="30" fillId="0" borderId="0" applyFont="0" applyFill="0" applyBorder="0" applyAlignment="0" applyProtection="0"/>
    <xf numFmtId="189" fontId="30"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3" fontId="17"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190" fontId="29" fillId="0" borderId="0" applyFont="0" applyFill="0" applyBorder="0" applyProtection="0">
      <alignment horizontal="right"/>
    </xf>
    <xf numFmtId="190" fontId="17" fillId="0" borderId="0" applyFont="0" applyFill="0" applyBorder="0" applyProtection="0">
      <alignment horizontal="right"/>
    </xf>
    <xf numFmtId="0" fontId="17" fillId="0" borderId="0" applyFont="0" applyFill="0" applyBorder="0" applyAlignment="0" applyProtection="0"/>
    <xf numFmtId="191" fontId="31" fillId="0" borderId="0"/>
    <xf numFmtId="191" fontId="31" fillId="0" borderId="0"/>
    <xf numFmtId="9" fontId="15" fillId="0" borderId="0">
      <alignment horizontal="right"/>
    </xf>
    <xf numFmtId="9" fontId="15" fillId="0" borderId="0">
      <alignment horizontal="right"/>
    </xf>
    <xf numFmtId="174" fontId="30" fillId="0" borderId="0" applyFont="0" applyFill="0" applyBorder="0" applyAlignment="0" applyProtection="0"/>
    <xf numFmtId="192" fontId="29" fillId="0" borderId="0" applyFont="0" applyFill="0" applyBorder="0" applyAlignment="0" applyProtection="0"/>
    <xf numFmtId="192" fontId="29" fillId="0" borderId="0" applyFont="0" applyFill="0" applyBorder="0" applyAlignment="0" applyProtection="0"/>
    <xf numFmtId="174" fontId="17" fillId="0" borderId="0" applyFont="0" applyFill="0" applyBorder="0" applyAlignment="0" applyProtection="0"/>
    <xf numFmtId="174" fontId="17" fillId="0" borderId="0" applyFont="0" applyFill="0" applyBorder="0" applyAlignment="0" applyProtection="0"/>
    <xf numFmtId="174" fontId="17" fillId="0" borderId="0" applyFont="0" applyFill="0" applyBorder="0" applyAlignment="0" applyProtection="0"/>
    <xf numFmtId="192" fontId="17" fillId="0" borderId="0" applyFont="0" applyFill="0" applyBorder="0" applyAlignment="0" applyProtection="0"/>
    <xf numFmtId="174" fontId="32" fillId="0" borderId="0" applyFont="0" applyFill="0" applyBorder="0" applyAlignment="0" applyProtection="0"/>
    <xf numFmtId="174" fontId="17" fillId="0" borderId="0" applyFont="0" applyFill="0" applyBorder="0" applyAlignment="0" applyProtection="0"/>
    <xf numFmtId="174" fontId="17" fillId="0" borderId="0" applyFont="0" applyFill="0" applyBorder="0" applyAlignment="0" applyProtection="0"/>
    <xf numFmtId="174" fontId="17" fillId="0" borderId="0" applyFont="0" applyFill="0" applyBorder="0" applyAlignment="0" applyProtection="0"/>
    <xf numFmtId="174" fontId="17" fillId="0" borderId="0" applyFont="0" applyFill="0" applyBorder="0" applyAlignment="0" applyProtection="0"/>
    <xf numFmtId="174" fontId="33" fillId="0" borderId="0" applyFont="0" applyFill="0" applyBorder="0" applyAlignment="0" applyProtection="0"/>
    <xf numFmtId="174" fontId="17" fillId="0" borderId="0" applyFont="0" applyFill="0" applyBorder="0" applyAlignment="0" applyProtection="0"/>
    <xf numFmtId="174" fontId="17" fillId="0" borderId="0" applyFont="0" applyFill="0" applyBorder="0" applyAlignment="0" applyProtection="0"/>
    <xf numFmtId="174" fontId="17" fillId="0" borderId="0" applyFont="0" applyFill="0" applyBorder="0" applyAlignment="0" applyProtection="0"/>
    <xf numFmtId="174" fontId="17" fillId="0" borderId="0" applyFont="0" applyFill="0" applyBorder="0" applyAlignment="0" applyProtection="0"/>
    <xf numFmtId="193" fontId="30" fillId="0" borderId="0" applyFont="0" applyFill="0" applyBorder="0" applyAlignment="0" applyProtection="0"/>
    <xf numFmtId="194" fontId="29" fillId="0" borderId="0" applyFont="0" applyFill="0" applyBorder="0" applyAlignment="0" applyProtection="0"/>
    <xf numFmtId="194" fontId="29" fillId="0" borderId="0" applyFont="0" applyFill="0" applyBorder="0" applyAlignment="0" applyProtection="0"/>
    <xf numFmtId="195" fontId="17" fillId="0" borderId="0" applyFont="0" applyFill="0" applyBorder="0" applyAlignment="0" applyProtection="0"/>
    <xf numFmtId="196" fontId="17" fillId="0" borderId="0" applyFont="0" applyFill="0" applyBorder="0" applyAlignment="0" applyProtection="0"/>
    <xf numFmtId="196" fontId="17" fillId="0" borderId="0" applyFont="0" applyFill="0" applyBorder="0" applyAlignment="0" applyProtection="0"/>
    <xf numFmtId="194" fontId="17" fillId="0" borderId="0" applyFont="0" applyFill="0" applyBorder="0" applyAlignment="0" applyProtection="0"/>
    <xf numFmtId="197" fontId="17" fillId="0" borderId="0" applyFont="0" applyFill="0" applyBorder="0" applyAlignment="0" applyProtection="0"/>
    <xf numFmtId="198" fontId="17" fillId="0" borderId="0" applyFont="0" applyFill="0" applyBorder="0" applyAlignment="0" applyProtection="0"/>
    <xf numFmtId="194" fontId="17" fillId="0" borderId="0" applyFont="0" applyFill="0" applyBorder="0" applyAlignment="0" applyProtection="0"/>
    <xf numFmtId="196" fontId="17" fillId="0" borderId="0" applyFont="0" applyFill="0" applyBorder="0" applyAlignment="0" applyProtection="0"/>
    <xf numFmtId="193" fontId="17" fillId="0" borderId="0" applyFont="0" applyFill="0" applyBorder="0" applyAlignment="0" applyProtection="0"/>
    <xf numFmtId="194" fontId="17" fillId="0" borderId="0" applyFont="0" applyFill="0" applyBorder="0" applyAlignment="0" applyProtection="0"/>
    <xf numFmtId="195" fontId="17" fillId="0" borderId="0" applyFont="0" applyFill="0" applyBorder="0" applyAlignment="0" applyProtection="0"/>
    <xf numFmtId="195" fontId="33" fillId="0" borderId="0" applyFont="0" applyFill="0" applyBorder="0" applyAlignment="0" applyProtection="0"/>
    <xf numFmtId="195" fontId="33" fillId="0" borderId="0" applyFont="0" applyFill="0" applyBorder="0" applyAlignment="0" applyProtection="0"/>
    <xf numFmtId="193" fontId="32" fillId="0" borderId="0" applyFont="0" applyFill="0" applyBorder="0" applyAlignment="0" applyProtection="0"/>
    <xf numFmtId="193" fontId="17" fillId="0" borderId="0" applyFont="0" applyFill="0" applyBorder="0" applyAlignment="0" applyProtection="0"/>
    <xf numFmtId="193" fontId="17" fillId="0" borderId="0" applyFont="0" applyFill="0" applyBorder="0" applyAlignment="0" applyProtection="0"/>
    <xf numFmtId="193" fontId="17" fillId="0" borderId="0" applyFont="0" applyFill="0" applyBorder="0" applyAlignment="0" applyProtection="0"/>
    <xf numFmtId="194" fontId="17" fillId="0" borderId="0" applyFont="0" applyFill="0" applyBorder="0" applyAlignment="0" applyProtection="0"/>
    <xf numFmtId="194" fontId="33" fillId="0" borderId="0" applyFont="0" applyFill="0" applyBorder="0" applyAlignment="0" applyProtection="0"/>
    <xf numFmtId="195" fontId="33" fillId="0" borderId="0" applyFont="0" applyFill="0" applyBorder="0" applyAlignment="0" applyProtection="0"/>
    <xf numFmtId="195" fontId="33" fillId="0" borderId="0" applyFont="0" applyFill="0" applyBorder="0" applyAlignment="0" applyProtection="0"/>
    <xf numFmtId="197" fontId="17" fillId="0" borderId="0" applyFont="0" applyFill="0" applyBorder="0" applyAlignment="0" applyProtection="0"/>
    <xf numFmtId="198" fontId="33" fillId="0" borderId="0" applyFont="0" applyFill="0" applyBorder="0" applyAlignment="0" applyProtection="0"/>
    <xf numFmtId="195" fontId="17" fillId="0" borderId="0" applyFont="0" applyFill="0" applyBorder="0" applyAlignment="0" applyProtection="0"/>
    <xf numFmtId="193" fontId="17" fillId="0" borderId="0" applyFont="0" applyFill="0" applyBorder="0" applyAlignment="0" applyProtection="0"/>
    <xf numFmtId="198" fontId="17" fillId="0" borderId="0" applyFont="0" applyFill="0" applyBorder="0" applyAlignment="0" applyProtection="0"/>
    <xf numFmtId="0" fontId="17" fillId="0" borderId="0" applyFont="0" applyFill="0" applyBorder="0" applyAlignment="0" applyProtection="0"/>
    <xf numFmtId="199" fontId="17" fillId="0" borderId="0" applyFont="0" applyFill="0" applyBorder="0" applyAlignment="0" applyProtection="0"/>
    <xf numFmtId="193" fontId="17" fillId="0" borderId="0" applyFont="0" applyFill="0" applyBorder="0" applyAlignment="0" applyProtection="0"/>
    <xf numFmtId="195" fontId="17" fillId="0" borderId="0" applyFont="0" applyFill="0" applyBorder="0" applyAlignment="0" applyProtection="0"/>
    <xf numFmtId="198" fontId="17" fillId="0" borderId="0" applyFont="0" applyFill="0" applyBorder="0" applyAlignment="0" applyProtection="0"/>
    <xf numFmtId="193" fontId="17" fillId="0" borderId="0" applyFont="0" applyFill="0" applyBorder="0" applyAlignment="0" applyProtection="0"/>
    <xf numFmtId="200" fontId="30" fillId="0" borderId="0" applyFont="0" applyFill="0" applyBorder="0" applyAlignment="0" applyProtection="0"/>
    <xf numFmtId="39" fontId="29" fillId="0" borderId="0" applyFont="0" applyFill="0" applyBorder="0" applyAlignment="0" applyProtection="0"/>
    <xf numFmtId="39" fontId="29" fillId="0" borderId="0" applyFont="0" applyFill="0" applyBorder="0" applyAlignment="0" applyProtection="0"/>
    <xf numFmtId="200" fontId="17" fillId="0" borderId="0" applyFont="0" applyFill="0" applyBorder="0" applyAlignment="0" applyProtection="0"/>
    <xf numFmtId="200" fontId="17" fillId="0" borderId="0" applyFont="0" applyFill="0" applyBorder="0" applyAlignment="0" applyProtection="0"/>
    <xf numFmtId="200" fontId="17" fillId="0" borderId="0" applyFont="0" applyFill="0" applyBorder="0" applyAlignment="0" applyProtection="0"/>
    <xf numFmtId="39" fontId="17" fillId="0" borderId="0" applyFont="0" applyFill="0" applyBorder="0" applyAlignment="0" applyProtection="0"/>
    <xf numFmtId="200" fontId="32" fillId="0" borderId="0" applyFont="0" applyFill="0" applyBorder="0" applyAlignment="0" applyProtection="0"/>
    <xf numFmtId="200" fontId="17" fillId="0" borderId="0" applyFont="0" applyFill="0" applyBorder="0" applyAlignment="0" applyProtection="0"/>
    <xf numFmtId="200" fontId="17" fillId="0" borderId="0" applyFont="0" applyFill="0" applyBorder="0" applyAlignment="0" applyProtection="0"/>
    <xf numFmtId="200" fontId="17" fillId="0" borderId="0" applyFont="0" applyFill="0" applyBorder="0" applyAlignment="0" applyProtection="0"/>
    <xf numFmtId="200" fontId="17" fillId="0" borderId="0" applyFont="0" applyFill="0" applyBorder="0" applyAlignment="0" applyProtection="0"/>
    <xf numFmtId="200" fontId="33" fillId="0" borderId="0" applyFont="0" applyFill="0" applyBorder="0" applyAlignment="0" applyProtection="0"/>
    <xf numFmtId="200" fontId="17" fillId="0" borderId="0" applyFont="0" applyFill="0" applyBorder="0" applyAlignment="0" applyProtection="0"/>
    <xf numFmtId="200" fontId="17" fillId="0" borderId="0" applyFont="0" applyFill="0" applyBorder="0" applyAlignment="0" applyProtection="0"/>
    <xf numFmtId="200" fontId="17" fillId="0" borderId="0" applyFont="0" applyFill="0" applyBorder="0" applyAlignment="0" applyProtection="0"/>
    <xf numFmtId="200" fontId="17" fillId="0" borderId="0" applyFont="0" applyFill="0" applyBorder="0" applyAlignment="0" applyProtection="0"/>
    <xf numFmtId="14" fontId="34" fillId="0" borderId="0" applyFill="0" applyBorder="0" applyProtection="0"/>
    <xf numFmtId="14" fontId="17" fillId="0" borderId="0" applyFill="0" applyBorder="0" applyProtection="0"/>
    <xf numFmtId="201" fontId="17" fillId="0" borderId="0" applyFont="0" applyFill="0" applyBorder="0" applyAlignment="0" applyProtection="0"/>
    <xf numFmtId="201" fontId="17" fillId="0" borderId="0" applyFont="0" applyFill="0" applyBorder="0" applyAlignment="0" applyProtection="0"/>
    <xf numFmtId="201" fontId="17" fillId="0" borderId="0" applyFont="0" applyFill="0" applyBorder="0" applyAlignment="0" applyProtection="0"/>
    <xf numFmtId="0" fontId="28" fillId="0" borderId="0" applyNumberFormat="0" applyFill="0" applyBorder="0" applyAlignment="0" applyProtection="0"/>
    <xf numFmtId="202" fontId="30" fillId="0" borderId="0" applyFont="0" applyFill="0" applyBorder="0" applyAlignment="0" applyProtection="0"/>
    <xf numFmtId="202" fontId="29" fillId="0" borderId="0" applyFont="0" applyFill="0" applyBorder="0" applyProtection="0">
      <alignment horizontal="right"/>
    </xf>
    <xf numFmtId="202" fontId="17" fillId="0" borderId="0" applyFont="0" applyFill="0" applyBorder="0" applyProtection="0">
      <alignment horizontal="right"/>
    </xf>
    <xf numFmtId="202" fontId="29" fillId="0" borderId="0" applyFont="0" applyFill="0" applyBorder="0" applyProtection="0">
      <alignment horizontal="right"/>
    </xf>
    <xf numFmtId="202" fontId="29" fillId="0" borderId="0" applyFont="0" applyFill="0" applyBorder="0" applyProtection="0">
      <alignment horizontal="right"/>
    </xf>
    <xf numFmtId="202" fontId="29" fillId="0" borderId="0" applyFont="0" applyFill="0" applyBorder="0" applyProtection="0">
      <alignment horizontal="right"/>
    </xf>
    <xf numFmtId="202" fontId="29" fillId="0" borderId="0" applyFont="0" applyFill="0" applyBorder="0" applyAlignment="0" applyProtection="0"/>
    <xf numFmtId="202" fontId="29" fillId="0" borderId="0" applyFont="0" applyFill="0" applyBorder="0" applyAlignment="0" applyProtection="0"/>
    <xf numFmtId="202" fontId="17" fillId="0" borderId="0" applyFont="0" applyFill="0" applyBorder="0" applyAlignment="0" applyProtection="0"/>
    <xf numFmtId="202" fontId="29" fillId="0" borderId="0" applyFont="0" applyFill="0" applyBorder="0" applyAlignment="0" applyProtection="0"/>
    <xf numFmtId="202" fontId="29" fillId="0" borderId="0" applyFont="0" applyFill="0" applyBorder="0" applyAlignment="0" applyProtection="0"/>
    <xf numFmtId="202" fontId="29" fillId="0" borderId="0" applyFont="0" applyFill="0" applyBorder="0" applyAlignment="0" applyProtection="0"/>
    <xf numFmtId="202" fontId="17" fillId="0" borderId="0" applyFont="0" applyFill="0" applyBorder="0" applyAlignment="0" applyProtection="0"/>
    <xf numFmtId="202" fontId="17" fillId="0" borderId="0" applyFont="0" applyFill="0" applyBorder="0" applyAlignment="0" applyProtection="0"/>
    <xf numFmtId="0" fontId="35" fillId="0" borderId="0">
      <alignment vertical="center"/>
    </xf>
    <xf numFmtId="203" fontId="36" fillId="0" borderId="18" applyFont="0" applyFill="0" applyBorder="0" applyAlignment="0" applyProtection="0"/>
    <xf numFmtId="203" fontId="17" fillId="0" borderId="0" applyFont="0" applyFill="0" applyBorder="0" applyAlignment="0" applyProtection="0"/>
    <xf numFmtId="0" fontId="37" fillId="32" borderId="19" applyBorder="0">
      <alignment horizontal="center"/>
    </xf>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8" fillId="0" borderId="0" applyNumberFormat="0" applyFill="0" applyBorder="0" applyAlignment="0" applyProtection="0"/>
    <xf numFmtId="0" fontId="17" fillId="0" borderId="0" applyNumberFormat="0" applyFill="0" applyBorder="0" applyAlignment="0" applyProtection="0"/>
    <xf numFmtId="0" fontId="30" fillId="33" borderId="0" applyNumberFormat="0" applyFont="0" applyAlignment="0" applyProtection="0"/>
    <xf numFmtId="0" fontId="17" fillId="0" borderId="0" applyNumberFormat="0" applyFont="0" applyAlignment="0" applyProtection="0"/>
    <xf numFmtId="204" fontId="39" fillId="0" borderId="0" applyFont="0" applyFill="0" applyBorder="0" applyProtection="0">
      <alignment horizontal="right"/>
    </xf>
    <xf numFmtId="204" fontId="17" fillId="0" borderId="0" applyFont="0" applyFill="0" applyBorder="0" applyProtection="0">
      <alignment horizontal="right"/>
    </xf>
    <xf numFmtId="205" fontId="39" fillId="0" borderId="0" applyFont="0" applyFill="0" applyBorder="0" applyProtection="0">
      <alignment horizontal="right"/>
    </xf>
    <xf numFmtId="205" fontId="17" fillId="0" borderId="0" applyFont="0" applyFill="0" applyBorder="0" applyProtection="0">
      <alignment horizontal="right"/>
    </xf>
    <xf numFmtId="205" fontId="39" fillId="0" borderId="0" applyFont="0" applyFill="0" applyBorder="0" applyProtection="0">
      <alignment horizontal="right"/>
    </xf>
    <xf numFmtId="205" fontId="17" fillId="0" borderId="0" applyFont="0" applyFill="0" applyBorder="0" applyProtection="0">
      <alignment horizontal="right"/>
    </xf>
    <xf numFmtId="0" fontId="31" fillId="0" borderId="0">
      <alignment vertical="center"/>
    </xf>
    <xf numFmtId="0" fontId="31" fillId="0" borderId="0">
      <alignment vertical="center"/>
    </xf>
    <xf numFmtId="0" fontId="31" fillId="0" borderId="0">
      <alignment vertical="center"/>
    </xf>
    <xf numFmtId="0" fontId="40" fillId="34" borderId="0">
      <alignment horizontal="centerContinuous" vertical="center"/>
    </xf>
    <xf numFmtId="0" fontId="17" fillId="0" borderId="0">
      <alignment horizontal="centerContinuous" vertical="center"/>
    </xf>
    <xf numFmtId="0" fontId="41" fillId="29" borderId="0">
      <alignment horizontal="centerContinuous" vertical="center"/>
    </xf>
    <xf numFmtId="0" fontId="17" fillId="0" borderId="0">
      <alignment horizontal="centerContinuous" vertical="center"/>
    </xf>
    <xf numFmtId="9" fontId="15" fillId="0" borderId="0">
      <alignment horizontal="right"/>
    </xf>
    <xf numFmtId="9" fontId="15" fillId="0" borderId="0">
      <alignment horizontal="right"/>
    </xf>
    <xf numFmtId="9" fontId="15" fillId="0" borderId="0">
      <alignment horizontal="right"/>
    </xf>
    <xf numFmtId="9" fontId="15" fillId="0" borderId="0">
      <alignment horizontal="right"/>
    </xf>
    <xf numFmtId="0" fontId="17" fillId="0" borderId="0">
      <alignment horizontal="left" wrapText="1"/>
    </xf>
    <xf numFmtId="0" fontId="17" fillId="0" borderId="0">
      <alignment horizontal="left" wrapText="1"/>
    </xf>
    <xf numFmtId="206" fontId="30" fillId="0" borderId="0" applyFont="0" applyFill="0" applyBorder="0" applyAlignment="0" applyProtection="0"/>
    <xf numFmtId="207" fontId="29" fillId="0" borderId="0" applyFont="0" applyFill="0" applyBorder="0" applyAlignment="0" applyProtection="0"/>
    <xf numFmtId="207" fontId="29" fillId="0" borderId="0" applyFont="0" applyFill="0" applyBorder="0" applyAlignment="0" applyProtection="0"/>
    <xf numFmtId="208" fontId="17" fillId="0" borderId="0" applyFont="0" applyFill="0" applyBorder="0" applyProtection="0">
      <alignment horizontal="right"/>
    </xf>
    <xf numFmtId="209" fontId="17" fillId="0" borderId="0" applyFont="0" applyFill="0" applyBorder="0" applyAlignment="0" applyProtection="0"/>
    <xf numFmtId="206" fontId="17" fillId="0" borderId="0" applyFont="0" applyFill="0" applyBorder="0" applyAlignment="0" applyProtection="0"/>
    <xf numFmtId="210" fontId="17" fillId="0" borderId="0" applyFont="0" applyFill="0" applyBorder="0" applyProtection="0">
      <alignment horizontal="right"/>
    </xf>
    <xf numFmtId="206" fontId="17" fillId="0" borderId="0" applyFont="0" applyFill="0" applyBorder="0" applyAlignment="0" applyProtection="0"/>
    <xf numFmtId="207" fontId="17" fillId="0" borderId="0" applyFont="0" applyFill="0" applyBorder="0" applyAlignment="0" applyProtection="0"/>
    <xf numFmtId="206" fontId="32" fillId="0" borderId="0" applyFont="0" applyFill="0" applyBorder="0" applyAlignment="0" applyProtection="0"/>
    <xf numFmtId="206" fontId="17" fillId="0" borderId="0" applyFont="0" applyFill="0" applyBorder="0" applyAlignment="0" applyProtection="0"/>
    <xf numFmtId="210" fontId="17" fillId="0" borderId="0" applyFont="0" applyFill="0" applyBorder="0" applyProtection="0">
      <alignment horizontal="right"/>
    </xf>
    <xf numFmtId="210" fontId="17" fillId="0" borderId="0" applyFont="0" applyFill="0" applyBorder="0" applyProtection="0">
      <alignment horizontal="right"/>
    </xf>
    <xf numFmtId="206" fontId="17" fillId="0" borderId="0" applyFont="0" applyFill="0" applyBorder="0" applyAlignment="0" applyProtection="0"/>
    <xf numFmtId="206" fontId="33" fillId="0" borderId="0" applyFont="0" applyFill="0" applyBorder="0" applyAlignment="0" applyProtection="0"/>
    <xf numFmtId="210" fontId="17" fillId="0" borderId="0" applyFont="0" applyFill="0" applyBorder="0" applyProtection="0">
      <alignment horizontal="right"/>
    </xf>
    <xf numFmtId="209" fontId="17" fillId="0" borderId="0" applyFont="0" applyFill="0" applyBorder="0" applyAlignment="0" applyProtection="0"/>
    <xf numFmtId="206" fontId="17" fillId="0" borderId="0" applyFont="0" applyFill="0" applyBorder="0" applyAlignment="0" applyProtection="0"/>
    <xf numFmtId="210" fontId="17" fillId="0" borderId="0" applyFont="0" applyFill="0" applyBorder="0" applyProtection="0">
      <alignment horizontal="right"/>
    </xf>
    <xf numFmtId="210" fontId="17" fillId="0" borderId="0" applyFont="0" applyFill="0" applyBorder="0" applyProtection="0">
      <alignment horizontal="right"/>
    </xf>
    <xf numFmtId="211" fontId="17" fillId="0" borderId="0" applyFont="0" applyFill="0" applyBorder="0" applyProtection="0">
      <alignment horizontal="right"/>
    </xf>
    <xf numFmtId="212" fontId="30" fillId="0" borderId="0" applyFont="0" applyFill="0" applyBorder="0" applyProtection="0">
      <alignment horizontal="right"/>
    </xf>
    <xf numFmtId="213" fontId="29" fillId="0" borderId="0" applyFont="0" applyFill="0" applyBorder="0" applyAlignment="0" applyProtection="0"/>
    <xf numFmtId="213" fontId="29" fillId="0" borderId="0" applyFont="0" applyFill="0" applyBorder="0" applyAlignment="0" applyProtection="0"/>
    <xf numFmtId="214" fontId="17" fillId="0" borderId="0" applyFont="0" applyFill="0" applyBorder="0" applyAlignment="0" applyProtection="0"/>
    <xf numFmtId="212" fontId="17" fillId="0" borderId="0" applyFont="0" applyFill="0" applyBorder="0" applyProtection="0">
      <alignment horizontal="right"/>
    </xf>
    <xf numFmtId="212" fontId="17" fillId="0" borderId="0" applyFont="0" applyFill="0" applyBorder="0" applyProtection="0">
      <alignment horizontal="right"/>
    </xf>
    <xf numFmtId="213" fontId="17" fillId="0" borderId="0" applyFont="0" applyFill="0" applyBorder="0" applyAlignment="0" applyProtection="0"/>
    <xf numFmtId="212" fontId="32" fillId="0" borderId="0" applyFont="0" applyFill="0" applyBorder="0" applyProtection="0">
      <alignment horizontal="right"/>
    </xf>
    <xf numFmtId="212" fontId="17" fillId="0" borderId="0" applyFont="0" applyFill="0" applyBorder="0" applyProtection="0">
      <alignment horizontal="right"/>
    </xf>
    <xf numFmtId="212" fontId="17" fillId="0" borderId="0" applyFont="0" applyFill="0" applyBorder="0" applyProtection="0">
      <alignment horizontal="right"/>
    </xf>
    <xf numFmtId="212" fontId="17" fillId="0" borderId="0" applyFont="0" applyFill="0" applyBorder="0" applyProtection="0">
      <alignment horizontal="right"/>
    </xf>
    <xf numFmtId="212" fontId="17" fillId="0" borderId="0" applyFont="0" applyFill="0" applyBorder="0" applyProtection="0">
      <alignment horizontal="right"/>
    </xf>
    <xf numFmtId="212" fontId="33" fillId="0" borderId="0" applyFont="0" applyFill="0" applyBorder="0" applyProtection="0">
      <alignment horizontal="right"/>
    </xf>
    <xf numFmtId="212" fontId="17" fillId="0" borderId="0" applyFont="0" applyFill="0" applyBorder="0" applyProtection="0">
      <alignment horizontal="right"/>
    </xf>
    <xf numFmtId="214" fontId="17" fillId="0" borderId="0" applyFont="0" applyFill="0" applyBorder="0" applyAlignment="0" applyProtection="0"/>
    <xf numFmtId="212" fontId="17" fillId="0" borderId="0" applyFont="0" applyFill="0" applyBorder="0" applyProtection="0">
      <alignment horizontal="right"/>
    </xf>
    <xf numFmtId="212" fontId="17" fillId="0" borderId="0" applyFont="0" applyFill="0" applyBorder="0" applyProtection="0">
      <alignment horizontal="right"/>
    </xf>
    <xf numFmtId="0" fontId="17" fillId="0" borderId="0"/>
    <xf numFmtId="215" fontId="29" fillId="0" borderId="0" applyFont="0" applyFill="0" applyBorder="0" applyAlignment="0" applyProtection="0"/>
    <xf numFmtId="188" fontId="17" fillId="0" borderId="0" applyFont="0" applyFill="0" applyBorder="0" applyAlignment="0" applyProtection="0"/>
    <xf numFmtId="188" fontId="17" fillId="0" borderId="0" applyFont="0" applyFill="0" applyBorder="0" applyAlignment="0" applyProtection="0"/>
    <xf numFmtId="216" fontId="42" fillId="0" borderId="20" applyFont="0" applyFill="0" applyBorder="0" applyProtection="0">
      <alignment horizontal="right"/>
    </xf>
    <xf numFmtId="216" fontId="17" fillId="0" borderId="0" applyFont="0" applyFill="0" applyBorder="0" applyProtection="0">
      <alignment horizontal="right"/>
    </xf>
    <xf numFmtId="217" fontId="42" fillId="0" borderId="20" applyFont="0" applyFill="0" applyBorder="0" applyProtection="0">
      <alignment horizontal="right"/>
    </xf>
    <xf numFmtId="217" fontId="17" fillId="0" borderId="0" applyFont="0" applyFill="0" applyBorder="0" applyProtection="0">
      <alignment horizontal="right"/>
    </xf>
    <xf numFmtId="217" fontId="42" fillId="0" borderId="20" applyFont="0" applyFill="0" applyBorder="0" applyProtection="0">
      <alignment horizontal="right"/>
    </xf>
    <xf numFmtId="217" fontId="17" fillId="0" borderId="0" applyFont="0" applyFill="0" applyBorder="0" applyProtection="0">
      <alignment horizontal="right"/>
    </xf>
    <xf numFmtId="217" fontId="42" fillId="0" borderId="20" applyFont="0" applyFill="0" applyBorder="0" applyProtection="0">
      <alignment horizontal="right"/>
    </xf>
    <xf numFmtId="217" fontId="17" fillId="0" borderId="0" applyFont="0" applyFill="0" applyBorder="0" applyProtection="0">
      <alignment horizontal="right"/>
    </xf>
    <xf numFmtId="217" fontId="42" fillId="0" borderId="20" applyFont="0" applyFill="0" applyBorder="0" applyProtection="0">
      <alignment horizontal="right"/>
    </xf>
    <xf numFmtId="217" fontId="17" fillId="0" borderId="0" applyFont="0" applyFill="0" applyBorder="0" applyProtection="0">
      <alignment horizontal="right"/>
    </xf>
    <xf numFmtId="217" fontId="42" fillId="0" borderId="20" applyFont="0" applyFill="0" applyBorder="0" applyProtection="0">
      <alignment horizontal="right"/>
    </xf>
    <xf numFmtId="217" fontId="17" fillId="0" borderId="0" applyFont="0" applyFill="0" applyBorder="0" applyProtection="0">
      <alignment horizontal="right"/>
    </xf>
    <xf numFmtId="218" fontId="29" fillId="0" borderId="0" applyFont="0" applyFill="0" applyBorder="0" applyAlignment="0" applyProtection="0"/>
    <xf numFmtId="189" fontId="17" fillId="0" borderId="0" applyFont="0" applyFill="0" applyBorder="0" applyAlignment="0" applyProtection="0"/>
    <xf numFmtId="189" fontId="17" fillId="0" borderId="0" applyFont="0" applyFill="0" applyBorder="0" applyAlignment="0" applyProtection="0"/>
    <xf numFmtId="0" fontId="43" fillId="0" borderId="0" applyNumberFormat="0" applyFill="0" applyBorder="0" applyAlignment="0" applyProtection="0"/>
    <xf numFmtId="0" fontId="17" fillId="0" borderId="0"/>
    <xf numFmtId="0" fontId="17" fillId="0" borderId="0"/>
    <xf numFmtId="0" fontId="44" fillId="0" borderId="0">
      <alignment horizontal="center" wrapText="1"/>
    </xf>
    <xf numFmtId="0" fontId="45" fillId="32" borderId="16">
      <alignment horizontal="center"/>
    </xf>
    <xf numFmtId="0" fontId="46" fillId="35" borderId="16">
      <alignment horizontal="center" vertical="center"/>
    </xf>
    <xf numFmtId="3" fontId="47" fillId="0" borderId="16"/>
    <xf numFmtId="4" fontId="47" fillId="0" borderId="16"/>
    <xf numFmtId="219" fontId="17" fillId="0" borderId="16">
      <alignment horizontal="center" vertical="center"/>
    </xf>
    <xf numFmtId="0" fontId="48" fillId="0" borderId="16">
      <alignment horizontal="center"/>
    </xf>
    <xf numFmtId="0" fontId="49" fillId="36" borderId="16">
      <alignment horizontal="center"/>
    </xf>
    <xf numFmtId="0" fontId="44" fillId="0" borderId="0"/>
    <xf numFmtId="0" fontId="45" fillId="32" borderId="16"/>
    <xf numFmtId="0" fontId="46" fillId="35" borderId="16">
      <alignment horizontal="center" vertical="center"/>
    </xf>
    <xf numFmtId="0" fontId="50" fillId="0" borderId="0"/>
    <xf numFmtId="0" fontId="43" fillId="0" borderId="0" applyNumberFormat="0" applyFill="0" applyBorder="0" applyAlignment="0" applyProtection="0"/>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Alignment="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51" fillId="0" borderId="0" applyNumberFormat="0" applyFill="0" applyBorder="0" applyProtection="0">
      <alignment vertical="top"/>
    </xf>
    <xf numFmtId="0" fontId="17" fillId="0" borderId="0" applyNumberFormat="0" applyFill="0" applyBorder="0" applyProtection="0">
      <alignment vertical="top"/>
    </xf>
    <xf numFmtId="0" fontId="42" fillId="0" borderId="20" applyNumberFormat="0" applyFill="0" applyAlignment="0" applyProtection="0"/>
    <xf numFmtId="0" fontId="17" fillId="0" borderId="0" applyNumberFormat="0" applyFill="0" applyAlignment="0" applyProtection="0"/>
    <xf numFmtId="0" fontId="42" fillId="0" borderId="21" applyNumberFormat="0" applyFill="0" applyAlignment="0" applyProtection="0"/>
    <xf numFmtId="0" fontId="42" fillId="0" borderId="21" applyNumberFormat="0" applyFill="0" applyAlignment="0" applyProtection="0"/>
    <xf numFmtId="0" fontId="42" fillId="0" borderId="21" applyNumberFormat="0" applyFill="0" applyAlignment="0" applyProtection="0"/>
    <xf numFmtId="0" fontId="42" fillId="0" borderId="21" applyNumberFormat="0" applyFill="0" applyAlignment="0" applyProtection="0"/>
    <xf numFmtId="0" fontId="42" fillId="0" borderId="20" applyNumberFormat="0" applyFill="0" applyAlignment="0" applyProtection="0"/>
    <xf numFmtId="0" fontId="42" fillId="0" borderId="20" applyNumberFormat="0" applyFill="0" applyAlignment="0" applyProtection="0"/>
    <xf numFmtId="0" fontId="42" fillId="0" borderId="20" applyNumberFormat="0" applyFill="0" applyAlignment="0" applyProtection="0"/>
    <xf numFmtId="0" fontId="42" fillId="0" borderId="20" applyNumberFormat="0" applyFill="0" applyAlignment="0" applyProtection="0"/>
    <xf numFmtId="0" fontId="52" fillId="0" borderId="22" applyNumberFormat="0" applyFill="0" applyProtection="0">
      <alignment horizontal="center"/>
    </xf>
    <xf numFmtId="0" fontId="17" fillId="0" borderId="0" applyNumberFormat="0" applyFill="0" applyProtection="0">
      <alignment horizontal="center"/>
    </xf>
    <xf numFmtId="0" fontId="53" fillId="0" borderId="23" applyNumberFormat="0" applyFill="0" applyProtection="0">
      <alignment horizontal="center"/>
    </xf>
    <xf numFmtId="0" fontId="17" fillId="0" borderId="0" applyNumberFormat="0" applyFill="0" applyProtection="0">
      <alignment horizontal="center"/>
    </xf>
    <xf numFmtId="0" fontId="52" fillId="0" borderId="22" applyNumberFormat="0" applyFill="0" applyProtection="0">
      <alignment horizontal="center"/>
    </xf>
    <xf numFmtId="0" fontId="17" fillId="0" borderId="0" applyNumberFormat="0" applyFill="0" applyProtection="0">
      <alignment horizontal="center"/>
    </xf>
    <xf numFmtId="0" fontId="52" fillId="0" borderId="22" applyNumberFormat="0" applyFill="0" applyProtection="0">
      <alignment horizontal="center"/>
    </xf>
    <xf numFmtId="0" fontId="17" fillId="0" borderId="0" applyNumberFormat="0" applyFill="0" applyProtection="0">
      <alignment horizontal="center"/>
    </xf>
    <xf numFmtId="0" fontId="54" fillId="0" borderId="23" applyNumberFormat="0" applyFill="0" applyProtection="0">
      <alignment horizontal="center"/>
    </xf>
    <xf numFmtId="0" fontId="17" fillId="0" borderId="0" applyNumberFormat="0" applyFill="0" applyProtection="0">
      <alignment horizontal="center"/>
    </xf>
    <xf numFmtId="0" fontId="52" fillId="0" borderId="0" applyNumberFormat="0" applyFill="0" applyBorder="0" applyProtection="0">
      <alignment horizontal="left"/>
    </xf>
    <xf numFmtId="0" fontId="17" fillId="0" borderId="0" applyNumberFormat="0" applyFill="0" applyBorder="0" applyProtection="0">
      <alignment horizontal="left"/>
    </xf>
    <xf numFmtId="0" fontId="52" fillId="0" borderId="0" applyNumberFormat="0" applyFill="0" applyBorder="0" applyProtection="0">
      <alignment horizontal="left"/>
    </xf>
    <xf numFmtId="0" fontId="17" fillId="0" borderId="0" applyNumberFormat="0" applyFill="0" applyBorder="0" applyProtection="0">
      <alignment horizontal="left"/>
    </xf>
    <xf numFmtId="0" fontId="52" fillId="0" borderId="0" applyNumberFormat="0" applyFill="0" applyBorder="0" applyProtection="0">
      <alignment horizontal="left"/>
    </xf>
    <xf numFmtId="0" fontId="17" fillId="0" borderId="0" applyNumberFormat="0" applyFill="0" applyBorder="0" applyProtection="0">
      <alignment horizontal="left"/>
    </xf>
    <xf numFmtId="0" fontId="55" fillId="0" borderId="0" applyNumberFormat="0" applyFill="0" applyBorder="0" applyProtection="0">
      <alignment horizontal="centerContinuous"/>
    </xf>
    <xf numFmtId="0" fontId="17" fillId="0" borderId="0" applyNumberFormat="0" applyFill="0" applyBorder="0" applyProtection="0">
      <alignment horizontal="centerContinuous"/>
    </xf>
    <xf numFmtId="0" fontId="55" fillId="0" borderId="0" applyNumberFormat="0" applyFill="0" applyProtection="0">
      <alignment horizontal="centerContinuous"/>
    </xf>
    <xf numFmtId="0" fontId="55" fillId="0" borderId="0" applyNumberFormat="0" applyFill="0" applyProtection="0">
      <alignment horizontal="centerContinuous"/>
    </xf>
    <xf numFmtId="0" fontId="55" fillId="0" borderId="0" applyNumberFormat="0" applyFill="0" applyBorder="0" applyProtection="0">
      <alignment horizontal="centerContinuous"/>
    </xf>
    <xf numFmtId="0" fontId="56" fillId="0" borderId="0" applyNumberFormat="0" applyFill="0" applyBorder="0" applyProtection="0">
      <alignment horizontal="centerContinuous"/>
    </xf>
    <xf numFmtId="0" fontId="17" fillId="0" borderId="0" applyNumberFormat="0" applyFill="0" applyBorder="0" applyProtection="0">
      <alignment horizontal="centerContinuous"/>
    </xf>
    <xf numFmtId="0" fontId="55" fillId="0" borderId="0" applyNumberFormat="0" applyFill="0" applyBorder="0" applyProtection="0">
      <alignment horizontal="centerContinuous"/>
    </xf>
    <xf numFmtId="0" fontId="55" fillId="0" borderId="0" applyNumberFormat="0" applyFill="0" applyBorder="0" applyProtection="0">
      <alignment horizontal="centerContinuous"/>
    </xf>
    <xf numFmtId="0" fontId="17" fillId="0" borderId="0" applyNumberFormat="0" applyFill="0" applyBorder="0" applyProtection="0">
      <alignment horizontal="centerContinuous"/>
    </xf>
    <xf numFmtId="0" fontId="55" fillId="0" borderId="0" applyNumberFormat="0" applyFill="0" applyBorder="0" applyProtection="0">
      <alignment horizontal="centerContinuous"/>
    </xf>
    <xf numFmtId="0" fontId="55" fillId="0" borderId="0" applyNumberFormat="0" applyFill="0" applyBorder="0" applyProtection="0">
      <alignment horizontal="centerContinuous"/>
    </xf>
    <xf numFmtId="0" fontId="55" fillId="0" borderId="0" applyNumberFormat="0" applyFill="0" applyBorder="0" applyProtection="0">
      <alignment horizontal="centerContinuous"/>
    </xf>
    <xf numFmtId="0" fontId="17" fillId="0" borderId="0" applyNumberFormat="0" applyFill="0" applyBorder="0" applyProtection="0">
      <alignment horizontal="centerContinuous"/>
    </xf>
    <xf numFmtId="0" fontId="56" fillId="0" borderId="0" applyNumberFormat="0" applyFill="0" applyBorder="0" applyProtection="0">
      <alignment horizontal="centerContinuous"/>
    </xf>
    <xf numFmtId="0" fontId="17" fillId="0" borderId="0" applyNumberFormat="0" applyFill="0" applyBorder="0" applyProtection="0">
      <alignment horizontal="centerContinuous"/>
    </xf>
    <xf numFmtId="0" fontId="43" fillId="0" borderId="0" applyNumberFormat="0" applyFill="0" applyBorder="0" applyAlignment="0" applyProtection="0"/>
    <xf numFmtId="0" fontId="17" fillId="0" borderId="0"/>
    <xf numFmtId="0" fontId="17" fillId="0" borderId="0"/>
    <xf numFmtId="0" fontId="17" fillId="0" borderId="0"/>
    <xf numFmtId="0" fontId="17" fillId="0" borderId="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0" fontId="17" fillId="0" borderId="0">
      <alignment horizontal="left" wrapText="1"/>
    </xf>
    <xf numFmtId="220" fontId="17" fillId="0" borderId="0">
      <alignment horizontal="left" wrapText="1"/>
    </xf>
    <xf numFmtId="0" fontId="17" fillId="0" borderId="0"/>
    <xf numFmtId="0" fontId="58" fillId="0" borderId="0"/>
    <xf numFmtId="0" fontId="58" fillId="0" borderId="0"/>
    <xf numFmtId="0" fontId="27" fillId="0" borderId="0"/>
    <xf numFmtId="0" fontId="27" fillId="0" borderId="0"/>
    <xf numFmtId="0" fontId="59" fillId="0" borderId="0">
      <alignment horizontal="right"/>
    </xf>
    <xf numFmtId="0" fontId="59" fillId="0" borderId="0">
      <alignment horizontal="right"/>
    </xf>
    <xf numFmtId="221" fontId="43" fillId="0" borderId="0" applyFont="0" applyFill="0" applyBorder="0" applyAlignment="0" applyProtection="0"/>
    <xf numFmtId="221" fontId="43" fillId="0" borderId="0" applyFont="0" applyFill="0" applyBorder="0" applyAlignment="0" applyProtection="0"/>
    <xf numFmtId="222" fontId="60" fillId="0" borderId="0" applyFont="0" applyFill="0" applyBorder="0" applyAlignment="0" applyProtection="0"/>
    <xf numFmtId="222" fontId="17" fillId="0" borderId="0" applyFont="0" applyFill="0" applyBorder="0" applyAlignment="0" applyProtection="0"/>
    <xf numFmtId="223" fontId="60" fillId="0" borderId="0" applyFont="0" applyFill="0" applyBorder="0" applyAlignment="0" applyProtection="0"/>
    <xf numFmtId="223" fontId="17" fillId="0" borderId="0" applyFont="0" applyFill="0" applyBorder="0" applyAlignment="0" applyProtection="0"/>
    <xf numFmtId="224" fontId="60" fillId="0" borderId="0" applyFont="0" applyFill="0" applyBorder="0" applyAlignment="0" applyProtection="0"/>
    <xf numFmtId="224" fontId="17" fillId="0" borderId="0" applyFont="0" applyFill="0" applyBorder="0" applyAlignment="0" applyProtection="0"/>
    <xf numFmtId="225" fontId="60" fillId="0" borderId="0" applyFont="0" applyFill="0" applyBorder="0" applyAlignment="0" applyProtection="0"/>
    <xf numFmtId="225" fontId="17" fillId="0" borderId="0" applyFont="0" applyFill="0" applyBorder="0" applyAlignment="0" applyProtection="0"/>
    <xf numFmtId="226" fontId="60" fillId="0" borderId="0" applyFont="0" applyFill="0" applyBorder="0" applyAlignment="0" applyProtection="0"/>
    <xf numFmtId="226" fontId="17" fillId="0" borderId="0" applyFont="0" applyFill="0" applyBorder="0" applyAlignment="0" applyProtection="0"/>
    <xf numFmtId="227" fontId="61" fillId="0" borderId="0" applyFont="0" applyFill="0" applyBorder="0" applyAlignment="0" applyProtection="0"/>
    <xf numFmtId="227" fontId="17" fillId="0" borderId="0" applyFont="0" applyFill="0" applyBorder="0" applyAlignment="0" applyProtection="0"/>
    <xf numFmtId="0" fontId="17" fillId="0" borderId="0"/>
    <xf numFmtId="41" fontId="17" fillId="0" borderId="0" applyFont="0" applyFill="0" applyBorder="0" applyAlignment="0" applyProtection="0"/>
    <xf numFmtId="43" fontId="17" fillId="0" borderId="0" applyFont="0" applyFill="0" applyBorder="0" applyAlignment="0" applyProtection="0"/>
    <xf numFmtId="228" fontId="43" fillId="0" borderId="0" applyFont="0" applyFill="0" applyBorder="0" applyAlignment="0" applyProtection="0"/>
    <xf numFmtId="228" fontId="43" fillId="0" borderId="0" applyFont="0" applyFill="0" applyBorder="0" applyAlignment="0" applyProtection="0"/>
    <xf numFmtId="0" fontId="29" fillId="0" borderId="0">
      <alignment vertical="top"/>
    </xf>
    <xf numFmtId="0" fontId="62" fillId="0" borderId="0"/>
    <xf numFmtId="0" fontId="63" fillId="0" borderId="0"/>
    <xf numFmtId="0" fontId="62" fillId="0" borderId="0"/>
    <xf numFmtId="0" fontId="64" fillId="0" borderId="0" applyNumberFormat="0" applyFill="0" applyBorder="0" applyAlignment="0" applyProtection="0">
      <alignment vertical="top"/>
      <protection locked="0"/>
    </xf>
    <xf numFmtId="43" fontId="21" fillId="0" borderId="0" applyFont="0" applyFill="0" applyBorder="0" applyAlignment="0" applyProtection="0"/>
    <xf numFmtId="0" fontId="62" fillId="0" borderId="0"/>
    <xf numFmtId="229" fontId="32" fillId="0" borderId="0"/>
    <xf numFmtId="1" fontId="17" fillId="0" borderId="0"/>
    <xf numFmtId="9" fontId="17" fillId="0" borderId="0"/>
    <xf numFmtId="230" fontId="65" fillId="0" borderId="0">
      <alignment horizontal="center"/>
    </xf>
    <xf numFmtId="231" fontId="65" fillId="0" borderId="0">
      <alignment horizontal="center"/>
    </xf>
    <xf numFmtId="232" fontId="65" fillId="0" borderId="0">
      <alignment horizontal="center"/>
    </xf>
    <xf numFmtId="233" fontId="43" fillId="0" borderId="0">
      <alignment horizontal="center"/>
    </xf>
    <xf numFmtId="234" fontId="65" fillId="0" borderId="0">
      <alignment horizontal="center"/>
    </xf>
    <xf numFmtId="235" fontId="65" fillId="0" borderId="0">
      <alignment horizontal="center"/>
    </xf>
    <xf numFmtId="191" fontId="32" fillId="0" borderId="0"/>
    <xf numFmtId="236" fontId="66" fillId="0" borderId="0">
      <alignment horizontal="left"/>
      <protection locked="0"/>
    </xf>
    <xf numFmtId="165" fontId="32" fillId="0" borderId="0"/>
    <xf numFmtId="2" fontId="32" fillId="0" borderId="0"/>
    <xf numFmtId="10" fontId="32" fillId="0" borderId="0"/>
    <xf numFmtId="2" fontId="32" fillId="0" borderId="0"/>
    <xf numFmtId="1" fontId="67" fillId="0" borderId="0"/>
    <xf numFmtId="1" fontId="17" fillId="0" borderId="0"/>
    <xf numFmtId="229" fontId="32" fillId="0" borderId="0"/>
    <xf numFmtId="229" fontId="32" fillId="0" borderId="0"/>
    <xf numFmtId="1" fontId="32" fillId="0" borderId="0"/>
    <xf numFmtId="1" fontId="17" fillId="0" borderId="0"/>
    <xf numFmtId="1" fontId="32" fillId="0" borderId="0"/>
    <xf numFmtId="1" fontId="32" fillId="0" borderId="0"/>
    <xf numFmtId="1" fontId="17" fillId="0" borderId="0"/>
    <xf numFmtId="1" fontId="32" fillId="0" borderId="0"/>
    <xf numFmtId="1" fontId="32" fillId="0" borderId="0"/>
    <xf numFmtId="1" fontId="32" fillId="0" borderId="0"/>
    <xf numFmtId="1" fontId="32" fillId="0" borderId="0"/>
    <xf numFmtId="1" fontId="17" fillId="0" borderId="0"/>
    <xf numFmtId="1" fontId="32" fillId="0" borderId="0"/>
    <xf numFmtId="1" fontId="32" fillId="0" borderId="0"/>
    <xf numFmtId="1" fontId="17" fillId="0" borderId="0"/>
    <xf numFmtId="1" fontId="32" fillId="0" borderId="0"/>
    <xf numFmtId="1" fontId="17" fillId="0" borderId="0"/>
    <xf numFmtId="1" fontId="32" fillId="0" borderId="0"/>
    <xf numFmtId="1" fontId="32" fillId="0" borderId="0"/>
    <xf numFmtId="1" fontId="32" fillId="0" borderId="0"/>
    <xf numFmtId="1" fontId="17" fillId="0" borderId="0"/>
    <xf numFmtId="1" fontId="32" fillId="0" borderId="0"/>
    <xf numFmtId="1" fontId="32" fillId="0" borderId="0"/>
    <xf numFmtId="1" fontId="32" fillId="0" borderId="0"/>
    <xf numFmtId="1" fontId="32" fillId="0" borderId="0"/>
    <xf numFmtId="1" fontId="17" fillId="0" borderId="0"/>
    <xf numFmtId="1" fontId="32" fillId="0" borderId="0"/>
    <xf numFmtId="1" fontId="32" fillId="0" borderId="0"/>
    <xf numFmtId="1" fontId="17" fillId="0" borderId="0"/>
    <xf numFmtId="1" fontId="32" fillId="0" borderId="0"/>
    <xf numFmtId="1" fontId="17" fillId="0" borderId="0"/>
    <xf numFmtId="1" fontId="32" fillId="0" borderId="0"/>
    <xf numFmtId="1" fontId="32" fillId="0" borderId="0"/>
    <xf numFmtId="1" fontId="32" fillId="0" borderId="0"/>
    <xf numFmtId="1" fontId="17" fillId="0" borderId="0"/>
    <xf numFmtId="1" fontId="32" fillId="0" borderId="0"/>
    <xf numFmtId="1" fontId="32" fillId="0" borderId="0"/>
    <xf numFmtId="1" fontId="32" fillId="0" borderId="0"/>
    <xf numFmtId="1" fontId="32" fillId="0" borderId="0"/>
    <xf numFmtId="1" fontId="17" fillId="0" borderId="0"/>
    <xf numFmtId="1" fontId="32" fillId="0" borderId="0"/>
    <xf numFmtId="1" fontId="32" fillId="0" borderId="0"/>
    <xf numFmtId="1" fontId="17" fillId="0" borderId="0"/>
    <xf numFmtId="1" fontId="32" fillId="0" borderId="0"/>
    <xf numFmtId="1" fontId="17" fillId="0" borderId="0"/>
    <xf numFmtId="1" fontId="32" fillId="0" borderId="0"/>
    <xf numFmtId="1" fontId="32" fillId="0" borderId="0"/>
    <xf numFmtId="1" fontId="17" fillId="0" borderId="0"/>
    <xf numFmtId="1" fontId="32" fillId="0" borderId="0"/>
    <xf numFmtId="1" fontId="32" fillId="0" borderId="0"/>
    <xf numFmtId="1" fontId="17" fillId="0" borderId="0"/>
    <xf numFmtId="1" fontId="32" fillId="0" borderId="0"/>
    <xf numFmtId="1" fontId="32" fillId="0" borderId="0"/>
    <xf numFmtId="1" fontId="32" fillId="0" borderId="0"/>
    <xf numFmtId="1" fontId="32" fillId="0" borderId="0"/>
    <xf numFmtId="1" fontId="17" fillId="0" borderId="0"/>
    <xf numFmtId="1" fontId="32" fillId="0" borderId="0"/>
    <xf numFmtId="1" fontId="32" fillId="0" borderId="0"/>
    <xf numFmtId="1" fontId="17" fillId="0" borderId="0"/>
    <xf numFmtId="1" fontId="32" fillId="0" borderId="0"/>
    <xf numFmtId="1" fontId="17" fillId="0" borderId="0"/>
    <xf numFmtId="1" fontId="32" fillId="0" borderId="0"/>
    <xf numFmtId="1" fontId="32" fillId="0" borderId="0"/>
    <xf numFmtId="1" fontId="32" fillId="0" borderId="0"/>
    <xf numFmtId="1" fontId="17" fillId="0" borderId="0"/>
    <xf numFmtId="1" fontId="32" fillId="0" borderId="0"/>
    <xf numFmtId="1" fontId="32" fillId="0" borderId="0"/>
    <xf numFmtId="1" fontId="32" fillId="0" borderId="0"/>
    <xf numFmtId="1" fontId="32" fillId="0" borderId="0"/>
    <xf numFmtId="1" fontId="17" fillId="0" borderId="0"/>
    <xf numFmtId="1" fontId="32" fillId="0" borderId="0"/>
    <xf numFmtId="1" fontId="32" fillId="0" borderId="0"/>
    <xf numFmtId="1" fontId="17" fillId="0" borderId="0"/>
    <xf numFmtId="1" fontId="32" fillId="0" borderId="0"/>
    <xf numFmtId="1" fontId="17" fillId="0" borderId="0"/>
    <xf numFmtId="1" fontId="32" fillId="0" borderId="0"/>
    <xf numFmtId="1" fontId="32" fillId="0" borderId="0"/>
    <xf numFmtId="1" fontId="32" fillId="0" borderId="0"/>
    <xf numFmtId="1" fontId="17" fillId="0" borderId="0"/>
    <xf numFmtId="1" fontId="32" fillId="0" borderId="0"/>
    <xf numFmtId="1" fontId="32" fillId="0" borderId="0"/>
    <xf numFmtId="1" fontId="32" fillId="0" borderId="0"/>
    <xf numFmtId="1" fontId="32" fillId="0" borderId="0"/>
    <xf numFmtId="1" fontId="17" fillId="0" borderId="0"/>
    <xf numFmtId="1" fontId="32" fillId="0" borderId="0"/>
    <xf numFmtId="1" fontId="32" fillId="0" borderId="0"/>
    <xf numFmtId="1" fontId="17" fillId="0" borderId="0"/>
    <xf numFmtId="1" fontId="32" fillId="0" borderId="0"/>
    <xf numFmtId="1" fontId="17" fillId="0" borderId="0"/>
    <xf numFmtId="1" fontId="32" fillId="0" borderId="0"/>
    <xf numFmtId="237" fontId="65" fillId="0" borderId="0">
      <alignment horizontal="center"/>
    </xf>
    <xf numFmtId="238" fontId="65" fillId="0" borderId="0">
      <alignment horizontal="center"/>
    </xf>
    <xf numFmtId="230" fontId="65" fillId="0" borderId="0">
      <alignment horizontal="center"/>
    </xf>
    <xf numFmtId="239" fontId="43" fillId="0" borderId="0">
      <alignment horizontal="center"/>
    </xf>
    <xf numFmtId="240" fontId="68" fillId="0" borderId="0">
      <alignment horizontal="left"/>
    </xf>
    <xf numFmtId="241" fontId="69" fillId="0" borderId="0">
      <alignment horizontal="left"/>
    </xf>
    <xf numFmtId="192" fontId="17" fillId="0" borderId="0"/>
    <xf numFmtId="242" fontId="17" fillId="0" borderId="0" applyFont="0" applyFill="0" applyBorder="0" applyAlignment="0" applyProtection="0"/>
    <xf numFmtId="191" fontId="26" fillId="0" borderId="0"/>
    <xf numFmtId="191" fontId="26" fillId="0" borderId="0"/>
    <xf numFmtId="191" fontId="17" fillId="0" borderId="0"/>
    <xf numFmtId="191" fontId="26" fillId="0" borderId="0"/>
    <xf numFmtId="191" fontId="26" fillId="0" borderId="0"/>
    <xf numFmtId="191" fontId="26" fillId="0" borderId="0"/>
    <xf numFmtId="243" fontId="17" fillId="0" borderId="0" applyFont="0" applyFill="0" applyBorder="0" applyAlignment="0" applyProtection="0"/>
    <xf numFmtId="180" fontId="17" fillId="0" borderId="0" applyFont="0" applyFill="0" applyBorder="0" applyAlignment="0" applyProtection="0"/>
    <xf numFmtId="244" fontId="16" fillId="0" borderId="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9"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70" fillId="37" borderId="0" applyNumberFormat="0" applyBorder="0" applyAlignment="0" applyProtection="0"/>
    <xf numFmtId="0" fontId="70" fillId="38" borderId="0" applyNumberFormat="0" applyBorder="0" applyAlignment="0" applyProtection="0"/>
    <xf numFmtId="0" fontId="70" fillId="39" borderId="0" applyNumberFormat="0" applyBorder="0" applyAlignment="0" applyProtection="0"/>
    <xf numFmtId="0" fontId="70" fillId="40" borderId="0" applyNumberFormat="0" applyBorder="0" applyAlignment="0" applyProtection="0"/>
    <xf numFmtId="0" fontId="70" fillId="41" borderId="0" applyNumberFormat="0" applyBorder="0" applyAlignment="0" applyProtection="0"/>
    <xf numFmtId="0" fontId="70" fillId="42" borderId="0" applyNumberFormat="0" applyBorder="0" applyAlignment="0" applyProtection="0"/>
    <xf numFmtId="0" fontId="71" fillId="43" borderId="0" applyNumberFormat="0" applyBorder="0" applyAlignment="0" applyProtection="0"/>
    <xf numFmtId="0" fontId="71" fillId="42" borderId="0" applyNumberFormat="0" applyBorder="0" applyAlignment="0" applyProtection="0"/>
    <xf numFmtId="0" fontId="71" fillId="44" borderId="0" applyNumberFormat="0" applyBorder="0" applyAlignment="0" applyProtection="0"/>
    <xf numFmtId="0" fontId="71" fillId="43" borderId="0" applyNumberFormat="0" applyBorder="0" applyAlignment="0" applyProtection="0"/>
    <xf numFmtId="0" fontId="71" fillId="41" borderId="0" applyNumberFormat="0" applyBorder="0" applyAlignment="0" applyProtection="0"/>
    <xf numFmtId="0" fontId="71" fillId="42" borderId="0" applyNumberFormat="0" applyBorder="0" applyAlignment="0" applyProtection="0"/>
    <xf numFmtId="0" fontId="72" fillId="37" borderId="0" applyNumberFormat="0" applyBorder="0" applyAlignment="0" applyProtection="0"/>
    <xf numFmtId="0" fontId="17" fillId="0" borderId="0" applyNumberFormat="0" applyBorder="0" applyAlignment="0" applyProtection="0"/>
    <xf numFmtId="0" fontId="72" fillId="38" borderId="0" applyNumberFormat="0" applyBorder="0" applyAlignment="0" applyProtection="0"/>
    <xf numFmtId="0" fontId="17" fillId="0" borderId="0" applyNumberFormat="0" applyBorder="0" applyAlignment="0" applyProtection="0"/>
    <xf numFmtId="0" fontId="72" fillId="39" borderId="0" applyNumberFormat="0" applyBorder="0" applyAlignment="0" applyProtection="0"/>
    <xf numFmtId="0" fontId="17" fillId="0" borderId="0" applyNumberFormat="0" applyBorder="0" applyAlignment="0" applyProtection="0"/>
    <xf numFmtId="0" fontId="72" fillId="40" borderId="0" applyNumberFormat="0" applyBorder="0" applyAlignment="0" applyProtection="0"/>
    <xf numFmtId="0" fontId="17" fillId="0" borderId="0" applyNumberFormat="0" applyBorder="0" applyAlignment="0" applyProtection="0"/>
    <xf numFmtId="0" fontId="72" fillId="41" borderId="0" applyNumberFormat="0" applyBorder="0" applyAlignment="0" applyProtection="0"/>
    <xf numFmtId="0" fontId="17" fillId="0" borderId="0" applyNumberFormat="0" applyBorder="0" applyAlignment="0" applyProtection="0"/>
    <xf numFmtId="0" fontId="72" fillId="42" borderId="0" applyNumberFormat="0" applyBorder="0" applyAlignment="0" applyProtection="0"/>
    <xf numFmtId="0" fontId="17" fillId="0" borderId="0" applyNumberFormat="0" applyBorder="0" applyAlignment="0" applyProtection="0"/>
    <xf numFmtId="245" fontId="26" fillId="0" borderId="0"/>
    <xf numFmtId="245" fontId="26" fillId="0" borderId="0"/>
    <xf numFmtId="245" fontId="17" fillId="0" borderId="0"/>
    <xf numFmtId="245" fontId="26" fillId="0" borderId="0"/>
    <xf numFmtId="245" fontId="26" fillId="0" borderId="0"/>
    <xf numFmtId="245" fontId="26" fillId="0" borderId="0"/>
    <xf numFmtId="40" fontId="26" fillId="0" borderId="0"/>
    <xf numFmtId="40" fontId="26" fillId="0" borderId="0"/>
    <xf numFmtId="40" fontId="17" fillId="0" borderId="0"/>
    <xf numFmtId="40" fontId="26" fillId="0" borderId="0"/>
    <xf numFmtId="40" fontId="26" fillId="0" borderId="0"/>
    <xf numFmtId="40" fontId="26" fillId="0" borderId="0"/>
    <xf numFmtId="246" fontId="16" fillId="0" borderId="0" applyBorder="0"/>
    <xf numFmtId="42" fontId="17" fillId="0" borderId="0" applyFont="0" applyFill="0" applyBorder="0" applyAlignment="0" applyProtection="0"/>
    <xf numFmtId="44" fontId="17" fillId="0" borderId="0" applyFont="0" applyFill="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6"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2" fillId="10" borderId="0" applyNumberFormat="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2" fillId="14" borderId="0" applyNumberFormat="0" applyBorder="0" applyAlignment="0" applyProtection="0"/>
    <xf numFmtId="0" fontId="12" fillId="14" borderId="0" applyNumberFormat="0" applyBorder="0" applyAlignment="0" applyProtection="0"/>
    <xf numFmtId="0" fontId="12" fillId="14" borderId="0" applyNumberFormat="0" applyBorder="0" applyAlignment="0" applyProtection="0"/>
    <xf numFmtId="0" fontId="12" fillId="14" borderId="0" applyNumberFormat="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72" fillId="45" borderId="0" applyNumberFormat="0" applyBorder="0" applyAlignment="0" applyProtection="0"/>
    <xf numFmtId="0" fontId="17" fillId="0" borderId="0" applyNumberFormat="0" applyBorder="0" applyAlignment="0" applyProtection="0"/>
    <xf numFmtId="0" fontId="72" fillId="46" borderId="0" applyNumberFormat="0" applyBorder="0" applyAlignment="0" applyProtection="0"/>
    <xf numFmtId="0" fontId="17" fillId="0" borderId="0" applyNumberFormat="0" applyBorder="0" applyAlignment="0" applyProtection="0"/>
    <xf numFmtId="0" fontId="72" fillId="47" borderId="0" applyNumberFormat="0" applyBorder="0" applyAlignment="0" applyProtection="0"/>
    <xf numFmtId="0" fontId="17" fillId="0" borderId="0" applyNumberFormat="0" applyBorder="0" applyAlignment="0" applyProtection="0"/>
    <xf numFmtId="0" fontId="72" fillId="40" borderId="0" applyNumberFormat="0" applyBorder="0" applyAlignment="0" applyProtection="0"/>
    <xf numFmtId="0" fontId="17" fillId="0" borderId="0" applyNumberFormat="0" applyBorder="0" applyAlignment="0" applyProtection="0"/>
    <xf numFmtId="0" fontId="72" fillId="45" borderId="0" applyNumberFormat="0" applyBorder="0" applyAlignment="0" applyProtection="0"/>
    <xf numFmtId="0" fontId="17" fillId="0" borderId="0" applyNumberFormat="0" applyBorder="0" applyAlignment="0" applyProtection="0"/>
    <xf numFmtId="0" fontId="72" fillId="48" borderId="0" applyNumberFormat="0" applyBorder="0" applyAlignment="0" applyProtection="0"/>
    <xf numFmtId="0" fontId="17" fillId="0" borderId="0" applyNumberFormat="0" applyBorder="0" applyAlignment="0" applyProtection="0"/>
    <xf numFmtId="0" fontId="17" fillId="0" borderId="0"/>
    <xf numFmtId="0" fontId="17" fillId="0" borderId="0"/>
    <xf numFmtId="0" fontId="17" fillId="0" borderId="0"/>
    <xf numFmtId="0" fontId="17" fillId="0" borderId="0"/>
    <xf numFmtId="0" fontId="73" fillId="7" borderId="0" applyNumberFormat="0" applyBorder="0" applyAlignment="0" applyProtection="0"/>
    <xf numFmtId="0" fontId="73" fillId="7" borderId="0" applyNumberFormat="0" applyBorder="0" applyAlignment="0" applyProtection="0"/>
    <xf numFmtId="0" fontId="73" fillId="7" borderId="0" applyNumberFormat="0" applyBorder="0" applyAlignment="0" applyProtection="0"/>
    <xf numFmtId="0" fontId="73" fillId="7" borderId="0" applyNumberFormat="0" applyBorder="0" applyAlignment="0" applyProtection="0"/>
    <xf numFmtId="0" fontId="73" fillId="7" borderId="0" applyNumberFormat="0" applyBorder="0" applyAlignment="0" applyProtection="0"/>
    <xf numFmtId="0" fontId="73" fillId="7" borderId="0" applyNumberFormat="0" applyBorder="0" applyAlignment="0" applyProtection="0"/>
    <xf numFmtId="0" fontId="17" fillId="0" borderId="0"/>
    <xf numFmtId="0" fontId="74" fillId="49"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247" fontId="74" fillId="49"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247" fontId="74" fillId="49"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17" fillId="0" borderId="0"/>
    <xf numFmtId="247" fontId="74" fillId="49"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247" fontId="74" fillId="49" borderId="0" applyNumberFormat="0" applyBorder="0" applyAlignment="0" applyProtection="0"/>
    <xf numFmtId="0" fontId="74" fillId="49" borderId="0" applyNumberFormat="0" applyBorder="0" applyAlignment="0" applyProtection="0"/>
    <xf numFmtId="0" fontId="17" fillId="0" borderId="0"/>
    <xf numFmtId="247" fontId="74" fillId="49" borderId="0" applyNumberFormat="0" applyBorder="0" applyAlignment="0" applyProtection="0"/>
    <xf numFmtId="0" fontId="73" fillId="7" borderId="0" applyNumberFormat="0" applyBorder="0" applyAlignment="0" applyProtection="0"/>
    <xf numFmtId="0" fontId="73" fillId="7" borderId="0" applyNumberFormat="0" applyBorder="0" applyAlignment="0" applyProtection="0"/>
    <xf numFmtId="0" fontId="73" fillId="7" borderId="0" applyNumberFormat="0" applyBorder="0" applyAlignment="0" applyProtection="0"/>
    <xf numFmtId="247" fontId="74" fillId="49" borderId="0" applyNumberFormat="0" applyBorder="0" applyAlignment="0" applyProtection="0"/>
    <xf numFmtId="0" fontId="73" fillId="7" borderId="0" applyNumberFormat="0" applyBorder="0" applyAlignment="0" applyProtection="0"/>
    <xf numFmtId="0" fontId="17" fillId="0" borderId="0"/>
    <xf numFmtId="247" fontId="74" fillId="49" borderId="0" applyNumberFormat="0" applyBorder="0" applyAlignment="0" applyProtection="0"/>
    <xf numFmtId="0" fontId="73" fillId="7" borderId="0" applyNumberFormat="0" applyBorder="0" applyAlignment="0" applyProtection="0"/>
    <xf numFmtId="0" fontId="73" fillId="7" borderId="0" applyNumberFormat="0" applyBorder="0" applyAlignment="0" applyProtection="0"/>
    <xf numFmtId="0" fontId="73" fillId="7" borderId="0" applyNumberFormat="0" applyBorder="0" applyAlignment="0" applyProtection="0"/>
    <xf numFmtId="247" fontId="74" fillId="49" borderId="0" applyNumberFormat="0" applyBorder="0" applyAlignment="0" applyProtection="0"/>
    <xf numFmtId="0" fontId="73" fillId="7" borderId="0" applyNumberFormat="0" applyBorder="0" applyAlignment="0" applyProtection="0"/>
    <xf numFmtId="0" fontId="17" fillId="0" borderId="0"/>
    <xf numFmtId="0" fontId="74" fillId="49" borderId="0" applyNumberFormat="0" applyBorder="0" applyAlignment="0" applyProtection="0"/>
    <xf numFmtId="0" fontId="74" fillId="49" borderId="0" applyNumberFormat="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73" fillId="11" borderId="0" applyNumberFormat="0" applyBorder="0" applyAlignment="0" applyProtection="0"/>
    <xf numFmtId="0" fontId="73" fillId="11" borderId="0" applyNumberFormat="0" applyBorder="0" applyAlignment="0" applyProtection="0"/>
    <xf numFmtId="0" fontId="73" fillId="11" borderId="0" applyNumberFormat="0" applyBorder="0" applyAlignment="0" applyProtection="0"/>
    <xf numFmtId="0" fontId="73" fillId="11" borderId="0" applyNumberFormat="0" applyBorder="0" applyAlignment="0" applyProtection="0"/>
    <xf numFmtId="0" fontId="73" fillId="11" borderId="0" applyNumberFormat="0" applyBorder="0" applyAlignment="0" applyProtection="0"/>
    <xf numFmtId="0" fontId="73" fillId="11" borderId="0" applyNumberFormat="0" applyBorder="0" applyAlignment="0" applyProtection="0"/>
    <xf numFmtId="0" fontId="17" fillId="0" borderId="0"/>
    <xf numFmtId="0" fontId="74" fillId="46" borderId="0" applyNumberFormat="0" applyBorder="0" applyAlignment="0" applyProtection="0"/>
    <xf numFmtId="0" fontId="74" fillId="46" borderId="0" applyNumberFormat="0" applyBorder="0" applyAlignment="0" applyProtection="0"/>
    <xf numFmtId="0" fontId="74" fillId="46" borderId="0" applyNumberFormat="0" applyBorder="0" applyAlignment="0" applyProtection="0"/>
    <xf numFmtId="0" fontId="74" fillId="46" borderId="0" applyNumberFormat="0" applyBorder="0" applyAlignment="0" applyProtection="0"/>
    <xf numFmtId="247" fontId="74" fillId="46" borderId="0" applyNumberFormat="0" applyBorder="0" applyAlignment="0" applyProtection="0"/>
    <xf numFmtId="0" fontId="74" fillId="46" borderId="0" applyNumberFormat="0" applyBorder="0" applyAlignment="0" applyProtection="0"/>
    <xf numFmtId="0" fontId="74" fillId="46" borderId="0" applyNumberFormat="0" applyBorder="0" applyAlignment="0" applyProtection="0"/>
    <xf numFmtId="0" fontId="74" fillId="46" borderId="0" applyNumberFormat="0" applyBorder="0" applyAlignment="0" applyProtection="0"/>
    <xf numFmtId="247" fontId="74" fillId="46" borderId="0" applyNumberFormat="0" applyBorder="0" applyAlignment="0" applyProtection="0"/>
    <xf numFmtId="0" fontId="74" fillId="46" borderId="0" applyNumberFormat="0" applyBorder="0" applyAlignment="0" applyProtection="0"/>
    <xf numFmtId="0" fontId="74" fillId="46" borderId="0" applyNumberFormat="0" applyBorder="0" applyAlignment="0" applyProtection="0"/>
    <xf numFmtId="0" fontId="17" fillId="0" borderId="0"/>
    <xf numFmtId="247" fontId="74" fillId="46" borderId="0" applyNumberFormat="0" applyBorder="0" applyAlignment="0" applyProtection="0"/>
    <xf numFmtId="0" fontId="74" fillId="46" borderId="0" applyNumberFormat="0" applyBorder="0" applyAlignment="0" applyProtection="0"/>
    <xf numFmtId="0" fontId="74" fillId="46" borderId="0" applyNumberFormat="0" applyBorder="0" applyAlignment="0" applyProtection="0"/>
    <xf numFmtId="0" fontId="74" fillId="46" borderId="0" applyNumberFormat="0" applyBorder="0" applyAlignment="0" applyProtection="0"/>
    <xf numFmtId="247" fontId="74" fillId="46" borderId="0" applyNumberFormat="0" applyBorder="0" applyAlignment="0" applyProtection="0"/>
    <xf numFmtId="0" fontId="74" fillId="46" borderId="0" applyNumberFormat="0" applyBorder="0" applyAlignment="0" applyProtection="0"/>
    <xf numFmtId="0" fontId="17" fillId="0" borderId="0"/>
    <xf numFmtId="247" fontId="74" fillId="46" borderId="0" applyNumberFormat="0" applyBorder="0" applyAlignment="0" applyProtection="0"/>
    <xf numFmtId="0" fontId="73" fillId="11" borderId="0" applyNumberFormat="0" applyBorder="0" applyAlignment="0" applyProtection="0"/>
    <xf numFmtId="0" fontId="73" fillId="11" borderId="0" applyNumberFormat="0" applyBorder="0" applyAlignment="0" applyProtection="0"/>
    <xf numFmtId="0" fontId="73" fillId="11" borderId="0" applyNumberFormat="0" applyBorder="0" applyAlignment="0" applyProtection="0"/>
    <xf numFmtId="247" fontId="74" fillId="46" borderId="0" applyNumberFormat="0" applyBorder="0" applyAlignment="0" applyProtection="0"/>
    <xf numFmtId="0" fontId="73" fillId="11" borderId="0" applyNumberFormat="0" applyBorder="0" applyAlignment="0" applyProtection="0"/>
    <xf numFmtId="0" fontId="17" fillId="0" borderId="0"/>
    <xf numFmtId="247" fontId="74" fillId="46" borderId="0" applyNumberFormat="0" applyBorder="0" applyAlignment="0" applyProtection="0"/>
    <xf numFmtId="0" fontId="73" fillId="11" borderId="0" applyNumberFormat="0" applyBorder="0" applyAlignment="0" applyProtection="0"/>
    <xf numFmtId="0" fontId="73" fillId="11" borderId="0" applyNumberFormat="0" applyBorder="0" applyAlignment="0" applyProtection="0"/>
    <xf numFmtId="0" fontId="73" fillId="11" borderId="0" applyNumberFormat="0" applyBorder="0" applyAlignment="0" applyProtection="0"/>
    <xf numFmtId="247" fontId="74" fillId="46" borderId="0" applyNumberFormat="0" applyBorder="0" applyAlignment="0" applyProtection="0"/>
    <xf numFmtId="0" fontId="73" fillId="11" borderId="0" applyNumberFormat="0" applyBorder="0" applyAlignment="0" applyProtection="0"/>
    <xf numFmtId="0" fontId="17" fillId="0" borderId="0"/>
    <xf numFmtId="0" fontId="74" fillId="46" borderId="0" applyNumberFormat="0" applyBorder="0" applyAlignment="0" applyProtection="0"/>
    <xf numFmtId="0" fontId="74" fillId="46" borderId="0" applyNumberFormat="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73" fillId="15" borderId="0" applyNumberFormat="0" applyBorder="0" applyAlignment="0" applyProtection="0"/>
    <xf numFmtId="0" fontId="73" fillId="15" borderId="0" applyNumberFormat="0" applyBorder="0" applyAlignment="0" applyProtection="0"/>
    <xf numFmtId="0" fontId="73" fillId="15" borderId="0" applyNumberFormat="0" applyBorder="0" applyAlignment="0" applyProtection="0"/>
    <xf numFmtId="0" fontId="73" fillId="15" borderId="0" applyNumberFormat="0" applyBorder="0" applyAlignment="0" applyProtection="0"/>
    <xf numFmtId="0" fontId="73" fillId="15" borderId="0" applyNumberFormat="0" applyBorder="0" applyAlignment="0" applyProtection="0"/>
    <xf numFmtId="0" fontId="73" fillId="15" borderId="0" applyNumberFormat="0" applyBorder="0" applyAlignment="0" applyProtection="0"/>
    <xf numFmtId="0" fontId="17" fillId="0" borderId="0"/>
    <xf numFmtId="0" fontId="74" fillId="47" borderId="0" applyNumberFormat="0" applyBorder="0" applyAlignment="0" applyProtection="0"/>
    <xf numFmtId="0" fontId="74" fillId="47" borderId="0" applyNumberFormat="0" applyBorder="0" applyAlignment="0" applyProtection="0"/>
    <xf numFmtId="0" fontId="74" fillId="47" borderId="0" applyNumberFormat="0" applyBorder="0" applyAlignment="0" applyProtection="0"/>
    <xf numFmtId="0" fontId="74" fillId="47" borderId="0" applyNumberFormat="0" applyBorder="0" applyAlignment="0" applyProtection="0"/>
    <xf numFmtId="247" fontId="74" fillId="47" borderId="0" applyNumberFormat="0" applyBorder="0" applyAlignment="0" applyProtection="0"/>
    <xf numFmtId="0" fontId="74" fillId="47" borderId="0" applyNumberFormat="0" applyBorder="0" applyAlignment="0" applyProtection="0"/>
    <xf numFmtId="0" fontId="74" fillId="47" borderId="0" applyNumberFormat="0" applyBorder="0" applyAlignment="0" applyProtection="0"/>
    <xf numFmtId="0" fontId="74" fillId="47" borderId="0" applyNumberFormat="0" applyBorder="0" applyAlignment="0" applyProtection="0"/>
    <xf numFmtId="247" fontId="74" fillId="47" borderId="0" applyNumberFormat="0" applyBorder="0" applyAlignment="0" applyProtection="0"/>
    <xf numFmtId="0" fontId="74" fillId="47" borderId="0" applyNumberFormat="0" applyBorder="0" applyAlignment="0" applyProtection="0"/>
    <xf numFmtId="0" fontId="74" fillId="47" borderId="0" applyNumberFormat="0" applyBorder="0" applyAlignment="0" applyProtection="0"/>
    <xf numFmtId="0" fontId="17" fillId="0" borderId="0"/>
    <xf numFmtId="247" fontId="74" fillId="47" borderId="0" applyNumberFormat="0" applyBorder="0" applyAlignment="0" applyProtection="0"/>
    <xf numFmtId="0" fontId="74" fillId="47" borderId="0" applyNumberFormat="0" applyBorder="0" applyAlignment="0" applyProtection="0"/>
    <xf numFmtId="0" fontId="74" fillId="47" borderId="0" applyNumberFormat="0" applyBorder="0" applyAlignment="0" applyProtection="0"/>
    <xf numFmtId="0" fontId="74" fillId="47" borderId="0" applyNumberFormat="0" applyBorder="0" applyAlignment="0" applyProtection="0"/>
    <xf numFmtId="247" fontId="74" fillId="47" borderId="0" applyNumberFormat="0" applyBorder="0" applyAlignment="0" applyProtection="0"/>
    <xf numFmtId="0" fontId="74" fillId="47" borderId="0" applyNumberFormat="0" applyBorder="0" applyAlignment="0" applyProtection="0"/>
    <xf numFmtId="0" fontId="17" fillId="0" borderId="0"/>
    <xf numFmtId="247" fontId="74" fillId="47" borderId="0" applyNumberFormat="0" applyBorder="0" applyAlignment="0" applyProtection="0"/>
    <xf numFmtId="0" fontId="73" fillId="15" borderId="0" applyNumberFormat="0" applyBorder="0" applyAlignment="0" applyProtection="0"/>
    <xf numFmtId="0" fontId="73" fillId="15" borderId="0" applyNumberFormat="0" applyBorder="0" applyAlignment="0" applyProtection="0"/>
    <xf numFmtId="0" fontId="73" fillId="15" borderId="0" applyNumberFormat="0" applyBorder="0" applyAlignment="0" applyProtection="0"/>
    <xf numFmtId="247" fontId="74" fillId="47" borderId="0" applyNumberFormat="0" applyBorder="0" applyAlignment="0" applyProtection="0"/>
    <xf numFmtId="0" fontId="73" fillId="15" borderId="0" applyNumberFormat="0" applyBorder="0" applyAlignment="0" applyProtection="0"/>
    <xf numFmtId="0" fontId="17" fillId="0" borderId="0"/>
    <xf numFmtId="247" fontId="74" fillId="47" borderId="0" applyNumberFormat="0" applyBorder="0" applyAlignment="0" applyProtection="0"/>
    <xf numFmtId="0" fontId="73" fillId="15" borderId="0" applyNumberFormat="0" applyBorder="0" applyAlignment="0" applyProtection="0"/>
    <xf numFmtId="0" fontId="73" fillId="15" borderId="0" applyNumberFormat="0" applyBorder="0" applyAlignment="0" applyProtection="0"/>
    <xf numFmtId="0" fontId="73" fillId="15" borderId="0" applyNumberFormat="0" applyBorder="0" applyAlignment="0" applyProtection="0"/>
    <xf numFmtId="247" fontId="74" fillId="47" borderId="0" applyNumberFormat="0" applyBorder="0" applyAlignment="0" applyProtection="0"/>
    <xf numFmtId="0" fontId="73" fillId="15" borderId="0" applyNumberFormat="0" applyBorder="0" applyAlignment="0" applyProtection="0"/>
    <xf numFmtId="0" fontId="17" fillId="0" borderId="0"/>
    <xf numFmtId="0" fontId="74" fillId="47" borderId="0" applyNumberFormat="0" applyBorder="0" applyAlignment="0" applyProtection="0"/>
    <xf numFmtId="0" fontId="74" fillId="47" borderId="0" applyNumberFormat="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73" fillId="19" borderId="0" applyNumberFormat="0" applyBorder="0" applyAlignment="0" applyProtection="0"/>
    <xf numFmtId="0" fontId="73" fillId="19" borderId="0" applyNumberFormat="0" applyBorder="0" applyAlignment="0" applyProtection="0"/>
    <xf numFmtId="0" fontId="73" fillId="19" borderId="0" applyNumberFormat="0" applyBorder="0" applyAlignment="0" applyProtection="0"/>
    <xf numFmtId="0" fontId="73" fillId="19" borderId="0" applyNumberFormat="0" applyBorder="0" applyAlignment="0" applyProtection="0"/>
    <xf numFmtId="0" fontId="73" fillId="19" borderId="0" applyNumberFormat="0" applyBorder="0" applyAlignment="0" applyProtection="0"/>
    <xf numFmtId="0" fontId="73" fillId="19" borderId="0" applyNumberFormat="0" applyBorder="0" applyAlignment="0" applyProtection="0"/>
    <xf numFmtId="0" fontId="17" fillId="0" borderId="0"/>
    <xf numFmtId="0" fontId="74" fillId="50" borderId="0" applyNumberFormat="0" applyBorder="0" applyAlignment="0" applyProtection="0"/>
    <xf numFmtId="0" fontId="74" fillId="50" borderId="0" applyNumberFormat="0" applyBorder="0" applyAlignment="0" applyProtection="0"/>
    <xf numFmtId="0" fontId="74" fillId="50" borderId="0" applyNumberFormat="0" applyBorder="0" applyAlignment="0" applyProtection="0"/>
    <xf numFmtId="0" fontId="74" fillId="50" borderId="0" applyNumberFormat="0" applyBorder="0" applyAlignment="0" applyProtection="0"/>
    <xf numFmtId="247" fontId="74" fillId="50" borderId="0" applyNumberFormat="0" applyBorder="0" applyAlignment="0" applyProtection="0"/>
    <xf numFmtId="0" fontId="74" fillId="50" borderId="0" applyNumberFormat="0" applyBorder="0" applyAlignment="0" applyProtection="0"/>
    <xf numFmtId="0" fontId="74" fillId="50" borderId="0" applyNumberFormat="0" applyBorder="0" applyAlignment="0" applyProtection="0"/>
    <xf numFmtId="0" fontId="74" fillId="50" borderId="0" applyNumberFormat="0" applyBorder="0" applyAlignment="0" applyProtection="0"/>
    <xf numFmtId="247" fontId="74" fillId="50" borderId="0" applyNumberFormat="0" applyBorder="0" applyAlignment="0" applyProtection="0"/>
    <xf numFmtId="0" fontId="74" fillId="50" borderId="0" applyNumberFormat="0" applyBorder="0" applyAlignment="0" applyProtection="0"/>
    <xf numFmtId="0" fontId="74" fillId="50" borderId="0" applyNumberFormat="0" applyBorder="0" applyAlignment="0" applyProtection="0"/>
    <xf numFmtId="0" fontId="17" fillId="0" borderId="0"/>
    <xf numFmtId="247" fontId="74" fillId="50" borderId="0" applyNumberFormat="0" applyBorder="0" applyAlignment="0" applyProtection="0"/>
    <xf numFmtId="0" fontId="74" fillId="50" borderId="0" applyNumberFormat="0" applyBorder="0" applyAlignment="0" applyProtection="0"/>
    <xf numFmtId="0" fontId="74" fillId="50" borderId="0" applyNumberFormat="0" applyBorder="0" applyAlignment="0" applyProtection="0"/>
    <xf numFmtId="0" fontId="74" fillId="50" borderId="0" applyNumberFormat="0" applyBorder="0" applyAlignment="0" applyProtection="0"/>
    <xf numFmtId="247" fontId="74" fillId="50" borderId="0" applyNumberFormat="0" applyBorder="0" applyAlignment="0" applyProtection="0"/>
    <xf numFmtId="0" fontId="74" fillId="50" borderId="0" applyNumberFormat="0" applyBorder="0" applyAlignment="0" applyProtection="0"/>
    <xf numFmtId="0" fontId="17" fillId="0" borderId="0"/>
    <xf numFmtId="247" fontId="74" fillId="50" borderId="0" applyNumberFormat="0" applyBorder="0" applyAlignment="0" applyProtection="0"/>
    <xf numFmtId="0" fontId="73" fillId="19" borderId="0" applyNumberFormat="0" applyBorder="0" applyAlignment="0" applyProtection="0"/>
    <xf numFmtId="0" fontId="73" fillId="19" borderId="0" applyNumberFormat="0" applyBorder="0" applyAlignment="0" applyProtection="0"/>
    <xf numFmtId="0" fontId="73" fillId="19" borderId="0" applyNumberFormat="0" applyBorder="0" applyAlignment="0" applyProtection="0"/>
    <xf numFmtId="247" fontId="74" fillId="50" borderId="0" applyNumberFormat="0" applyBorder="0" applyAlignment="0" applyProtection="0"/>
    <xf numFmtId="0" fontId="73" fillId="19" borderId="0" applyNumberFormat="0" applyBorder="0" applyAlignment="0" applyProtection="0"/>
    <xf numFmtId="0" fontId="17" fillId="0" borderId="0"/>
    <xf numFmtId="247" fontId="74" fillId="50" borderId="0" applyNumberFormat="0" applyBorder="0" applyAlignment="0" applyProtection="0"/>
    <xf numFmtId="0" fontId="73" fillId="19" borderId="0" applyNumberFormat="0" applyBorder="0" applyAlignment="0" applyProtection="0"/>
    <xf numFmtId="0" fontId="73" fillId="19" borderId="0" applyNumberFormat="0" applyBorder="0" applyAlignment="0" applyProtection="0"/>
    <xf numFmtId="0" fontId="73" fillId="19" borderId="0" applyNumberFormat="0" applyBorder="0" applyAlignment="0" applyProtection="0"/>
    <xf numFmtId="247" fontId="74" fillId="50" borderId="0" applyNumberFormat="0" applyBorder="0" applyAlignment="0" applyProtection="0"/>
    <xf numFmtId="0" fontId="73" fillId="19" borderId="0" applyNumberFormat="0" applyBorder="0" applyAlignment="0" applyProtection="0"/>
    <xf numFmtId="0" fontId="17" fillId="0" borderId="0"/>
    <xf numFmtId="0" fontId="74" fillId="50" borderId="0" applyNumberFormat="0" applyBorder="0" applyAlignment="0" applyProtection="0"/>
    <xf numFmtId="0" fontId="74" fillId="50" borderId="0" applyNumberFormat="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73" fillId="23" borderId="0" applyNumberFormat="0" applyBorder="0" applyAlignment="0" applyProtection="0"/>
    <xf numFmtId="0" fontId="73" fillId="23" borderId="0" applyNumberFormat="0" applyBorder="0" applyAlignment="0" applyProtection="0"/>
    <xf numFmtId="0" fontId="73" fillId="23" borderId="0" applyNumberFormat="0" applyBorder="0" applyAlignment="0" applyProtection="0"/>
    <xf numFmtId="0" fontId="73" fillId="23" borderId="0" applyNumberFormat="0" applyBorder="0" applyAlignment="0" applyProtection="0"/>
    <xf numFmtId="0" fontId="73" fillId="23" borderId="0" applyNumberFormat="0" applyBorder="0" applyAlignment="0" applyProtection="0"/>
    <xf numFmtId="0" fontId="73" fillId="23" borderId="0" applyNumberFormat="0" applyBorder="0" applyAlignment="0" applyProtection="0"/>
    <xf numFmtId="0" fontId="17" fillId="0" borderId="0"/>
    <xf numFmtId="0" fontId="74" fillId="51" borderId="0" applyNumberFormat="0" applyBorder="0" applyAlignment="0" applyProtection="0"/>
    <xf numFmtId="0" fontId="74" fillId="51" borderId="0" applyNumberFormat="0" applyBorder="0" applyAlignment="0" applyProtection="0"/>
    <xf numFmtId="0" fontId="74" fillId="51" borderId="0" applyNumberFormat="0" applyBorder="0" applyAlignment="0" applyProtection="0"/>
    <xf numFmtId="0" fontId="74" fillId="51" borderId="0" applyNumberFormat="0" applyBorder="0" applyAlignment="0" applyProtection="0"/>
    <xf numFmtId="247" fontId="74" fillId="51" borderId="0" applyNumberFormat="0" applyBorder="0" applyAlignment="0" applyProtection="0"/>
    <xf numFmtId="0" fontId="74" fillId="51" borderId="0" applyNumberFormat="0" applyBorder="0" applyAlignment="0" applyProtection="0"/>
    <xf numFmtId="0" fontId="74" fillId="51" borderId="0" applyNumberFormat="0" applyBorder="0" applyAlignment="0" applyProtection="0"/>
    <xf numFmtId="0" fontId="74" fillId="51" borderId="0" applyNumberFormat="0" applyBorder="0" applyAlignment="0" applyProtection="0"/>
    <xf numFmtId="247" fontId="74" fillId="51" borderId="0" applyNumberFormat="0" applyBorder="0" applyAlignment="0" applyProtection="0"/>
    <xf numFmtId="0" fontId="74" fillId="51" borderId="0" applyNumberFormat="0" applyBorder="0" applyAlignment="0" applyProtection="0"/>
    <xf numFmtId="0" fontId="74" fillId="51" borderId="0" applyNumberFormat="0" applyBorder="0" applyAlignment="0" applyProtection="0"/>
    <xf numFmtId="0" fontId="17" fillId="0" borderId="0"/>
    <xf numFmtId="247" fontId="74" fillId="51" borderId="0" applyNumberFormat="0" applyBorder="0" applyAlignment="0" applyProtection="0"/>
    <xf numFmtId="0" fontId="74" fillId="51" borderId="0" applyNumberFormat="0" applyBorder="0" applyAlignment="0" applyProtection="0"/>
    <xf numFmtId="0" fontId="74" fillId="51" borderId="0" applyNumberFormat="0" applyBorder="0" applyAlignment="0" applyProtection="0"/>
    <xf numFmtId="0" fontId="74" fillId="51" borderId="0" applyNumberFormat="0" applyBorder="0" applyAlignment="0" applyProtection="0"/>
    <xf numFmtId="247" fontId="74" fillId="51" borderId="0" applyNumberFormat="0" applyBorder="0" applyAlignment="0" applyProtection="0"/>
    <xf numFmtId="0" fontId="74" fillId="51" borderId="0" applyNumberFormat="0" applyBorder="0" applyAlignment="0" applyProtection="0"/>
    <xf numFmtId="0" fontId="17" fillId="0" borderId="0"/>
    <xf numFmtId="247" fontId="74" fillId="51" borderId="0" applyNumberFormat="0" applyBorder="0" applyAlignment="0" applyProtection="0"/>
    <xf numFmtId="0" fontId="73" fillId="23" borderId="0" applyNumberFormat="0" applyBorder="0" applyAlignment="0" applyProtection="0"/>
    <xf numFmtId="0" fontId="73" fillId="23" borderId="0" applyNumberFormat="0" applyBorder="0" applyAlignment="0" applyProtection="0"/>
    <xf numFmtId="0" fontId="73" fillId="23" borderId="0" applyNumberFormat="0" applyBorder="0" applyAlignment="0" applyProtection="0"/>
    <xf numFmtId="247" fontId="74" fillId="51" borderId="0" applyNumberFormat="0" applyBorder="0" applyAlignment="0" applyProtection="0"/>
    <xf numFmtId="0" fontId="73" fillId="23" borderId="0" applyNumberFormat="0" applyBorder="0" applyAlignment="0" applyProtection="0"/>
    <xf numFmtId="0" fontId="17" fillId="0" borderId="0"/>
    <xf numFmtId="247" fontId="74" fillId="51" borderId="0" applyNumberFormat="0" applyBorder="0" applyAlignment="0" applyProtection="0"/>
    <xf numFmtId="0" fontId="73" fillId="23" borderId="0" applyNumberFormat="0" applyBorder="0" applyAlignment="0" applyProtection="0"/>
    <xf numFmtId="0" fontId="73" fillId="23" borderId="0" applyNumberFormat="0" applyBorder="0" applyAlignment="0" applyProtection="0"/>
    <xf numFmtId="0" fontId="73" fillId="23" borderId="0" applyNumberFormat="0" applyBorder="0" applyAlignment="0" applyProtection="0"/>
    <xf numFmtId="247" fontId="74" fillId="51" borderId="0" applyNumberFormat="0" applyBorder="0" applyAlignment="0" applyProtection="0"/>
    <xf numFmtId="0" fontId="73" fillId="23" borderId="0" applyNumberFormat="0" applyBorder="0" applyAlignment="0" applyProtection="0"/>
    <xf numFmtId="0" fontId="17" fillId="0" borderId="0"/>
    <xf numFmtId="0" fontId="74" fillId="51" borderId="0" applyNumberFormat="0" applyBorder="0" applyAlignment="0" applyProtection="0"/>
    <xf numFmtId="0" fontId="74" fillId="51" borderId="0" applyNumberFormat="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17" fillId="0" borderId="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4" fillId="52"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3" fillId="27"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4" fillId="52"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247" fontId="74" fillId="52"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247" fontId="74" fillId="52"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17" fillId="0" borderId="0"/>
    <xf numFmtId="247"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247" fontId="74" fillId="52" borderId="0" applyNumberFormat="0" applyBorder="0" applyAlignment="0" applyProtection="0"/>
    <xf numFmtId="0" fontId="74" fillId="52" borderId="0" applyNumberFormat="0" applyBorder="0" applyAlignment="0" applyProtection="0"/>
    <xf numFmtId="0" fontId="17" fillId="0" borderId="0"/>
    <xf numFmtId="247" fontId="74" fillId="52"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247" fontId="74" fillId="52" borderId="0" applyNumberFormat="0" applyBorder="0" applyAlignment="0" applyProtection="0"/>
    <xf numFmtId="0" fontId="73" fillId="27" borderId="0" applyNumberFormat="0" applyBorder="0" applyAlignment="0" applyProtection="0"/>
    <xf numFmtId="0" fontId="17" fillId="0" borderId="0"/>
    <xf numFmtId="247" fontId="74" fillId="52"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0" fontId="73" fillId="27" borderId="0" applyNumberFormat="0" applyBorder="0" applyAlignment="0" applyProtection="0"/>
    <xf numFmtId="247" fontId="74" fillId="52" borderId="0" applyNumberFormat="0" applyBorder="0" applyAlignment="0" applyProtection="0"/>
    <xf numFmtId="0" fontId="73" fillId="27" borderId="0" applyNumberFormat="0" applyBorder="0" applyAlignment="0" applyProtection="0"/>
    <xf numFmtId="0" fontId="17" fillId="0" borderId="0"/>
    <xf numFmtId="0" fontId="74" fillId="52" borderId="0" applyNumberFormat="0" applyBorder="0" applyAlignment="0" applyProtection="0"/>
    <xf numFmtId="0" fontId="74" fillId="52" borderId="0" applyNumberFormat="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75" fillId="49" borderId="0" applyNumberFormat="0" applyBorder="0" applyAlignment="0" applyProtection="0"/>
    <xf numFmtId="0" fontId="17" fillId="0" borderId="0" applyNumberFormat="0" applyBorder="0" applyAlignment="0" applyProtection="0"/>
    <xf numFmtId="0" fontId="75" fillId="46" borderId="0" applyNumberFormat="0" applyBorder="0" applyAlignment="0" applyProtection="0"/>
    <xf numFmtId="0" fontId="17" fillId="0" borderId="0" applyNumberFormat="0" applyBorder="0" applyAlignment="0" applyProtection="0"/>
    <xf numFmtId="0" fontId="75" fillId="47" borderId="0" applyNumberFormat="0" applyBorder="0" applyAlignment="0" applyProtection="0"/>
    <xf numFmtId="0" fontId="17" fillId="0" borderId="0" applyNumberFormat="0" applyBorder="0" applyAlignment="0" applyProtection="0"/>
    <xf numFmtId="0" fontId="75" fillId="50" borderId="0" applyNumberFormat="0" applyBorder="0" applyAlignment="0" applyProtection="0"/>
    <xf numFmtId="0" fontId="17" fillId="0" borderId="0" applyNumberFormat="0" applyBorder="0" applyAlignment="0" applyProtection="0"/>
    <xf numFmtId="0" fontId="75" fillId="51" borderId="0" applyNumberFormat="0" applyBorder="0" applyAlignment="0" applyProtection="0"/>
    <xf numFmtId="0" fontId="17" fillId="0" borderId="0" applyNumberFormat="0" applyBorder="0" applyAlignment="0" applyProtection="0"/>
    <xf numFmtId="0" fontId="75" fillId="52" borderId="0" applyNumberFormat="0" applyBorder="0" applyAlignment="0" applyProtection="0"/>
    <xf numFmtId="0" fontId="17" fillId="0" borderId="0" applyNumberFormat="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17" fillId="0" borderId="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4" fillId="53"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3" fillId="4"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4" fillId="53"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247" fontId="74" fillId="53"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247" fontId="74" fillId="53"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17" fillId="0" borderId="0"/>
    <xf numFmtId="247"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247" fontId="74" fillId="53" borderId="0" applyNumberFormat="0" applyBorder="0" applyAlignment="0" applyProtection="0"/>
    <xf numFmtId="0" fontId="74" fillId="53" borderId="0" applyNumberFormat="0" applyBorder="0" applyAlignment="0" applyProtection="0"/>
    <xf numFmtId="0" fontId="17" fillId="0" borderId="0"/>
    <xf numFmtId="247" fontId="74" fillId="53"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247" fontId="74" fillId="53" borderId="0" applyNumberFormat="0" applyBorder="0" applyAlignment="0" applyProtection="0"/>
    <xf numFmtId="0" fontId="73" fillId="4" borderId="0" applyNumberFormat="0" applyBorder="0" applyAlignment="0" applyProtection="0"/>
    <xf numFmtId="0" fontId="17" fillId="0" borderId="0"/>
    <xf numFmtId="247" fontId="74" fillId="53"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0" fontId="73" fillId="4" borderId="0" applyNumberFormat="0" applyBorder="0" applyAlignment="0" applyProtection="0"/>
    <xf numFmtId="247" fontId="74" fillId="53" borderId="0" applyNumberFormat="0" applyBorder="0" applyAlignment="0" applyProtection="0"/>
    <xf numFmtId="0" fontId="73" fillId="4" borderId="0" applyNumberFormat="0" applyBorder="0" applyAlignment="0" applyProtection="0"/>
    <xf numFmtId="0" fontId="17" fillId="0" borderId="0"/>
    <xf numFmtId="0" fontId="74" fillId="53" borderId="0" applyNumberFormat="0" applyBorder="0" applyAlignment="0" applyProtection="0"/>
    <xf numFmtId="0" fontId="74" fillId="53" borderId="0" applyNumberFormat="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73" fillId="8" borderId="0" applyNumberFormat="0" applyBorder="0" applyAlignment="0" applyProtection="0"/>
    <xf numFmtId="0" fontId="73" fillId="8" borderId="0" applyNumberFormat="0" applyBorder="0" applyAlignment="0" applyProtection="0"/>
    <xf numFmtId="0" fontId="73" fillId="8" borderId="0" applyNumberFormat="0" applyBorder="0" applyAlignment="0" applyProtection="0"/>
    <xf numFmtId="0" fontId="73" fillId="8" borderId="0" applyNumberFormat="0" applyBorder="0" applyAlignment="0" applyProtection="0"/>
    <xf numFmtId="0" fontId="73" fillId="8" borderId="0" applyNumberFormat="0" applyBorder="0" applyAlignment="0" applyProtection="0"/>
    <xf numFmtId="0" fontId="73" fillId="8" borderId="0" applyNumberFormat="0" applyBorder="0" applyAlignment="0" applyProtection="0"/>
    <xf numFmtId="0" fontId="17" fillId="0" borderId="0"/>
    <xf numFmtId="0" fontId="74" fillId="54" borderId="0" applyNumberFormat="0" applyBorder="0" applyAlignment="0" applyProtection="0"/>
    <xf numFmtId="0" fontId="74" fillId="54" borderId="0" applyNumberFormat="0" applyBorder="0" applyAlignment="0" applyProtection="0"/>
    <xf numFmtId="0" fontId="74" fillId="54" borderId="0" applyNumberFormat="0" applyBorder="0" applyAlignment="0" applyProtection="0"/>
    <xf numFmtId="0" fontId="74" fillId="54" borderId="0" applyNumberFormat="0" applyBorder="0" applyAlignment="0" applyProtection="0"/>
    <xf numFmtId="247" fontId="74" fillId="54" borderId="0" applyNumberFormat="0" applyBorder="0" applyAlignment="0" applyProtection="0"/>
    <xf numFmtId="0" fontId="74" fillId="54" borderId="0" applyNumberFormat="0" applyBorder="0" applyAlignment="0" applyProtection="0"/>
    <xf numFmtId="0" fontId="74" fillId="54" borderId="0" applyNumberFormat="0" applyBorder="0" applyAlignment="0" applyProtection="0"/>
    <xf numFmtId="0" fontId="74" fillId="54" borderId="0" applyNumberFormat="0" applyBorder="0" applyAlignment="0" applyProtection="0"/>
    <xf numFmtId="247" fontId="74" fillId="54" borderId="0" applyNumberFormat="0" applyBorder="0" applyAlignment="0" applyProtection="0"/>
    <xf numFmtId="0" fontId="74" fillId="54" borderId="0" applyNumberFormat="0" applyBorder="0" applyAlignment="0" applyProtection="0"/>
    <xf numFmtId="0" fontId="74" fillId="54" borderId="0" applyNumberFormat="0" applyBorder="0" applyAlignment="0" applyProtection="0"/>
    <xf numFmtId="0" fontId="17" fillId="0" borderId="0"/>
    <xf numFmtId="247" fontId="74" fillId="54" borderId="0" applyNumberFormat="0" applyBorder="0" applyAlignment="0" applyProtection="0"/>
    <xf numFmtId="0" fontId="74" fillId="54" borderId="0" applyNumberFormat="0" applyBorder="0" applyAlignment="0" applyProtection="0"/>
    <xf numFmtId="0" fontId="74" fillId="54" borderId="0" applyNumberFormat="0" applyBorder="0" applyAlignment="0" applyProtection="0"/>
    <xf numFmtId="0" fontId="74" fillId="54" borderId="0" applyNumberFormat="0" applyBorder="0" applyAlignment="0" applyProtection="0"/>
    <xf numFmtId="247" fontId="74" fillId="54" borderId="0" applyNumberFormat="0" applyBorder="0" applyAlignment="0" applyProtection="0"/>
    <xf numFmtId="0" fontId="74" fillId="54" borderId="0" applyNumberFormat="0" applyBorder="0" applyAlignment="0" applyProtection="0"/>
    <xf numFmtId="0" fontId="17" fillId="0" borderId="0"/>
    <xf numFmtId="247" fontId="74" fillId="54" borderId="0" applyNumberFormat="0" applyBorder="0" applyAlignment="0" applyProtection="0"/>
    <xf numFmtId="0" fontId="73" fillId="8" borderId="0" applyNumberFormat="0" applyBorder="0" applyAlignment="0" applyProtection="0"/>
    <xf numFmtId="0" fontId="73" fillId="8" borderId="0" applyNumberFormat="0" applyBorder="0" applyAlignment="0" applyProtection="0"/>
    <xf numFmtId="0" fontId="73" fillId="8" borderId="0" applyNumberFormat="0" applyBorder="0" applyAlignment="0" applyProtection="0"/>
    <xf numFmtId="247" fontId="74" fillId="54" borderId="0" applyNumberFormat="0" applyBorder="0" applyAlignment="0" applyProtection="0"/>
    <xf numFmtId="0" fontId="73" fillId="8" borderId="0" applyNumberFormat="0" applyBorder="0" applyAlignment="0" applyProtection="0"/>
    <xf numFmtId="0" fontId="17" fillId="0" borderId="0"/>
    <xf numFmtId="247" fontId="74" fillId="54" borderId="0" applyNumberFormat="0" applyBorder="0" applyAlignment="0" applyProtection="0"/>
    <xf numFmtId="0" fontId="73" fillId="8" borderId="0" applyNumberFormat="0" applyBorder="0" applyAlignment="0" applyProtection="0"/>
    <xf numFmtId="0" fontId="73" fillId="8" borderId="0" applyNumberFormat="0" applyBorder="0" applyAlignment="0" applyProtection="0"/>
    <xf numFmtId="0" fontId="73" fillId="8" borderId="0" applyNumberFormat="0" applyBorder="0" applyAlignment="0" applyProtection="0"/>
    <xf numFmtId="247" fontId="74" fillId="54" borderId="0" applyNumberFormat="0" applyBorder="0" applyAlignment="0" applyProtection="0"/>
    <xf numFmtId="0" fontId="73" fillId="8" borderId="0" applyNumberFormat="0" applyBorder="0" applyAlignment="0" applyProtection="0"/>
    <xf numFmtId="0" fontId="17" fillId="0" borderId="0"/>
    <xf numFmtId="0" fontId="74" fillId="54" borderId="0" applyNumberFormat="0" applyBorder="0" applyAlignment="0" applyProtection="0"/>
    <xf numFmtId="0" fontId="74" fillId="54" borderId="0" applyNumberFormat="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73" fillId="12" borderId="0" applyNumberFormat="0" applyBorder="0" applyAlignment="0" applyProtection="0"/>
    <xf numFmtId="0" fontId="73" fillId="12" borderId="0" applyNumberFormat="0" applyBorder="0" applyAlignment="0" applyProtection="0"/>
    <xf numFmtId="0" fontId="73" fillId="12" borderId="0" applyNumberFormat="0" applyBorder="0" applyAlignment="0" applyProtection="0"/>
    <xf numFmtId="0" fontId="73" fillId="12" borderId="0" applyNumberFormat="0" applyBorder="0" applyAlignment="0" applyProtection="0"/>
    <xf numFmtId="0" fontId="73" fillId="12" borderId="0" applyNumberFormat="0" applyBorder="0" applyAlignment="0" applyProtection="0"/>
    <xf numFmtId="0" fontId="73" fillId="12" borderId="0" applyNumberFormat="0" applyBorder="0" applyAlignment="0" applyProtection="0"/>
    <xf numFmtId="0" fontId="17" fillId="0" borderId="0"/>
    <xf numFmtId="0" fontId="74" fillId="55" borderId="0" applyNumberFormat="0" applyBorder="0" applyAlignment="0" applyProtection="0"/>
    <xf numFmtId="0" fontId="74" fillId="55" borderId="0" applyNumberFormat="0" applyBorder="0" applyAlignment="0" applyProtection="0"/>
    <xf numFmtId="0" fontId="74" fillId="55" borderId="0" applyNumberFormat="0" applyBorder="0" applyAlignment="0" applyProtection="0"/>
    <xf numFmtId="0" fontId="74" fillId="55" borderId="0" applyNumberFormat="0" applyBorder="0" applyAlignment="0" applyProtection="0"/>
    <xf numFmtId="247" fontId="74" fillId="55" borderId="0" applyNumberFormat="0" applyBorder="0" applyAlignment="0" applyProtection="0"/>
    <xf numFmtId="0" fontId="74" fillId="55" borderId="0" applyNumberFormat="0" applyBorder="0" applyAlignment="0" applyProtection="0"/>
    <xf numFmtId="0" fontId="74" fillId="55" borderId="0" applyNumberFormat="0" applyBorder="0" applyAlignment="0" applyProtection="0"/>
    <xf numFmtId="0" fontId="74" fillId="55" borderId="0" applyNumberFormat="0" applyBorder="0" applyAlignment="0" applyProtection="0"/>
    <xf numFmtId="247" fontId="74" fillId="55" borderId="0" applyNumberFormat="0" applyBorder="0" applyAlignment="0" applyProtection="0"/>
    <xf numFmtId="0" fontId="74" fillId="55" borderId="0" applyNumberFormat="0" applyBorder="0" applyAlignment="0" applyProtection="0"/>
    <xf numFmtId="0" fontId="74" fillId="55" borderId="0" applyNumberFormat="0" applyBorder="0" applyAlignment="0" applyProtection="0"/>
    <xf numFmtId="0" fontId="17" fillId="0" borderId="0"/>
    <xf numFmtId="247" fontId="74" fillId="55" borderId="0" applyNumberFormat="0" applyBorder="0" applyAlignment="0" applyProtection="0"/>
    <xf numFmtId="0" fontId="74" fillId="55" borderId="0" applyNumberFormat="0" applyBorder="0" applyAlignment="0" applyProtection="0"/>
    <xf numFmtId="0" fontId="74" fillId="55" borderId="0" applyNumberFormat="0" applyBorder="0" applyAlignment="0" applyProtection="0"/>
    <xf numFmtId="0" fontId="74" fillId="55" borderId="0" applyNumberFormat="0" applyBorder="0" applyAlignment="0" applyProtection="0"/>
    <xf numFmtId="247" fontId="74" fillId="55" borderId="0" applyNumberFormat="0" applyBorder="0" applyAlignment="0" applyProtection="0"/>
    <xf numFmtId="0" fontId="74" fillId="55" borderId="0" applyNumberFormat="0" applyBorder="0" applyAlignment="0" applyProtection="0"/>
    <xf numFmtId="0" fontId="17" fillId="0" borderId="0"/>
    <xf numFmtId="247" fontId="74" fillId="55" borderId="0" applyNumberFormat="0" applyBorder="0" applyAlignment="0" applyProtection="0"/>
    <xf numFmtId="0" fontId="73" fillId="12" borderId="0" applyNumberFormat="0" applyBorder="0" applyAlignment="0" applyProtection="0"/>
    <xf numFmtId="0" fontId="73" fillId="12" borderId="0" applyNumberFormat="0" applyBorder="0" applyAlignment="0" applyProtection="0"/>
    <xf numFmtId="0" fontId="73" fillId="12" borderId="0" applyNumberFormat="0" applyBorder="0" applyAlignment="0" applyProtection="0"/>
    <xf numFmtId="247" fontId="74" fillId="55" borderId="0" applyNumberFormat="0" applyBorder="0" applyAlignment="0" applyProtection="0"/>
    <xf numFmtId="0" fontId="73" fillId="12" borderId="0" applyNumberFormat="0" applyBorder="0" applyAlignment="0" applyProtection="0"/>
    <xf numFmtId="0" fontId="17" fillId="0" borderId="0"/>
    <xf numFmtId="247" fontId="74" fillId="55" borderId="0" applyNumberFormat="0" applyBorder="0" applyAlignment="0" applyProtection="0"/>
    <xf numFmtId="0" fontId="73" fillId="12" borderId="0" applyNumberFormat="0" applyBorder="0" applyAlignment="0" applyProtection="0"/>
    <xf numFmtId="0" fontId="73" fillId="12" borderId="0" applyNumberFormat="0" applyBorder="0" applyAlignment="0" applyProtection="0"/>
    <xf numFmtId="0" fontId="73" fillId="12" borderId="0" applyNumberFormat="0" applyBorder="0" applyAlignment="0" applyProtection="0"/>
    <xf numFmtId="247" fontId="74" fillId="55" borderId="0" applyNumberFormat="0" applyBorder="0" applyAlignment="0" applyProtection="0"/>
    <xf numFmtId="0" fontId="73" fillId="12" borderId="0" applyNumberFormat="0" applyBorder="0" applyAlignment="0" applyProtection="0"/>
    <xf numFmtId="0" fontId="17" fillId="0" borderId="0"/>
    <xf numFmtId="0" fontId="74" fillId="55" borderId="0" applyNumberFormat="0" applyBorder="0" applyAlignment="0" applyProtection="0"/>
    <xf numFmtId="0" fontId="74" fillId="55" borderId="0" applyNumberFormat="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73" fillId="16" borderId="0" applyNumberFormat="0" applyBorder="0" applyAlignment="0" applyProtection="0"/>
    <xf numFmtId="0" fontId="73" fillId="16" borderId="0" applyNumberFormat="0" applyBorder="0" applyAlignment="0" applyProtection="0"/>
    <xf numFmtId="0" fontId="73" fillId="16" borderId="0" applyNumberFormat="0" applyBorder="0" applyAlignment="0" applyProtection="0"/>
    <xf numFmtId="0" fontId="73" fillId="16" borderId="0" applyNumberFormat="0" applyBorder="0" applyAlignment="0" applyProtection="0"/>
    <xf numFmtId="0" fontId="73" fillId="16" borderId="0" applyNumberFormat="0" applyBorder="0" applyAlignment="0" applyProtection="0"/>
    <xf numFmtId="0" fontId="73" fillId="16" borderId="0" applyNumberFormat="0" applyBorder="0" applyAlignment="0" applyProtection="0"/>
    <xf numFmtId="0" fontId="17" fillId="0" borderId="0"/>
    <xf numFmtId="0" fontId="74" fillId="50" borderId="0" applyNumberFormat="0" applyBorder="0" applyAlignment="0" applyProtection="0"/>
    <xf numFmtId="0" fontId="74" fillId="50" borderId="0" applyNumberFormat="0" applyBorder="0" applyAlignment="0" applyProtection="0"/>
    <xf numFmtId="0" fontId="74" fillId="50" borderId="0" applyNumberFormat="0" applyBorder="0" applyAlignment="0" applyProtection="0"/>
    <xf numFmtId="0" fontId="74" fillId="50" borderId="0" applyNumberFormat="0" applyBorder="0" applyAlignment="0" applyProtection="0"/>
    <xf numFmtId="247" fontId="74" fillId="50" borderId="0" applyNumberFormat="0" applyBorder="0" applyAlignment="0" applyProtection="0"/>
    <xf numFmtId="0" fontId="74" fillId="50" borderId="0" applyNumberFormat="0" applyBorder="0" applyAlignment="0" applyProtection="0"/>
    <xf numFmtId="0" fontId="74" fillId="50" borderId="0" applyNumberFormat="0" applyBorder="0" applyAlignment="0" applyProtection="0"/>
    <xf numFmtId="0" fontId="74" fillId="50" borderId="0" applyNumberFormat="0" applyBorder="0" applyAlignment="0" applyProtection="0"/>
    <xf numFmtId="247" fontId="74" fillId="50" borderId="0" applyNumberFormat="0" applyBorder="0" applyAlignment="0" applyProtection="0"/>
    <xf numFmtId="0" fontId="74" fillId="50" borderId="0" applyNumberFormat="0" applyBorder="0" applyAlignment="0" applyProtection="0"/>
    <xf numFmtId="0" fontId="74" fillId="50" borderId="0" applyNumberFormat="0" applyBorder="0" applyAlignment="0" applyProtection="0"/>
    <xf numFmtId="0" fontId="17" fillId="0" borderId="0"/>
    <xf numFmtId="247" fontId="74" fillId="50" borderId="0" applyNumberFormat="0" applyBorder="0" applyAlignment="0" applyProtection="0"/>
    <xf numFmtId="0" fontId="74" fillId="50" borderId="0" applyNumberFormat="0" applyBorder="0" applyAlignment="0" applyProtection="0"/>
    <xf numFmtId="0" fontId="74" fillId="50" borderId="0" applyNumberFormat="0" applyBorder="0" applyAlignment="0" applyProtection="0"/>
    <xf numFmtId="0" fontId="74" fillId="50" borderId="0" applyNumberFormat="0" applyBorder="0" applyAlignment="0" applyProtection="0"/>
    <xf numFmtId="247" fontId="74" fillId="50" borderId="0" applyNumberFormat="0" applyBorder="0" applyAlignment="0" applyProtection="0"/>
    <xf numFmtId="0" fontId="74" fillId="50" borderId="0" applyNumberFormat="0" applyBorder="0" applyAlignment="0" applyProtection="0"/>
    <xf numFmtId="0" fontId="17" fillId="0" borderId="0"/>
    <xf numFmtId="247" fontId="74" fillId="50" borderId="0" applyNumberFormat="0" applyBorder="0" applyAlignment="0" applyProtection="0"/>
    <xf numFmtId="0" fontId="73" fillId="16" borderId="0" applyNumberFormat="0" applyBorder="0" applyAlignment="0" applyProtection="0"/>
    <xf numFmtId="0" fontId="73" fillId="16" borderId="0" applyNumberFormat="0" applyBorder="0" applyAlignment="0" applyProtection="0"/>
    <xf numFmtId="0" fontId="73" fillId="16" borderId="0" applyNumberFormat="0" applyBorder="0" applyAlignment="0" applyProtection="0"/>
    <xf numFmtId="247" fontId="74" fillId="50" borderId="0" applyNumberFormat="0" applyBorder="0" applyAlignment="0" applyProtection="0"/>
    <xf numFmtId="0" fontId="73" fillId="16" borderId="0" applyNumberFormat="0" applyBorder="0" applyAlignment="0" applyProtection="0"/>
    <xf numFmtId="0" fontId="17" fillId="0" borderId="0"/>
    <xf numFmtId="247" fontId="74" fillId="50" borderId="0" applyNumberFormat="0" applyBorder="0" applyAlignment="0" applyProtection="0"/>
    <xf numFmtId="0" fontId="73" fillId="16" borderId="0" applyNumberFormat="0" applyBorder="0" applyAlignment="0" applyProtection="0"/>
    <xf numFmtId="0" fontId="73" fillId="16" borderId="0" applyNumberFormat="0" applyBorder="0" applyAlignment="0" applyProtection="0"/>
    <xf numFmtId="0" fontId="73" fillId="16" borderId="0" applyNumberFormat="0" applyBorder="0" applyAlignment="0" applyProtection="0"/>
    <xf numFmtId="247" fontId="74" fillId="50" borderId="0" applyNumberFormat="0" applyBorder="0" applyAlignment="0" applyProtection="0"/>
    <xf numFmtId="0" fontId="73" fillId="16" borderId="0" applyNumberFormat="0" applyBorder="0" applyAlignment="0" applyProtection="0"/>
    <xf numFmtId="0" fontId="17" fillId="0" borderId="0"/>
    <xf numFmtId="0" fontId="74" fillId="50" borderId="0" applyNumberFormat="0" applyBorder="0" applyAlignment="0" applyProtection="0"/>
    <xf numFmtId="0" fontId="74" fillId="50" borderId="0" applyNumberFormat="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73" fillId="20" borderId="0" applyNumberFormat="0" applyBorder="0" applyAlignment="0" applyProtection="0"/>
    <xf numFmtId="0" fontId="73" fillId="20" borderId="0" applyNumberFormat="0" applyBorder="0" applyAlignment="0" applyProtection="0"/>
    <xf numFmtId="0" fontId="73" fillId="20" borderId="0" applyNumberFormat="0" applyBorder="0" applyAlignment="0" applyProtection="0"/>
    <xf numFmtId="0" fontId="73" fillId="20" borderId="0" applyNumberFormat="0" applyBorder="0" applyAlignment="0" applyProtection="0"/>
    <xf numFmtId="0" fontId="73" fillId="20" borderId="0" applyNumberFormat="0" applyBorder="0" applyAlignment="0" applyProtection="0"/>
    <xf numFmtId="0" fontId="73" fillId="20" borderId="0" applyNumberFormat="0" applyBorder="0" applyAlignment="0" applyProtection="0"/>
    <xf numFmtId="0" fontId="17" fillId="0" borderId="0"/>
    <xf numFmtId="0" fontId="74" fillId="51" borderId="0" applyNumberFormat="0" applyBorder="0" applyAlignment="0" applyProtection="0"/>
    <xf numFmtId="0" fontId="74" fillId="51" borderId="0" applyNumberFormat="0" applyBorder="0" applyAlignment="0" applyProtection="0"/>
    <xf numFmtId="0" fontId="74" fillId="51" borderId="0" applyNumberFormat="0" applyBorder="0" applyAlignment="0" applyProtection="0"/>
    <xf numFmtId="0" fontId="74" fillId="51" borderId="0" applyNumberFormat="0" applyBorder="0" applyAlignment="0" applyProtection="0"/>
    <xf numFmtId="247" fontId="74" fillId="51" borderId="0" applyNumberFormat="0" applyBorder="0" applyAlignment="0" applyProtection="0"/>
    <xf numFmtId="0" fontId="74" fillId="51" borderId="0" applyNumberFormat="0" applyBorder="0" applyAlignment="0" applyProtection="0"/>
    <xf numFmtId="0" fontId="74" fillId="51" borderId="0" applyNumberFormat="0" applyBorder="0" applyAlignment="0" applyProtection="0"/>
    <xf numFmtId="0" fontId="74" fillId="51" borderId="0" applyNumberFormat="0" applyBorder="0" applyAlignment="0" applyProtection="0"/>
    <xf numFmtId="247" fontId="74" fillId="51" borderId="0" applyNumberFormat="0" applyBorder="0" applyAlignment="0" applyProtection="0"/>
    <xf numFmtId="0" fontId="74" fillId="51" borderId="0" applyNumberFormat="0" applyBorder="0" applyAlignment="0" applyProtection="0"/>
    <xf numFmtId="0" fontId="74" fillId="51" borderId="0" applyNumberFormat="0" applyBorder="0" applyAlignment="0" applyProtection="0"/>
    <xf numFmtId="0" fontId="17" fillId="0" borderId="0"/>
    <xf numFmtId="247" fontId="74" fillId="51" borderId="0" applyNumberFormat="0" applyBorder="0" applyAlignment="0" applyProtection="0"/>
    <xf numFmtId="0" fontId="74" fillId="51" borderId="0" applyNumberFormat="0" applyBorder="0" applyAlignment="0" applyProtection="0"/>
    <xf numFmtId="0" fontId="74" fillId="51" borderId="0" applyNumberFormat="0" applyBorder="0" applyAlignment="0" applyProtection="0"/>
    <xf numFmtId="0" fontId="74" fillId="51" borderId="0" applyNumberFormat="0" applyBorder="0" applyAlignment="0" applyProtection="0"/>
    <xf numFmtId="247" fontId="74" fillId="51" borderId="0" applyNumberFormat="0" applyBorder="0" applyAlignment="0" applyProtection="0"/>
    <xf numFmtId="0" fontId="74" fillId="51" borderId="0" applyNumberFormat="0" applyBorder="0" applyAlignment="0" applyProtection="0"/>
    <xf numFmtId="0" fontId="17" fillId="0" borderId="0"/>
    <xf numFmtId="247" fontId="74" fillId="51" borderId="0" applyNumberFormat="0" applyBorder="0" applyAlignment="0" applyProtection="0"/>
    <xf numFmtId="0" fontId="73" fillId="20" borderId="0" applyNumberFormat="0" applyBorder="0" applyAlignment="0" applyProtection="0"/>
    <xf numFmtId="0" fontId="73" fillId="20" borderId="0" applyNumberFormat="0" applyBorder="0" applyAlignment="0" applyProtection="0"/>
    <xf numFmtId="0" fontId="73" fillId="20" borderId="0" applyNumberFormat="0" applyBorder="0" applyAlignment="0" applyProtection="0"/>
    <xf numFmtId="247" fontId="74" fillId="51" borderId="0" applyNumberFormat="0" applyBorder="0" applyAlignment="0" applyProtection="0"/>
    <xf numFmtId="0" fontId="73" fillId="20" borderId="0" applyNumberFormat="0" applyBorder="0" applyAlignment="0" applyProtection="0"/>
    <xf numFmtId="0" fontId="17" fillId="0" borderId="0"/>
    <xf numFmtId="247" fontId="74" fillId="51" borderId="0" applyNumberFormat="0" applyBorder="0" applyAlignment="0" applyProtection="0"/>
    <xf numFmtId="0" fontId="73" fillId="20" borderId="0" applyNumberFormat="0" applyBorder="0" applyAlignment="0" applyProtection="0"/>
    <xf numFmtId="0" fontId="73" fillId="20" borderId="0" applyNumberFormat="0" applyBorder="0" applyAlignment="0" applyProtection="0"/>
    <xf numFmtId="0" fontId="73" fillId="20" borderId="0" applyNumberFormat="0" applyBorder="0" applyAlignment="0" applyProtection="0"/>
    <xf numFmtId="247" fontId="74" fillId="51" borderId="0" applyNumberFormat="0" applyBorder="0" applyAlignment="0" applyProtection="0"/>
    <xf numFmtId="0" fontId="73" fillId="20" borderId="0" applyNumberFormat="0" applyBorder="0" applyAlignment="0" applyProtection="0"/>
    <xf numFmtId="0" fontId="17" fillId="0" borderId="0"/>
    <xf numFmtId="0" fontId="74" fillId="51" borderId="0" applyNumberFormat="0" applyBorder="0" applyAlignment="0" applyProtection="0"/>
    <xf numFmtId="0" fontId="74" fillId="51" borderId="0" applyNumberFormat="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73" fillId="24" borderId="0" applyNumberFormat="0" applyBorder="0" applyAlignment="0" applyProtection="0"/>
    <xf numFmtId="0" fontId="73" fillId="24" borderId="0" applyNumberFormat="0" applyBorder="0" applyAlignment="0" applyProtection="0"/>
    <xf numFmtId="0" fontId="73" fillId="24" borderId="0" applyNumberFormat="0" applyBorder="0" applyAlignment="0" applyProtection="0"/>
    <xf numFmtId="0" fontId="73" fillId="24" borderId="0" applyNumberFormat="0" applyBorder="0" applyAlignment="0" applyProtection="0"/>
    <xf numFmtId="0" fontId="73" fillId="24" borderId="0" applyNumberFormat="0" applyBorder="0" applyAlignment="0" applyProtection="0"/>
    <xf numFmtId="0" fontId="73" fillId="24" borderId="0" applyNumberFormat="0" applyBorder="0" applyAlignment="0" applyProtection="0"/>
    <xf numFmtId="0" fontId="17" fillId="0" borderId="0"/>
    <xf numFmtId="0" fontId="74" fillId="56" borderId="0" applyNumberFormat="0" applyBorder="0" applyAlignment="0" applyProtection="0"/>
    <xf numFmtId="0" fontId="74" fillId="56" borderId="0" applyNumberFormat="0" applyBorder="0" applyAlignment="0" applyProtection="0"/>
    <xf numFmtId="0" fontId="74" fillId="56" borderId="0" applyNumberFormat="0" applyBorder="0" applyAlignment="0" applyProtection="0"/>
    <xf numFmtId="0" fontId="74" fillId="56" borderId="0" applyNumberFormat="0" applyBorder="0" applyAlignment="0" applyProtection="0"/>
    <xf numFmtId="247" fontId="74" fillId="56" borderId="0" applyNumberFormat="0" applyBorder="0" applyAlignment="0" applyProtection="0"/>
    <xf numFmtId="0" fontId="74" fillId="56" borderId="0" applyNumberFormat="0" applyBorder="0" applyAlignment="0" applyProtection="0"/>
    <xf numFmtId="0" fontId="74" fillId="56" borderId="0" applyNumberFormat="0" applyBorder="0" applyAlignment="0" applyProtection="0"/>
    <xf numFmtId="0" fontId="74" fillId="56" borderId="0" applyNumberFormat="0" applyBorder="0" applyAlignment="0" applyProtection="0"/>
    <xf numFmtId="247" fontId="74" fillId="56" borderId="0" applyNumberFormat="0" applyBorder="0" applyAlignment="0" applyProtection="0"/>
    <xf numFmtId="0" fontId="74" fillId="56" borderId="0" applyNumberFormat="0" applyBorder="0" applyAlignment="0" applyProtection="0"/>
    <xf numFmtId="0" fontId="74" fillId="56" borderId="0" applyNumberFormat="0" applyBorder="0" applyAlignment="0" applyProtection="0"/>
    <xf numFmtId="0" fontId="17" fillId="0" borderId="0"/>
    <xf numFmtId="247" fontId="74" fillId="56" borderId="0" applyNumberFormat="0" applyBorder="0" applyAlignment="0" applyProtection="0"/>
    <xf numFmtId="0" fontId="74" fillId="56" borderId="0" applyNumberFormat="0" applyBorder="0" applyAlignment="0" applyProtection="0"/>
    <xf numFmtId="0" fontId="74" fillId="56" borderId="0" applyNumberFormat="0" applyBorder="0" applyAlignment="0" applyProtection="0"/>
    <xf numFmtId="0" fontId="74" fillId="56" borderId="0" applyNumberFormat="0" applyBorder="0" applyAlignment="0" applyProtection="0"/>
    <xf numFmtId="247" fontId="74" fillId="56" borderId="0" applyNumberFormat="0" applyBorder="0" applyAlignment="0" applyProtection="0"/>
    <xf numFmtId="0" fontId="74" fillId="56" borderId="0" applyNumberFormat="0" applyBorder="0" applyAlignment="0" applyProtection="0"/>
    <xf numFmtId="0" fontId="17" fillId="0" borderId="0"/>
    <xf numFmtId="247" fontId="74" fillId="56" borderId="0" applyNumberFormat="0" applyBorder="0" applyAlignment="0" applyProtection="0"/>
    <xf numFmtId="0" fontId="73" fillId="24" borderId="0" applyNumberFormat="0" applyBorder="0" applyAlignment="0" applyProtection="0"/>
    <xf numFmtId="0" fontId="73" fillId="24" borderId="0" applyNumberFormat="0" applyBorder="0" applyAlignment="0" applyProtection="0"/>
    <xf numFmtId="0" fontId="73" fillId="24" borderId="0" applyNumberFormat="0" applyBorder="0" applyAlignment="0" applyProtection="0"/>
    <xf numFmtId="247" fontId="74" fillId="56" borderId="0" applyNumberFormat="0" applyBorder="0" applyAlignment="0" applyProtection="0"/>
    <xf numFmtId="0" fontId="73" fillId="24" borderId="0" applyNumberFormat="0" applyBorder="0" applyAlignment="0" applyProtection="0"/>
    <xf numFmtId="0" fontId="17" fillId="0" borderId="0"/>
    <xf numFmtId="247" fontId="74" fillId="56" borderId="0" applyNumberFormat="0" applyBorder="0" applyAlignment="0" applyProtection="0"/>
    <xf numFmtId="0" fontId="73" fillId="24" borderId="0" applyNumberFormat="0" applyBorder="0" applyAlignment="0" applyProtection="0"/>
    <xf numFmtId="0" fontId="73" fillId="24" borderId="0" applyNumberFormat="0" applyBorder="0" applyAlignment="0" applyProtection="0"/>
    <xf numFmtId="0" fontId="73" fillId="24" borderId="0" applyNumberFormat="0" applyBorder="0" applyAlignment="0" applyProtection="0"/>
    <xf numFmtId="247" fontId="74" fillId="56" borderId="0" applyNumberFormat="0" applyBorder="0" applyAlignment="0" applyProtection="0"/>
    <xf numFmtId="0" fontId="73" fillId="24" borderId="0" applyNumberFormat="0" applyBorder="0" applyAlignment="0" applyProtection="0"/>
    <xf numFmtId="0" fontId="17" fillId="0" borderId="0"/>
    <xf numFmtId="0" fontId="74" fillId="56" borderId="0" applyNumberFormat="0" applyBorder="0" applyAlignment="0" applyProtection="0"/>
    <xf numFmtId="0" fontId="74" fillId="56" borderId="0" applyNumberFormat="0" applyBorder="0" applyAlignment="0" applyProtection="0"/>
    <xf numFmtId="0" fontId="17" fillId="0" borderId="0"/>
    <xf numFmtId="0" fontId="17" fillId="0" borderId="0"/>
    <xf numFmtId="0" fontId="17" fillId="0" borderId="0"/>
    <xf numFmtId="248" fontId="21" fillId="0" borderId="3"/>
    <xf numFmtId="248" fontId="21" fillId="0" borderId="3"/>
    <xf numFmtId="248" fontId="17" fillId="0" borderId="0"/>
    <xf numFmtId="248" fontId="21" fillId="0" borderId="3"/>
    <xf numFmtId="248" fontId="21" fillId="0" borderId="3"/>
    <xf numFmtId="248" fontId="21" fillId="0" borderId="3"/>
    <xf numFmtId="42" fontId="76" fillId="0" borderId="0" applyFont="0"/>
    <xf numFmtId="42" fontId="76" fillId="0" borderId="14" applyFont="0"/>
    <xf numFmtId="41" fontId="76" fillId="0" borderId="0" applyFont="0"/>
    <xf numFmtId="0" fontId="47" fillId="0" borderId="0" applyNumberFormat="0" applyAlignment="0"/>
    <xf numFmtId="0" fontId="47" fillId="0" borderId="0" applyNumberFormat="0" applyAlignment="0"/>
    <xf numFmtId="0" fontId="17" fillId="0" borderId="0" applyNumberFormat="0" applyAlignment="0"/>
    <xf numFmtId="0" fontId="47" fillId="0" borderId="0" applyNumberFormat="0" applyAlignment="0"/>
    <xf numFmtId="0" fontId="47" fillId="0" borderId="0" applyNumberFormat="0" applyAlignment="0"/>
    <xf numFmtId="0" fontId="47" fillId="0" borderId="0" applyNumberFormat="0" applyAlignment="0"/>
    <xf numFmtId="0" fontId="17" fillId="0" borderId="0"/>
    <xf numFmtId="247"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247" fontId="47" fillId="57" borderId="0" applyNumberFormat="0" applyFont="0" applyBorder="0" applyAlignment="0" applyProtection="0"/>
    <xf numFmtId="247"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247"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247"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247"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0" fontId="47" fillId="57" borderId="0" applyNumberFormat="0" applyFont="0" applyBorder="0" applyAlignment="0" applyProtection="0"/>
    <xf numFmtId="249" fontId="21" fillId="0" borderId="13"/>
    <xf numFmtId="0" fontId="17" fillId="0" borderId="0"/>
    <xf numFmtId="250" fontId="21" fillId="0" borderId="3"/>
    <xf numFmtId="250" fontId="21" fillId="0" borderId="3"/>
    <xf numFmtId="250" fontId="17" fillId="0" borderId="0"/>
    <xf numFmtId="250" fontId="21" fillId="0" borderId="3"/>
    <xf numFmtId="250" fontId="21" fillId="0" borderId="3"/>
    <xf numFmtId="250" fontId="21" fillId="0" borderId="3"/>
    <xf numFmtId="0" fontId="17" fillId="0" borderId="0"/>
    <xf numFmtId="0" fontId="77" fillId="0" borderId="0"/>
    <xf numFmtId="0" fontId="17" fillId="0" borderId="0"/>
    <xf numFmtId="0" fontId="77" fillId="0" borderId="0"/>
    <xf numFmtId="0" fontId="77" fillId="0" borderId="0"/>
    <xf numFmtId="250" fontId="21" fillId="0" borderId="10" applyBorder="0"/>
    <xf numFmtId="250" fontId="21" fillId="0" borderId="10" applyBorder="0"/>
    <xf numFmtId="250" fontId="17" fillId="0" borderId="0" applyBorder="0"/>
    <xf numFmtId="250" fontId="21" fillId="0" borderId="10" applyBorder="0"/>
    <xf numFmtId="250" fontId="21" fillId="0" borderId="10" applyBorder="0"/>
    <xf numFmtId="250" fontId="21" fillId="0" borderId="10" applyBorder="0"/>
    <xf numFmtId="0" fontId="27" fillId="0" borderId="0"/>
    <xf numFmtId="37" fontId="46" fillId="1" borderId="8">
      <alignment horizontal="centerContinuous" vertical="center"/>
    </xf>
    <xf numFmtId="37" fontId="46" fillId="1" borderId="8">
      <alignment horizontal="centerContinuous" vertical="center"/>
    </xf>
    <xf numFmtId="0" fontId="17" fillId="0" borderId="0"/>
    <xf numFmtId="0" fontId="17" fillId="0" borderId="0"/>
    <xf numFmtId="37" fontId="78" fillId="58" borderId="4" applyBorder="0" applyProtection="0">
      <alignment vertical="center"/>
    </xf>
    <xf numFmtId="37" fontId="78" fillId="58" borderId="4" applyBorder="0" applyProtection="0">
      <alignment vertical="center"/>
    </xf>
    <xf numFmtId="37" fontId="78" fillId="58" borderId="4" applyBorder="0" applyProtection="0">
      <alignment vertical="center"/>
    </xf>
    <xf numFmtId="37" fontId="78" fillId="58" borderId="4" applyBorder="0" applyProtection="0">
      <alignment vertical="center"/>
    </xf>
    <xf numFmtId="37" fontId="78" fillId="58" borderId="4" applyBorder="0" applyProtection="0">
      <alignment vertical="center"/>
    </xf>
    <xf numFmtId="37" fontId="78" fillId="58" borderId="4" applyBorder="0" applyProtection="0">
      <alignment vertical="center"/>
    </xf>
    <xf numFmtId="37" fontId="78" fillId="58" borderId="4" applyBorder="0" applyProtection="0">
      <alignment vertical="center"/>
    </xf>
    <xf numFmtId="37" fontId="78" fillId="58" borderId="4" applyBorder="0" applyProtection="0">
      <alignment vertical="center"/>
    </xf>
    <xf numFmtId="37" fontId="78" fillId="58" borderId="4" applyBorder="0" applyProtection="0">
      <alignment vertical="center"/>
    </xf>
    <xf numFmtId="37" fontId="78" fillId="58" borderId="4" applyBorder="0" applyProtection="0">
      <alignment vertical="center"/>
    </xf>
    <xf numFmtId="37" fontId="78" fillId="58" borderId="4" applyBorder="0" applyProtection="0">
      <alignment vertical="center"/>
    </xf>
    <xf numFmtId="37" fontId="78" fillId="58" borderId="4" applyBorder="0" applyProtection="0">
      <alignment vertical="center"/>
    </xf>
    <xf numFmtId="37" fontId="78" fillId="58" borderId="4" applyBorder="0" applyProtection="0">
      <alignment vertical="center"/>
    </xf>
    <xf numFmtId="37" fontId="78" fillId="58" borderId="4" applyBorder="0" applyProtection="0">
      <alignment vertical="center"/>
    </xf>
    <xf numFmtId="37" fontId="78" fillId="58" borderId="4" applyBorder="0" applyProtection="0">
      <alignment vertical="center"/>
    </xf>
    <xf numFmtId="37" fontId="78" fillId="58" borderId="4" applyBorder="0" applyProtection="0">
      <alignment vertical="center"/>
    </xf>
    <xf numFmtId="37" fontId="78" fillId="58" borderId="4" applyBorder="0" applyProtection="0">
      <alignment vertical="center"/>
    </xf>
    <xf numFmtId="37" fontId="78" fillId="58" borderId="4" applyBorder="0" applyProtection="0">
      <alignment vertical="center"/>
    </xf>
    <xf numFmtId="37" fontId="78" fillId="58" borderId="4" applyBorder="0" applyProtection="0">
      <alignment vertical="center"/>
    </xf>
    <xf numFmtId="37" fontId="78" fillId="58" borderId="4" applyBorder="0" applyProtection="0">
      <alignment vertical="center"/>
    </xf>
    <xf numFmtId="37" fontId="78" fillId="58" borderId="4" applyBorder="0" applyProtection="0">
      <alignment vertical="center"/>
    </xf>
    <xf numFmtId="37" fontId="78" fillId="58" borderId="4" applyBorder="0" applyProtection="0">
      <alignment vertical="center"/>
    </xf>
    <xf numFmtId="37" fontId="78" fillId="58" borderId="4" applyBorder="0" applyProtection="0">
      <alignment vertical="center"/>
    </xf>
    <xf numFmtId="37" fontId="78" fillId="58" borderId="4" applyBorder="0" applyProtection="0">
      <alignment vertical="center"/>
    </xf>
    <xf numFmtId="37" fontId="78" fillId="58" borderId="4" applyBorder="0" applyProtection="0">
      <alignment vertical="center"/>
    </xf>
    <xf numFmtId="251" fontId="17" fillId="0" borderId="0" applyFont="0" applyFill="0" applyBorder="0" applyAlignment="0" applyProtection="0"/>
    <xf numFmtId="0" fontId="17" fillId="0" borderId="0"/>
    <xf numFmtId="0" fontId="26" fillId="0" borderId="0">
      <alignment horizontal="center" wrapText="1"/>
      <protection locked="0"/>
    </xf>
    <xf numFmtId="0" fontId="26" fillId="0" borderId="0">
      <alignment horizontal="center" wrapText="1"/>
      <protection locked="0"/>
    </xf>
    <xf numFmtId="0" fontId="26" fillId="0" borderId="0">
      <alignment horizontal="center" wrapText="1"/>
      <protection locked="0"/>
    </xf>
    <xf numFmtId="0" fontId="26" fillId="0" borderId="0">
      <alignment horizontal="center" wrapText="1"/>
      <protection locked="0"/>
    </xf>
    <xf numFmtId="0" fontId="26" fillId="0" borderId="0">
      <alignment horizontal="center" wrapText="1"/>
      <protection locked="0"/>
    </xf>
    <xf numFmtId="0" fontId="26" fillId="0" borderId="0">
      <alignment horizontal="center" wrapText="1"/>
      <protection locked="0"/>
    </xf>
    <xf numFmtId="247" fontId="26" fillId="0" borderId="0">
      <alignment horizontal="center" wrapText="1"/>
      <protection locked="0"/>
    </xf>
    <xf numFmtId="0" fontId="26" fillId="0" borderId="0">
      <alignment horizontal="center" wrapText="1"/>
      <protection locked="0"/>
    </xf>
    <xf numFmtId="0" fontId="26" fillId="0" borderId="0">
      <alignment horizontal="center" wrapText="1"/>
      <protection locked="0"/>
    </xf>
    <xf numFmtId="0" fontId="26" fillId="0" borderId="0">
      <alignment horizontal="center" wrapText="1"/>
      <protection locked="0"/>
    </xf>
    <xf numFmtId="0" fontId="26" fillId="0" borderId="0">
      <alignment horizontal="center" wrapText="1"/>
      <protection locked="0"/>
    </xf>
    <xf numFmtId="0" fontId="26" fillId="0" borderId="0">
      <alignment horizontal="center" wrapText="1"/>
      <protection locked="0"/>
    </xf>
    <xf numFmtId="0" fontId="26" fillId="0" borderId="0">
      <alignment horizontal="center" wrapText="1"/>
      <protection locked="0"/>
    </xf>
    <xf numFmtId="247" fontId="26" fillId="0" borderId="0">
      <alignment horizontal="center" wrapText="1"/>
      <protection locked="0"/>
    </xf>
    <xf numFmtId="0" fontId="26" fillId="0" borderId="0">
      <alignment horizontal="center" wrapText="1"/>
      <protection locked="0"/>
    </xf>
    <xf numFmtId="0" fontId="26" fillId="0" borderId="0">
      <alignment horizontal="center" wrapText="1"/>
      <protection locked="0"/>
    </xf>
    <xf numFmtId="247" fontId="26" fillId="0" borderId="0">
      <alignment horizontal="center" wrapText="1"/>
      <protection locked="0"/>
    </xf>
    <xf numFmtId="0" fontId="26" fillId="0" borderId="0">
      <alignment horizontal="center" wrapText="1"/>
      <protection locked="0"/>
    </xf>
    <xf numFmtId="247" fontId="26" fillId="0" borderId="0">
      <alignment horizontal="center" wrapText="1"/>
      <protection locked="0"/>
    </xf>
    <xf numFmtId="247" fontId="26" fillId="0" borderId="0">
      <alignment horizontal="center" wrapText="1"/>
      <protection locked="0"/>
    </xf>
    <xf numFmtId="247" fontId="26" fillId="0" borderId="0">
      <alignment horizontal="center" wrapText="1"/>
      <protection locked="0"/>
    </xf>
    <xf numFmtId="247" fontId="26" fillId="0" borderId="0">
      <alignment horizontal="center" wrapText="1"/>
      <protection locked="0"/>
    </xf>
    <xf numFmtId="247" fontId="26" fillId="0" borderId="0">
      <alignment horizontal="center" wrapText="1"/>
      <protection locked="0"/>
    </xf>
    <xf numFmtId="247" fontId="26" fillId="0" borderId="0">
      <alignment horizontal="center" wrapText="1"/>
      <protection locked="0"/>
    </xf>
    <xf numFmtId="247" fontId="26" fillId="0" borderId="0">
      <alignment horizontal="center" wrapText="1"/>
      <protection locked="0"/>
    </xf>
    <xf numFmtId="0" fontId="26" fillId="0" borderId="0">
      <alignment horizontal="center" wrapText="1"/>
      <protection locked="0"/>
    </xf>
    <xf numFmtId="0" fontId="26" fillId="0" borderId="0">
      <alignment horizontal="center" wrapText="1"/>
      <protection locked="0"/>
    </xf>
    <xf numFmtId="0" fontId="26" fillId="0" borderId="0">
      <alignment horizontal="center" wrapText="1"/>
      <protection locked="0"/>
    </xf>
    <xf numFmtId="0" fontId="26" fillId="0" borderId="0">
      <alignment horizontal="center" wrapText="1"/>
      <protection locked="0"/>
    </xf>
    <xf numFmtId="0" fontId="26" fillId="0" borderId="0">
      <alignment horizontal="center" wrapText="1"/>
      <protection locked="0"/>
    </xf>
    <xf numFmtId="0" fontId="26" fillId="0" borderId="0">
      <alignment horizontal="center" wrapText="1"/>
      <protection locked="0"/>
    </xf>
    <xf numFmtId="247" fontId="26" fillId="0" borderId="0">
      <alignment horizontal="center" wrapText="1"/>
      <protection locked="0"/>
    </xf>
    <xf numFmtId="247" fontId="26" fillId="0" borderId="0">
      <alignment horizontal="center" wrapText="1"/>
      <protection locked="0"/>
    </xf>
    <xf numFmtId="247" fontId="26" fillId="0" borderId="0">
      <alignment horizontal="center" wrapText="1"/>
      <protection locked="0"/>
    </xf>
    <xf numFmtId="247" fontId="26" fillId="0" borderId="0">
      <alignment horizontal="center" wrapText="1"/>
      <protection locked="0"/>
    </xf>
    <xf numFmtId="247" fontId="26" fillId="0" borderId="0">
      <alignment horizontal="center" wrapText="1"/>
      <protection locked="0"/>
    </xf>
    <xf numFmtId="247" fontId="26" fillId="0" borderId="0">
      <alignment horizontal="center" wrapText="1"/>
      <protection locked="0"/>
    </xf>
    <xf numFmtId="0" fontId="26" fillId="0" borderId="0">
      <alignment horizontal="center" wrapText="1"/>
      <protection locked="0"/>
    </xf>
    <xf numFmtId="247" fontId="26" fillId="0" borderId="0">
      <alignment horizontal="center" wrapText="1"/>
      <protection locked="0"/>
    </xf>
    <xf numFmtId="247" fontId="26" fillId="0" borderId="0">
      <alignment horizontal="center" wrapText="1"/>
      <protection locked="0"/>
    </xf>
    <xf numFmtId="247" fontId="26" fillId="0" borderId="0">
      <alignment horizontal="center" wrapText="1"/>
      <protection locked="0"/>
    </xf>
    <xf numFmtId="247" fontId="26" fillId="0" borderId="0">
      <alignment horizontal="center" wrapText="1"/>
      <protection locked="0"/>
    </xf>
    <xf numFmtId="247" fontId="26" fillId="0" borderId="0">
      <alignment horizontal="center" wrapText="1"/>
      <protection locked="0"/>
    </xf>
    <xf numFmtId="247" fontId="26" fillId="0" borderId="0">
      <alignment horizontal="center" wrapText="1"/>
      <protection locked="0"/>
    </xf>
    <xf numFmtId="247" fontId="26" fillId="0" borderId="0">
      <alignment horizontal="center" wrapText="1"/>
      <protection locked="0"/>
    </xf>
    <xf numFmtId="0" fontId="26" fillId="0" borderId="0">
      <alignment horizontal="center" wrapText="1"/>
      <protection locked="0"/>
    </xf>
    <xf numFmtId="0" fontId="26" fillId="0" borderId="0">
      <alignment horizontal="center" wrapText="1"/>
      <protection locked="0"/>
    </xf>
    <xf numFmtId="0" fontId="26" fillId="0" borderId="0">
      <alignment horizontal="center" wrapText="1"/>
      <protection locked="0"/>
    </xf>
    <xf numFmtId="0" fontId="26" fillId="0" borderId="0">
      <alignment horizontal="center" wrapText="1"/>
      <protection locked="0"/>
    </xf>
    <xf numFmtId="0" fontId="26" fillId="0" borderId="0">
      <alignment horizontal="center" wrapText="1"/>
      <protection locked="0"/>
    </xf>
    <xf numFmtId="0" fontId="26" fillId="0" borderId="0">
      <alignment horizontal="center" wrapText="1"/>
      <protection locked="0"/>
    </xf>
    <xf numFmtId="247" fontId="26" fillId="0" borderId="0">
      <alignment horizontal="center" wrapText="1"/>
      <protection locked="0"/>
    </xf>
    <xf numFmtId="0" fontId="26" fillId="0" borderId="0">
      <alignment horizontal="center" wrapText="1"/>
      <protection locked="0"/>
    </xf>
    <xf numFmtId="0" fontId="26" fillId="0" borderId="0">
      <alignment horizontal="center" wrapText="1"/>
      <protection locked="0"/>
    </xf>
    <xf numFmtId="247" fontId="26" fillId="0" borderId="0">
      <alignment horizontal="center" wrapText="1"/>
      <protection locked="0"/>
    </xf>
    <xf numFmtId="0" fontId="26" fillId="0" borderId="0">
      <alignment horizontal="center" wrapText="1"/>
      <protection locked="0"/>
    </xf>
    <xf numFmtId="247" fontId="26" fillId="0" borderId="0">
      <alignment horizontal="center" wrapText="1"/>
      <protection locked="0"/>
    </xf>
    <xf numFmtId="247" fontId="26" fillId="0" borderId="0">
      <alignment horizontal="center" wrapText="1"/>
      <protection locked="0"/>
    </xf>
    <xf numFmtId="247" fontId="26" fillId="0" borderId="0">
      <alignment horizontal="center" wrapText="1"/>
      <protection locked="0"/>
    </xf>
    <xf numFmtId="247" fontId="26" fillId="0" borderId="0">
      <alignment horizontal="center" wrapText="1"/>
      <protection locked="0"/>
    </xf>
    <xf numFmtId="247" fontId="26" fillId="0" borderId="0">
      <alignment horizontal="center" wrapText="1"/>
      <protection locked="0"/>
    </xf>
    <xf numFmtId="247" fontId="26" fillId="0" borderId="0">
      <alignment horizontal="center" wrapText="1"/>
      <protection locked="0"/>
    </xf>
    <xf numFmtId="247" fontId="26" fillId="0" borderId="0">
      <alignment horizontal="center" wrapText="1"/>
      <protection locked="0"/>
    </xf>
    <xf numFmtId="0" fontId="26" fillId="0" borderId="0">
      <alignment horizontal="center" wrapText="1"/>
      <protection locked="0"/>
    </xf>
    <xf numFmtId="0" fontId="26" fillId="0" borderId="0">
      <alignment horizontal="center" wrapText="1"/>
      <protection locked="0"/>
    </xf>
    <xf numFmtId="0" fontId="26" fillId="0" borderId="0">
      <alignment horizontal="center" wrapText="1"/>
      <protection locked="0"/>
    </xf>
    <xf numFmtId="0" fontId="26" fillId="0" borderId="0">
      <alignment horizontal="center" wrapText="1"/>
      <protection locked="0"/>
    </xf>
    <xf numFmtId="0" fontId="26" fillId="0" borderId="0">
      <alignment horizontal="center" wrapText="1"/>
      <protection locked="0"/>
    </xf>
    <xf numFmtId="0" fontId="26" fillId="0" borderId="0">
      <alignment horizontal="center" wrapText="1"/>
      <protection locked="0"/>
    </xf>
    <xf numFmtId="247" fontId="26" fillId="0" borderId="0">
      <alignment horizontal="center" wrapText="1"/>
      <protection locked="0"/>
    </xf>
    <xf numFmtId="247" fontId="26" fillId="0" borderId="0">
      <alignment horizontal="center" wrapText="1"/>
      <protection locked="0"/>
    </xf>
    <xf numFmtId="247" fontId="26" fillId="0" borderId="0">
      <alignment horizontal="center" wrapText="1"/>
      <protection locked="0"/>
    </xf>
    <xf numFmtId="247" fontId="26" fillId="0" borderId="0">
      <alignment horizontal="center" wrapText="1"/>
      <protection locked="0"/>
    </xf>
    <xf numFmtId="247" fontId="26" fillId="0" borderId="0">
      <alignment horizontal="center" wrapText="1"/>
      <protection locked="0"/>
    </xf>
    <xf numFmtId="247" fontId="26" fillId="0" borderId="0">
      <alignment horizontal="center" wrapText="1"/>
      <protection locked="0"/>
    </xf>
    <xf numFmtId="0" fontId="26" fillId="0" borderId="0">
      <alignment horizontal="center" wrapText="1"/>
      <protection locked="0"/>
    </xf>
    <xf numFmtId="247" fontId="26" fillId="0" borderId="0">
      <alignment horizontal="center" wrapText="1"/>
      <protection locked="0"/>
    </xf>
    <xf numFmtId="247" fontId="26" fillId="0" borderId="0">
      <alignment horizontal="center" wrapText="1"/>
      <protection locked="0"/>
    </xf>
    <xf numFmtId="247" fontId="26" fillId="0" borderId="0">
      <alignment horizontal="center" wrapText="1"/>
      <protection locked="0"/>
    </xf>
    <xf numFmtId="247" fontId="26" fillId="0" borderId="0">
      <alignment horizontal="center" wrapText="1"/>
      <protection locked="0"/>
    </xf>
    <xf numFmtId="247" fontId="26" fillId="0" borderId="0">
      <alignment horizontal="center" wrapText="1"/>
      <protection locked="0"/>
    </xf>
    <xf numFmtId="247" fontId="26" fillId="0" borderId="0">
      <alignment horizontal="center" wrapText="1"/>
      <protection locked="0"/>
    </xf>
    <xf numFmtId="247" fontId="26" fillId="0" borderId="0">
      <alignment horizontal="center" wrapText="1"/>
      <protection locked="0"/>
    </xf>
    <xf numFmtId="0" fontId="26" fillId="0" borderId="0">
      <alignment horizontal="center" wrapText="1"/>
      <protection locked="0"/>
    </xf>
    <xf numFmtId="0" fontId="26" fillId="0" borderId="0">
      <alignment horizontal="center" wrapText="1"/>
      <protection locked="0"/>
    </xf>
    <xf numFmtId="0" fontId="26" fillId="0" borderId="0">
      <alignment horizontal="center" wrapText="1"/>
      <protection locked="0"/>
    </xf>
    <xf numFmtId="0" fontId="26" fillId="0" borderId="0">
      <alignment horizontal="center" wrapText="1"/>
      <protection locked="0"/>
    </xf>
    <xf numFmtId="0" fontId="26" fillId="0" borderId="0">
      <alignment horizontal="center" wrapText="1"/>
      <protection locked="0"/>
    </xf>
    <xf numFmtId="0" fontId="26" fillId="0" borderId="0">
      <alignment horizontal="center" wrapText="1"/>
      <protection locked="0"/>
    </xf>
    <xf numFmtId="247" fontId="26" fillId="0" borderId="0">
      <alignment horizontal="center" wrapText="1"/>
      <protection locked="0"/>
    </xf>
    <xf numFmtId="247" fontId="26" fillId="0" borderId="0">
      <alignment horizontal="center" wrapText="1"/>
      <protection locked="0"/>
    </xf>
    <xf numFmtId="0" fontId="26" fillId="0" borderId="0">
      <alignment horizontal="center" wrapText="1"/>
      <protection locked="0"/>
    </xf>
    <xf numFmtId="247" fontId="26" fillId="0" borderId="0">
      <alignment horizontal="center" wrapText="1"/>
      <protection locked="0"/>
    </xf>
    <xf numFmtId="247" fontId="26" fillId="0" borderId="0">
      <alignment horizontal="center" wrapText="1"/>
      <protection locked="0"/>
    </xf>
    <xf numFmtId="0" fontId="26" fillId="0" borderId="0">
      <alignment horizontal="center" wrapText="1"/>
      <protection locked="0"/>
    </xf>
    <xf numFmtId="247" fontId="26" fillId="0" borderId="0">
      <alignment horizontal="center" wrapText="1"/>
      <protection locked="0"/>
    </xf>
    <xf numFmtId="247" fontId="26" fillId="0" borderId="0">
      <alignment horizontal="center" wrapText="1"/>
      <protection locked="0"/>
    </xf>
    <xf numFmtId="0" fontId="26" fillId="0" borderId="0">
      <alignment horizontal="center" wrapText="1"/>
      <protection locked="0"/>
    </xf>
    <xf numFmtId="0" fontId="26" fillId="0" borderId="0">
      <alignment horizontal="center" wrapText="1"/>
      <protection locked="0"/>
    </xf>
    <xf numFmtId="0" fontId="26" fillId="0" borderId="0">
      <alignment horizontal="center" wrapText="1"/>
      <protection locked="0"/>
    </xf>
    <xf numFmtId="247" fontId="26" fillId="0" borderId="0">
      <alignment horizontal="center" wrapText="1"/>
      <protection locked="0"/>
    </xf>
    <xf numFmtId="0" fontId="26" fillId="0" borderId="0">
      <alignment horizontal="center" wrapText="1"/>
      <protection locked="0"/>
    </xf>
    <xf numFmtId="0" fontId="26" fillId="0" borderId="0">
      <alignment horizontal="center" wrapText="1"/>
      <protection locked="0"/>
    </xf>
    <xf numFmtId="0" fontId="26" fillId="0" borderId="0">
      <alignment horizontal="center" wrapText="1"/>
      <protection locked="0"/>
    </xf>
    <xf numFmtId="0" fontId="26" fillId="0" borderId="0">
      <alignment horizontal="center" wrapText="1"/>
      <protection locked="0"/>
    </xf>
    <xf numFmtId="0" fontId="26" fillId="0" borderId="0">
      <alignment horizontal="center" wrapText="1"/>
      <protection locked="0"/>
    </xf>
    <xf numFmtId="0" fontId="26" fillId="0" borderId="0">
      <alignment horizontal="center" wrapText="1"/>
      <protection locked="0"/>
    </xf>
    <xf numFmtId="0" fontId="26" fillId="0" borderId="0">
      <alignment horizontal="center" wrapText="1"/>
      <protection locked="0"/>
    </xf>
    <xf numFmtId="0" fontId="26" fillId="0" borderId="0">
      <alignment horizontal="center" wrapText="1"/>
      <protection locked="0"/>
    </xf>
    <xf numFmtId="0" fontId="26" fillId="0" borderId="0">
      <alignment horizontal="center" wrapText="1"/>
      <protection locked="0"/>
    </xf>
    <xf numFmtId="0" fontId="26" fillId="0" borderId="0">
      <alignment horizontal="center" wrapText="1"/>
      <protection locked="0"/>
    </xf>
    <xf numFmtId="0" fontId="26" fillId="0" borderId="0">
      <alignment horizontal="center" wrapText="1"/>
      <protection locked="0"/>
    </xf>
    <xf numFmtId="0" fontId="17" fillId="0" borderId="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0" fontId="17" fillId="0" borderId="0" applyNumberFormat="0" applyFill="0" applyBorder="0" applyAlignment="0" applyProtection="0"/>
    <xf numFmtId="247"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247"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0" fontId="17" fillId="0" borderId="0" applyNumberFormat="0" applyFill="0" applyBorder="0" applyAlignment="0" applyProtection="0"/>
    <xf numFmtId="247" fontId="17" fillId="0" borderId="0" applyNumberFormat="0" applyFill="0" applyBorder="0" applyAlignment="0" applyProtection="0"/>
    <xf numFmtId="0"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0"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247" fontId="17" fillId="0" borderId="0" applyNumberFormat="0" applyFill="0" applyBorder="0" applyAlignment="0" applyProtection="0"/>
    <xf numFmtId="0" fontId="17" fillId="0" borderId="0"/>
    <xf numFmtId="247" fontId="20" fillId="0" borderId="0" applyNumberFormat="0" applyFill="0" applyBorder="0" applyAlignment="0" applyProtection="0"/>
    <xf numFmtId="0"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79" fillId="0" borderId="0" applyNumberFormat="0" applyAlignment="0"/>
    <xf numFmtId="0" fontId="17" fillId="0" borderId="0" applyNumberFormat="0" applyAlignment="0"/>
    <xf numFmtId="0" fontId="80" fillId="0" borderId="24" applyNumberFormat="0" applyFill="0" applyBorder="0" applyAlignment="0" applyProtection="0"/>
    <xf numFmtId="0" fontId="80" fillId="0" borderId="24" applyNumberFormat="0" applyFill="0" applyBorder="0" applyAlignment="0" applyProtection="0"/>
    <xf numFmtId="0" fontId="80" fillId="0" borderId="24" applyNumberFormat="0" applyFill="0" applyBorder="0" applyAlignment="0" applyProtection="0"/>
    <xf numFmtId="0" fontId="80" fillId="0" borderId="24" applyNumberFormat="0" applyFill="0" applyBorder="0" applyAlignment="0" applyProtection="0"/>
    <xf numFmtId="0" fontId="80" fillId="0" borderId="24" applyNumberFormat="0" applyFill="0" applyBorder="0" applyAlignment="0" applyProtection="0"/>
    <xf numFmtId="0" fontId="80" fillId="0" borderId="24" applyNumberFormat="0" applyFill="0" applyBorder="0" applyAlignment="0" applyProtection="0"/>
    <xf numFmtId="0" fontId="80" fillId="0" borderId="24" applyNumberFormat="0" applyFill="0" applyBorder="0" applyAlignment="0" applyProtection="0"/>
    <xf numFmtId="0" fontId="80" fillId="0" borderId="24" applyNumberFormat="0" applyFill="0" applyBorder="0" applyAlignment="0" applyProtection="0"/>
    <xf numFmtId="0" fontId="80" fillId="0" borderId="24" applyNumberFormat="0" applyFill="0" applyBorder="0" applyAlignment="0" applyProtection="0"/>
    <xf numFmtId="0" fontId="80" fillId="0" borderId="24" applyNumberFormat="0" applyFill="0" applyBorder="0" applyAlignment="0" applyProtection="0"/>
    <xf numFmtId="0" fontId="80" fillId="0" borderId="24" applyNumberFormat="0" applyFill="0" applyBorder="0" applyAlignment="0" applyProtection="0"/>
    <xf numFmtId="0" fontId="80" fillId="0" borderId="24" applyNumberFormat="0" applyFill="0" applyBorder="0" applyAlignment="0" applyProtection="0"/>
    <xf numFmtId="0" fontId="81" fillId="0" borderId="24" applyNumberFormat="0" applyFill="0" applyBorder="0" applyAlignment="0" applyProtection="0"/>
    <xf numFmtId="0" fontId="81" fillId="0" borderId="24" applyNumberFormat="0" applyFill="0" applyBorder="0" applyAlignment="0" applyProtection="0"/>
    <xf numFmtId="0" fontId="81" fillId="0" borderId="24" applyNumberFormat="0" applyFill="0" applyBorder="0" applyAlignment="0" applyProtection="0"/>
    <xf numFmtId="0" fontId="81" fillId="0" borderId="24" applyNumberFormat="0" applyFill="0" applyBorder="0" applyAlignment="0" applyProtection="0"/>
    <xf numFmtId="0" fontId="81" fillId="0" borderId="24" applyNumberFormat="0" applyFill="0" applyBorder="0" applyAlignment="0" applyProtection="0"/>
    <xf numFmtId="0" fontId="81" fillId="0" borderId="24" applyNumberFormat="0" applyFill="0" applyBorder="0" applyAlignment="0" applyProtection="0"/>
    <xf numFmtId="0" fontId="81" fillId="0" borderId="24" applyNumberFormat="0" applyFill="0" applyBorder="0" applyAlignment="0" applyProtection="0"/>
    <xf numFmtId="0" fontId="81" fillId="0" borderId="24" applyNumberFormat="0" applyFill="0" applyBorder="0" applyAlignment="0" applyProtection="0"/>
    <xf numFmtId="0" fontId="81" fillId="0" borderId="24" applyNumberFormat="0" applyFill="0" applyBorder="0" applyAlignment="0" applyProtection="0"/>
    <xf numFmtId="0" fontId="81" fillId="0" borderId="24" applyNumberFormat="0" applyFill="0" applyBorder="0" applyAlignment="0" applyProtection="0"/>
    <xf numFmtId="0" fontId="81" fillId="0" borderId="24" applyNumberFormat="0" applyFill="0" applyBorder="0" applyAlignment="0" applyProtection="0"/>
    <xf numFmtId="0" fontId="81" fillId="0" borderId="24" applyNumberFormat="0" applyFill="0" applyBorder="0" applyAlignment="0" applyProtection="0"/>
    <xf numFmtId="0" fontId="48" fillId="0" borderId="24" applyNumberFormat="0" applyFill="0" applyBorder="0" applyAlignment="0" applyProtection="0"/>
    <xf numFmtId="0" fontId="48" fillId="0" borderId="24" applyNumberFormat="0" applyFill="0" applyBorder="0" applyAlignment="0" applyProtection="0"/>
    <xf numFmtId="0" fontId="48" fillId="0" borderId="24" applyNumberFormat="0" applyFill="0" applyBorder="0" applyAlignment="0" applyProtection="0"/>
    <xf numFmtId="0" fontId="48" fillId="0" borderId="24" applyNumberFormat="0" applyFill="0" applyBorder="0" applyAlignment="0" applyProtection="0"/>
    <xf numFmtId="0" fontId="48" fillId="0" borderId="24" applyNumberFormat="0" applyFill="0" applyBorder="0" applyAlignment="0" applyProtection="0"/>
    <xf numFmtId="0" fontId="48" fillId="0" borderId="24" applyNumberFormat="0" applyFill="0" applyBorder="0" applyAlignment="0" applyProtection="0"/>
    <xf numFmtId="0" fontId="48" fillId="0" borderId="24" applyNumberFormat="0" applyFill="0" applyBorder="0" applyAlignment="0" applyProtection="0"/>
    <xf numFmtId="0" fontId="48" fillId="0" borderId="24" applyNumberFormat="0" applyFill="0" applyBorder="0" applyAlignment="0" applyProtection="0"/>
    <xf numFmtId="0" fontId="48" fillId="0" borderId="24" applyNumberFormat="0" applyFill="0" applyBorder="0" applyAlignment="0" applyProtection="0"/>
    <xf numFmtId="0" fontId="48" fillId="0" borderId="24" applyNumberFormat="0" applyFill="0" applyBorder="0" applyAlignment="0" applyProtection="0"/>
    <xf numFmtId="0" fontId="48" fillId="0" borderId="24" applyNumberFormat="0" applyFill="0" applyBorder="0" applyAlignment="0" applyProtection="0"/>
    <xf numFmtId="0" fontId="48" fillId="0" borderId="24" applyNumberFormat="0" applyFill="0" applyBorder="0" applyAlignment="0" applyProtection="0"/>
    <xf numFmtId="0" fontId="17" fillId="0" borderId="0"/>
    <xf numFmtId="0" fontId="17" fillId="0" borderId="0"/>
    <xf numFmtId="0" fontId="47" fillId="0" borderId="24" applyNumberFormat="0" applyFill="0" applyAlignment="0" applyProtection="0"/>
    <xf numFmtId="0" fontId="47" fillId="0" borderId="24" applyNumberFormat="0" applyFill="0" applyAlignment="0" applyProtection="0"/>
    <xf numFmtId="0" fontId="47" fillId="0" borderId="24" applyNumberFormat="0" applyFill="0" applyAlignment="0" applyProtection="0"/>
    <xf numFmtId="0" fontId="47" fillId="0" borderId="24" applyNumberFormat="0" applyFill="0" applyAlignment="0" applyProtection="0"/>
    <xf numFmtId="0" fontId="47" fillId="0" borderId="24" applyNumberFormat="0" applyFill="0" applyAlignment="0" applyProtection="0"/>
    <xf numFmtId="0" fontId="47" fillId="0" borderId="24" applyNumberFormat="0" applyFill="0" applyAlignment="0" applyProtection="0"/>
    <xf numFmtId="0" fontId="47" fillId="0" borderId="24" applyNumberFormat="0" applyFill="0" applyAlignment="0" applyProtection="0"/>
    <xf numFmtId="0" fontId="47" fillId="0" borderId="24" applyNumberFormat="0" applyFill="0" applyAlignment="0" applyProtection="0"/>
    <xf numFmtId="0" fontId="17" fillId="0" borderId="0"/>
    <xf numFmtId="0" fontId="17" fillId="0" borderId="0"/>
    <xf numFmtId="0" fontId="59" fillId="0" borderId="0">
      <alignment horizontal="right"/>
    </xf>
    <xf numFmtId="0" fontId="59" fillId="0" borderId="0">
      <alignment horizontal="right"/>
    </xf>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82" fillId="2" borderId="0" applyNumberFormat="0" applyBorder="0" applyAlignment="0" applyProtection="0"/>
    <xf numFmtId="0" fontId="82" fillId="2" borderId="0" applyNumberFormat="0" applyBorder="0" applyAlignment="0" applyProtection="0"/>
    <xf numFmtId="0" fontId="82" fillId="2" borderId="0" applyNumberFormat="0" applyBorder="0" applyAlignment="0" applyProtection="0"/>
    <xf numFmtId="0" fontId="82" fillId="2" borderId="0" applyNumberFormat="0" applyBorder="0" applyAlignment="0" applyProtection="0"/>
    <xf numFmtId="0" fontId="82" fillId="2" borderId="0" applyNumberFormat="0" applyBorder="0" applyAlignment="0" applyProtection="0"/>
    <xf numFmtId="0" fontId="82" fillId="2" borderId="0" applyNumberFormat="0" applyBorder="0" applyAlignment="0" applyProtection="0"/>
    <xf numFmtId="0" fontId="17" fillId="0" borderId="0"/>
    <xf numFmtId="0" fontId="83" fillId="38" borderId="0" applyNumberFormat="0" applyBorder="0" applyAlignment="0" applyProtection="0"/>
    <xf numFmtId="0" fontId="83" fillId="38" borderId="0" applyNumberFormat="0" applyBorder="0" applyAlignment="0" applyProtection="0"/>
    <xf numFmtId="0" fontId="83" fillId="38" borderId="0" applyNumberFormat="0" applyBorder="0" applyAlignment="0" applyProtection="0"/>
    <xf numFmtId="0" fontId="83" fillId="38" borderId="0" applyNumberFormat="0" applyBorder="0" applyAlignment="0" applyProtection="0"/>
    <xf numFmtId="247" fontId="83" fillId="38" borderId="0" applyNumberFormat="0" applyBorder="0" applyAlignment="0" applyProtection="0"/>
    <xf numFmtId="0" fontId="83" fillId="38" borderId="0" applyNumberFormat="0" applyBorder="0" applyAlignment="0" applyProtection="0"/>
    <xf numFmtId="0" fontId="83" fillId="38" borderId="0" applyNumberFormat="0" applyBorder="0" applyAlignment="0" applyProtection="0"/>
    <xf numFmtId="0" fontId="83" fillId="38" borderId="0" applyNumberFormat="0" applyBorder="0" applyAlignment="0" applyProtection="0"/>
    <xf numFmtId="247" fontId="83" fillId="38" borderId="0" applyNumberFormat="0" applyBorder="0" applyAlignment="0" applyProtection="0"/>
    <xf numFmtId="0" fontId="83" fillId="38" borderId="0" applyNumberFormat="0" applyBorder="0" applyAlignment="0" applyProtection="0"/>
    <xf numFmtId="0" fontId="83" fillId="38" borderId="0" applyNumberFormat="0" applyBorder="0" applyAlignment="0" applyProtection="0"/>
    <xf numFmtId="0" fontId="17" fillId="0" borderId="0"/>
    <xf numFmtId="247" fontId="83" fillId="38" borderId="0" applyNumberFormat="0" applyBorder="0" applyAlignment="0" applyProtection="0"/>
    <xf numFmtId="0" fontId="83" fillId="38" borderId="0" applyNumberFormat="0" applyBorder="0" applyAlignment="0" applyProtection="0"/>
    <xf numFmtId="0" fontId="83" fillId="38" borderId="0" applyNumberFormat="0" applyBorder="0" applyAlignment="0" applyProtection="0"/>
    <xf numFmtId="0" fontId="83" fillId="38" borderId="0" applyNumberFormat="0" applyBorder="0" applyAlignment="0" applyProtection="0"/>
    <xf numFmtId="247" fontId="83" fillId="38" borderId="0" applyNumberFormat="0" applyBorder="0" applyAlignment="0" applyProtection="0"/>
    <xf numFmtId="0" fontId="83" fillId="38" borderId="0" applyNumberFormat="0" applyBorder="0" applyAlignment="0" applyProtection="0"/>
    <xf numFmtId="0" fontId="17" fillId="0" borderId="0"/>
    <xf numFmtId="247" fontId="83" fillId="38" borderId="0" applyNumberFormat="0" applyBorder="0" applyAlignment="0" applyProtection="0"/>
    <xf numFmtId="0" fontId="82" fillId="2" borderId="0" applyNumberFormat="0" applyBorder="0" applyAlignment="0" applyProtection="0"/>
    <xf numFmtId="0" fontId="82" fillId="2" borderId="0" applyNumberFormat="0" applyBorder="0" applyAlignment="0" applyProtection="0"/>
    <xf numFmtId="0" fontId="82" fillId="2" borderId="0" applyNumberFormat="0" applyBorder="0" applyAlignment="0" applyProtection="0"/>
    <xf numFmtId="247" fontId="83" fillId="38" borderId="0" applyNumberFormat="0" applyBorder="0" applyAlignment="0" applyProtection="0"/>
    <xf numFmtId="0" fontId="82" fillId="2" borderId="0" applyNumberFormat="0" applyBorder="0" applyAlignment="0" applyProtection="0"/>
    <xf numFmtId="0" fontId="17" fillId="0" borderId="0"/>
    <xf numFmtId="247" fontId="83" fillId="38" borderId="0" applyNumberFormat="0" applyBorder="0" applyAlignment="0" applyProtection="0"/>
    <xf numFmtId="0" fontId="82" fillId="2" borderId="0" applyNumberFormat="0" applyBorder="0" applyAlignment="0" applyProtection="0"/>
    <xf numFmtId="0" fontId="82" fillId="2" borderId="0" applyNumberFormat="0" applyBorder="0" applyAlignment="0" applyProtection="0"/>
    <xf numFmtId="0" fontId="82" fillId="2" borderId="0" applyNumberFormat="0" applyBorder="0" applyAlignment="0" applyProtection="0"/>
    <xf numFmtId="247" fontId="83" fillId="38" borderId="0" applyNumberFormat="0" applyBorder="0" applyAlignment="0" applyProtection="0"/>
    <xf numFmtId="0" fontId="82" fillId="2" borderId="0" applyNumberFormat="0" applyBorder="0" applyAlignment="0" applyProtection="0"/>
    <xf numFmtId="0" fontId="17" fillId="0" borderId="0"/>
    <xf numFmtId="0" fontId="83" fillId="38" borderId="0" applyNumberFormat="0" applyBorder="0" applyAlignment="0" applyProtection="0"/>
    <xf numFmtId="0" fontId="83" fillId="38" borderId="0" applyNumberFormat="0" applyBorder="0" applyAlignment="0" applyProtection="0"/>
    <xf numFmtId="0" fontId="17" fillId="0" borderId="0"/>
    <xf numFmtId="0" fontId="17" fillId="0" borderId="0"/>
    <xf numFmtId="0" fontId="17" fillId="0" borderId="0"/>
    <xf numFmtId="164" fontId="84" fillId="59" borderId="0" applyNumberFormat="0" applyBorder="0" applyAlignment="0" applyProtection="0">
      <alignment horizontal="center" vertical="center" wrapText="1"/>
    </xf>
    <xf numFmtId="0" fontId="17" fillId="0" borderId="0"/>
    <xf numFmtId="0" fontId="17" fillId="0" borderId="0"/>
    <xf numFmtId="0" fontId="60" fillId="0" borderId="0" applyNumberFormat="0" applyFill="0" applyBorder="0" applyAlignment="0" applyProtection="0"/>
    <xf numFmtId="0" fontId="60" fillId="0" borderId="0" applyNumberFormat="0" applyFill="0" applyBorder="0" applyAlignment="0" applyProtection="0"/>
    <xf numFmtId="0" fontId="17"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252" fontId="85" fillId="0" borderId="0"/>
    <xf numFmtId="252" fontId="17" fillId="0" borderId="0"/>
    <xf numFmtId="192" fontId="26" fillId="0" borderId="0"/>
    <xf numFmtId="192" fontId="26" fillId="0" borderId="0"/>
    <xf numFmtId="192" fontId="17" fillId="0" borderId="0"/>
    <xf numFmtId="192" fontId="26" fillId="0" borderId="0"/>
    <xf numFmtId="192" fontId="26" fillId="0" borderId="0"/>
    <xf numFmtId="192" fontId="26" fillId="0" borderId="0"/>
    <xf numFmtId="177" fontId="26" fillId="0" borderId="8"/>
    <xf numFmtId="177" fontId="26" fillId="0" borderId="8"/>
    <xf numFmtId="177" fontId="17" fillId="0" borderId="0"/>
    <xf numFmtId="177" fontId="26" fillId="0" borderId="8"/>
    <xf numFmtId="177" fontId="26" fillId="0" borderId="8"/>
    <xf numFmtId="177" fontId="26" fillId="0" borderId="8"/>
    <xf numFmtId="253" fontId="85" fillId="0" borderId="0"/>
    <xf numFmtId="253" fontId="17" fillId="0" borderId="0"/>
    <xf numFmtId="0" fontId="85" fillId="0" borderId="0"/>
    <xf numFmtId="0" fontId="17" fillId="0" borderId="0"/>
    <xf numFmtId="254" fontId="85" fillId="0" borderId="0"/>
    <xf numFmtId="254" fontId="17" fillId="0" borderId="0"/>
    <xf numFmtId="0" fontId="26" fillId="0" borderId="0">
      <alignment horizontal="right"/>
    </xf>
    <xf numFmtId="0" fontId="26" fillId="0" borderId="0">
      <alignment horizontal="right"/>
    </xf>
    <xf numFmtId="0" fontId="17" fillId="0" borderId="0">
      <alignment horizontal="right"/>
    </xf>
    <xf numFmtId="0" fontId="26" fillId="0" borderId="0">
      <alignment horizontal="right"/>
    </xf>
    <xf numFmtId="0" fontId="26" fillId="0" borderId="0">
      <alignment horizontal="right"/>
    </xf>
    <xf numFmtId="0" fontId="26" fillId="0" borderId="0">
      <alignment horizontal="right"/>
    </xf>
    <xf numFmtId="255" fontId="85" fillId="0" borderId="0">
      <alignment horizontal="right"/>
    </xf>
    <xf numFmtId="255" fontId="17" fillId="0" borderId="0">
      <alignment horizontal="right"/>
    </xf>
    <xf numFmtId="256" fontId="85" fillId="0" borderId="0">
      <alignment horizontal="right"/>
    </xf>
    <xf numFmtId="256" fontId="17" fillId="0" borderId="0">
      <alignment horizontal="right"/>
    </xf>
    <xf numFmtId="0" fontId="26" fillId="0" borderId="0">
      <alignment horizontal="right"/>
    </xf>
    <xf numFmtId="257" fontId="26" fillId="0" borderId="0">
      <alignment horizontal="right"/>
    </xf>
    <xf numFmtId="257" fontId="26" fillId="0" borderId="0">
      <alignment horizontal="right"/>
    </xf>
    <xf numFmtId="257" fontId="17" fillId="0" borderId="0">
      <alignment horizontal="right"/>
    </xf>
    <xf numFmtId="257" fontId="26" fillId="0" borderId="0">
      <alignment horizontal="right"/>
    </xf>
    <xf numFmtId="257" fontId="26" fillId="0" borderId="0">
      <alignment horizontal="right"/>
    </xf>
    <xf numFmtId="257" fontId="26" fillId="0" borderId="0">
      <alignment horizontal="right"/>
    </xf>
    <xf numFmtId="0" fontId="60" fillId="0" borderId="0" applyNumberForma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applyNumberFormat="0" applyFill="0" applyBorder="0" applyAlignment="0" applyProtection="0"/>
    <xf numFmtId="258" fontId="85" fillId="0" borderId="0"/>
    <xf numFmtId="258" fontId="17" fillId="0" borderId="0"/>
    <xf numFmtId="259" fontId="85" fillId="0" borderId="0"/>
    <xf numFmtId="259" fontId="17" fillId="0" borderId="0"/>
    <xf numFmtId="0" fontId="85" fillId="0" borderId="0"/>
    <xf numFmtId="0" fontId="17" fillId="0" borderId="0"/>
    <xf numFmtId="164" fontId="84" fillId="60" borderId="3">
      <alignment horizontal="center" vertical="center" wrapText="1"/>
    </xf>
    <xf numFmtId="164" fontId="84" fillId="60" borderId="3">
      <alignment horizontal="center" vertical="center" wrapText="1"/>
    </xf>
    <xf numFmtId="164" fontId="84" fillId="60" borderId="3">
      <alignment horizontal="center" vertical="center" wrapText="1"/>
    </xf>
    <xf numFmtId="1" fontId="37" fillId="32" borderId="25">
      <alignment horizontal="center"/>
    </xf>
    <xf numFmtId="1" fontId="17" fillId="0" borderId="0">
      <alignment horizontal="center"/>
    </xf>
    <xf numFmtId="0" fontId="85" fillId="0" borderId="0"/>
    <xf numFmtId="0" fontId="17" fillId="0" borderId="0"/>
    <xf numFmtId="0" fontId="37" fillId="32" borderId="26">
      <alignment horizontal="center"/>
    </xf>
    <xf numFmtId="0" fontId="37" fillId="32" borderId="26">
      <alignment horizontal="center"/>
    </xf>
    <xf numFmtId="0" fontId="17" fillId="0" borderId="0">
      <alignment horizontal="center"/>
    </xf>
    <xf numFmtId="0" fontId="37" fillId="32" borderId="26">
      <alignment horizontal="center"/>
    </xf>
    <xf numFmtId="0" fontId="37" fillId="32" borderId="26">
      <alignment horizontal="center"/>
    </xf>
    <xf numFmtId="0" fontId="37" fillId="32" borderId="26">
      <alignment horizontal="center"/>
    </xf>
    <xf numFmtId="0" fontId="85" fillId="0" borderId="0"/>
    <xf numFmtId="0" fontId="17" fillId="0" borderId="0"/>
    <xf numFmtId="0" fontId="86" fillId="0" borderId="0" applyNumberFormat="0" applyFill="0" applyBorder="0" applyAlignment="0" applyProtection="0"/>
    <xf numFmtId="0" fontId="17" fillId="0" borderId="0"/>
    <xf numFmtId="0" fontId="17" fillId="0" borderId="0" applyNumberFormat="0" applyFill="0" applyBorder="0" applyAlignment="0" applyProtection="0"/>
    <xf numFmtId="0" fontId="17" fillId="0" borderId="0"/>
    <xf numFmtId="0" fontId="17" fillId="0" borderId="0" applyBorder="0">
      <alignment horizontal="left" vertical="center" indent="1"/>
    </xf>
    <xf numFmtId="260" fontId="21" fillId="0" borderId="0"/>
    <xf numFmtId="37" fontId="87" fillId="0" borderId="0" applyNumberFormat="0" applyFill="0" applyBorder="0" applyAlignment="0" applyProtection="0">
      <protection locked="0"/>
    </xf>
    <xf numFmtId="37" fontId="17" fillId="0" borderId="0" applyNumberFormat="0" applyFill="0" applyBorder="0" applyAlignment="0" applyProtection="0">
      <protection locked="0"/>
    </xf>
    <xf numFmtId="0" fontId="88" fillId="0" borderId="27">
      <alignment horizontal="centerContinuous"/>
    </xf>
    <xf numFmtId="0" fontId="88" fillId="0" borderId="27">
      <alignment horizontal="centerContinuous"/>
    </xf>
    <xf numFmtId="261" fontId="89" fillId="0" borderId="0" applyAlignment="0">
      <alignment horizontal="right"/>
    </xf>
    <xf numFmtId="0" fontId="90" fillId="0" borderId="0" applyAlignment="0"/>
    <xf numFmtId="165" fontId="90" fillId="0" borderId="0"/>
    <xf numFmtId="0" fontId="90" fillId="0" borderId="27" applyAlignment="0"/>
    <xf numFmtId="0" fontId="90" fillId="0" borderId="27" applyAlignment="0"/>
    <xf numFmtId="0" fontId="90" fillId="0" borderId="0" applyAlignment="0"/>
    <xf numFmtId="0" fontId="17" fillId="0" borderId="0"/>
    <xf numFmtId="0" fontId="17" fillId="0" borderId="0"/>
    <xf numFmtId="0" fontId="91" fillId="0" borderId="3" applyNumberFormat="0" applyFill="0" applyAlignment="0" applyProtection="0"/>
    <xf numFmtId="37" fontId="87" fillId="0" borderId="0" applyNumberFormat="0" applyFill="0" applyBorder="0" applyAlignment="0" applyProtection="0">
      <protection locked="0"/>
    </xf>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5" fontId="57" fillId="0" borderId="8"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5" fontId="57" fillId="0" borderId="8" applyAlignment="0" applyProtection="0"/>
    <xf numFmtId="0" fontId="17" fillId="0" borderId="0"/>
    <xf numFmtId="262" fontId="62" fillId="0" borderId="18" applyNumberFormat="0" applyFill="0" applyAlignment="0" applyProtection="0">
      <alignment horizontal="center"/>
    </xf>
    <xf numFmtId="262" fontId="17" fillId="0" borderId="0" applyNumberFormat="0" applyFill="0" applyAlignment="0" applyProtection="0">
      <alignment horizontal="center"/>
    </xf>
    <xf numFmtId="262" fontId="62" fillId="0" borderId="18" applyNumberFormat="0" applyFill="0" applyAlignment="0" applyProtection="0">
      <alignment horizontal="center"/>
    </xf>
    <xf numFmtId="262" fontId="62" fillId="0" borderId="18" applyNumberFormat="0" applyFill="0" applyAlignment="0" applyProtection="0">
      <alignment horizontal="center"/>
    </xf>
    <xf numFmtId="262" fontId="62" fillId="0" borderId="18" applyNumberFormat="0" applyFill="0" applyAlignment="0" applyProtection="0">
      <alignment horizontal="center"/>
    </xf>
    <xf numFmtId="0" fontId="17" fillId="0" borderId="0"/>
    <xf numFmtId="0" fontId="17" fillId="0" borderId="0"/>
    <xf numFmtId="0" fontId="17" fillId="0" borderId="0"/>
    <xf numFmtId="263" fontId="62" fillId="0" borderId="3" applyFill="0" applyAlignment="0" applyProtection="0">
      <alignment horizontal="center"/>
    </xf>
    <xf numFmtId="263" fontId="17" fillId="0" borderId="0" applyFill="0" applyAlignment="0" applyProtection="0">
      <alignment horizontal="center"/>
    </xf>
    <xf numFmtId="263" fontId="62" fillId="0" borderId="3" applyFill="0" applyAlignment="0" applyProtection="0">
      <alignment horizontal="center"/>
    </xf>
    <xf numFmtId="263" fontId="62" fillId="0" borderId="3" applyFill="0" applyAlignment="0" applyProtection="0">
      <alignment horizontal="center"/>
    </xf>
    <xf numFmtId="263" fontId="62" fillId="0" borderId="3" applyFill="0" applyAlignment="0" applyProtection="0">
      <alignment horizontal="center"/>
    </xf>
    <xf numFmtId="0" fontId="17" fillId="0" borderId="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47"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64"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0" fontId="17" fillId="0" borderId="0" applyFont="0" applyFill="0" applyBorder="0" applyAlignment="0" applyProtection="0"/>
    <xf numFmtId="0" fontId="17" fillId="0" borderId="0" applyFont="0" applyFill="0" applyBorder="0" applyAlignment="0" applyProtection="0"/>
    <xf numFmtId="0" fontId="17" fillId="0" borderId="0" applyFont="0" applyFill="0" applyBorder="0" applyAlignment="0" applyProtection="0"/>
    <xf numFmtId="0" fontId="17" fillId="0" borderId="0" applyFont="0" applyFill="0" applyBorder="0" applyAlignment="0" applyProtection="0"/>
    <xf numFmtId="0" fontId="17" fillId="0" borderId="0" applyFont="0" applyFill="0" applyBorder="0" applyAlignment="0" applyProtection="0"/>
    <xf numFmtId="0" fontId="17" fillId="0" borderId="0" applyFont="0" applyFill="0" applyBorder="0" applyAlignment="0" applyProtection="0"/>
    <xf numFmtId="0"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47" fontId="17" fillId="0" borderId="0" applyFont="0" applyFill="0" applyBorder="0" applyAlignment="0" applyProtection="0"/>
    <xf numFmtId="0" fontId="17" fillId="0" borderId="0" applyFont="0" applyFill="0" applyBorder="0" applyAlignment="0" applyProtection="0"/>
    <xf numFmtId="264" fontId="17" fillId="0" borderId="0" applyFont="0" applyFill="0" applyBorder="0" applyAlignment="0" applyProtection="0"/>
    <xf numFmtId="0" fontId="17" fillId="0" borderId="0" applyFont="0" applyFill="0" applyBorder="0" applyAlignment="0" applyProtection="0"/>
    <xf numFmtId="0" fontId="17" fillId="0" borderId="0" applyFont="0" applyFill="0" applyBorder="0" applyAlignment="0" applyProtection="0"/>
    <xf numFmtId="0" fontId="17" fillId="0" borderId="0" applyFont="0" applyFill="0" applyBorder="0" applyAlignment="0" applyProtection="0"/>
    <xf numFmtId="0" fontId="17" fillId="0" borderId="0" applyFont="0" applyFill="0" applyBorder="0" applyAlignment="0" applyProtection="0"/>
    <xf numFmtId="0" fontId="17" fillId="0" borderId="0" applyFont="0" applyFill="0" applyBorder="0" applyAlignment="0" applyProtection="0"/>
    <xf numFmtId="0" fontId="17" fillId="0" borderId="0" applyFont="0" applyFill="0" applyBorder="0" applyAlignment="0" applyProtection="0"/>
    <xf numFmtId="0" fontId="17" fillId="0" borderId="0" applyFont="0" applyFill="0" applyBorder="0" applyAlignment="0" applyProtection="0"/>
    <xf numFmtId="0"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0" fontId="17" fillId="0" borderId="0" applyFont="0" applyFill="0" applyBorder="0" applyAlignment="0" applyProtection="0"/>
    <xf numFmtId="0" fontId="17" fillId="0" borderId="0" applyFont="0" applyFill="0" applyBorder="0" applyAlignment="0" applyProtection="0"/>
    <xf numFmtId="0" fontId="17" fillId="0" borderId="0" applyFont="0" applyFill="0" applyBorder="0" applyAlignment="0" applyProtection="0"/>
    <xf numFmtId="0" fontId="17" fillId="0" borderId="0" applyFont="0" applyFill="0" applyBorder="0" applyAlignment="0" applyProtection="0"/>
    <xf numFmtId="0" fontId="17" fillId="0" borderId="0" applyFont="0" applyFill="0" applyBorder="0" applyAlignment="0" applyProtection="0"/>
    <xf numFmtId="0"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0"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0"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47" fontId="17" fillId="0" borderId="0" applyFont="0" applyFill="0" applyBorder="0" applyAlignment="0" applyProtection="0"/>
    <xf numFmtId="264"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64"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0"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0"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0"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0"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0" fontId="17" fillId="0" borderId="0" applyFont="0" applyFill="0" applyBorder="0" applyAlignment="0" applyProtection="0"/>
    <xf numFmtId="0" fontId="17" fillId="0" borderId="0" applyFont="0" applyFill="0" applyBorder="0" applyAlignment="0" applyProtection="0"/>
    <xf numFmtId="264"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64"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64"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47" fontId="17" fillId="0" borderId="0" applyFont="0" applyFill="0" applyBorder="0" applyAlignment="0" applyProtection="0"/>
    <xf numFmtId="264"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0"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0"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0" fontId="17" fillId="0" borderId="0" applyFont="0" applyFill="0" applyBorder="0" applyAlignment="0" applyProtection="0"/>
    <xf numFmtId="0" fontId="17" fillId="0" borderId="0" applyFont="0" applyFill="0" applyBorder="0" applyAlignment="0" applyProtection="0"/>
    <xf numFmtId="0" fontId="17" fillId="0" borderId="0" applyFont="0" applyFill="0" applyBorder="0" applyAlignment="0" applyProtection="0"/>
    <xf numFmtId="0" fontId="17" fillId="0" borderId="0" applyFont="0" applyFill="0" applyBorder="0" applyAlignment="0" applyProtection="0"/>
    <xf numFmtId="0" fontId="17" fillId="0" borderId="0" applyFont="0" applyFill="0" applyBorder="0" applyAlignment="0" applyProtection="0"/>
    <xf numFmtId="0"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0" fontId="17" fillId="0" borderId="0" applyFont="0" applyFill="0" applyBorder="0" applyAlignment="0" applyProtection="0"/>
    <xf numFmtId="264" fontId="17" fillId="0" borderId="0" applyFont="0" applyFill="0" applyBorder="0" applyAlignment="0" applyProtection="0"/>
    <xf numFmtId="247"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47" fontId="17" fillId="0" borderId="0" applyFont="0" applyFill="0" applyBorder="0" applyAlignment="0" applyProtection="0"/>
    <xf numFmtId="264" fontId="17" fillId="0" borderId="0" applyFont="0" applyFill="0" applyBorder="0" applyAlignment="0" applyProtection="0"/>
    <xf numFmtId="247"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0"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64"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64"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47"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264" fontId="17" fillId="0" borderId="0" applyFont="0" applyFill="0" applyBorder="0" applyAlignment="0" applyProtection="0"/>
    <xf numFmtId="0" fontId="21" fillId="0" borderId="0"/>
    <xf numFmtId="0" fontId="21" fillId="0" borderId="0"/>
    <xf numFmtId="0" fontId="17" fillId="0" borderId="0"/>
    <xf numFmtId="0" fontId="21" fillId="0" borderId="0"/>
    <xf numFmtId="0" fontId="21" fillId="0" borderId="0"/>
    <xf numFmtId="0" fontId="21"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0" fontId="17" fillId="0" borderId="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47" fontId="17" fillId="0" borderId="0" applyFill="0" applyBorder="0" applyAlignment="0"/>
    <xf numFmtId="265" fontId="17" fillId="0" borderId="0" applyFill="0" applyBorder="0" applyAlignment="0"/>
    <xf numFmtId="265" fontId="17" fillId="0" borderId="0" applyFill="0" applyBorder="0" applyAlignment="0"/>
    <xf numFmtId="247"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0"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0"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0" fontId="17" fillId="0" borderId="0" applyFill="0" applyBorder="0" applyAlignment="0"/>
    <xf numFmtId="247" fontId="17" fillId="0" borderId="0" applyFill="0" applyBorder="0" applyAlignment="0"/>
    <xf numFmtId="265" fontId="17" fillId="0" borderId="0" applyFill="0" applyBorder="0" applyAlignment="0"/>
    <xf numFmtId="247"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0"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0"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0"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0"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47"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265" fontId="17" fillId="0" borderId="0" applyFill="0" applyBorder="0" applyAlignment="0"/>
    <xf numFmtId="0" fontId="17" fillId="0" borderId="0" applyFill="0" applyBorder="0" applyAlignment="0"/>
    <xf numFmtId="0" fontId="17" fillId="0" borderId="0" applyFill="0" applyBorder="0" applyAlignment="0"/>
    <xf numFmtId="265"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47" fontId="17" fillId="0" borderId="0" applyFill="0" applyBorder="0" applyAlignment="0"/>
    <xf numFmtId="265"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65"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0"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65" fontId="17" fillId="0" borderId="0" applyFill="0" applyBorder="0" applyAlignment="0"/>
    <xf numFmtId="247" fontId="17" fillId="0" borderId="0" applyFill="0" applyBorder="0" applyAlignment="0"/>
    <xf numFmtId="265" fontId="17" fillId="0" borderId="0" applyFill="0" applyBorder="0" applyAlignment="0"/>
    <xf numFmtId="265" fontId="17" fillId="0" borderId="0" applyFill="0" applyBorder="0" applyAlignment="0"/>
    <xf numFmtId="247"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47"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265" fontId="17" fillId="0" borderId="0" applyFill="0" applyBorder="0" applyAlignment="0"/>
    <xf numFmtId="0" fontId="17" fillId="0" borderId="0"/>
    <xf numFmtId="192" fontId="92" fillId="0" borderId="0" applyFill="0" applyBorder="0" applyAlignment="0"/>
    <xf numFmtId="192" fontId="92" fillId="0" borderId="0" applyFill="0" applyBorder="0" applyAlignment="0"/>
    <xf numFmtId="247"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192" fontId="92" fillId="0" borderId="0" applyFill="0" applyBorder="0" applyAlignment="0"/>
    <xf numFmtId="0" fontId="92" fillId="0" borderId="0" applyFill="0" applyBorder="0" applyAlignment="0"/>
    <xf numFmtId="0" fontId="92" fillId="0" borderId="0" applyFill="0" applyBorder="0" applyAlignment="0"/>
    <xf numFmtId="0" fontId="92" fillId="0" borderId="0" applyFill="0" applyBorder="0" applyAlignment="0"/>
    <xf numFmtId="0" fontId="92" fillId="0" borderId="0" applyFill="0" applyBorder="0" applyAlignment="0"/>
    <xf numFmtId="0" fontId="92" fillId="0" borderId="0" applyFill="0" applyBorder="0" applyAlignment="0"/>
    <xf numFmtId="0" fontId="92" fillId="0" borderId="0" applyFill="0" applyBorder="0" applyAlignment="0"/>
    <xf numFmtId="0"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247" fontId="92" fillId="0" borderId="0" applyFill="0" applyBorder="0" applyAlignment="0"/>
    <xf numFmtId="171" fontId="17" fillId="0" borderId="0" applyFill="0" applyBorder="0" applyAlignment="0"/>
    <xf numFmtId="171" fontId="17" fillId="0" borderId="0" applyFill="0" applyBorder="0" applyAlignment="0"/>
    <xf numFmtId="171" fontId="17" fillId="0" borderId="0" applyFill="0" applyBorder="0" applyAlignment="0"/>
    <xf numFmtId="171" fontId="17" fillId="0" borderId="0" applyFill="0" applyBorder="0" applyAlignment="0"/>
    <xf numFmtId="171" fontId="17" fillId="0" borderId="0" applyFill="0" applyBorder="0" applyAlignment="0"/>
    <xf numFmtId="171" fontId="17" fillId="0" borderId="0" applyFill="0" applyBorder="0" applyAlignment="0"/>
    <xf numFmtId="171" fontId="17" fillId="0" borderId="0" applyFill="0" applyBorder="0" applyAlignment="0"/>
    <xf numFmtId="171" fontId="17" fillId="0" borderId="0" applyFill="0" applyBorder="0" applyAlignment="0"/>
    <xf numFmtId="171" fontId="17" fillId="0" borderId="0" applyFill="0" applyBorder="0" applyAlignment="0"/>
    <xf numFmtId="0" fontId="92" fillId="0" borderId="0" applyFill="0" applyBorder="0" applyAlignment="0"/>
    <xf numFmtId="247" fontId="92" fillId="0" borderId="0" applyFill="0" applyBorder="0" applyAlignment="0"/>
    <xf numFmtId="0" fontId="92" fillId="0" borderId="0" applyFill="0" applyBorder="0" applyAlignment="0"/>
    <xf numFmtId="0" fontId="92" fillId="0" borderId="0" applyFill="0" applyBorder="0" applyAlignment="0"/>
    <xf numFmtId="0" fontId="92" fillId="0" borderId="0" applyFill="0" applyBorder="0" applyAlignment="0"/>
    <xf numFmtId="0" fontId="92" fillId="0" borderId="0" applyFill="0" applyBorder="0" applyAlignment="0"/>
    <xf numFmtId="0" fontId="92" fillId="0" borderId="0" applyFill="0" applyBorder="0" applyAlignment="0"/>
    <xf numFmtId="0" fontId="92" fillId="0" borderId="0" applyFill="0" applyBorder="0" applyAlignment="0"/>
    <xf numFmtId="0" fontId="92" fillId="0" borderId="0" applyFill="0" applyBorder="0" applyAlignment="0"/>
    <xf numFmtId="0"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0" fontId="92" fillId="0" borderId="0" applyFill="0" applyBorder="0" applyAlignment="0"/>
    <xf numFmtId="247" fontId="92" fillId="0" borderId="0" applyFill="0" applyBorder="0" applyAlignment="0"/>
    <xf numFmtId="0" fontId="92" fillId="0" borderId="0" applyFill="0" applyBorder="0" applyAlignment="0"/>
    <xf numFmtId="0" fontId="92" fillId="0" borderId="0" applyFill="0" applyBorder="0" applyAlignment="0"/>
    <xf numFmtId="0" fontId="92" fillId="0" borderId="0" applyFill="0" applyBorder="0" applyAlignment="0"/>
    <xf numFmtId="0" fontId="92" fillId="0" borderId="0" applyFill="0" applyBorder="0" applyAlignment="0"/>
    <xf numFmtId="0" fontId="92" fillId="0" borderId="0" applyFill="0" applyBorder="0" applyAlignment="0"/>
    <xf numFmtId="0"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0"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0" fontId="92" fillId="0" borderId="0" applyFill="0" applyBorder="0" applyAlignment="0"/>
    <xf numFmtId="0" fontId="92" fillId="0" borderId="0" applyFill="0" applyBorder="0" applyAlignment="0"/>
    <xf numFmtId="0" fontId="92" fillId="0" borderId="0" applyFill="0" applyBorder="0" applyAlignment="0"/>
    <xf numFmtId="0" fontId="92" fillId="0" borderId="0" applyFill="0" applyBorder="0" applyAlignment="0"/>
    <xf numFmtId="0" fontId="92" fillId="0" borderId="0" applyFill="0" applyBorder="0" applyAlignment="0"/>
    <xf numFmtId="0"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171" fontId="17" fillId="0" borderId="0" applyFill="0" applyBorder="0" applyAlignment="0"/>
    <xf numFmtId="171" fontId="17" fillId="0" borderId="0" applyFill="0" applyBorder="0" applyAlignment="0"/>
    <xf numFmtId="171" fontId="17" fillId="0" borderId="0" applyFill="0" applyBorder="0" applyAlignment="0"/>
    <xf numFmtId="171" fontId="17" fillId="0" borderId="0" applyFill="0" applyBorder="0" applyAlignment="0"/>
    <xf numFmtId="171" fontId="17" fillId="0" borderId="0" applyFill="0" applyBorder="0" applyAlignment="0"/>
    <xf numFmtId="171" fontId="17" fillId="0" borderId="0" applyFill="0" applyBorder="0" applyAlignment="0"/>
    <xf numFmtId="171" fontId="17" fillId="0" borderId="0" applyFill="0" applyBorder="0" applyAlignment="0"/>
    <xf numFmtId="171" fontId="17" fillId="0" borderId="0" applyFill="0" applyBorder="0" applyAlignment="0"/>
    <xf numFmtId="171" fontId="17"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192"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192" fontId="92" fillId="0" borderId="0" applyFill="0" applyBorder="0" applyAlignment="0"/>
    <xf numFmtId="0" fontId="17" fillId="0" borderId="0"/>
    <xf numFmtId="266" fontId="92" fillId="0" borderId="0" applyFill="0" applyBorder="0" applyAlignment="0"/>
    <xf numFmtId="266" fontId="92" fillId="0" borderId="0" applyFill="0" applyBorder="0" applyAlignment="0"/>
    <xf numFmtId="247"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66" fontId="92" fillId="0" borderId="0" applyFill="0" applyBorder="0" applyAlignment="0"/>
    <xf numFmtId="0" fontId="92" fillId="0" borderId="0" applyFill="0" applyBorder="0" applyAlignment="0"/>
    <xf numFmtId="0" fontId="92" fillId="0" borderId="0" applyFill="0" applyBorder="0" applyAlignment="0"/>
    <xf numFmtId="0" fontId="92" fillId="0" borderId="0" applyFill="0" applyBorder="0" applyAlignment="0"/>
    <xf numFmtId="0" fontId="92" fillId="0" borderId="0" applyFill="0" applyBorder="0" applyAlignment="0"/>
    <xf numFmtId="0" fontId="92" fillId="0" borderId="0" applyFill="0" applyBorder="0" applyAlignment="0"/>
    <xf numFmtId="0" fontId="92" fillId="0" borderId="0" applyFill="0" applyBorder="0" applyAlignment="0"/>
    <xf numFmtId="0"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47" fontId="92" fillId="0" borderId="0" applyFill="0" applyBorder="0" applyAlignment="0"/>
    <xf numFmtId="267" fontId="17" fillId="0" borderId="0" applyFill="0" applyBorder="0" applyAlignment="0"/>
    <xf numFmtId="267" fontId="17" fillId="0" borderId="0" applyFill="0" applyBorder="0" applyAlignment="0"/>
    <xf numFmtId="267" fontId="17" fillId="0" borderId="0" applyFill="0" applyBorder="0" applyAlignment="0"/>
    <xf numFmtId="267" fontId="17" fillId="0" borderId="0" applyFill="0" applyBorder="0" applyAlignment="0"/>
    <xf numFmtId="267" fontId="17" fillId="0" borderId="0" applyFill="0" applyBorder="0" applyAlignment="0"/>
    <xf numFmtId="267" fontId="17" fillId="0" borderId="0" applyFill="0" applyBorder="0" applyAlignment="0"/>
    <xf numFmtId="267" fontId="17" fillId="0" borderId="0" applyFill="0" applyBorder="0" applyAlignment="0"/>
    <xf numFmtId="267" fontId="17" fillId="0" borderId="0" applyFill="0" applyBorder="0" applyAlignment="0"/>
    <xf numFmtId="267" fontId="17" fillId="0" borderId="0" applyFill="0" applyBorder="0" applyAlignment="0"/>
    <xf numFmtId="0" fontId="92" fillId="0" borderId="0" applyFill="0" applyBorder="0" applyAlignment="0"/>
    <xf numFmtId="247" fontId="92" fillId="0" borderId="0" applyFill="0" applyBorder="0" applyAlignment="0"/>
    <xf numFmtId="0" fontId="92" fillId="0" borderId="0" applyFill="0" applyBorder="0" applyAlignment="0"/>
    <xf numFmtId="0" fontId="92" fillId="0" borderId="0" applyFill="0" applyBorder="0" applyAlignment="0"/>
    <xf numFmtId="0" fontId="92" fillId="0" borderId="0" applyFill="0" applyBorder="0" applyAlignment="0"/>
    <xf numFmtId="0" fontId="92" fillId="0" borderId="0" applyFill="0" applyBorder="0" applyAlignment="0"/>
    <xf numFmtId="0" fontId="92" fillId="0" borderId="0" applyFill="0" applyBorder="0" applyAlignment="0"/>
    <xf numFmtId="0" fontId="92" fillId="0" borderId="0" applyFill="0" applyBorder="0" applyAlignment="0"/>
    <xf numFmtId="0" fontId="92" fillId="0" borderId="0" applyFill="0" applyBorder="0" applyAlignment="0"/>
    <xf numFmtId="0"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0" fontId="92" fillId="0" borderId="0" applyFill="0" applyBorder="0" applyAlignment="0"/>
    <xf numFmtId="247" fontId="92" fillId="0" borderId="0" applyFill="0" applyBorder="0" applyAlignment="0"/>
    <xf numFmtId="0" fontId="92" fillId="0" borderId="0" applyFill="0" applyBorder="0" applyAlignment="0"/>
    <xf numFmtId="0" fontId="92" fillId="0" borderId="0" applyFill="0" applyBorder="0" applyAlignment="0"/>
    <xf numFmtId="0" fontId="92" fillId="0" borderId="0" applyFill="0" applyBorder="0" applyAlignment="0"/>
    <xf numFmtId="0" fontId="92" fillId="0" borderId="0" applyFill="0" applyBorder="0" applyAlignment="0"/>
    <xf numFmtId="0" fontId="92" fillId="0" borderId="0" applyFill="0" applyBorder="0" applyAlignment="0"/>
    <xf numFmtId="0"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0"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0" fontId="92" fillId="0" borderId="0" applyFill="0" applyBorder="0" applyAlignment="0"/>
    <xf numFmtId="0" fontId="92" fillId="0" borderId="0" applyFill="0" applyBorder="0" applyAlignment="0"/>
    <xf numFmtId="0" fontId="92" fillId="0" borderId="0" applyFill="0" applyBorder="0" applyAlignment="0"/>
    <xf numFmtId="0" fontId="92" fillId="0" borderId="0" applyFill="0" applyBorder="0" applyAlignment="0"/>
    <xf numFmtId="0" fontId="92" fillId="0" borderId="0" applyFill="0" applyBorder="0" applyAlignment="0"/>
    <xf numFmtId="0"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67" fontId="17" fillId="0" borderId="0" applyFill="0" applyBorder="0" applyAlignment="0"/>
    <xf numFmtId="267" fontId="17" fillId="0" borderId="0" applyFill="0" applyBorder="0" applyAlignment="0"/>
    <xf numFmtId="267" fontId="17" fillId="0" borderId="0" applyFill="0" applyBorder="0" applyAlignment="0"/>
    <xf numFmtId="267" fontId="17" fillId="0" borderId="0" applyFill="0" applyBorder="0" applyAlignment="0"/>
    <xf numFmtId="267" fontId="17" fillId="0" borderId="0" applyFill="0" applyBorder="0" applyAlignment="0"/>
    <xf numFmtId="267" fontId="17" fillId="0" borderId="0" applyFill="0" applyBorder="0" applyAlignment="0"/>
    <xf numFmtId="267" fontId="17" fillId="0" borderId="0" applyFill="0" applyBorder="0" applyAlignment="0"/>
    <xf numFmtId="267" fontId="17" fillId="0" borderId="0" applyFill="0" applyBorder="0" applyAlignment="0"/>
    <xf numFmtId="267" fontId="17"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66"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47" fontId="92" fillId="0" borderId="0" applyFill="0" applyBorder="0" applyAlignment="0"/>
    <xf numFmtId="266" fontId="92" fillId="0" borderId="0" applyFill="0" applyBorder="0" applyAlignment="0"/>
    <xf numFmtId="0" fontId="17" fillId="0" borderId="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47"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47" fontId="17" fillId="0" borderId="0" applyFill="0" applyBorder="0" applyAlignment="0"/>
    <xf numFmtId="268" fontId="17" fillId="0" borderId="0" applyFill="0" applyBorder="0" applyAlignment="0"/>
    <xf numFmtId="268" fontId="17" fillId="0" borderId="0" applyFill="0" applyBorder="0" applyAlignment="0"/>
    <xf numFmtId="247"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0"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0"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0" fontId="17" fillId="0" borderId="0" applyFill="0" applyBorder="0" applyAlignment="0"/>
    <xf numFmtId="247" fontId="17" fillId="0" borderId="0" applyFill="0" applyBorder="0" applyAlignment="0"/>
    <xf numFmtId="268" fontId="17" fillId="0" borderId="0" applyFill="0" applyBorder="0" applyAlignment="0"/>
    <xf numFmtId="247"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0"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0"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0"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0"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47"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268" fontId="17" fillId="0" borderId="0" applyFill="0" applyBorder="0" applyAlignment="0"/>
    <xf numFmtId="0" fontId="17" fillId="0" borderId="0" applyFill="0" applyBorder="0" applyAlignment="0"/>
    <xf numFmtId="0" fontId="17" fillId="0" borderId="0" applyFill="0" applyBorder="0" applyAlignment="0"/>
    <xf numFmtId="268"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47" fontId="17" fillId="0" borderId="0" applyFill="0" applyBorder="0" applyAlignment="0"/>
    <xf numFmtId="268"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68"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0"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0"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68" fontId="17" fillId="0" borderId="0" applyFill="0" applyBorder="0" applyAlignment="0"/>
    <xf numFmtId="247" fontId="17" fillId="0" borderId="0" applyFill="0" applyBorder="0" applyAlignment="0"/>
    <xf numFmtId="268" fontId="17" fillId="0" borderId="0" applyFill="0" applyBorder="0" applyAlignment="0"/>
    <xf numFmtId="268" fontId="17" fillId="0" borderId="0" applyFill="0" applyBorder="0" applyAlignment="0"/>
    <xf numFmtId="247"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47"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47"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268" fontId="17" fillId="0" borderId="0" applyFill="0" applyBorder="0" applyAlignment="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93" fillId="43" borderId="28" applyNumberFormat="0" applyAlignment="0" applyProtection="0"/>
    <xf numFmtId="0" fontId="93" fillId="43" borderId="28" applyNumberFormat="0" applyAlignment="0" applyProtection="0"/>
    <xf numFmtId="0" fontId="17" fillId="0" borderId="0"/>
    <xf numFmtId="0" fontId="93" fillId="43" borderId="28" applyNumberFormat="0" applyAlignment="0" applyProtection="0"/>
    <xf numFmtId="0" fontId="93" fillId="43" borderId="28" applyNumberFormat="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269" fontId="17" fillId="0" borderId="0" applyNumberFormat="0" applyFont="0" applyBorder="0" applyAlignment="0">
      <protection locked="0"/>
    </xf>
    <xf numFmtId="270" fontId="26" fillId="0" borderId="0" applyFill="0" applyBorder="0" applyProtection="0"/>
    <xf numFmtId="270" fontId="26" fillId="0" borderId="0" applyFill="0" applyBorder="0" applyProtection="0"/>
    <xf numFmtId="270" fontId="17" fillId="0" borderId="0" applyFill="0" applyBorder="0" applyProtection="0"/>
    <xf numFmtId="270" fontId="26" fillId="0" borderId="0" applyFill="0" applyBorder="0" applyProtection="0"/>
    <xf numFmtId="270" fontId="26" fillId="0" borderId="0" applyFill="0" applyBorder="0" applyProtection="0"/>
    <xf numFmtId="270" fontId="26" fillId="0" borderId="0" applyFill="0" applyBorder="0" applyProtection="0"/>
    <xf numFmtId="0" fontId="17" fillId="0" borderId="0"/>
    <xf numFmtId="0" fontId="94" fillId="61" borderId="29"/>
    <xf numFmtId="0" fontId="94" fillId="61" borderId="29"/>
    <xf numFmtId="0" fontId="94" fillId="61" borderId="29"/>
    <xf numFmtId="0" fontId="94" fillId="61" borderId="29"/>
    <xf numFmtId="0" fontId="94" fillId="61" borderId="29"/>
    <xf numFmtId="0" fontId="94" fillId="61" borderId="29"/>
    <xf numFmtId="0" fontId="94" fillId="61" borderId="29"/>
    <xf numFmtId="0" fontId="94" fillId="61" borderId="29"/>
    <xf numFmtId="0" fontId="94" fillId="61" borderId="29"/>
    <xf numFmtId="0" fontId="94" fillId="61" borderId="29"/>
    <xf numFmtId="0" fontId="94" fillId="61" borderId="29"/>
    <xf numFmtId="0" fontId="94" fillId="61" borderId="29"/>
    <xf numFmtId="0" fontId="94" fillId="61" borderId="29"/>
    <xf numFmtId="0" fontId="94" fillId="61" borderId="29"/>
    <xf numFmtId="0" fontId="94" fillId="61" borderId="29"/>
    <xf numFmtId="0" fontId="94" fillId="61" borderId="29"/>
    <xf numFmtId="0" fontId="94" fillId="61" borderId="29"/>
    <xf numFmtId="0" fontId="94" fillId="61" borderId="29"/>
    <xf numFmtId="0" fontId="94" fillId="61" borderId="29"/>
    <xf numFmtId="0" fontId="94" fillId="61" borderId="29"/>
    <xf numFmtId="0" fontId="94" fillId="61" borderId="29"/>
    <xf numFmtId="0" fontId="94" fillId="61" borderId="29"/>
    <xf numFmtId="0" fontId="94" fillId="61" borderId="29"/>
    <xf numFmtId="0" fontId="94" fillId="61" borderId="29"/>
    <xf numFmtId="0" fontId="94" fillId="61" borderId="29"/>
    <xf numFmtId="0" fontId="94" fillId="61" borderId="29"/>
    <xf numFmtId="0" fontId="94" fillId="61" borderId="29"/>
    <xf numFmtId="0" fontId="94" fillId="61" borderId="29"/>
    <xf numFmtId="0" fontId="94" fillId="61" borderId="29"/>
    <xf numFmtId="0" fontId="94" fillId="61" borderId="29"/>
    <xf numFmtId="0" fontId="17" fillId="0" borderId="0"/>
    <xf numFmtId="0" fontId="17" fillId="0" borderId="0"/>
    <xf numFmtId="0" fontId="17" fillId="0" borderId="0"/>
    <xf numFmtId="0" fontId="17" fillId="0" borderId="0"/>
    <xf numFmtId="0" fontId="21" fillId="0" borderId="3" applyBorder="0">
      <alignment horizontal="centerContinuous"/>
    </xf>
    <xf numFmtId="0" fontId="21" fillId="0" borderId="3" applyBorder="0">
      <alignment horizontal="centerContinuous"/>
    </xf>
    <xf numFmtId="0" fontId="21" fillId="0" borderId="3" applyBorder="0">
      <alignment horizontal="centerContinuous"/>
    </xf>
    <xf numFmtId="0" fontId="17" fillId="0" borderId="0"/>
    <xf numFmtId="0" fontId="17" fillId="0" borderId="0"/>
    <xf numFmtId="0" fontId="17" fillId="0" borderId="0" applyFill="0" applyBorder="0" applyProtection="0">
      <alignment horizontal="center"/>
      <protection locked="0"/>
    </xf>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95" fillId="0" borderId="0" applyAlignment="0"/>
    <xf numFmtId="0" fontId="17" fillId="0" borderId="0"/>
    <xf numFmtId="0" fontId="17" fillId="0" borderId="0"/>
    <xf numFmtId="0" fontId="17" fillId="0" borderId="0" applyNumberFormat="0" applyFill="0" applyBorder="0" applyAlignment="0" applyProtection="0"/>
    <xf numFmtId="0" fontId="17" fillId="0" borderId="0"/>
    <xf numFmtId="0" fontId="17" fillId="0" borderId="0"/>
    <xf numFmtId="0" fontId="17" fillId="0" borderId="0"/>
    <xf numFmtId="0" fontId="17" fillId="0" borderId="0"/>
    <xf numFmtId="38" fontId="96" fillId="0" borderId="30"/>
    <xf numFmtId="38" fontId="17" fillId="0" borderId="0"/>
    <xf numFmtId="0" fontId="97" fillId="0" borderId="18">
      <alignment horizontal="center"/>
    </xf>
    <xf numFmtId="0" fontId="17" fillId="0" borderId="0">
      <alignment horizontal="center"/>
    </xf>
    <xf numFmtId="0" fontId="17" fillId="0" borderId="0"/>
    <xf numFmtId="0" fontId="81" fillId="0" borderId="31">
      <alignment horizontal="center"/>
    </xf>
    <xf numFmtId="0" fontId="17" fillId="0" borderId="0"/>
    <xf numFmtId="0" fontId="17" fillId="0" borderId="0" applyNumberFormat="0" applyFill="0" applyBorder="0" applyProtection="0">
      <alignment wrapText="1"/>
    </xf>
    <xf numFmtId="0" fontId="17" fillId="0" borderId="0"/>
    <xf numFmtId="0" fontId="17" fillId="0" borderId="0" applyNumberFormat="0" applyFill="0" applyBorder="0" applyProtection="0"/>
    <xf numFmtId="0" fontId="17" fillId="0" borderId="0"/>
    <xf numFmtId="0" fontId="98" fillId="0" borderId="0" applyNumberFormat="0" applyFill="0" applyBorder="0" applyProtection="0">
      <alignment horizontal="center" wrapText="1"/>
    </xf>
    <xf numFmtId="0" fontId="17" fillId="0" borderId="0" applyNumberFormat="0" applyFill="0" applyBorder="0" applyProtection="0">
      <alignment horizontal="center" wrapText="1"/>
    </xf>
    <xf numFmtId="0" fontId="98" fillId="0" borderId="0" applyNumberFormat="0" applyFill="0" applyBorder="0" applyProtection="0">
      <alignment horizontal="center" wrapText="1"/>
    </xf>
    <xf numFmtId="0" fontId="98" fillId="0" borderId="0" applyNumberFormat="0" applyFill="0" applyBorder="0" applyProtection="0">
      <alignment horizontal="center" wrapText="1"/>
    </xf>
    <xf numFmtId="0" fontId="98" fillId="0" borderId="0" applyNumberFormat="0" applyFill="0" applyBorder="0" applyProtection="0">
      <alignment horizontal="center" wrapText="1"/>
    </xf>
    <xf numFmtId="0" fontId="17" fillId="0" borderId="0"/>
    <xf numFmtId="0" fontId="17" fillId="0" borderId="0"/>
    <xf numFmtId="0" fontId="81" fillId="0" borderId="3" applyNumberFormat="0" applyFill="0" applyProtection="0">
      <alignment horizontal="right" wrapText="1"/>
    </xf>
    <xf numFmtId="0" fontId="17" fillId="0" borderId="0"/>
    <xf numFmtId="0" fontId="17" fillId="0" borderId="0"/>
    <xf numFmtId="0" fontId="81" fillId="0" borderId="3" applyNumberFormat="0" applyFill="0" applyProtection="0">
      <alignment horizontal="left" wrapText="1"/>
    </xf>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271" fontId="17" fillId="0" borderId="0" applyFont="0" applyFill="0" applyBorder="0" applyAlignment="0" applyProtection="0"/>
    <xf numFmtId="184" fontId="21" fillId="0" borderId="0"/>
    <xf numFmtId="184" fontId="21" fillId="0" borderId="0"/>
    <xf numFmtId="184" fontId="17" fillId="0" borderId="0"/>
    <xf numFmtId="184" fontId="21" fillId="0" borderId="0"/>
    <xf numFmtId="184" fontId="21" fillId="0" borderId="0"/>
    <xf numFmtId="184" fontId="21" fillId="0" borderId="0"/>
    <xf numFmtId="0" fontId="17" fillId="0" borderId="0"/>
    <xf numFmtId="0" fontId="17" fillId="0" borderId="0"/>
    <xf numFmtId="41" fontId="17" fillId="0" borderId="0" applyFont="0" applyFill="0" applyBorder="0" applyAlignment="0" applyProtection="0"/>
    <xf numFmtId="272" fontId="99" fillId="0" borderId="0" applyFont="0" applyFill="0" applyBorder="0" applyAlignment="0" applyProtection="0"/>
    <xf numFmtId="272" fontId="17" fillId="0" borderId="0" applyFont="0" applyFill="0" applyBorder="0" applyAlignment="0" applyProtection="0"/>
    <xf numFmtId="273" fontId="17" fillId="0" borderId="0" applyFont="0" applyFill="0" applyBorder="0" applyAlignment="0" applyProtection="0">
      <alignment vertical="center"/>
    </xf>
    <xf numFmtId="244" fontId="17" fillId="0" borderId="0" applyFont="0" applyFill="0" applyBorder="0" applyAlignment="0" applyProtection="0">
      <alignment vertical="center"/>
    </xf>
    <xf numFmtId="0" fontId="17" fillId="0" borderId="0"/>
    <xf numFmtId="0" fontId="17" fillId="0" borderId="0"/>
    <xf numFmtId="38" fontId="17" fillId="0" borderId="0">
      <alignment horizontal="center"/>
      <protection locked="0"/>
    </xf>
    <xf numFmtId="0" fontId="17" fillId="0" borderId="0"/>
    <xf numFmtId="40" fontId="17" fillId="0" borderId="0" applyFont="0" applyFill="0" applyBorder="0" applyAlignment="0" applyProtection="0">
      <alignment horizontal="center"/>
    </xf>
    <xf numFmtId="0" fontId="17" fillId="0" borderId="0"/>
    <xf numFmtId="274" fontId="17" fillId="0" borderId="0" applyFont="0" applyFill="0" applyBorder="0" applyAlignment="0" applyProtection="0">
      <alignment horizontal="center"/>
    </xf>
    <xf numFmtId="0" fontId="17" fillId="0" borderId="0"/>
    <xf numFmtId="0" fontId="17" fillId="0" borderId="0"/>
    <xf numFmtId="0" fontId="17" fillId="0" borderId="0"/>
    <xf numFmtId="275" fontId="17" fillId="0" borderId="0" applyFont="0" applyFill="0" applyBorder="0" applyAlignment="0" applyProtection="0"/>
    <xf numFmtId="276" fontId="24" fillId="0" borderId="0" applyFont="0" applyFill="0" applyBorder="0" applyAlignment="0" applyProtection="0"/>
    <xf numFmtId="276" fontId="17" fillId="0" borderId="0" applyFont="0" applyFill="0" applyBorder="0" applyAlignment="0" applyProtection="0"/>
    <xf numFmtId="277" fontId="24" fillId="0" borderId="0" applyFont="0" applyFill="0" applyBorder="0" applyAlignment="0" applyProtection="0"/>
    <xf numFmtId="277" fontId="17" fillId="0" borderId="0" applyFont="0" applyFill="0" applyBorder="0" applyAlignment="0" applyProtection="0"/>
    <xf numFmtId="278" fontId="21" fillId="0" borderId="0" applyFont="0" applyFill="0" applyBorder="0" applyAlignment="0" applyProtection="0"/>
    <xf numFmtId="278" fontId="17" fillId="0" borderId="0" applyFont="0" applyFill="0" applyBorder="0" applyAlignment="0" applyProtection="0"/>
    <xf numFmtId="279" fontId="24" fillId="0" borderId="0" applyFont="0" applyFill="0" applyBorder="0" applyAlignment="0" applyProtection="0"/>
    <xf numFmtId="279" fontId="17" fillId="0" borderId="0" applyFont="0" applyFill="0" applyBorder="0" applyAlignment="0" applyProtection="0"/>
    <xf numFmtId="280" fontId="24" fillId="0" borderId="0" applyFont="0" applyFill="0" applyBorder="0" applyAlignment="0" applyProtection="0"/>
    <xf numFmtId="185" fontId="21" fillId="0" borderId="0" applyFont="0" applyFill="0" applyBorder="0" applyAlignment="0" applyProtection="0"/>
    <xf numFmtId="185" fontId="17" fillId="0" borderId="0" applyFont="0" applyFill="0" applyBorder="0" applyAlignment="0" applyProtection="0"/>
    <xf numFmtId="281" fontId="24" fillId="0" borderId="0" applyFont="0" applyFill="0" applyBorder="0" applyAlignment="0" applyProtection="0"/>
    <xf numFmtId="281" fontId="17" fillId="0" borderId="0" applyFont="0" applyFill="0" applyBorder="0" applyAlignment="0" applyProtection="0"/>
    <xf numFmtId="282" fontId="24" fillId="0" borderId="0" applyFont="0" applyFill="0" applyBorder="0" applyAlignment="0" applyProtection="0"/>
    <xf numFmtId="0" fontId="17" fillId="0" borderId="0"/>
    <xf numFmtId="0" fontId="17" fillId="0" borderId="0"/>
    <xf numFmtId="0" fontId="17" fillId="0" borderId="0"/>
    <xf numFmtId="0" fontId="17" fillId="0" borderId="0"/>
    <xf numFmtId="43" fontId="100" fillId="0" borderId="0" applyFont="0" applyFill="0" applyBorder="0" applyAlignment="0" applyProtection="0"/>
    <xf numFmtId="43" fontId="17" fillId="0" borderId="0" applyFont="0" applyFill="0" applyBorder="0" applyAlignment="0" applyProtection="0"/>
    <xf numFmtId="0" fontId="17" fillId="0" borderId="0"/>
    <xf numFmtId="43" fontId="17" fillId="0" borderId="0" applyFont="0" applyFill="0" applyBorder="0" applyAlignment="0" applyProtection="0"/>
    <xf numFmtId="0" fontId="17" fillId="0" borderId="0"/>
    <xf numFmtId="43" fontId="17" fillId="0" borderId="0" applyFont="0" applyFill="0" applyBorder="0" applyAlignment="0" applyProtection="0"/>
    <xf numFmtId="43" fontId="12" fillId="0" borderId="0" applyFont="0" applyFill="0" applyBorder="0" applyAlignment="0" applyProtection="0"/>
    <xf numFmtId="0" fontId="17" fillId="0" borderId="0"/>
    <xf numFmtId="43" fontId="17" fillId="0" borderId="0" applyFont="0" applyFill="0" applyBorder="0" applyAlignment="0" applyProtection="0"/>
    <xf numFmtId="0" fontId="17" fillId="0" borderId="0"/>
    <xf numFmtId="43" fontId="17" fillId="0" borderId="0" applyFont="0" applyFill="0" applyBorder="0" applyAlignment="0" applyProtection="0"/>
    <xf numFmtId="43" fontId="17" fillId="0" borderId="0" applyFont="0" applyFill="0" applyBorder="0" applyAlignment="0" applyProtection="0"/>
    <xf numFmtId="0" fontId="17" fillId="0" borderId="0"/>
    <xf numFmtId="283" fontId="17" fillId="0" borderId="0" applyFont="0" applyFill="0" applyBorder="0" applyAlignment="0" applyProtection="0"/>
    <xf numFmtId="43" fontId="21" fillId="0" borderId="0" applyFont="0" applyFill="0" applyBorder="0" applyAlignment="0" applyProtection="0"/>
    <xf numFmtId="43" fontId="12" fillId="0" borderId="0" applyFont="0" applyFill="0" applyBorder="0" applyAlignment="0" applyProtection="0"/>
    <xf numFmtId="0" fontId="17" fillId="0" borderId="0"/>
    <xf numFmtId="43" fontId="17" fillId="0" borderId="0" applyFont="0" applyFill="0" applyBorder="0" applyAlignment="0" applyProtection="0"/>
    <xf numFmtId="43" fontId="17" fillId="0" borderId="0" applyFont="0" applyFill="0" applyBorder="0" applyAlignment="0" applyProtection="0"/>
    <xf numFmtId="43" fontId="17" fillId="0" borderId="0" applyFont="0" applyFill="0" applyBorder="0" applyAlignment="0" applyProtection="0"/>
    <xf numFmtId="43" fontId="17" fillId="0" borderId="0" applyFont="0" applyFill="0" applyBorder="0" applyAlignment="0" applyProtection="0"/>
    <xf numFmtId="43" fontId="17" fillId="0" borderId="0" applyFont="0" applyFill="0" applyBorder="0" applyAlignment="0" applyProtection="0"/>
    <xf numFmtId="0" fontId="17" fillId="0" borderId="0"/>
    <xf numFmtId="0" fontId="17" fillId="0" borderId="0"/>
    <xf numFmtId="43" fontId="101" fillId="0" borderId="0" applyFont="0" applyFill="0" applyBorder="0" applyAlignment="0" applyProtection="0"/>
    <xf numFmtId="0" fontId="17" fillId="0" borderId="0"/>
    <xf numFmtId="43" fontId="17" fillId="0" borderId="0" applyFont="0" applyFill="0" applyBorder="0" applyAlignment="0" applyProtection="0"/>
    <xf numFmtId="0" fontId="17" fillId="0" borderId="0"/>
    <xf numFmtId="43" fontId="12" fillId="0" borderId="0" applyFont="0" applyFill="0" applyBorder="0" applyAlignment="0" applyProtection="0"/>
    <xf numFmtId="43" fontId="17" fillId="0" borderId="0" applyFont="0" applyFill="0" applyBorder="0" applyAlignment="0" applyProtection="0"/>
    <xf numFmtId="0" fontId="17" fillId="0" borderId="0"/>
    <xf numFmtId="43" fontId="12" fillId="0" borderId="0" applyFont="0" applyFill="0" applyBorder="0" applyAlignment="0" applyProtection="0"/>
    <xf numFmtId="43" fontId="12" fillId="0" borderId="0" applyFont="0" applyFill="0" applyBorder="0" applyAlignment="0" applyProtection="0"/>
    <xf numFmtId="0" fontId="17" fillId="0" borderId="0"/>
    <xf numFmtId="0" fontId="17" fillId="0" borderId="0"/>
    <xf numFmtId="0" fontId="17" fillId="0" borderId="0"/>
    <xf numFmtId="37" fontId="26" fillId="0" borderId="0" applyFill="0" applyBorder="0" applyAlignment="0" applyProtection="0"/>
    <xf numFmtId="37" fontId="17" fillId="0" borderId="0" applyFill="0" applyBorder="0" applyAlignment="0" applyProtection="0"/>
    <xf numFmtId="37" fontId="26" fillId="0" borderId="0" applyFill="0" applyBorder="0" applyAlignment="0" applyProtection="0"/>
    <xf numFmtId="37" fontId="26" fillId="0" borderId="0" applyFill="0" applyBorder="0" applyAlignment="0" applyProtection="0"/>
    <xf numFmtId="37" fontId="26" fillId="0" borderId="0" applyFill="0" applyBorder="0" applyAlignment="0" applyProtection="0"/>
    <xf numFmtId="0" fontId="17" fillId="0" borderId="0"/>
    <xf numFmtId="0" fontId="17" fillId="0" borderId="0"/>
    <xf numFmtId="0" fontId="17" fillId="0" borderId="0"/>
    <xf numFmtId="0" fontId="102" fillId="0" borderId="0"/>
    <xf numFmtId="0" fontId="17" fillId="0" borderId="0"/>
    <xf numFmtId="0" fontId="17" fillId="0" borderId="0"/>
    <xf numFmtId="0" fontId="17" fillId="0" borderId="0"/>
    <xf numFmtId="0" fontId="17" fillId="0" borderId="0"/>
    <xf numFmtId="0" fontId="17" fillId="0" borderId="0"/>
    <xf numFmtId="0" fontId="17" fillId="0" borderId="0"/>
    <xf numFmtId="38" fontId="17" fillId="0" borderId="0" applyFont="0" applyFill="0" applyBorder="0" applyAlignment="0" applyProtection="0"/>
    <xf numFmtId="0" fontId="17" fillId="0" borderId="0"/>
    <xf numFmtId="192" fontId="103" fillId="0" borderId="0" applyFont="0" applyFill="0" applyBorder="0" applyAlignment="0" applyProtection="0"/>
    <xf numFmtId="0" fontId="102" fillId="0" borderId="0"/>
    <xf numFmtId="0" fontId="17" fillId="0" borderId="0"/>
    <xf numFmtId="0" fontId="92" fillId="0" borderId="0"/>
    <xf numFmtId="0" fontId="17" fillId="0" borderId="0"/>
    <xf numFmtId="192" fontId="17" fillId="0" borderId="0" applyFont="0" applyFill="0" applyBorder="0" applyAlignment="0" applyProtection="0"/>
    <xf numFmtId="39" fontId="103" fillId="0" borderId="0" applyFont="0" applyFill="0" applyBorder="0" applyAlignment="0" applyProtection="0"/>
    <xf numFmtId="39" fontId="17" fillId="0" borderId="0" applyFont="0" applyFill="0" applyBorder="0" applyAlignment="0" applyProtection="0"/>
    <xf numFmtId="0" fontId="17" fillId="0" borderId="0"/>
    <xf numFmtId="0" fontId="104" fillId="62" borderId="0">
      <alignment horizontal="center" vertical="center" wrapText="1"/>
    </xf>
    <xf numFmtId="0" fontId="17" fillId="0" borderId="0">
      <alignment horizontal="center" vertical="center" wrapText="1"/>
    </xf>
    <xf numFmtId="0" fontId="17" fillId="0" borderId="0"/>
    <xf numFmtId="0" fontId="17" fillId="0" borderId="0" applyFill="0" applyBorder="0" applyAlignment="0" applyProtection="0">
      <protection locked="0"/>
    </xf>
    <xf numFmtId="0" fontId="104" fillId="62" borderId="0">
      <alignment horizontal="center" vertical="center" wrapText="1"/>
    </xf>
    <xf numFmtId="0" fontId="17" fillId="0" borderId="0"/>
    <xf numFmtId="284" fontId="17" fillId="0" borderId="0" applyFill="0" applyBorder="0">
      <alignment horizontal="left"/>
    </xf>
    <xf numFmtId="0" fontId="17" fillId="0" borderId="0"/>
    <xf numFmtId="0" fontId="17" fillId="0" borderId="0"/>
    <xf numFmtId="0" fontId="17" fillId="0" borderId="0" applyNumberFormat="0" applyAlignment="0">
      <alignment horizontal="left"/>
    </xf>
    <xf numFmtId="0" fontId="17" fillId="0" borderId="0"/>
    <xf numFmtId="0" fontId="17" fillId="0" borderId="0"/>
    <xf numFmtId="285" fontId="24" fillId="0" borderId="0" applyFill="0" applyBorder="0" applyProtection="0"/>
    <xf numFmtId="285" fontId="17" fillId="0" borderId="0" applyFill="0" applyBorder="0" applyProtection="0"/>
    <xf numFmtId="286" fontId="24" fillId="0" borderId="0" applyFont="0" applyFill="0" applyBorder="0" applyAlignment="0" applyProtection="0"/>
    <xf numFmtId="286" fontId="17" fillId="0" borderId="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287" fontId="17" fillId="0" borderId="0" applyFill="0" applyBorder="0">
      <alignment horizontal="right"/>
      <protection locked="0"/>
    </xf>
    <xf numFmtId="0" fontId="102" fillId="0" borderId="0"/>
    <xf numFmtId="0" fontId="17" fillId="0" borderId="0"/>
    <xf numFmtId="0" fontId="17" fillId="0" borderId="0"/>
    <xf numFmtId="288" fontId="24" fillId="0" borderId="0" applyFont="0" applyFill="0" applyBorder="0" applyAlignment="0" applyProtection="0"/>
    <xf numFmtId="288" fontId="17" fillId="0" borderId="0" applyFont="0" applyFill="0" applyBorder="0" applyAlignment="0" applyProtection="0"/>
    <xf numFmtId="0" fontId="17" fillId="0" borderId="0"/>
    <xf numFmtId="0" fontId="17" fillId="0" borderId="0"/>
    <xf numFmtId="0" fontId="105" fillId="0" borderId="29"/>
    <xf numFmtId="0" fontId="105" fillId="0" borderId="29"/>
    <xf numFmtId="0" fontId="105" fillId="0" borderId="29"/>
    <xf numFmtId="0" fontId="105" fillId="0" borderId="29"/>
    <xf numFmtId="0" fontId="105" fillId="0" borderId="29"/>
    <xf numFmtId="0" fontId="105" fillId="0" borderId="29"/>
    <xf numFmtId="0" fontId="105" fillId="0" borderId="29"/>
    <xf numFmtId="0" fontId="105" fillId="0" borderId="29"/>
    <xf numFmtId="0" fontId="105" fillId="0" borderId="29"/>
    <xf numFmtId="0" fontId="105" fillId="0" borderId="29"/>
    <xf numFmtId="0" fontId="105" fillId="0" borderId="29"/>
    <xf numFmtId="0" fontId="105" fillId="0" borderId="29"/>
    <xf numFmtId="0" fontId="105" fillId="0" borderId="29"/>
    <xf numFmtId="0" fontId="105" fillId="0" borderId="29"/>
    <xf numFmtId="0" fontId="105" fillId="0" borderId="29"/>
    <xf numFmtId="0" fontId="105" fillId="0" borderId="29"/>
    <xf numFmtId="0" fontId="105" fillId="0" borderId="29"/>
    <xf numFmtId="0" fontId="105" fillId="0" borderId="29"/>
    <xf numFmtId="0" fontId="105" fillId="0" borderId="29"/>
    <xf numFmtId="0" fontId="105" fillId="0" borderId="29"/>
    <xf numFmtId="0" fontId="105" fillId="0" borderId="29"/>
    <xf numFmtId="0" fontId="105" fillId="0" borderId="29"/>
    <xf numFmtId="0" fontId="105" fillId="0" borderId="29"/>
    <xf numFmtId="0" fontId="105" fillId="0" borderId="29"/>
    <xf numFmtId="0" fontId="105" fillId="0" borderId="29"/>
    <xf numFmtId="0" fontId="105" fillId="0" borderId="29"/>
    <xf numFmtId="0" fontId="105" fillId="0" borderId="29"/>
    <xf numFmtId="0" fontId="105" fillId="0" borderId="29"/>
    <xf numFmtId="0" fontId="105" fillId="0" borderId="29"/>
    <xf numFmtId="0" fontId="105" fillId="0" borderId="29"/>
    <xf numFmtId="42" fontId="70" fillId="0" borderId="0" applyFont="0" applyFill="0" applyBorder="0" applyAlignment="0" applyProtection="0"/>
    <xf numFmtId="42" fontId="17" fillId="0" borderId="0" applyFont="0" applyFill="0" applyBorder="0" applyAlignment="0" applyProtection="0"/>
    <xf numFmtId="0" fontId="17" fillId="0" borderId="0"/>
    <xf numFmtId="0" fontId="17" fillId="0" borderId="0"/>
    <xf numFmtId="289" fontId="47" fillId="0" borderId="0" applyFont="0" applyFill="0" applyBorder="0" applyAlignment="0"/>
    <xf numFmtId="289" fontId="17" fillId="0" borderId="0" applyFont="0" applyFill="0" applyBorder="0" applyAlignment="0"/>
    <xf numFmtId="289" fontId="47" fillId="0" borderId="0" applyFont="0" applyFill="0" applyBorder="0" applyAlignment="0"/>
    <xf numFmtId="289" fontId="47" fillId="0" borderId="0" applyFont="0" applyFill="0" applyBorder="0" applyAlignment="0"/>
    <xf numFmtId="289" fontId="47" fillId="0" borderId="0" applyFont="0" applyFill="0" applyBorder="0" applyAlignment="0"/>
    <xf numFmtId="0" fontId="17" fillId="0" borderId="0"/>
    <xf numFmtId="0" fontId="17" fillId="0" borderId="0"/>
    <xf numFmtId="177" fontId="17" fillId="0" borderId="0" applyFont="0" applyFill="0" applyBorder="0" applyAlignment="0" applyProtection="0"/>
    <xf numFmtId="0" fontId="17" fillId="0" borderId="0"/>
    <xf numFmtId="0" fontId="17" fillId="0" borderId="0"/>
    <xf numFmtId="290" fontId="17" fillId="0" borderId="0" applyFont="0" applyFill="0" applyBorder="0" applyAlignment="0" applyProtection="0">
      <alignment horizontal="right"/>
    </xf>
    <xf numFmtId="291" fontId="17" fillId="0" borderId="0" applyFont="0" applyFill="0" applyBorder="0" applyAlignment="0" applyProtection="0"/>
    <xf numFmtId="292" fontId="24" fillId="0" borderId="0" applyFont="0" applyFill="0" applyBorder="0" applyAlignment="0" applyProtection="0"/>
    <xf numFmtId="292" fontId="17" fillId="0" borderId="0" applyFont="0" applyFill="0" applyBorder="0" applyAlignment="0" applyProtection="0"/>
    <xf numFmtId="293" fontId="17" fillId="0" borderId="0" applyFont="0" applyFill="0" applyBorder="0" applyAlignment="0" applyProtection="0"/>
    <xf numFmtId="294" fontId="24" fillId="0" borderId="0" applyFont="0" applyFill="0" applyBorder="0" applyAlignment="0" applyProtection="0"/>
    <xf numFmtId="294" fontId="17" fillId="0" borderId="0" applyFont="0" applyFill="0" applyBorder="0" applyAlignment="0" applyProtection="0"/>
    <xf numFmtId="295" fontId="17" fillId="0" borderId="0" applyFont="0" applyFill="0" applyBorder="0" applyAlignment="0" applyProtection="0"/>
    <xf numFmtId="296" fontId="24" fillId="0" borderId="0" applyFont="0" applyFill="0" applyBorder="0" applyAlignment="0" applyProtection="0"/>
    <xf numFmtId="296" fontId="17" fillId="0" borderId="0" applyFont="0" applyFill="0" applyBorder="0" applyAlignment="0" applyProtection="0"/>
    <xf numFmtId="0" fontId="17" fillId="0" borderId="0"/>
    <xf numFmtId="44" fontId="17" fillId="0" borderId="0" applyFont="0" applyFill="0" applyBorder="0" applyAlignment="0" applyProtection="0"/>
    <xf numFmtId="44" fontId="12" fillId="0" borderId="0" applyFont="0" applyFill="0" applyBorder="0" applyAlignment="0" applyProtection="0"/>
    <xf numFmtId="44" fontId="12" fillId="0" borderId="0" applyFont="0" applyFill="0" applyBorder="0" applyAlignment="0" applyProtection="0"/>
    <xf numFmtId="0" fontId="17" fillId="0" borderId="0"/>
    <xf numFmtId="44" fontId="17" fillId="0" borderId="0" applyFont="0" applyFill="0" applyBorder="0" applyAlignment="0" applyProtection="0"/>
    <xf numFmtId="0" fontId="17" fillId="0" borderId="0"/>
    <xf numFmtId="44" fontId="17" fillId="0" borderId="0" applyFont="0" applyFill="0" applyBorder="0" applyAlignment="0" applyProtection="0"/>
    <xf numFmtId="44" fontId="17" fillId="0" borderId="0" applyFont="0" applyFill="0" applyBorder="0" applyAlignment="0" applyProtection="0"/>
    <xf numFmtId="44" fontId="17" fillId="0" borderId="0" applyFont="0" applyFill="0" applyBorder="0" applyAlignment="0" applyProtection="0"/>
    <xf numFmtId="44" fontId="17" fillId="0" borderId="0" applyFont="0" applyFill="0" applyBorder="0" applyAlignment="0" applyProtection="0"/>
    <xf numFmtId="0" fontId="17" fillId="0" borderId="0"/>
    <xf numFmtId="44" fontId="72" fillId="0" borderId="0" applyFont="0" applyFill="0" applyBorder="0" applyAlignment="0" applyProtection="0"/>
    <xf numFmtId="0" fontId="17" fillId="0" borderId="0"/>
    <xf numFmtId="8" fontId="23" fillId="0" borderId="0" applyFont="0" applyFill="0" applyBorder="0" applyAlignment="0" applyProtection="0"/>
    <xf numFmtId="0" fontId="17" fillId="0" borderId="0"/>
    <xf numFmtId="183" fontId="17" fillId="0" borderId="0" applyFont="0" applyFill="0" applyBorder="0" applyAlignment="0" applyProtection="0"/>
    <xf numFmtId="0" fontId="17" fillId="0" borderId="0"/>
    <xf numFmtId="44" fontId="106" fillId="0" borderId="0" applyFont="0" applyFill="0" applyBorder="0" applyAlignment="0" applyProtection="0">
      <alignment vertical="top"/>
    </xf>
    <xf numFmtId="44" fontId="12" fillId="0" borderId="0" applyFont="0" applyFill="0" applyBorder="0" applyAlignment="0" applyProtection="0"/>
    <xf numFmtId="44" fontId="12" fillId="0" borderId="0" applyFont="0" applyFill="0" applyBorder="0" applyAlignment="0" applyProtection="0"/>
    <xf numFmtId="0" fontId="17" fillId="0" borderId="0"/>
    <xf numFmtId="44" fontId="12" fillId="0" borderId="0" applyFont="0" applyFill="0" applyBorder="0" applyAlignment="0" applyProtection="0"/>
    <xf numFmtId="0" fontId="17" fillId="0" borderId="0"/>
    <xf numFmtId="8" fontId="17" fillId="0" borderId="0">
      <alignment horizontal="right"/>
    </xf>
    <xf numFmtId="0" fontId="17" fillId="0" borderId="0"/>
    <xf numFmtId="0" fontId="17" fillId="0" borderId="0"/>
    <xf numFmtId="6" fontId="17" fillId="0" borderId="0" applyFont="0" applyFill="0" applyBorder="0" applyAlignment="0" applyProtection="0"/>
    <xf numFmtId="0" fontId="17" fillId="0" borderId="0"/>
    <xf numFmtId="0" fontId="17" fillId="0" borderId="0"/>
    <xf numFmtId="0" fontId="17" fillId="0" borderId="0"/>
    <xf numFmtId="274" fontId="21" fillId="29" borderId="0" applyFont="0" applyBorder="0"/>
    <xf numFmtId="0" fontId="17" fillId="0" borderId="0"/>
    <xf numFmtId="14" fontId="17" fillId="0" borderId="0" applyFont="0" applyFill="0" applyBorder="0" applyAlignment="0" applyProtection="0">
      <alignment horizontal="center"/>
    </xf>
    <xf numFmtId="0" fontId="17" fillId="0" borderId="0"/>
    <xf numFmtId="192" fontId="107" fillId="0" borderId="0"/>
    <xf numFmtId="0" fontId="17" fillId="0" borderId="0"/>
    <xf numFmtId="192" fontId="17" fillId="0" borderId="0" applyNumberFormat="0" applyAlignment="0">
      <alignment horizontal="left"/>
      <protection locked="0"/>
    </xf>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15" fontId="81" fillId="0" borderId="0" applyFill="0" applyBorder="0" applyAlignment="0"/>
    <xf numFmtId="297" fontId="81" fillId="36" borderId="0" applyFont="0" applyFill="0" applyBorder="0" applyAlignment="0" applyProtection="0"/>
    <xf numFmtId="298" fontId="15" fillId="36" borderId="32" applyFont="0" applyFill="0" applyBorder="0" applyAlignment="0" applyProtection="0"/>
    <xf numFmtId="298" fontId="15" fillId="36" borderId="32" applyFont="0" applyFill="0" applyBorder="0" applyAlignment="0" applyProtection="0"/>
    <xf numFmtId="297" fontId="47" fillId="36" borderId="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299" fontId="17" fillId="0" borderId="0" applyFont="0" applyFill="0" applyBorder="0" applyAlignment="0" applyProtection="0">
      <alignment horizontal="center"/>
    </xf>
    <xf numFmtId="300" fontId="24" fillId="0" borderId="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17" fontId="17" fillId="0" borderId="0" applyFont="0" applyFill="0" applyBorder="0" applyAlignment="0" applyProtection="0">
      <alignment horizontal="center"/>
    </xf>
    <xf numFmtId="0" fontId="17" fillId="0" borderId="0"/>
    <xf numFmtId="0" fontId="17" fillId="0" borderId="0"/>
    <xf numFmtId="0" fontId="17" fillId="0" borderId="0"/>
    <xf numFmtId="301" fontId="87" fillId="0" borderId="0" applyFont="0" applyFill="0" applyBorder="0" applyAlignment="0" applyProtection="0">
      <alignment horizontal="center"/>
    </xf>
    <xf numFmtId="302" fontId="87" fillId="0" borderId="33" applyFont="0" applyFill="0" applyBorder="0" applyAlignment="0" applyProtection="0">
      <alignment horizontal="center"/>
    </xf>
    <xf numFmtId="302" fontId="87" fillId="0" borderId="33" applyFont="0" applyFill="0" applyBorder="0" applyAlignment="0" applyProtection="0">
      <alignment horizontal="center"/>
    </xf>
    <xf numFmtId="302" fontId="87" fillId="0" borderId="33" applyFont="0" applyFill="0" applyBorder="0" applyAlignment="0" applyProtection="0">
      <alignment horizontal="center"/>
    </xf>
    <xf numFmtId="302" fontId="87" fillId="0" borderId="33" applyFont="0" applyFill="0" applyBorder="0" applyAlignment="0" applyProtection="0">
      <alignment horizontal="center"/>
    </xf>
    <xf numFmtId="302" fontId="87" fillId="0" borderId="33" applyFont="0" applyFill="0" applyBorder="0" applyAlignment="0" applyProtection="0">
      <alignment horizontal="center"/>
    </xf>
    <xf numFmtId="302" fontId="87" fillId="0" borderId="33" applyFont="0" applyFill="0" applyBorder="0" applyAlignment="0" applyProtection="0">
      <alignment horizontal="center"/>
    </xf>
    <xf numFmtId="186" fontId="47" fillId="0" borderId="33" applyFont="0" applyFill="0" applyBorder="0" applyAlignment="0" applyProtection="0">
      <alignment horizontal="center"/>
    </xf>
    <xf numFmtId="186" fontId="47" fillId="0" borderId="33" applyFont="0" applyFill="0" applyBorder="0" applyAlignment="0" applyProtection="0">
      <alignment horizontal="center"/>
    </xf>
    <xf numFmtId="186" fontId="47" fillId="0" borderId="33" applyFont="0" applyFill="0" applyBorder="0" applyAlignment="0" applyProtection="0">
      <alignment horizontal="center"/>
    </xf>
    <xf numFmtId="186" fontId="47" fillId="0" borderId="33" applyFont="0" applyFill="0" applyBorder="0" applyAlignment="0" applyProtection="0">
      <alignment horizontal="center"/>
    </xf>
    <xf numFmtId="186" fontId="47" fillId="0" borderId="33" applyFont="0" applyFill="0" applyBorder="0" applyAlignment="0" applyProtection="0">
      <alignment horizontal="center"/>
    </xf>
    <xf numFmtId="186" fontId="47" fillId="0" borderId="33" applyFont="0" applyFill="0" applyBorder="0" applyAlignment="0" applyProtection="0">
      <alignment horizontal="center"/>
    </xf>
    <xf numFmtId="14" fontId="108" fillId="0" borderId="0" applyFont="0" applyFill="0" applyBorder="0"/>
    <xf numFmtId="15" fontId="65" fillId="0" borderId="0" applyFont="0" applyFill="0" applyBorder="0" applyAlignment="0" applyProtection="0">
      <alignment horizontal="center"/>
    </xf>
    <xf numFmtId="270" fontId="17" fillId="0" borderId="0" applyFont="0" applyFill="0" applyBorder="0" applyAlignment="0" applyProtection="0">
      <alignment horizontal="center"/>
    </xf>
    <xf numFmtId="270" fontId="109" fillId="0" borderId="0" applyFont="0" applyFill="0" applyBorder="0" applyAlignment="0" applyProtection="0">
      <alignment horizontal="center"/>
    </xf>
    <xf numFmtId="0" fontId="29" fillId="0" borderId="0"/>
    <xf numFmtId="0" fontId="110" fillId="0" borderId="0">
      <protection locked="0"/>
    </xf>
    <xf numFmtId="0" fontId="111" fillId="0" borderId="0">
      <protection locked="0"/>
    </xf>
    <xf numFmtId="0" fontId="111" fillId="0" borderId="0">
      <protection locked="0"/>
    </xf>
    <xf numFmtId="0" fontId="17" fillId="0" borderId="0"/>
    <xf numFmtId="186" fontId="17" fillId="0" borderId="0" applyFont="0" applyFill="0" applyBorder="0" applyAlignment="0" applyProtection="0"/>
    <xf numFmtId="4" fontId="92" fillId="0" borderId="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7" fontId="47" fillId="0" borderId="0"/>
    <xf numFmtId="4" fontId="43" fillId="0" borderId="0" applyFont="0" applyFill="0" applyBorder="0" applyAlignment="0" applyProtection="0"/>
    <xf numFmtId="7" fontId="47" fillId="0" borderId="0"/>
    <xf numFmtId="0" fontId="17" fillId="0" borderId="0"/>
    <xf numFmtId="6" fontId="26" fillId="0" borderId="0" applyFont="0" applyFill="0" applyBorder="0" applyAlignment="0" applyProtection="0"/>
    <xf numFmtId="0" fontId="17" fillId="0" borderId="0"/>
    <xf numFmtId="0" fontId="17" fillId="0" borderId="0"/>
    <xf numFmtId="0" fontId="17" fillId="0" borderId="0"/>
    <xf numFmtId="38" fontId="47" fillId="29" borderId="0" applyNumberFormat="0" applyFont="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166" fontId="112"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303" fontId="17" fillId="36" borderId="0" applyFont="0" applyFill="0" applyBorder="0" applyAlignment="0"/>
    <xf numFmtId="2" fontId="17" fillId="0" borderId="0" applyFont="0" applyFill="0" applyBorder="0" applyAlignment="0" applyProtection="0"/>
    <xf numFmtId="304" fontId="17" fillId="0" borderId="0" applyFont="0" applyFill="0" applyBorder="0" applyAlignment="0"/>
    <xf numFmtId="0" fontId="17" fillId="0" borderId="0"/>
    <xf numFmtId="0" fontId="17" fillId="0" borderId="0"/>
    <xf numFmtId="0" fontId="17" fillId="0" borderId="0"/>
    <xf numFmtId="0" fontId="17" fillId="0" borderId="0"/>
    <xf numFmtId="0" fontId="113" fillId="0" borderId="0">
      <protection locked="0"/>
    </xf>
    <xf numFmtId="0" fontId="17" fillId="0" borderId="0"/>
    <xf numFmtId="305" fontId="17" fillId="63" borderId="0">
      <alignment horizontal="center"/>
      <protection locked="0"/>
    </xf>
    <xf numFmtId="306" fontId="62" fillId="0" borderId="0">
      <alignment horizontal="right"/>
    </xf>
    <xf numFmtId="0" fontId="17" fillId="0" borderId="0"/>
    <xf numFmtId="0" fontId="17" fillId="0" borderId="0"/>
    <xf numFmtId="0" fontId="17" fillId="0" borderId="0"/>
    <xf numFmtId="0" fontId="17" fillId="0" borderId="0"/>
    <xf numFmtId="0" fontId="17" fillId="0" borderId="0"/>
    <xf numFmtId="2" fontId="17" fillId="36" borderId="34" applyFill="0" applyBorder="0" applyProtection="0">
      <alignment horizontal="center"/>
    </xf>
    <xf numFmtId="2" fontId="17" fillId="36" borderId="34" applyFill="0" applyBorder="0" applyProtection="0">
      <alignment horizontal="center"/>
    </xf>
    <xf numFmtId="2" fontId="17" fillId="36" borderId="34" applyFill="0" applyBorder="0" applyProtection="0">
      <alignment horizontal="center"/>
    </xf>
    <xf numFmtId="2" fontId="17" fillId="36" borderId="34" applyFill="0" applyBorder="0" applyProtection="0">
      <alignment horizontal="center"/>
    </xf>
    <xf numFmtId="2" fontId="17" fillId="36" borderId="34" applyFill="0" applyBorder="0" applyProtection="0">
      <alignment horizontal="center"/>
    </xf>
    <xf numFmtId="2" fontId="17" fillId="36" borderId="34" applyFill="0" applyBorder="0" applyProtection="0">
      <alignment horizontal="center"/>
    </xf>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172" fontId="47" fillId="0" borderId="0" applyFill="0" applyBorder="0" applyAlignment="0" applyProtection="0">
      <alignment horizontal="right"/>
    </xf>
    <xf numFmtId="172" fontId="47" fillId="0" borderId="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14" fillId="0" borderId="0">
      <protection locked="0"/>
    </xf>
    <xf numFmtId="0" fontId="17" fillId="0" borderId="0"/>
    <xf numFmtId="0" fontId="17" fillId="0" borderId="0"/>
    <xf numFmtId="0" fontId="115" fillId="0" borderId="35">
      <alignment horizontal="left" vertical="center"/>
    </xf>
    <xf numFmtId="0" fontId="115" fillId="0" borderId="35">
      <alignment horizontal="left" vertical="center"/>
    </xf>
    <xf numFmtId="0" fontId="115" fillId="0" borderId="35">
      <alignment horizontal="left" vertical="center"/>
    </xf>
    <xf numFmtId="0" fontId="115" fillId="0" borderId="35">
      <alignment horizontal="left" vertical="center"/>
    </xf>
    <xf numFmtId="0" fontId="17" fillId="0" borderId="0"/>
    <xf numFmtId="0" fontId="116" fillId="58" borderId="36" applyNumberFormat="0" applyBorder="0">
      <alignment horizontal="left" vertical="center" indent="1"/>
    </xf>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49" fontId="117" fillId="0" borderId="0">
      <alignment horizontal="centerContinuous"/>
    </xf>
    <xf numFmtId="0" fontId="17" fillId="0" borderId="0"/>
    <xf numFmtId="0" fontId="118" fillId="0" borderId="3" applyFill="0" applyAlignment="0" applyProtection="0">
      <protection locked="0"/>
    </xf>
    <xf numFmtId="0" fontId="118" fillId="0" borderId="3" applyFill="0" applyAlignment="0" applyProtection="0">
      <protection locked="0"/>
    </xf>
    <xf numFmtId="0" fontId="118" fillId="0" borderId="3" applyFill="0" applyAlignment="0" applyProtection="0">
      <protection locked="0"/>
    </xf>
    <xf numFmtId="0" fontId="17" fillId="0" borderId="0"/>
    <xf numFmtId="0" fontId="17" fillId="0" borderId="0"/>
    <xf numFmtId="0" fontId="17" fillId="0" borderId="0"/>
    <xf numFmtId="0" fontId="17" fillId="0" borderId="0"/>
    <xf numFmtId="0" fontId="119" fillId="64" borderId="37">
      <alignment horizontal="left" vertical="center"/>
    </xf>
    <xf numFmtId="0" fontId="119" fillId="64" borderId="37">
      <alignment horizontal="left" vertical="center"/>
    </xf>
    <xf numFmtId="0" fontId="119" fillId="64" borderId="37">
      <alignment horizontal="left" vertical="center"/>
    </xf>
    <xf numFmtId="0" fontId="119" fillId="64" borderId="37">
      <alignment horizontal="left" vertical="center"/>
    </xf>
    <xf numFmtId="0" fontId="119" fillId="64" borderId="37">
      <alignment horizontal="left" vertical="center"/>
    </xf>
    <xf numFmtId="0" fontId="119" fillId="64" borderId="37">
      <alignment horizontal="left" vertical="center"/>
    </xf>
    <xf numFmtId="0" fontId="119" fillId="64" borderId="38" applyBorder="0">
      <alignment horizontal="center" vertical="center" wrapText="1"/>
    </xf>
    <xf numFmtId="0" fontId="119" fillId="64" borderId="38" applyBorder="0">
      <alignment horizontal="center" vertical="center" wrapText="1"/>
    </xf>
    <xf numFmtId="0" fontId="119" fillId="64" borderId="38" applyBorder="0">
      <alignment horizontal="center" vertical="center" wrapText="1"/>
    </xf>
    <xf numFmtId="0" fontId="119" fillId="64" borderId="38" applyBorder="0">
      <alignment horizontal="center" vertical="center" wrapText="1"/>
    </xf>
    <xf numFmtId="0" fontId="119" fillId="64" borderId="38" applyBorder="0">
      <alignment horizontal="center" vertical="center" wrapText="1"/>
    </xf>
    <xf numFmtId="0" fontId="119" fillId="64" borderId="38" applyBorder="0">
      <alignment horizontal="center" vertical="center" wrapText="1"/>
    </xf>
    <xf numFmtId="0" fontId="17" fillId="0" borderId="0"/>
    <xf numFmtId="0" fontId="17" fillId="0" borderId="0"/>
    <xf numFmtId="0" fontId="17" fillId="0" borderId="0"/>
    <xf numFmtId="0" fontId="17" fillId="0" borderId="0"/>
    <xf numFmtId="0" fontId="17" fillId="0" borderId="0"/>
    <xf numFmtId="0" fontId="120" fillId="0" borderId="0" applyNumberFormat="0" applyFill="0" applyBorder="0" applyAlignment="0" applyProtection="0">
      <alignment vertical="top"/>
      <protection locked="0"/>
    </xf>
    <xf numFmtId="0" fontId="121" fillId="0" borderId="0"/>
    <xf numFmtId="0" fontId="32" fillId="0" borderId="0"/>
    <xf numFmtId="270" fontId="26" fillId="0" borderId="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8" fontId="47" fillId="36" borderId="0" applyFont="0" applyBorder="0" applyAlignment="0" applyProtection="0">
      <protection locked="0"/>
    </xf>
    <xf numFmtId="298" fontId="47" fillId="36" borderId="0" applyFont="0" applyBorder="0" applyAlignment="0" applyProtection="0">
      <protection locked="0"/>
    </xf>
    <xf numFmtId="303" fontId="47" fillId="36" borderId="0" applyFont="0" applyBorder="0" applyAlignment="0">
      <protection locked="0"/>
    </xf>
    <xf numFmtId="270" fontId="47" fillId="36" borderId="0">
      <protection locked="0"/>
    </xf>
    <xf numFmtId="307" fontId="47" fillId="36" borderId="0" applyFont="0" applyBorder="0" applyAlignment="0">
      <protection locked="0"/>
    </xf>
    <xf numFmtId="10" fontId="47" fillId="36" borderId="0">
      <protection locked="0"/>
    </xf>
    <xf numFmtId="270" fontId="122" fillId="36" borderId="0" applyNumberFormat="0" applyBorder="0" applyAlignment="0">
      <protection locked="0"/>
    </xf>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23" fillId="0" borderId="0" applyNumberFormat="0" applyFill="0" applyBorder="0" applyAlignment="0">
      <protection locked="0"/>
    </xf>
    <xf numFmtId="8" fontId="124" fillId="0" borderId="31" applyNumberFormat="0" applyFill="0" applyBorder="0" applyAlignment="0" applyProtection="0"/>
    <xf numFmtId="8" fontId="124" fillId="0" borderId="31" applyNumberFormat="0" applyFill="0" applyBorder="0" applyAlignment="0" applyProtection="0"/>
    <xf numFmtId="8" fontId="124" fillId="0" borderId="31" applyNumberFormat="0" applyFill="0" applyBorder="0" applyAlignment="0" applyProtection="0"/>
    <xf numFmtId="8" fontId="124" fillId="0" borderId="31" applyNumberFormat="0" applyFill="0" applyBorder="0" applyAlignment="0" applyProtection="0"/>
    <xf numFmtId="8" fontId="124" fillId="0" borderId="31" applyNumberFormat="0" applyFill="0" applyBorder="0" applyAlignment="0" applyProtection="0"/>
    <xf numFmtId="8" fontId="124" fillId="0" borderId="31" applyNumberFormat="0" applyFill="0" applyBorder="0" applyAlignment="0" applyProtection="0"/>
    <xf numFmtId="270" fontId="47" fillId="36" borderId="0" applyNumberFormat="0" applyFont="0" applyBorder="0" applyAlignment="0" applyProtection="0">
      <alignment horizontal="center"/>
      <protection locked="0"/>
    </xf>
    <xf numFmtId="0" fontId="125" fillId="0" borderId="0" applyNumberFormat="0" applyFill="0" applyBorder="0" applyAlignment="0">
      <protection locked="0"/>
    </xf>
    <xf numFmtId="308" fontId="17" fillId="0" borderId="0" applyFill="0" applyBorder="0" applyAlignment="0">
      <protection locked="0"/>
    </xf>
    <xf numFmtId="0" fontId="17" fillId="0" borderId="0"/>
    <xf numFmtId="0" fontId="17" fillId="0" borderId="0"/>
    <xf numFmtId="0" fontId="17" fillId="0" borderId="0"/>
    <xf numFmtId="0" fontId="17" fillId="0" borderId="0"/>
    <xf numFmtId="309" fontId="17" fillId="0" borderId="0" applyFill="0" applyBorder="0">
      <alignment horizontal="right"/>
      <protection locked="0"/>
    </xf>
    <xf numFmtId="0" fontId="41" fillId="65" borderId="37">
      <alignment horizontal="left" vertical="center" wrapText="1"/>
    </xf>
    <xf numFmtId="0" fontId="41" fillId="65" borderId="37">
      <alignment horizontal="left" vertical="center" wrapText="1"/>
    </xf>
    <xf numFmtId="0" fontId="41" fillId="65" borderId="37">
      <alignment horizontal="left" vertical="center" wrapText="1"/>
    </xf>
    <xf numFmtId="0" fontId="41" fillId="65" borderId="37">
      <alignment horizontal="left" vertical="center" wrapText="1"/>
    </xf>
    <xf numFmtId="0" fontId="41" fillId="65" borderId="37">
      <alignment horizontal="left" vertical="center" wrapText="1"/>
    </xf>
    <xf numFmtId="0" fontId="41" fillId="65" borderId="37">
      <alignment horizontal="left" vertical="center" wrapText="1"/>
    </xf>
    <xf numFmtId="0" fontId="17" fillId="0" borderId="0"/>
    <xf numFmtId="0" fontId="17" fillId="0" borderId="0"/>
    <xf numFmtId="0" fontId="17" fillId="0" borderId="0"/>
    <xf numFmtId="0" fontId="17" fillId="0" borderId="0"/>
    <xf numFmtId="0" fontId="17" fillId="0" borderId="0" applyFont="0" applyFill="0" applyBorder="0" applyAlignment="0" applyProtection="0"/>
    <xf numFmtId="177" fontId="20" fillId="29" borderId="0" applyFont="0">
      <alignment horizontal="center"/>
    </xf>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21" fillId="0" borderId="0" applyNumberFormat="0" applyFont="0" applyFill="0" applyBorder="0" applyProtection="0">
      <alignment horizontal="left" vertical="center"/>
    </xf>
    <xf numFmtId="0" fontId="17" fillId="0" borderId="0"/>
    <xf numFmtId="0" fontId="17" fillId="0" borderId="0"/>
    <xf numFmtId="0" fontId="17" fillId="0" borderId="0"/>
    <xf numFmtId="0" fontId="17" fillId="0" borderId="0"/>
    <xf numFmtId="0" fontId="126" fillId="0" borderId="0" applyNumberFormat="0" applyFill="0" applyBorder="0" applyAlignment="0" applyProtection="0">
      <alignment vertical="top"/>
      <protection locked="0"/>
    </xf>
    <xf numFmtId="1" fontId="47" fillId="0" borderId="3" applyNumberFormat="0" applyFont="0" applyFill="0" applyAlignment="0" applyProtection="0">
      <alignment horizontal="center"/>
    </xf>
    <xf numFmtId="1" fontId="47" fillId="0" borderId="3" applyNumberFormat="0" applyFont="0" applyFill="0" applyAlignment="0" applyProtection="0">
      <alignment horizontal="center"/>
    </xf>
    <xf numFmtId="1" fontId="47" fillId="0" borderId="3" applyNumberFormat="0" applyFont="0" applyFill="0" applyAlignment="0" applyProtection="0">
      <alignment horizontal="center"/>
    </xf>
    <xf numFmtId="0" fontId="17" fillId="0" borderId="0"/>
    <xf numFmtId="2" fontId="17" fillId="0" borderId="0" applyNumberFormat="0" applyBorder="0">
      <alignment horizontal="left"/>
    </xf>
    <xf numFmtId="1" fontId="47" fillId="0" borderId="33" applyNumberFormat="0" applyFont="0" applyFill="0" applyProtection="0">
      <alignment horizontal="center"/>
    </xf>
    <xf numFmtId="1" fontId="47" fillId="0" borderId="33" applyNumberFormat="0" applyFont="0" applyFill="0" applyProtection="0">
      <alignment horizontal="center"/>
    </xf>
    <xf numFmtId="1" fontId="47" fillId="0" borderId="33" applyNumberFormat="0" applyFont="0" applyFill="0" applyProtection="0">
      <alignment horizontal="center"/>
    </xf>
    <xf numFmtId="1" fontId="47" fillId="0" borderId="33" applyNumberFormat="0" applyFont="0" applyFill="0" applyProtection="0">
      <alignment horizontal="center"/>
    </xf>
    <xf numFmtId="1" fontId="47" fillId="0" borderId="33" applyNumberFormat="0" applyFont="0" applyFill="0" applyProtection="0">
      <alignment horizontal="center"/>
    </xf>
    <xf numFmtId="1" fontId="47" fillId="0" borderId="33" applyNumberFormat="0" applyFont="0" applyFill="0" applyProtection="0">
      <alignment horizontal="center"/>
    </xf>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17" fontId="21" fillId="0" borderId="0"/>
    <xf numFmtId="310" fontId="115" fillId="66" borderId="39" applyBorder="0">
      <protection locked="0"/>
    </xf>
    <xf numFmtId="0" fontId="21" fillId="0" borderId="0" applyNumberFormat="0" applyFill="0" applyBorder="0" applyAlignment="0" applyProtection="0"/>
    <xf numFmtId="0" fontId="21" fillId="0" borderId="0" applyNumberFormat="0" applyFill="0" applyBorder="0" applyAlignment="0" applyProtection="0"/>
    <xf numFmtId="0" fontId="127" fillId="0" borderId="0" applyNumberFormat="0" applyFill="0" applyBorder="0" applyAlignment="0" applyProtection="0"/>
    <xf numFmtId="270" fontId="47" fillId="0" borderId="0" applyFill="0" applyBorder="0" applyAlignment="0" applyProtection="0"/>
    <xf numFmtId="0" fontId="17" fillId="0" borderId="0"/>
    <xf numFmtId="0" fontId="17" fillId="0" borderId="0"/>
    <xf numFmtId="0" fontId="21" fillId="0" borderId="0"/>
    <xf numFmtId="311" fontId="17" fillId="0" borderId="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312" fontId="17" fillId="0" borderId="3" applyFont="0" applyFill="0" applyBorder="0" applyAlignment="0" applyProtection="0">
      <protection locked="0"/>
    </xf>
    <xf numFmtId="312" fontId="17" fillId="0" borderId="3" applyFont="0" applyFill="0" applyBorder="0" applyAlignment="0" applyProtection="0">
      <protection locked="0"/>
    </xf>
    <xf numFmtId="312" fontId="17" fillId="0" borderId="3" applyFont="0" applyFill="0" applyBorder="0" applyAlignment="0" applyProtection="0">
      <protection locked="0"/>
    </xf>
    <xf numFmtId="0" fontId="17" fillId="0" borderId="0"/>
    <xf numFmtId="0" fontId="17" fillId="0" borderId="0"/>
    <xf numFmtId="0" fontId="17" fillId="0" borderId="0"/>
    <xf numFmtId="243" fontId="17" fillId="0" borderId="0" applyFont="0" applyFill="0" applyBorder="0" applyAlignment="0" applyProtection="0"/>
    <xf numFmtId="243" fontId="17" fillId="0" borderId="0" applyFont="0" applyFill="0" applyBorder="0" applyAlignment="0" applyProtection="0"/>
    <xf numFmtId="313" fontId="17" fillId="0" borderId="0" applyFont="0" applyFill="0" applyBorder="0" applyAlignment="0" applyProtection="0"/>
    <xf numFmtId="278" fontId="17" fillId="0" borderId="0" applyFont="0" applyFill="0" applyBorder="0" applyAlignment="0" applyProtection="0"/>
    <xf numFmtId="314" fontId="17" fillId="0" borderId="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17" fontId="108" fillId="0" borderId="0" applyFont="0" applyFill="0" applyBorder="0">
      <alignment horizontal="right"/>
    </xf>
    <xf numFmtId="17" fontId="65" fillId="0" borderId="0" applyFont="0" applyFill="0" applyBorder="0" applyAlignment="0" applyProtection="0">
      <alignment horizontal="center"/>
    </xf>
    <xf numFmtId="315" fontId="21" fillId="0" borderId="3" applyFont="0" applyFill="0" applyBorder="0" applyProtection="0"/>
    <xf numFmtId="315" fontId="21" fillId="0" borderId="3" applyFont="0" applyFill="0" applyBorder="0" applyProtection="0"/>
    <xf numFmtId="315" fontId="21" fillId="0" borderId="3" applyFont="0" applyFill="0" applyBorder="0" applyProtection="0"/>
    <xf numFmtId="316" fontId="21" fillId="0" borderId="3" applyFont="0" applyFill="0" applyBorder="0" applyAlignment="0" applyProtection="0"/>
    <xf numFmtId="316" fontId="21" fillId="0" borderId="3" applyFont="0" applyFill="0" applyBorder="0" applyAlignment="0" applyProtection="0"/>
    <xf numFmtId="316" fontId="21" fillId="0" borderId="3" applyFont="0" applyFill="0" applyBorder="0" applyAlignment="0" applyProtection="0"/>
    <xf numFmtId="0" fontId="17" fillId="0" borderId="0"/>
    <xf numFmtId="315" fontId="21" fillId="0" borderId="0" applyFont="0" applyFill="0" applyBorder="0" applyAlignment="0" applyProtection="0"/>
    <xf numFmtId="316" fontId="21" fillId="0" borderId="0" applyFont="0" applyFill="0" applyBorder="0" applyAlignment="0" applyProtection="0"/>
    <xf numFmtId="317" fontId="43" fillId="0" borderId="0" applyFont="0" applyFill="0" applyBorder="0" applyAlignment="0" applyProtection="0"/>
    <xf numFmtId="318" fontId="26" fillId="0" borderId="0" applyFont="0" applyFill="0" applyBorder="0" applyAlignment="0" applyProtection="0"/>
    <xf numFmtId="319" fontId="43" fillId="0" borderId="0" applyFont="0" applyFill="0" applyBorder="0" applyAlignment="0" applyProtection="0"/>
    <xf numFmtId="0" fontId="17" fillId="0" borderId="0"/>
    <xf numFmtId="320" fontId="43" fillId="0" borderId="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167" fontId="47" fillId="29" borderId="0" applyFont="0" applyBorder="0" applyAlignment="0" applyProtection="0">
      <alignment horizontal="right"/>
      <protection hidden="1"/>
    </xf>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40" fontId="41" fillId="0" borderId="0" applyFont="0" applyFill="0" applyBorder="0" applyAlignment="0" applyProtection="0">
      <alignment horizontal="center"/>
    </xf>
    <xf numFmtId="0" fontId="17" fillId="0" borderId="0"/>
    <xf numFmtId="321" fontId="21" fillId="0" borderId="0"/>
    <xf numFmtId="0" fontId="17" fillId="0" borderId="0"/>
    <xf numFmtId="0" fontId="17" fillId="0" borderId="0"/>
    <xf numFmtId="0" fontId="62" fillId="0" borderId="0" applyNumberFormat="0" applyFill="0" applyAlignment="0" applyProtection="0"/>
    <xf numFmtId="0" fontId="17" fillId="0" borderId="0"/>
    <xf numFmtId="0" fontId="17" fillId="0" borderId="0"/>
    <xf numFmtId="322" fontId="17" fillId="0" borderId="0"/>
    <xf numFmtId="0" fontId="17" fillId="0" borderId="0"/>
    <xf numFmtId="0" fontId="28"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38" fontId="47" fillId="0" borderId="0" applyFont="0" applyFill="0" applyBorder="0" applyAlignment="0"/>
    <xf numFmtId="270" fontId="17" fillId="0" borderId="0" applyFont="0" applyFill="0" applyBorder="0" applyAlignment="0"/>
    <xf numFmtId="40" fontId="47" fillId="0" borderId="0" applyFont="0" applyFill="0" applyBorder="0" applyAlignment="0"/>
    <xf numFmtId="274" fontId="47" fillId="0" borderId="0" applyFont="0" applyFill="0" applyBorder="0" applyAlignment="0"/>
    <xf numFmtId="0" fontId="17" fillId="0" borderId="0"/>
    <xf numFmtId="0" fontId="12" fillId="0" borderId="0"/>
    <xf numFmtId="0" fontId="17" fillId="0" borderId="0"/>
    <xf numFmtId="0" fontId="17" fillId="0" borderId="0"/>
    <xf numFmtId="0" fontId="17" fillId="0" borderId="0"/>
    <xf numFmtId="0" fontId="17" fillId="0" borderId="0"/>
    <xf numFmtId="0" fontId="17" fillId="0" borderId="0"/>
    <xf numFmtId="0" fontId="17" fillId="0" borderId="0"/>
    <xf numFmtId="0" fontId="12" fillId="0" borderId="0"/>
    <xf numFmtId="0" fontId="17" fillId="0" borderId="0"/>
    <xf numFmtId="0" fontId="17" fillId="0" borderId="0"/>
    <xf numFmtId="0" fontId="17" fillId="0" borderId="0"/>
    <xf numFmtId="0" fontId="12" fillId="0" borderId="0"/>
    <xf numFmtId="0" fontId="17" fillId="0" borderId="0"/>
    <xf numFmtId="0" fontId="12" fillId="0" borderId="0"/>
    <xf numFmtId="0" fontId="17" fillId="0" borderId="0"/>
    <xf numFmtId="0" fontId="12" fillId="0" borderId="0"/>
    <xf numFmtId="0" fontId="17" fillId="0" borderId="0"/>
    <xf numFmtId="0" fontId="12" fillId="0" borderId="0"/>
    <xf numFmtId="0" fontId="17" fillId="0" borderId="0"/>
    <xf numFmtId="0" fontId="17" fillId="0" borderId="0"/>
    <xf numFmtId="0" fontId="12" fillId="0" borderId="0"/>
    <xf numFmtId="0" fontId="17" fillId="0" borderId="0"/>
    <xf numFmtId="0" fontId="12" fillId="0" borderId="0"/>
    <xf numFmtId="0" fontId="12" fillId="0" borderId="0"/>
    <xf numFmtId="0" fontId="17" fillId="0" borderId="0"/>
    <xf numFmtId="0" fontId="17" fillId="0" borderId="0"/>
    <xf numFmtId="0" fontId="17" fillId="0" borderId="0"/>
    <xf numFmtId="0" fontId="17" fillId="0" borderId="0"/>
    <xf numFmtId="0" fontId="17" fillId="0" borderId="0"/>
    <xf numFmtId="0" fontId="100" fillId="0" borderId="0"/>
    <xf numFmtId="0" fontId="17" fillId="0" borderId="0"/>
    <xf numFmtId="0" fontId="17" fillId="0" borderId="0"/>
    <xf numFmtId="0" fontId="20"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247" fontId="12"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2" fillId="0" borderId="0"/>
    <xf numFmtId="0" fontId="100" fillId="0" borderId="0"/>
    <xf numFmtId="0" fontId="100"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00" fillId="0" borderId="0"/>
    <xf numFmtId="0" fontId="100" fillId="0" borderId="0"/>
    <xf numFmtId="0" fontId="12"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23"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2" fillId="0" borderId="0"/>
    <xf numFmtId="0" fontId="17" fillId="0" borderId="0"/>
    <xf numFmtId="0" fontId="12" fillId="0" borderId="0"/>
    <xf numFmtId="0" fontId="17" fillId="0" borderId="0"/>
    <xf numFmtId="323" fontId="33" fillId="0" borderId="0">
      <alignment horizontal="right"/>
    </xf>
    <xf numFmtId="323" fontId="33" fillId="0" borderId="0">
      <alignment horizontal="right"/>
    </xf>
    <xf numFmtId="0" fontId="17" fillId="0" borderId="0"/>
    <xf numFmtId="1" fontId="65" fillId="0" borderId="0" applyFont="0" applyFill="0" applyBorder="0" applyAlignment="0" applyProtection="0">
      <alignment horizontal="center"/>
    </xf>
    <xf numFmtId="324" fontId="47" fillId="0" borderId="0" applyFont="0" applyFill="0" applyBorder="0" applyAlignment="0" applyProtection="0"/>
    <xf numFmtId="41" fontId="128" fillId="0" borderId="0"/>
    <xf numFmtId="270" fontId="17" fillId="0" borderId="0">
      <alignment horizontal="right"/>
    </xf>
    <xf numFmtId="270" fontId="47" fillId="0" borderId="0"/>
    <xf numFmtId="0" fontId="17" fillId="0" borderId="0"/>
    <xf numFmtId="40" fontId="47" fillId="0" borderId="0"/>
    <xf numFmtId="325" fontId="17" fillId="0" borderId="0"/>
    <xf numFmtId="38" fontId="17" fillId="0" borderId="0"/>
    <xf numFmtId="0" fontId="17" fillId="0" borderId="0"/>
    <xf numFmtId="0" fontId="17" fillId="0" borderId="0"/>
    <xf numFmtId="0" fontId="17" fillId="0" borderId="0"/>
    <xf numFmtId="0" fontId="17" fillId="0" borderId="0"/>
    <xf numFmtId="269" fontId="129" fillId="0" borderId="0">
      <alignment horizontal="right"/>
    </xf>
    <xf numFmtId="0" fontId="17" fillId="0" borderId="0"/>
    <xf numFmtId="0" fontId="17" fillId="0" borderId="0"/>
    <xf numFmtId="0" fontId="17" fillId="0" borderId="0"/>
    <xf numFmtId="39" fontId="47" fillId="0" borderId="0"/>
    <xf numFmtId="0" fontId="17" fillId="0" borderId="0"/>
    <xf numFmtId="40" fontId="17" fillId="0" borderId="0" applyBorder="0">
      <alignment horizontal="right"/>
    </xf>
    <xf numFmtId="0" fontId="17" fillId="0" borderId="0"/>
    <xf numFmtId="0" fontId="12" fillId="3" borderId="1" applyNumberFormat="0" applyFont="0" applyAlignment="0" applyProtection="0"/>
    <xf numFmtId="0" fontId="17" fillId="0" borderId="0"/>
    <xf numFmtId="0" fontId="12" fillId="3" borderId="1" applyNumberFormat="0" applyFont="0" applyAlignment="0" applyProtection="0"/>
    <xf numFmtId="0" fontId="17" fillId="0" borderId="0"/>
    <xf numFmtId="0" fontId="12" fillId="3" borderId="1" applyNumberFormat="0" applyFont="0" applyAlignment="0" applyProtection="0"/>
    <xf numFmtId="0" fontId="17" fillId="0" borderId="0"/>
    <xf numFmtId="0" fontId="12" fillId="3" borderId="1" applyNumberFormat="0" applyFont="0" applyAlignment="0" applyProtection="0"/>
    <xf numFmtId="0" fontId="17" fillId="0" borderId="0"/>
    <xf numFmtId="0" fontId="17" fillId="0" borderId="0"/>
    <xf numFmtId="0" fontId="17" fillId="0" borderId="0"/>
    <xf numFmtId="0" fontId="12" fillId="3" borderId="1" applyNumberFormat="0" applyFont="0" applyAlignment="0" applyProtection="0"/>
    <xf numFmtId="0" fontId="17" fillId="0" borderId="0"/>
    <xf numFmtId="0" fontId="12" fillId="3" borderId="1" applyNumberFormat="0" applyFont="0" applyAlignment="0" applyProtection="0"/>
    <xf numFmtId="0" fontId="17" fillId="0" borderId="0"/>
    <xf numFmtId="0" fontId="12" fillId="3" borderId="1" applyNumberFormat="0" applyFont="0" applyAlignment="0" applyProtection="0"/>
    <xf numFmtId="0" fontId="17" fillId="0" borderId="0"/>
    <xf numFmtId="0" fontId="12" fillId="3" borderId="1" applyNumberFormat="0" applyFont="0" applyAlignment="0" applyProtection="0"/>
    <xf numFmtId="0" fontId="17" fillId="0" borderId="0"/>
    <xf numFmtId="0" fontId="12" fillId="3" borderId="1" applyNumberFormat="0" applyFont="0" applyAlignment="0" applyProtection="0"/>
    <xf numFmtId="0" fontId="17" fillId="0" borderId="0"/>
    <xf numFmtId="0" fontId="12" fillId="3" borderId="1" applyNumberFormat="0" applyFont="0" applyAlignment="0" applyProtection="0"/>
    <xf numFmtId="0" fontId="17" fillId="0" borderId="0"/>
    <xf numFmtId="0" fontId="12" fillId="3" borderId="1" applyNumberFormat="0" applyFont="0" applyAlignment="0" applyProtection="0"/>
    <xf numFmtId="0" fontId="17" fillId="0" borderId="0"/>
    <xf numFmtId="0" fontId="12" fillId="3" borderId="1" applyNumberFormat="0" applyFont="0" applyAlignment="0" applyProtection="0"/>
    <xf numFmtId="270" fontId="47" fillId="0" borderId="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40" fontId="17" fillId="0" borderId="0" applyFont="0" applyFill="0" applyBorder="0" applyAlignment="0" applyProtection="0">
      <alignment horizontal="center"/>
    </xf>
    <xf numFmtId="0" fontId="17" fillId="0" borderId="0"/>
    <xf numFmtId="0" fontId="17" fillId="0" borderId="0"/>
    <xf numFmtId="0" fontId="17" fillId="0" borderId="0"/>
    <xf numFmtId="0" fontId="17" fillId="0" borderId="0"/>
    <xf numFmtId="43" fontId="21" fillId="0" borderId="0" applyFont="0" applyFill="0" applyBorder="0" applyAlignment="0" applyProtection="0"/>
    <xf numFmtId="0" fontId="17" fillId="0" borderId="0"/>
    <xf numFmtId="0" fontId="17" fillId="0" borderId="0"/>
    <xf numFmtId="0" fontId="17" fillId="0" borderId="0"/>
    <xf numFmtId="0" fontId="130" fillId="0" borderId="0">
      <alignment horizontal="left" vertical="top"/>
      <protection locked="0"/>
    </xf>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31" fillId="0" borderId="3" applyNumberFormat="0" applyFill="0" applyBorder="0" applyAlignment="0">
      <protection locked="0"/>
    </xf>
    <xf numFmtId="0" fontId="131" fillId="0" borderId="3" applyNumberFormat="0" applyFill="0" applyBorder="0" applyAlignment="0">
      <protection locked="0"/>
    </xf>
    <xf numFmtId="0" fontId="131" fillId="0" borderId="3" applyNumberFormat="0" applyFill="0" applyBorder="0" applyAlignment="0">
      <protection locked="0"/>
    </xf>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65" fillId="0" borderId="0" applyNumberFormat="0" applyFill="0" applyBorder="0" applyAlignment="0" applyProtection="0"/>
    <xf numFmtId="326" fontId="47" fillId="0" borderId="0"/>
    <xf numFmtId="0" fontId="17" fillId="0" borderId="0"/>
    <xf numFmtId="0" fontId="17" fillId="0" borderId="0"/>
    <xf numFmtId="0" fontId="17" fillId="0" borderId="0"/>
    <xf numFmtId="0" fontId="17" fillId="0" borderId="0"/>
    <xf numFmtId="0" fontId="102" fillId="0" borderId="0"/>
    <xf numFmtId="327" fontId="17" fillId="0" borderId="0" applyFont="0" applyFill="0" applyBorder="0" applyAlignment="0" applyProtection="0"/>
    <xf numFmtId="328" fontId="17" fillId="0" borderId="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329" fontId="43" fillId="0" borderId="0" applyFont="0" applyFill="0" applyBorder="0" applyAlignment="0" applyProtection="0"/>
    <xf numFmtId="165" fontId="132" fillId="0" borderId="0" applyFont="0" applyFill="0" applyBorder="0" applyAlignment="0" applyProtection="0"/>
    <xf numFmtId="0" fontId="17" fillId="0" borderId="0"/>
    <xf numFmtId="0" fontId="17" fillId="0" borderId="0"/>
    <xf numFmtId="0" fontId="17" fillId="0" borderId="0"/>
    <xf numFmtId="330" fontId="17" fillId="0" borderId="0" applyFont="0" applyFill="0" applyBorder="0" applyAlignment="0" applyProtection="0"/>
    <xf numFmtId="331" fontId="17" fillId="0" borderId="0" applyFont="0" applyFill="0" applyBorder="0" applyAlignment="0" applyProtection="0"/>
    <xf numFmtId="276" fontId="17" fillId="0" borderId="0" applyFont="0" applyFill="0" applyBorder="0" applyAlignment="0" applyProtection="0"/>
    <xf numFmtId="278" fontId="21" fillId="0" borderId="0" applyFont="0" applyFill="0" applyBorder="0" applyAlignment="0" applyProtection="0"/>
    <xf numFmtId="185" fontId="21" fillId="0" borderId="0" applyFont="0" applyFill="0" applyBorder="0" applyAlignment="0" applyProtection="0"/>
    <xf numFmtId="332" fontId="21" fillId="0" borderId="0" applyFont="0" applyFill="0" applyBorder="0" applyAlignment="0" applyProtection="0"/>
    <xf numFmtId="282" fontId="17" fillId="0" borderId="0" applyFont="0" applyFill="0" applyBorder="0" applyAlignment="0" applyProtection="0"/>
    <xf numFmtId="0" fontId="17" fillId="0" borderId="0"/>
    <xf numFmtId="0" fontId="17" fillId="0" borderId="0"/>
    <xf numFmtId="0" fontId="17" fillId="0" borderId="0"/>
    <xf numFmtId="9" fontId="12" fillId="0" borderId="0" applyFont="0" applyFill="0" applyBorder="0" applyAlignment="0" applyProtection="0"/>
    <xf numFmtId="9" fontId="100" fillId="0" borderId="0" applyFont="0" applyFill="0" applyBorder="0" applyAlignment="0" applyProtection="0"/>
    <xf numFmtId="9" fontId="17" fillId="0" borderId="0" applyFont="0" applyFill="0" applyBorder="0" applyAlignment="0" applyProtection="0"/>
    <xf numFmtId="9" fontId="12"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9" fontId="17" fillId="0" borderId="0" applyFont="0" applyFill="0" applyBorder="0" applyAlignment="0" applyProtection="0"/>
    <xf numFmtId="9" fontId="17" fillId="0" borderId="0" applyFont="0" applyFill="0" applyBorder="0" applyAlignment="0" applyProtection="0"/>
    <xf numFmtId="0" fontId="17" fillId="0" borderId="0"/>
    <xf numFmtId="9" fontId="17" fillId="0" borderId="0" applyFont="0" applyFill="0" applyBorder="0" applyAlignment="0" applyProtection="0"/>
    <xf numFmtId="9" fontId="23"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9" fontId="79" fillId="0" borderId="0" applyFont="0" applyFill="0" applyBorder="0" applyAlignment="0" applyProtection="0"/>
    <xf numFmtId="0" fontId="17" fillId="0" borderId="0"/>
    <xf numFmtId="0" fontId="17" fillId="0" borderId="0"/>
    <xf numFmtId="0" fontId="17" fillId="0" borderId="0"/>
    <xf numFmtId="9" fontId="17" fillId="0" borderId="0" applyFont="0" applyFill="0" applyBorder="0" applyAlignment="0" applyProtection="0"/>
    <xf numFmtId="0" fontId="17" fillId="0" borderId="0"/>
    <xf numFmtId="0" fontId="17" fillId="0" borderId="0"/>
    <xf numFmtId="307" fontId="65" fillId="0" borderId="0" applyFont="0" applyFill="0" applyBorder="0" applyAlignment="0" applyProtection="0">
      <alignment horizontal="center"/>
    </xf>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333" fontId="17" fillId="0" borderId="0" applyFill="0" applyBorder="0">
      <alignment horizontal="right"/>
      <protection locked="0"/>
    </xf>
    <xf numFmtId="334" fontId="133" fillId="0" borderId="0" applyFont="0" applyFill="0" applyBorder="0" applyAlignment="0" applyProtection="0">
      <protection locked="0"/>
    </xf>
    <xf numFmtId="0" fontId="17" fillId="0" borderId="0"/>
    <xf numFmtId="0" fontId="17" fillId="0" borderId="0"/>
    <xf numFmtId="335" fontId="47" fillId="0" borderId="0" applyFont="0" applyFill="0" applyBorder="0" applyAlignment="0" applyProtection="0"/>
    <xf numFmtId="336" fontId="47" fillId="0" borderId="0" applyFont="0" applyFill="0" applyBorder="0" applyAlignment="0" applyProtection="0"/>
    <xf numFmtId="0" fontId="17" fillId="0" borderId="0"/>
    <xf numFmtId="0" fontId="17" fillId="0" borderId="0"/>
    <xf numFmtId="0" fontId="17" fillId="0" borderId="0"/>
    <xf numFmtId="0" fontId="17" fillId="0" borderId="0"/>
    <xf numFmtId="337" fontId="21"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8" fontId="134" fillId="0" borderId="40">
      <alignment horizontal="right"/>
    </xf>
    <xf numFmtId="0" fontId="17" fillId="0" borderId="0"/>
    <xf numFmtId="0" fontId="17" fillId="0" borderId="0"/>
    <xf numFmtId="0" fontId="17" fillId="0" borderId="0"/>
    <xf numFmtId="0" fontId="17" fillId="0" borderId="0"/>
    <xf numFmtId="0" fontId="135" fillId="0" borderId="0"/>
    <xf numFmtId="0" fontId="135" fillId="0" borderId="41">
      <alignment horizontal="right"/>
    </xf>
    <xf numFmtId="0" fontId="135"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36" fillId="0" borderId="0"/>
    <xf numFmtId="0" fontId="17" fillId="0" borderId="0"/>
    <xf numFmtId="0" fontId="17" fillId="0" borderId="0"/>
    <xf numFmtId="0" fontId="17" fillId="0" borderId="0"/>
    <xf numFmtId="338" fontId="17" fillId="0" borderId="0">
      <alignment horizontal="right"/>
      <protection locked="0"/>
    </xf>
    <xf numFmtId="0" fontId="17" fillId="0" borderId="0"/>
    <xf numFmtId="0" fontId="17" fillId="0" borderId="0"/>
    <xf numFmtId="0" fontId="17" fillId="0" borderId="0"/>
    <xf numFmtId="0" fontId="17" fillId="0" borderId="0"/>
    <xf numFmtId="0" fontId="17" fillId="0" borderId="0"/>
    <xf numFmtId="270" fontId="137" fillId="0" borderId="0" applyNumberFormat="0" applyFill="0" applyBorder="0" applyAlignment="0" applyProtection="0">
      <alignment horizontal="left"/>
    </xf>
    <xf numFmtId="0" fontId="17" fillId="0" borderId="0"/>
    <xf numFmtId="0" fontId="17" fillId="0" borderId="0"/>
    <xf numFmtId="192" fontId="21" fillId="0" borderId="0">
      <alignment horizontal="right"/>
    </xf>
    <xf numFmtId="0" fontId="17" fillId="0" borderId="0"/>
    <xf numFmtId="339" fontId="17" fillId="0" borderId="42" applyBorder="0">
      <alignment horizontal="right"/>
    </xf>
    <xf numFmtId="339" fontId="17" fillId="0" borderId="42" applyBorder="0">
      <alignment horizontal="right"/>
    </xf>
    <xf numFmtId="339" fontId="17" fillId="0" borderId="42" applyBorder="0">
      <alignment horizontal="right"/>
    </xf>
    <xf numFmtId="339" fontId="17" fillId="0" borderId="42" applyBorder="0">
      <alignment horizontal="right"/>
    </xf>
    <xf numFmtId="0" fontId="17" fillId="0" borderId="0"/>
    <xf numFmtId="0" fontId="17" fillId="0" borderId="0"/>
    <xf numFmtId="0" fontId="17" fillId="0" borderId="0"/>
    <xf numFmtId="0" fontId="17" fillId="0" borderId="0"/>
    <xf numFmtId="0" fontId="17" fillId="0" borderId="0"/>
    <xf numFmtId="0" fontId="17" fillId="0" borderId="0"/>
    <xf numFmtId="0" fontId="138" fillId="0" borderId="0">
      <alignment horizontal="right"/>
    </xf>
    <xf numFmtId="0" fontId="139" fillId="0" borderId="0">
      <alignment horizontal="right"/>
    </xf>
    <xf numFmtId="0" fontId="31"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40" fillId="0" borderId="43"/>
    <xf numFmtId="0" fontId="140" fillId="0" borderId="43"/>
    <xf numFmtId="0" fontId="140" fillId="0" borderId="43"/>
    <xf numFmtId="0" fontId="140" fillId="0" borderId="43"/>
    <xf numFmtId="0" fontId="140" fillId="0" borderId="43"/>
    <xf numFmtId="0" fontId="140" fillId="0" borderId="43"/>
    <xf numFmtId="0" fontId="17" fillId="0" borderId="0"/>
    <xf numFmtId="0" fontId="115" fillId="62" borderId="29">
      <alignment horizontal="center" vertical="center" wrapText="1"/>
      <protection hidden="1"/>
    </xf>
    <xf numFmtId="0" fontId="115" fillId="62" borderId="29">
      <alignment horizontal="center" vertical="center" wrapText="1"/>
      <protection hidden="1"/>
    </xf>
    <xf numFmtId="0" fontId="115" fillId="62" borderId="29">
      <alignment horizontal="center" vertical="center" wrapText="1"/>
      <protection hidden="1"/>
    </xf>
    <xf numFmtId="0" fontId="115" fillId="62" borderId="29">
      <alignment horizontal="center" vertical="center" wrapText="1"/>
      <protection hidden="1"/>
    </xf>
    <xf numFmtId="0" fontId="115" fillId="62" borderId="29">
      <alignment horizontal="center" vertical="center" wrapText="1"/>
      <protection hidden="1"/>
    </xf>
    <xf numFmtId="0" fontId="115" fillId="62" borderId="29">
      <alignment horizontal="center" vertical="center" wrapText="1"/>
      <protection hidden="1"/>
    </xf>
    <xf numFmtId="340" fontId="21" fillId="0" borderId="0" applyFont="0" applyFill="0" applyBorder="0" applyAlignment="0" applyProtection="0">
      <alignment vertical="center"/>
    </xf>
    <xf numFmtId="0" fontId="17" fillId="0" borderId="0"/>
    <xf numFmtId="0" fontId="17" fillId="0" borderId="0"/>
    <xf numFmtId="0" fontId="141" fillId="1" borderId="35" applyNumberFormat="0" applyFont="0" applyAlignment="0">
      <alignment horizontal="center"/>
    </xf>
    <xf numFmtId="0" fontId="141" fillId="1" borderId="35" applyNumberFormat="0" applyFont="0" applyAlignment="0">
      <alignment horizontal="center"/>
    </xf>
    <xf numFmtId="0" fontId="141" fillId="1" borderId="35" applyNumberFormat="0" applyFont="0" applyAlignment="0">
      <alignment horizontal="center"/>
    </xf>
    <xf numFmtId="0" fontId="141" fillId="1" borderId="35" applyNumberFormat="0" applyFont="0" applyAlignment="0">
      <alignment horizontal="center"/>
    </xf>
    <xf numFmtId="0" fontId="17" fillId="0" borderId="0"/>
    <xf numFmtId="274" fontId="26" fillId="0" borderId="0" applyFont="0" applyFill="0" applyBorder="0" applyAlignment="0" applyProtection="0"/>
    <xf numFmtId="37" fontId="17" fillId="0" borderId="29" applyBorder="0">
      <alignment horizontal="right"/>
      <protection locked="0"/>
    </xf>
    <xf numFmtId="37" fontId="17" fillId="0" borderId="29" applyBorder="0">
      <alignment horizontal="right"/>
      <protection locked="0"/>
    </xf>
    <xf numFmtId="37" fontId="17" fillId="0" borderId="29" applyBorder="0">
      <alignment horizontal="right"/>
      <protection locked="0"/>
    </xf>
    <xf numFmtId="37" fontId="17" fillId="0" borderId="29" applyBorder="0">
      <alignment horizontal="right"/>
      <protection locked="0"/>
    </xf>
    <xf numFmtId="37" fontId="17" fillId="0" borderId="29" applyBorder="0">
      <alignment horizontal="right"/>
      <protection locked="0"/>
    </xf>
    <xf numFmtId="37" fontId="17" fillId="0" borderId="29" applyBorder="0">
      <alignment horizontal="right"/>
      <protection locked="0"/>
    </xf>
    <xf numFmtId="0" fontId="17" fillId="0" borderId="0"/>
    <xf numFmtId="1" fontId="17" fillId="0" borderId="0"/>
    <xf numFmtId="0" fontId="17" fillId="0" borderId="0"/>
    <xf numFmtId="0" fontId="17" fillId="0" borderId="0"/>
    <xf numFmtId="0" fontId="62" fillId="0" borderId="3" applyNumberFormat="0" applyFill="0" applyAlignment="0" applyProtection="0"/>
    <xf numFmtId="0" fontId="62" fillId="0" borderId="3" applyNumberFormat="0" applyFill="0" applyAlignment="0" applyProtection="0"/>
    <xf numFmtId="0" fontId="62" fillId="0" borderId="3" applyNumberFormat="0" applyFill="0" applyAlignment="0" applyProtection="0"/>
    <xf numFmtId="1" fontId="17" fillId="0" borderId="0" applyNumberFormat="0" applyFill="0" applyBorder="0" applyAlignment="0" applyProtection="0">
      <alignment horizontal="center"/>
    </xf>
    <xf numFmtId="1" fontId="20" fillId="0" borderId="0" applyNumberFormat="0" applyFill="0" applyBorder="0" applyAlignment="0" applyProtection="0">
      <alignment horizontal="center"/>
    </xf>
    <xf numFmtId="0" fontId="17" fillId="0" borderId="0"/>
    <xf numFmtId="0" fontId="17" fillId="0" borderId="0"/>
    <xf numFmtId="0" fontId="17" fillId="0" borderId="0"/>
    <xf numFmtId="289" fontId="21" fillId="0" borderId="0">
      <alignment horizontal="center"/>
    </xf>
    <xf numFmtId="6" fontId="25" fillId="0" borderId="0">
      <alignment horizontal="right" vertical="center"/>
    </xf>
    <xf numFmtId="37" fontId="25" fillId="31" borderId="17">
      <alignment horizontal="right" vertical="center"/>
    </xf>
    <xf numFmtId="38" fontId="25" fillId="0" borderId="0">
      <alignment horizontal="right" vertical="center"/>
    </xf>
    <xf numFmtId="9" fontId="25" fillId="0" borderId="0">
      <alignment horizontal="right" vertical="center"/>
    </xf>
    <xf numFmtId="0" fontId="25" fillId="0" borderId="0"/>
    <xf numFmtId="270" fontId="47" fillId="66" borderId="0" applyNumberFormat="0" applyFont="0" applyBorder="0" applyAlignment="0">
      <protection hidden="1"/>
    </xf>
    <xf numFmtId="0" fontId="17" fillId="0" borderId="0"/>
    <xf numFmtId="0" fontId="43" fillId="0" borderId="44"/>
    <xf numFmtId="0" fontId="43" fillId="0" borderId="44"/>
    <xf numFmtId="0" fontId="17" fillId="0" borderId="0"/>
    <xf numFmtId="0" fontId="17" fillId="0" borderId="0">
      <alignment vertical="top"/>
    </xf>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29" fillId="0" borderId="0">
      <alignment vertical="top"/>
    </xf>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alignment vertical="top"/>
    </xf>
    <xf numFmtId="0" fontId="17" fillId="0" borderId="0"/>
    <xf numFmtId="0" fontId="17" fillId="0" borderId="0"/>
    <xf numFmtId="0" fontId="17" fillId="0" borderId="0"/>
    <xf numFmtId="0" fontId="81" fillId="0" borderId="45" applyNumberFormat="0" applyFill="0" applyProtection="0">
      <alignment horizontal="right" wrapText="1"/>
    </xf>
    <xf numFmtId="0" fontId="81" fillId="0" borderId="45" applyNumberFormat="0" applyFill="0" applyProtection="0">
      <alignment horizontal="right" wrapText="1"/>
    </xf>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47" fillId="0" borderId="0" applyNumberFormat="0" applyFill="0" applyBorder="0" applyAlignment="0" applyProtection="0"/>
    <xf numFmtId="0" fontId="47" fillId="0" borderId="0" applyNumberFormat="0" applyFill="0" applyBorder="0" applyAlignment="0" applyProtection="0"/>
    <xf numFmtId="0" fontId="17" fillId="0" borderId="0"/>
    <xf numFmtId="0" fontId="47" fillId="0" borderId="0" applyNumberFormat="0" applyFill="0" applyBorder="0" applyAlignment="0" applyProtection="0"/>
    <xf numFmtId="0" fontId="47" fillId="0" borderId="0" applyNumberForma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42" fillId="0" borderId="0"/>
    <xf numFmtId="270" fontId="26" fillId="0" borderId="0" applyFill="0" applyBorder="0" applyAlignment="0" applyProtection="0"/>
    <xf numFmtId="0" fontId="17" fillId="0" borderId="0"/>
    <xf numFmtId="0" fontId="36" fillId="0" borderId="46"/>
    <xf numFmtId="0" fontId="143"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341" fontId="144" fillId="0" borderId="45" applyBorder="0" applyProtection="0">
      <alignment horizontal="right" vertical="center"/>
    </xf>
    <xf numFmtId="341" fontId="144" fillId="0" borderId="45" applyBorder="0" applyProtection="0">
      <alignment horizontal="right" vertical="center"/>
    </xf>
    <xf numFmtId="0" fontId="17" fillId="0" borderId="0"/>
    <xf numFmtId="0" fontId="17" fillId="0" borderId="0"/>
    <xf numFmtId="0" fontId="145" fillId="34" borderId="45" applyBorder="0" applyProtection="0">
      <alignment horizontal="centerContinuous" vertical="center"/>
    </xf>
    <xf numFmtId="0" fontId="145" fillId="34" borderId="45" applyBorder="0" applyProtection="0">
      <alignment horizontal="centerContinuous" vertical="center"/>
    </xf>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47" applyAlignment="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5" fontId="146" fillId="0" borderId="0"/>
    <xf numFmtId="270" fontId="17" fillId="67" borderId="0" applyNumberFormat="0" applyFont="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265" fontId="17" fillId="0" borderId="0" applyFont="0" applyFill="0" applyBorder="0" applyAlignment="0" applyProtection="0">
      <alignment horizontal="center"/>
    </xf>
    <xf numFmtId="0" fontId="147" fillId="0" borderId="2" applyNumberFormat="0" applyFill="0" applyAlignment="0" applyProtection="0"/>
    <xf numFmtId="0" fontId="148" fillId="0" borderId="0" applyNumberFormat="0" applyFill="0" applyBorder="0" applyAlignment="0" applyProtection="0"/>
    <xf numFmtId="0" fontId="154" fillId="0" borderId="0"/>
    <xf numFmtId="9" fontId="156" fillId="0" borderId="0" applyFont="0" applyFill="0" applyBorder="0" applyAlignment="0" applyProtection="0"/>
    <xf numFmtId="44" fontId="158" fillId="0" borderId="0" applyFont="0" applyFill="0" applyBorder="0" applyAlignment="0" applyProtection="0"/>
    <xf numFmtId="9" fontId="158" fillId="0" borderId="0" applyFont="0" applyFill="0" applyBorder="0" applyAlignment="0" applyProtection="0"/>
    <xf numFmtId="43" fontId="158" fillId="0" borderId="0" applyFont="0" applyFill="0" applyBorder="0" applyAlignment="0" applyProtection="0"/>
    <xf numFmtId="43" fontId="156" fillId="0" borderId="0" applyFont="0" applyFill="0" applyBorder="0" applyAlignment="0" applyProtection="0"/>
    <xf numFmtId="43" fontId="156" fillId="0" borderId="0" applyFont="0" applyFill="0" applyBorder="0" applyAlignment="0" applyProtection="0"/>
    <xf numFmtId="43" fontId="11" fillId="0" borderId="0" applyFont="0" applyFill="0" applyBorder="0" applyAlignment="0" applyProtection="0"/>
    <xf numFmtId="9" fontId="11" fillId="0" borderId="0" applyFont="0" applyFill="0" applyBorder="0" applyAlignment="0" applyProtection="0"/>
    <xf numFmtId="44" fontId="11" fillId="0" borderId="0" applyFont="0" applyFill="0" applyBorder="0" applyAlignment="0" applyProtection="0"/>
    <xf numFmtId="0" fontId="45" fillId="32" borderId="65">
      <alignment horizontal="center"/>
    </xf>
    <xf numFmtId="0" fontId="46" fillId="35" borderId="65">
      <alignment horizontal="center" vertical="center"/>
    </xf>
    <xf numFmtId="3" fontId="47" fillId="0" borderId="65"/>
    <xf numFmtId="4" fontId="47" fillId="0" borderId="65"/>
    <xf numFmtId="219" fontId="17" fillId="0" borderId="65">
      <alignment horizontal="center" vertical="center"/>
    </xf>
    <xf numFmtId="0" fontId="48" fillId="0" borderId="65">
      <alignment horizontal="center"/>
    </xf>
    <xf numFmtId="0" fontId="49" fillId="36" borderId="65">
      <alignment horizontal="center"/>
    </xf>
    <xf numFmtId="0" fontId="45" fillId="32" borderId="65"/>
    <xf numFmtId="0" fontId="46" fillId="35" borderId="65">
      <alignment horizontal="center" vertical="center"/>
    </xf>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37" fontId="46" fillId="1" borderId="66">
      <alignment horizontal="centerContinuous" vertical="center"/>
    </xf>
    <xf numFmtId="37" fontId="46" fillId="1" borderId="66">
      <alignment horizontal="centerContinuous" vertical="center"/>
    </xf>
    <xf numFmtId="37" fontId="78" fillId="58" borderId="62" applyBorder="0" applyProtection="0">
      <alignment vertical="center"/>
    </xf>
    <xf numFmtId="37" fontId="78" fillId="58" borderId="62" applyBorder="0" applyProtection="0">
      <alignment vertical="center"/>
    </xf>
    <xf numFmtId="37" fontId="78" fillId="58" borderId="62" applyBorder="0" applyProtection="0">
      <alignment vertical="center"/>
    </xf>
    <xf numFmtId="37" fontId="78" fillId="58" borderId="62" applyBorder="0" applyProtection="0">
      <alignment vertical="center"/>
    </xf>
    <xf numFmtId="37" fontId="78" fillId="58" borderId="62" applyBorder="0" applyProtection="0">
      <alignment vertical="center"/>
    </xf>
    <xf numFmtId="37" fontId="78" fillId="58" borderId="62" applyBorder="0" applyProtection="0">
      <alignment vertical="center"/>
    </xf>
    <xf numFmtId="37" fontId="78" fillId="58" borderId="62" applyBorder="0" applyProtection="0">
      <alignment vertical="center"/>
    </xf>
    <xf numFmtId="37" fontId="78" fillId="58" borderId="62" applyBorder="0" applyProtection="0">
      <alignment vertical="center"/>
    </xf>
    <xf numFmtId="37" fontId="78" fillId="58" borderId="62" applyBorder="0" applyProtection="0">
      <alignment vertical="center"/>
    </xf>
    <xf numFmtId="37" fontId="78" fillId="58" borderId="62" applyBorder="0" applyProtection="0">
      <alignment vertical="center"/>
    </xf>
    <xf numFmtId="37" fontId="78" fillId="58" borderId="62" applyBorder="0" applyProtection="0">
      <alignment vertical="center"/>
    </xf>
    <xf numFmtId="37" fontId="78" fillId="58" borderId="62" applyBorder="0" applyProtection="0">
      <alignment vertical="center"/>
    </xf>
    <xf numFmtId="37" fontId="78" fillId="58" borderId="62" applyBorder="0" applyProtection="0">
      <alignment vertical="center"/>
    </xf>
    <xf numFmtId="37" fontId="78" fillId="58" borderId="62" applyBorder="0" applyProtection="0">
      <alignment vertical="center"/>
    </xf>
    <xf numFmtId="37" fontId="78" fillId="58" borderId="62" applyBorder="0" applyProtection="0">
      <alignment vertical="center"/>
    </xf>
    <xf numFmtId="37" fontId="78" fillId="58" borderId="62" applyBorder="0" applyProtection="0">
      <alignment vertical="center"/>
    </xf>
    <xf numFmtId="37" fontId="78" fillId="58" borderId="62" applyBorder="0" applyProtection="0">
      <alignment vertical="center"/>
    </xf>
    <xf numFmtId="37" fontId="78" fillId="58" borderId="62" applyBorder="0" applyProtection="0">
      <alignment vertical="center"/>
    </xf>
    <xf numFmtId="37" fontId="78" fillId="58" borderId="62" applyBorder="0" applyProtection="0">
      <alignment vertical="center"/>
    </xf>
    <xf numFmtId="37" fontId="78" fillId="58" borderId="62" applyBorder="0" applyProtection="0">
      <alignment vertical="center"/>
    </xf>
    <xf numFmtId="37" fontId="78" fillId="58" borderId="62" applyBorder="0" applyProtection="0">
      <alignment vertical="center"/>
    </xf>
    <xf numFmtId="37" fontId="78" fillId="58" borderId="62" applyBorder="0" applyProtection="0">
      <alignment vertical="center"/>
    </xf>
    <xf numFmtId="37" fontId="78" fillId="58" borderId="62" applyBorder="0" applyProtection="0">
      <alignment vertical="center"/>
    </xf>
    <xf numFmtId="37" fontId="78" fillId="58" borderId="62" applyBorder="0" applyProtection="0">
      <alignment vertical="center"/>
    </xf>
    <xf numFmtId="37" fontId="78" fillId="58" borderId="62" applyBorder="0" applyProtection="0">
      <alignment vertical="center"/>
    </xf>
    <xf numFmtId="177" fontId="26" fillId="0" borderId="66"/>
    <xf numFmtId="177" fontId="26" fillId="0" borderId="66"/>
    <xf numFmtId="177" fontId="26" fillId="0" borderId="66"/>
    <xf numFmtId="177" fontId="26" fillId="0" borderId="66"/>
    <xf numFmtId="177" fontId="26" fillId="0" borderId="66"/>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5" fontId="57" fillId="0" borderId="66" applyAlignment="0" applyProtection="0"/>
    <xf numFmtId="0" fontId="94" fillId="61" borderId="65"/>
    <xf numFmtId="0" fontId="94" fillId="61" borderId="65"/>
    <xf numFmtId="0" fontId="94" fillId="61" borderId="65"/>
    <xf numFmtId="0" fontId="94" fillId="61" borderId="65"/>
    <xf numFmtId="0" fontId="94" fillId="61" borderId="65"/>
    <xf numFmtId="0" fontId="94" fillId="61" borderId="65"/>
    <xf numFmtId="0" fontId="94" fillId="61" borderId="65"/>
    <xf numFmtId="0" fontId="94" fillId="61" borderId="65"/>
    <xf numFmtId="0" fontId="94" fillId="61" borderId="65"/>
    <xf numFmtId="0" fontId="94" fillId="61" borderId="65"/>
    <xf numFmtId="0" fontId="94" fillId="61" borderId="65"/>
    <xf numFmtId="0" fontId="94" fillId="61" borderId="65"/>
    <xf numFmtId="0" fontId="94" fillId="61" borderId="65"/>
    <xf numFmtId="0" fontId="94" fillId="61" borderId="65"/>
    <xf numFmtId="0" fontId="94" fillId="61" borderId="65"/>
    <xf numFmtId="0" fontId="94" fillId="61" borderId="65"/>
    <xf numFmtId="0" fontId="94" fillId="61" borderId="65"/>
    <xf numFmtId="0" fontId="94" fillId="61" borderId="65"/>
    <xf numFmtId="0" fontId="94" fillId="61" borderId="65"/>
    <xf numFmtId="0" fontId="94" fillId="61" borderId="65"/>
    <xf numFmtId="0" fontId="94" fillId="61" borderId="65"/>
    <xf numFmtId="0" fontId="94" fillId="61" borderId="65"/>
    <xf numFmtId="0" fontId="94" fillId="61" borderId="65"/>
    <xf numFmtId="0" fontId="94" fillId="61" borderId="65"/>
    <xf numFmtId="0" fontId="94" fillId="61" borderId="65"/>
    <xf numFmtId="0" fontId="94" fillId="61" borderId="65"/>
    <xf numFmtId="0" fontId="94" fillId="61" borderId="65"/>
    <xf numFmtId="0" fontId="94" fillId="61" borderId="65"/>
    <xf numFmtId="0" fontId="94" fillId="61" borderId="65"/>
    <xf numFmtId="0" fontId="94" fillId="61" borderId="65"/>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0" fontId="105" fillId="0" borderId="65"/>
    <xf numFmtId="0" fontId="105" fillId="0" borderId="65"/>
    <xf numFmtId="0" fontId="105" fillId="0" borderId="65"/>
    <xf numFmtId="0" fontId="105" fillId="0" borderId="65"/>
    <xf numFmtId="0" fontId="105" fillId="0" borderId="65"/>
    <xf numFmtId="0" fontId="105" fillId="0" borderId="65"/>
    <xf numFmtId="0" fontId="105" fillId="0" borderId="65"/>
    <xf numFmtId="0" fontId="105" fillId="0" borderId="65"/>
    <xf numFmtId="0" fontId="105" fillId="0" borderId="65"/>
    <xf numFmtId="0" fontId="105" fillId="0" borderId="65"/>
    <xf numFmtId="0" fontId="105" fillId="0" borderId="65"/>
    <xf numFmtId="0" fontId="105" fillId="0" borderId="65"/>
    <xf numFmtId="0" fontId="105" fillId="0" borderId="65"/>
    <xf numFmtId="0" fontId="105" fillId="0" borderId="65"/>
    <xf numFmtId="0" fontId="105" fillId="0" borderId="65"/>
    <xf numFmtId="0" fontId="105" fillId="0" borderId="65"/>
    <xf numFmtId="0" fontId="105" fillId="0" borderId="65"/>
    <xf numFmtId="0" fontId="105" fillId="0" borderId="65"/>
    <xf numFmtId="0" fontId="105" fillId="0" borderId="65"/>
    <xf numFmtId="0" fontId="105" fillId="0" borderId="65"/>
    <xf numFmtId="0" fontId="105" fillId="0" borderId="65"/>
    <xf numFmtId="0" fontId="105" fillId="0" borderId="65"/>
    <xf numFmtId="0" fontId="105" fillId="0" borderId="65"/>
    <xf numFmtId="0" fontId="105" fillId="0" borderId="65"/>
    <xf numFmtId="0" fontId="105" fillId="0" borderId="65"/>
    <xf numFmtId="0" fontId="105" fillId="0" borderId="65"/>
    <xf numFmtId="0" fontId="105" fillId="0" borderId="65"/>
    <xf numFmtId="0" fontId="105" fillId="0" borderId="65"/>
    <xf numFmtId="0" fontId="105" fillId="0" borderId="65"/>
    <xf numFmtId="0" fontId="105" fillId="0" borderId="65"/>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302" fontId="87" fillId="0" borderId="66" applyFont="0" applyFill="0" applyBorder="0" applyAlignment="0" applyProtection="0">
      <alignment horizontal="center"/>
    </xf>
    <xf numFmtId="302" fontId="87" fillId="0" borderId="66" applyFont="0" applyFill="0" applyBorder="0" applyAlignment="0" applyProtection="0">
      <alignment horizontal="center"/>
    </xf>
    <xf numFmtId="302" fontId="87" fillId="0" borderId="66" applyFont="0" applyFill="0" applyBorder="0" applyAlignment="0" applyProtection="0">
      <alignment horizontal="center"/>
    </xf>
    <xf numFmtId="302" fontId="87" fillId="0" borderId="66" applyFont="0" applyFill="0" applyBorder="0" applyAlignment="0" applyProtection="0">
      <alignment horizontal="center"/>
    </xf>
    <xf numFmtId="302" fontId="87" fillId="0" borderId="66" applyFont="0" applyFill="0" applyBorder="0" applyAlignment="0" applyProtection="0">
      <alignment horizontal="center"/>
    </xf>
    <xf numFmtId="302" fontId="87" fillId="0" borderId="66" applyFont="0" applyFill="0" applyBorder="0" applyAlignment="0" applyProtection="0">
      <alignment horizontal="center"/>
    </xf>
    <xf numFmtId="186" fontId="47" fillId="0" borderId="66" applyFont="0" applyFill="0" applyBorder="0" applyAlignment="0" applyProtection="0">
      <alignment horizontal="center"/>
    </xf>
    <xf numFmtId="186" fontId="47" fillId="0" borderId="66" applyFont="0" applyFill="0" applyBorder="0" applyAlignment="0" applyProtection="0">
      <alignment horizontal="center"/>
    </xf>
    <xf numFmtId="186" fontId="47" fillId="0" borderId="66" applyFont="0" applyFill="0" applyBorder="0" applyAlignment="0" applyProtection="0">
      <alignment horizontal="center"/>
    </xf>
    <xf numFmtId="186" fontId="47" fillId="0" borderId="66" applyFont="0" applyFill="0" applyBorder="0" applyAlignment="0" applyProtection="0">
      <alignment horizontal="center"/>
    </xf>
    <xf numFmtId="186" fontId="47" fillId="0" borderId="66" applyFont="0" applyFill="0" applyBorder="0" applyAlignment="0" applyProtection="0">
      <alignment horizontal="center"/>
    </xf>
    <xf numFmtId="186" fontId="47" fillId="0" borderId="66" applyFont="0" applyFill="0" applyBorder="0" applyAlignment="0" applyProtection="0">
      <alignment horizontal="center"/>
    </xf>
    <xf numFmtId="2" fontId="17" fillId="36" borderId="62" applyFill="0" applyBorder="0" applyProtection="0">
      <alignment horizontal="center"/>
    </xf>
    <xf numFmtId="2" fontId="17" fillId="36" borderId="62" applyFill="0" applyBorder="0" applyProtection="0">
      <alignment horizontal="center"/>
    </xf>
    <xf numFmtId="2" fontId="17" fillId="36" borderId="62" applyFill="0" applyBorder="0" applyProtection="0">
      <alignment horizontal="center"/>
    </xf>
    <xf numFmtId="2" fontId="17" fillId="36" borderId="62" applyFill="0" applyBorder="0" applyProtection="0">
      <alignment horizontal="center"/>
    </xf>
    <xf numFmtId="2" fontId="17" fillId="36" borderId="62" applyFill="0" applyBorder="0" applyProtection="0">
      <alignment horizontal="center"/>
    </xf>
    <xf numFmtId="2" fontId="17" fillId="36" borderId="62" applyFill="0" applyBorder="0" applyProtection="0">
      <alignment horizontal="center"/>
    </xf>
    <xf numFmtId="0" fontId="115" fillId="0" borderId="67">
      <alignment horizontal="left" vertical="center"/>
    </xf>
    <xf numFmtId="0" fontId="115" fillId="0" borderId="67">
      <alignment horizontal="left" vertical="center"/>
    </xf>
    <xf numFmtId="0" fontId="115" fillId="0" borderId="67">
      <alignment horizontal="left" vertical="center"/>
    </xf>
    <xf numFmtId="0" fontId="115" fillId="0" borderId="67">
      <alignment horizontal="left" vertical="center"/>
    </xf>
    <xf numFmtId="1" fontId="47" fillId="0" borderId="66" applyNumberFormat="0" applyFont="0" applyFill="0" applyProtection="0">
      <alignment horizontal="center"/>
    </xf>
    <xf numFmtId="1" fontId="47" fillId="0" borderId="66" applyNumberFormat="0" applyFont="0" applyFill="0" applyProtection="0">
      <alignment horizontal="center"/>
    </xf>
    <xf numFmtId="1" fontId="47" fillId="0" borderId="66" applyNumberFormat="0" applyFont="0" applyFill="0" applyProtection="0">
      <alignment horizontal="center"/>
    </xf>
    <xf numFmtId="1" fontId="47" fillId="0" borderId="66" applyNumberFormat="0" applyFont="0" applyFill="0" applyProtection="0">
      <alignment horizontal="center"/>
    </xf>
    <xf numFmtId="1" fontId="47" fillId="0" borderId="66" applyNumberFormat="0" applyFont="0" applyFill="0" applyProtection="0">
      <alignment horizontal="center"/>
    </xf>
    <xf numFmtId="1" fontId="47" fillId="0" borderId="66" applyNumberFormat="0" applyFont="0" applyFill="0" applyProtection="0">
      <alignment horizont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247" fontId="11" fillId="0" borderId="0"/>
    <xf numFmtId="0" fontId="11" fillId="0" borderId="0"/>
    <xf numFmtId="0" fontId="11" fillId="0" borderId="0"/>
    <xf numFmtId="0" fontId="11" fillId="0" borderId="0"/>
    <xf numFmtId="0" fontId="11" fillId="0" borderId="0"/>
    <xf numFmtId="0" fontId="11" fillId="3" borderId="1" applyNumberFormat="0" applyFont="0" applyAlignment="0" applyProtection="0"/>
    <xf numFmtId="0" fontId="11" fillId="3" borderId="1" applyNumberFormat="0" applyFont="0" applyAlignment="0" applyProtection="0"/>
    <xf numFmtId="0" fontId="11" fillId="3" borderId="1" applyNumberFormat="0" applyFont="0" applyAlignment="0" applyProtection="0"/>
    <xf numFmtId="0" fontId="11" fillId="3" borderId="1" applyNumberFormat="0" applyFont="0" applyAlignment="0" applyProtection="0"/>
    <xf numFmtId="0" fontId="11" fillId="3" borderId="1" applyNumberFormat="0" applyFont="0" applyAlignment="0" applyProtection="0"/>
    <xf numFmtId="0" fontId="11" fillId="3" borderId="1" applyNumberFormat="0" applyFont="0" applyAlignment="0" applyProtection="0"/>
    <xf numFmtId="0" fontId="11" fillId="3" borderId="1" applyNumberFormat="0" applyFont="0" applyAlignment="0" applyProtection="0"/>
    <xf numFmtId="0" fontId="11" fillId="3" borderId="1" applyNumberFormat="0" applyFont="0" applyAlignment="0" applyProtection="0"/>
    <xf numFmtId="0" fontId="11" fillId="3" borderId="1" applyNumberFormat="0" applyFont="0" applyAlignment="0" applyProtection="0"/>
    <xf numFmtId="0" fontId="11" fillId="3" borderId="1" applyNumberFormat="0" applyFont="0" applyAlignment="0" applyProtection="0"/>
    <xf numFmtId="0" fontId="11" fillId="3" borderId="1" applyNumberFormat="0" applyFont="0" applyAlignment="0" applyProtection="0"/>
    <xf numFmtId="0" fontId="11" fillId="3" borderId="1" applyNumberFormat="0" applyFont="0" applyAlignment="0" applyProtection="0"/>
    <xf numFmtId="9" fontId="11" fillId="0" borderId="0" applyFont="0" applyFill="0" applyBorder="0" applyAlignment="0" applyProtection="0"/>
    <xf numFmtId="9" fontId="11" fillId="0" borderId="0" applyFont="0" applyFill="0" applyBorder="0" applyAlignment="0" applyProtection="0"/>
    <xf numFmtId="339" fontId="17" fillId="0" borderId="63" applyBorder="0">
      <alignment horizontal="right"/>
    </xf>
    <xf numFmtId="339" fontId="17" fillId="0" borderId="63" applyBorder="0">
      <alignment horizontal="right"/>
    </xf>
    <xf numFmtId="339" fontId="17" fillId="0" borderId="63" applyBorder="0">
      <alignment horizontal="right"/>
    </xf>
    <xf numFmtId="339" fontId="17" fillId="0" borderId="63" applyBorder="0">
      <alignment horizontal="right"/>
    </xf>
    <xf numFmtId="0" fontId="115" fillId="62" borderId="65">
      <alignment horizontal="center" vertical="center" wrapText="1"/>
      <protection hidden="1"/>
    </xf>
    <xf numFmtId="0" fontId="115" fillId="62" borderId="65">
      <alignment horizontal="center" vertical="center" wrapText="1"/>
      <protection hidden="1"/>
    </xf>
    <xf numFmtId="0" fontId="115" fillId="62" borderId="65">
      <alignment horizontal="center" vertical="center" wrapText="1"/>
      <protection hidden="1"/>
    </xf>
    <xf numFmtId="0" fontId="115" fillId="62" borderId="65">
      <alignment horizontal="center" vertical="center" wrapText="1"/>
      <protection hidden="1"/>
    </xf>
    <xf numFmtId="0" fontId="115" fillId="62" borderId="65">
      <alignment horizontal="center" vertical="center" wrapText="1"/>
      <protection hidden="1"/>
    </xf>
    <xf numFmtId="0" fontId="115" fillId="62" borderId="65">
      <alignment horizontal="center" vertical="center" wrapText="1"/>
      <protection hidden="1"/>
    </xf>
    <xf numFmtId="0" fontId="141" fillId="1" borderId="67" applyNumberFormat="0" applyFont="0" applyAlignment="0">
      <alignment horizontal="center"/>
    </xf>
    <xf numFmtId="0" fontId="141" fillId="1" borderId="67" applyNumberFormat="0" applyFont="0" applyAlignment="0">
      <alignment horizontal="center"/>
    </xf>
    <xf numFmtId="0" fontId="141" fillId="1" borderId="67" applyNumberFormat="0" applyFont="0" applyAlignment="0">
      <alignment horizontal="center"/>
    </xf>
    <xf numFmtId="0" fontId="141" fillId="1" borderId="67" applyNumberFormat="0" applyFont="0" applyAlignment="0">
      <alignment horizontal="center"/>
    </xf>
    <xf numFmtId="37" fontId="17" fillId="0" borderId="65" applyBorder="0">
      <alignment horizontal="right"/>
      <protection locked="0"/>
    </xf>
    <xf numFmtId="37" fontId="17" fillId="0" borderId="65" applyBorder="0">
      <alignment horizontal="right"/>
      <protection locked="0"/>
    </xf>
    <xf numFmtId="37" fontId="17" fillId="0" borderId="65" applyBorder="0">
      <alignment horizontal="right"/>
      <protection locked="0"/>
    </xf>
    <xf numFmtId="37" fontId="17" fillId="0" borderId="65" applyBorder="0">
      <alignment horizontal="right"/>
      <protection locked="0"/>
    </xf>
    <xf numFmtId="37" fontId="17" fillId="0" borderId="65" applyBorder="0">
      <alignment horizontal="right"/>
      <protection locked="0"/>
    </xf>
    <xf numFmtId="37" fontId="17" fillId="0" borderId="65" applyBorder="0">
      <alignment horizontal="right"/>
      <protection locked="0"/>
    </xf>
    <xf numFmtId="0" fontId="159" fillId="0" borderId="0"/>
    <xf numFmtId="43" fontId="159" fillId="0" borderId="0" applyFont="0" applyFill="0" applyBorder="0" applyAlignment="0" applyProtection="0"/>
    <xf numFmtId="44" fontId="159" fillId="0" borderId="0" applyFont="0" applyFill="0" applyBorder="0" applyAlignment="0" applyProtection="0"/>
    <xf numFmtId="0" fontId="11" fillId="0" borderId="0"/>
    <xf numFmtId="0" fontId="43" fillId="0" borderId="0"/>
    <xf numFmtId="0" fontId="26" fillId="0" borderId="0">
      <alignment horizontal="right"/>
    </xf>
    <xf numFmtId="346" fontId="160" fillId="0" borderId="0">
      <alignment horizontal="right"/>
    </xf>
    <xf numFmtId="0" fontId="161" fillId="0" borderId="0"/>
    <xf numFmtId="0" fontId="17" fillId="0" borderId="0"/>
    <xf numFmtId="0" fontId="161" fillId="0" borderId="0"/>
    <xf numFmtId="0" fontId="17" fillId="0" borderId="0"/>
    <xf numFmtId="0" fontId="17" fillId="0" borderId="0"/>
    <xf numFmtId="0" fontId="17" fillId="0" borderId="0"/>
    <xf numFmtId="0" fontId="161" fillId="0" borderId="0"/>
    <xf numFmtId="0" fontId="161" fillId="0" borderId="0"/>
    <xf numFmtId="0" fontId="17" fillId="0" borderId="0"/>
    <xf numFmtId="0" fontId="17" fillId="0" borderId="0"/>
    <xf numFmtId="0" fontId="21" fillId="0" borderId="0">
      <alignment horizontal="right"/>
    </xf>
    <xf numFmtId="0" fontId="21" fillId="29" borderId="0"/>
    <xf numFmtId="0" fontId="17" fillId="29" borderId="0"/>
    <xf numFmtId="0" fontId="162" fillId="29" borderId="0"/>
    <xf numFmtId="0" fontId="162" fillId="29" borderId="0"/>
    <xf numFmtId="0" fontId="21" fillId="29" borderId="0">
      <alignment horizontal="right"/>
    </xf>
    <xf numFmtId="7" fontId="17" fillId="0" borderId="0">
      <alignment horizontal="right"/>
    </xf>
    <xf numFmtId="9" fontId="24" fillId="0" borderId="0" applyFont="0" applyFill="0" applyBorder="0" applyAlignment="0" applyProtection="0"/>
    <xf numFmtId="9" fontId="17" fillId="0" borderId="0"/>
    <xf numFmtId="0" fontId="70" fillId="37" borderId="0" applyNumberFormat="0" applyBorder="0" applyAlignment="0" applyProtection="0"/>
    <xf numFmtId="0" fontId="70" fillId="38" borderId="0" applyNumberFormat="0" applyBorder="0" applyAlignment="0" applyProtection="0"/>
    <xf numFmtId="0" fontId="70" fillId="39" borderId="0" applyNumberFormat="0" applyBorder="0" applyAlignment="0" applyProtection="0"/>
    <xf numFmtId="0" fontId="70" fillId="40" borderId="0" applyNumberFormat="0" applyBorder="0" applyAlignment="0" applyProtection="0"/>
    <xf numFmtId="0" fontId="70" fillId="41" borderId="0" applyNumberFormat="0" applyBorder="0" applyAlignment="0" applyProtection="0"/>
    <xf numFmtId="0" fontId="70" fillId="42" borderId="0" applyNumberFormat="0" applyBorder="0" applyAlignment="0" applyProtection="0"/>
    <xf numFmtId="0" fontId="70" fillId="45" borderId="0" applyNumberFormat="0" applyBorder="0" applyAlignment="0" applyProtection="0"/>
    <xf numFmtId="0" fontId="70" fillId="46" borderId="0" applyNumberFormat="0" applyBorder="0" applyAlignment="0" applyProtection="0"/>
    <xf numFmtId="0" fontId="70" fillId="47" borderId="0" applyNumberFormat="0" applyBorder="0" applyAlignment="0" applyProtection="0"/>
    <xf numFmtId="0" fontId="70" fillId="40" borderId="0" applyNumberFormat="0" applyBorder="0" applyAlignment="0" applyProtection="0"/>
    <xf numFmtId="0" fontId="70" fillId="45" borderId="0" applyNumberFormat="0" applyBorder="0" applyAlignment="0" applyProtection="0"/>
    <xf numFmtId="0" fontId="70" fillId="48" borderId="0" applyNumberFormat="0" applyBorder="0" applyAlignment="0" applyProtection="0"/>
    <xf numFmtId="0" fontId="74" fillId="49" borderId="0" applyNumberFormat="0" applyBorder="0" applyAlignment="0" applyProtection="0"/>
    <xf numFmtId="0" fontId="74" fillId="46" borderId="0" applyNumberFormat="0" applyBorder="0" applyAlignment="0" applyProtection="0"/>
    <xf numFmtId="0" fontId="74" fillId="47" borderId="0" applyNumberFormat="0" applyBorder="0" applyAlignment="0" applyProtection="0"/>
    <xf numFmtId="0" fontId="74" fillId="50" borderId="0" applyNumberFormat="0" applyBorder="0" applyAlignment="0" applyProtection="0"/>
    <xf numFmtId="0" fontId="74" fillId="51" borderId="0" applyNumberFormat="0" applyBorder="0" applyAlignment="0" applyProtection="0"/>
    <xf numFmtId="0" fontId="74" fillId="52" borderId="0" applyNumberFormat="0" applyBorder="0" applyAlignment="0" applyProtection="0"/>
    <xf numFmtId="39" fontId="17" fillId="0" borderId="0" applyFont="0" applyFill="0" applyBorder="0" applyAlignment="0" applyProtection="0"/>
    <xf numFmtId="38" fontId="17" fillId="0" borderId="0"/>
    <xf numFmtId="347" fontId="17" fillId="0" borderId="0" applyFont="0" applyFill="0" applyBorder="0" applyAlignment="0" applyProtection="0"/>
    <xf numFmtId="0" fontId="17" fillId="0" borderId="0"/>
    <xf numFmtId="0" fontId="47" fillId="0" borderId="0"/>
    <xf numFmtId="348" fontId="17" fillId="0" borderId="0" applyFont="0" applyFill="0" applyBorder="0" applyAlignment="0" applyProtection="0"/>
    <xf numFmtId="349" fontId="17" fillId="0" borderId="0" applyFont="0" applyFill="0" applyBorder="0" applyAlignment="0" applyProtection="0"/>
    <xf numFmtId="270" fontId="47" fillId="0" borderId="0"/>
    <xf numFmtId="0" fontId="31" fillId="0" borderId="0">
      <alignment vertical="center"/>
    </xf>
    <xf numFmtId="0" fontId="17" fillId="0" borderId="0" applyNumberFormat="0" applyFill="0" applyBorder="0" applyAlignment="0" applyProtection="0"/>
    <xf numFmtId="0" fontId="163" fillId="0" borderId="0"/>
    <xf numFmtId="0" fontId="17" fillId="0" borderId="0"/>
    <xf numFmtId="0" fontId="164" fillId="0" borderId="0"/>
    <xf numFmtId="0" fontId="17" fillId="0" borderId="0">
      <alignment horizontal="left" wrapText="1"/>
    </xf>
    <xf numFmtId="0" fontId="21" fillId="0" borderId="0" applyFont="0" applyFill="0" applyBorder="0" applyAlignment="0" applyProtection="0"/>
    <xf numFmtId="0" fontId="47" fillId="0" borderId="0" applyFont="0" applyFill="0" applyBorder="0" applyAlignment="0" applyProtection="0"/>
    <xf numFmtId="0" fontId="92" fillId="0" borderId="0"/>
    <xf numFmtId="0" fontId="21" fillId="0" borderId="0"/>
    <xf numFmtId="0" fontId="17" fillId="29" borderId="0"/>
    <xf numFmtId="0" fontId="165" fillId="76" borderId="0"/>
    <xf numFmtId="0" fontId="166" fillId="77" borderId="0"/>
    <xf numFmtId="0" fontId="167" fillId="78" borderId="0"/>
    <xf numFmtId="0" fontId="168" fillId="0" borderId="0"/>
    <xf numFmtId="0" fontId="36" fillId="0" borderId="0"/>
    <xf numFmtId="0" fontId="21" fillId="0" borderId="0"/>
    <xf numFmtId="0" fontId="43" fillId="0" borderId="0" applyFont="0" applyFill="0" applyBorder="0" applyAlignment="0" applyProtection="0"/>
    <xf numFmtId="350" fontId="17" fillId="0" borderId="0" applyFont="0" applyFill="0" applyBorder="0" applyAlignment="0" applyProtection="0"/>
    <xf numFmtId="192" fontId="17" fillId="0" borderId="0" applyFont="0" applyFill="0" applyBorder="0" applyAlignment="0" applyProtection="0"/>
    <xf numFmtId="39" fontId="17" fillId="0" borderId="0" applyFont="0" applyFill="0" applyBorder="0" applyAlignment="0" applyProtection="0"/>
    <xf numFmtId="39" fontId="17" fillId="0" borderId="0" applyFont="0" applyFill="0" applyBorder="0" applyAlignment="0" applyProtection="0"/>
    <xf numFmtId="192" fontId="17" fillId="0" borderId="0" applyFont="0" applyFill="0" applyBorder="0" applyAlignment="0" applyProtection="0"/>
    <xf numFmtId="39" fontId="17" fillId="0" borderId="0" applyFont="0" applyFill="0" applyBorder="0" applyAlignment="0" applyProtection="0"/>
    <xf numFmtId="4" fontId="17" fillId="36" borderId="0"/>
    <xf numFmtId="0" fontId="17" fillId="0" borderId="0" applyFont="0" applyFill="0" applyBorder="0" applyAlignment="0" applyProtection="0"/>
    <xf numFmtId="192" fontId="17" fillId="0" borderId="0" applyFont="0" applyFill="0" applyBorder="0" applyAlignment="0" applyProtection="0"/>
    <xf numFmtId="347" fontId="17" fillId="0" borderId="0" applyFont="0" applyFill="0" applyBorder="0" applyAlignment="0" applyProtection="0"/>
    <xf numFmtId="0" fontId="17" fillId="0" borderId="0">
      <alignment horizontal="right"/>
    </xf>
    <xf numFmtId="0" fontId="17" fillId="0" borderId="0"/>
    <xf numFmtId="184" fontId="21" fillId="0" borderId="0" applyFont="0" applyFill="0" applyBorder="0" applyAlignment="0"/>
    <xf numFmtId="0" fontId="17" fillId="0" borderId="0"/>
    <xf numFmtId="347" fontId="17" fillId="0" borderId="0" applyFont="0" applyFill="0" applyBorder="0" applyAlignment="0" applyProtection="0"/>
    <xf numFmtId="192" fontId="17" fillId="0" borderId="0" applyFont="0" applyFill="0" applyBorder="0" applyAlignment="0" applyProtection="0"/>
    <xf numFmtId="0" fontId="17" fillId="0" borderId="0">
      <alignment horizontal="right"/>
    </xf>
    <xf numFmtId="332" fontId="17" fillId="0" borderId="0" applyFont="0" applyFill="0" applyBorder="0" applyAlignment="0" applyProtection="0"/>
    <xf numFmtId="0" fontId="50" fillId="79" borderId="0"/>
    <xf numFmtId="0" fontId="38" fillId="0" borderId="0" applyNumberFormat="0" applyFill="0" applyBorder="0" applyAlignment="0" applyProtection="0"/>
    <xf numFmtId="0" fontId="38" fillId="0" borderId="0" applyNumberFormat="0" applyFill="0" applyBorder="0" applyAlignment="0" applyProtection="0"/>
    <xf numFmtId="0" fontId="169" fillId="0" borderId="0" applyFont="0" applyFill="0" applyBorder="0" applyAlignment="0" applyProtection="0"/>
    <xf numFmtId="0" fontId="105" fillId="0" borderId="0" applyFont="0" applyFill="0" applyBorder="0" applyAlignment="0" applyProtection="0"/>
    <xf numFmtId="165" fontId="17" fillId="0" borderId="0" applyFont="0" applyFill="0" applyBorder="0" applyAlignment="0" applyProtection="0"/>
    <xf numFmtId="0" fontId="23" fillId="0" borderId="0"/>
    <xf numFmtId="345" fontId="17" fillId="0" borderId="0" applyFont="0" applyFill="0" applyBorder="0" applyAlignment="0" applyProtection="0"/>
    <xf numFmtId="0" fontId="17" fillId="0" borderId="0" applyFont="0" applyFill="0" applyBorder="0" applyAlignment="0" applyProtection="0"/>
    <xf numFmtId="0" fontId="17" fillId="0" borderId="0" applyFont="0" applyFill="0" applyBorder="0" applyAlignment="0" applyProtection="0"/>
    <xf numFmtId="213" fontId="17" fillId="0" borderId="0" applyFont="0" applyFill="0" applyBorder="0" applyAlignment="0" applyProtection="0"/>
    <xf numFmtId="0" fontId="17" fillId="0" borderId="0" applyFont="0" applyFill="0" applyBorder="0" applyProtection="0">
      <alignment horizontal="right"/>
    </xf>
    <xf numFmtId="0" fontId="32" fillId="0" borderId="0" applyFont="0" applyFill="0" applyBorder="0" applyProtection="0">
      <alignment horizontal="right"/>
    </xf>
    <xf numFmtId="0" fontId="17" fillId="0" borderId="0">
      <alignment horizontal="left" wrapText="1"/>
    </xf>
    <xf numFmtId="0" fontId="17" fillId="0" borderId="0">
      <alignment horizontal="left" wrapText="1"/>
    </xf>
    <xf numFmtId="220" fontId="17" fillId="0" borderId="0">
      <alignment horizontal="left" wrapText="1"/>
    </xf>
    <xf numFmtId="0" fontId="43" fillId="0" borderId="0"/>
    <xf numFmtId="184" fontId="21" fillId="0" borderId="0" applyFont="0" applyFill="0" applyBorder="0" applyAlignment="0"/>
    <xf numFmtId="0" fontId="17" fillId="0" borderId="0"/>
    <xf numFmtId="347" fontId="17" fillId="0" borderId="0" applyFont="0" applyFill="0" applyBorder="0" applyAlignment="0" applyProtection="0"/>
    <xf numFmtId="192" fontId="17" fillId="0" borderId="0" applyFont="0" applyFill="0" applyBorder="0" applyAlignment="0" applyProtection="0"/>
    <xf numFmtId="0" fontId="17" fillId="0" borderId="0">
      <alignment horizontal="right"/>
    </xf>
    <xf numFmtId="0" fontId="52" fillId="0" borderId="22" applyNumberFormat="0" applyFill="0" applyProtection="0">
      <alignment horizontal="center"/>
    </xf>
    <xf numFmtId="0" fontId="17" fillId="0" borderId="44" applyNumberFormat="0" applyFont="0" applyFill="0" applyAlignment="0" applyProtection="0"/>
    <xf numFmtId="0" fontId="52" fillId="0" borderId="0" applyNumberFormat="0" applyFill="0" applyBorder="0" applyProtection="0">
      <alignment horizontal="left"/>
    </xf>
    <xf numFmtId="0" fontId="55" fillId="0" borderId="0" applyNumberFormat="0" applyFill="0" applyBorder="0" applyProtection="0">
      <alignment horizontal="centerContinuous"/>
    </xf>
    <xf numFmtId="0" fontId="42" fillId="0" borderId="0" applyNumberFormat="0" applyFill="0" applyBorder="0" applyAlignment="0" applyProtection="0"/>
    <xf numFmtId="351" fontId="17" fillId="0" borderId="0"/>
    <xf numFmtId="352" fontId="17" fillId="0" borderId="0"/>
    <xf numFmtId="0" fontId="17" fillId="0" borderId="0"/>
    <xf numFmtId="353" fontId="17" fillId="0" borderId="0"/>
    <xf numFmtId="354" fontId="17" fillId="0" borderId="0"/>
    <xf numFmtId="191" fontId="16" fillId="0" borderId="0">
      <alignment horizontal="right"/>
    </xf>
    <xf numFmtId="165" fontId="16" fillId="0" borderId="0"/>
    <xf numFmtId="355" fontId="21" fillId="0" borderId="0"/>
    <xf numFmtId="2" fontId="170" fillId="0" borderId="0" applyNumberFormat="0" applyFill="0" applyBorder="0" applyAlignment="0" applyProtection="0"/>
    <xf numFmtId="2" fontId="171" fillId="0" borderId="0" applyNumberFormat="0" applyFill="0" applyBorder="0" applyAlignment="0" applyProtection="0"/>
    <xf numFmtId="0" fontId="161" fillId="0" borderId="0"/>
    <xf numFmtId="9" fontId="169" fillId="0" borderId="0" applyFont="0" applyFill="0" applyBorder="0" applyAlignment="0" applyProtection="0"/>
    <xf numFmtId="0" fontId="32" fillId="80" borderId="0"/>
    <xf numFmtId="0" fontId="172" fillId="0" borderId="68" applyNumberFormat="0" applyFont="0" applyFill="0" applyAlignment="0" applyProtection="0">
      <alignment horizontal="left"/>
      <protection locked="0"/>
    </xf>
    <xf numFmtId="356" fontId="173" fillId="0" borderId="0"/>
    <xf numFmtId="0" fontId="43" fillId="0" borderId="0" applyBorder="0">
      <alignment horizontal="right"/>
    </xf>
    <xf numFmtId="6" fontId="172" fillId="0" borderId="69" applyNumberFormat="0" applyFont="0" applyFill="0" applyAlignment="0" applyProtection="0">
      <alignment horizontal="left"/>
      <protection locked="0"/>
    </xf>
    <xf numFmtId="0" fontId="174" fillId="0" borderId="30" applyNumberFormat="0" applyFont="0" applyBorder="0" applyAlignment="0" applyProtection="0">
      <alignment horizontal="right"/>
    </xf>
    <xf numFmtId="357" fontId="29" fillId="0" borderId="0" applyFill="0" applyProtection="0"/>
    <xf numFmtId="358" fontId="36" fillId="0" borderId="0"/>
    <xf numFmtId="272" fontId="29" fillId="0" borderId="0" applyFont="0" applyFill="0" applyBorder="0" applyProtection="0"/>
    <xf numFmtId="0" fontId="29" fillId="0" borderId="0" applyFill="0" applyProtection="0"/>
    <xf numFmtId="0" fontId="123" fillId="0" borderId="0" applyFont="0" applyFill="0" applyBorder="0" applyAlignment="0" applyProtection="0"/>
    <xf numFmtId="0" fontId="175" fillId="0" borderId="0" applyNumberFormat="0" applyFill="0" applyBorder="0" applyAlignment="0" applyProtection="0"/>
    <xf numFmtId="0" fontId="176" fillId="0" borderId="0" applyNumberFormat="0" applyFont="0" applyFill="0" applyBorder="0" applyProtection="0">
      <alignment horizontal="centerContinuous"/>
    </xf>
    <xf numFmtId="37" fontId="177" fillId="30" borderId="0" applyNumberFormat="0" applyFont="0" applyBorder="0" applyAlignment="0"/>
    <xf numFmtId="0" fontId="178" fillId="0" borderId="0" applyNumberFormat="0" applyFill="0" applyBorder="0" applyAlignment="0" applyProtection="0"/>
    <xf numFmtId="0" fontId="179" fillId="0" borderId="0"/>
    <xf numFmtId="0" fontId="180" fillId="0" borderId="0" applyNumberFormat="0" applyProtection="0"/>
    <xf numFmtId="359" fontId="17" fillId="81" borderId="0" applyNumberFormat="0" applyFont="0" applyBorder="0" applyAlignment="0" applyProtection="0"/>
    <xf numFmtId="360" fontId="17" fillId="0" borderId="0" applyFont="0" applyFill="0" applyBorder="0" applyAlignment="0" applyProtection="0"/>
    <xf numFmtId="361" fontId="105" fillId="0" borderId="0" applyFont="0" applyFill="0" applyBorder="0" applyAlignment="0" applyProtection="0"/>
    <xf numFmtId="2" fontId="181" fillId="82" borderId="0" applyNumberFormat="0" applyFont="0" applyBorder="0" applyAlignment="0" applyProtection="0"/>
    <xf numFmtId="2" fontId="181" fillId="83" borderId="0" applyNumberFormat="0" applyFont="0" applyBorder="0" applyAlignment="0" applyProtection="0"/>
    <xf numFmtId="0" fontId="57" fillId="0" borderId="0" applyNumberFormat="0" applyFill="0" applyBorder="0" applyAlignment="0" applyProtection="0"/>
    <xf numFmtId="0" fontId="182" fillId="0" borderId="70" applyNumberFormat="0" applyFill="0" applyAlignment="0" applyProtection="0"/>
    <xf numFmtId="0" fontId="26" fillId="0" borderId="0" applyFont="0" applyFill="0" applyBorder="0" applyAlignment="0" applyProtection="0"/>
    <xf numFmtId="362" fontId="17" fillId="0" borderId="0"/>
    <xf numFmtId="0" fontId="183" fillId="84" borderId="0" applyNumberFormat="0">
      <alignment horizontal="left"/>
    </xf>
    <xf numFmtId="0" fontId="133" fillId="0" borderId="0" applyFont="0" applyFill="0" applyBorder="0" applyAlignment="0" applyProtection="0"/>
    <xf numFmtId="332" fontId="133" fillId="0" borderId="0" applyFont="0" applyFill="0" applyBorder="0" applyAlignment="0" applyProtection="0"/>
    <xf numFmtId="0" fontId="133" fillId="0" borderId="0" applyFont="0" applyFill="0" applyBorder="0" applyAlignment="0" applyProtection="0">
      <alignment horizontal="right"/>
    </xf>
    <xf numFmtId="0" fontId="184" fillId="0" borderId="71" applyNumberFormat="0" applyFill="0" applyAlignment="0" applyProtection="0"/>
    <xf numFmtId="0" fontId="185" fillId="0" borderId="72" applyNumberFormat="0" applyFill="0" applyAlignment="0" applyProtection="0"/>
    <xf numFmtId="0" fontId="186" fillId="0" borderId="73" applyNumberFormat="0" applyFill="0" applyAlignment="0" applyProtection="0"/>
    <xf numFmtId="0" fontId="186" fillId="0" borderId="0" applyNumberFormat="0" applyFill="0" applyBorder="0" applyAlignment="0" applyProtection="0"/>
    <xf numFmtId="0" fontId="187" fillId="0" borderId="0">
      <alignment horizontal="left"/>
    </xf>
    <xf numFmtId="0" fontId="188" fillId="0" borderId="0">
      <alignment horizontal="left" wrapText="1"/>
    </xf>
    <xf numFmtId="0" fontId="26" fillId="0" borderId="66" applyFont="0" applyFill="0" applyBorder="0" applyAlignment="0" applyProtection="0">
      <alignment horizontal="right"/>
    </xf>
    <xf numFmtId="0" fontId="26" fillId="0" borderId="0" applyFont="0" applyFill="0" applyBorder="0" applyAlignment="0" applyProtection="0"/>
    <xf numFmtId="0" fontId="64" fillId="0" borderId="0" applyNumberFormat="0" applyFill="0" applyBorder="0" applyAlignment="0" applyProtection="0">
      <alignment vertical="top"/>
      <protection locked="0"/>
    </xf>
    <xf numFmtId="0" fontId="11" fillId="0" borderId="0"/>
    <xf numFmtId="0" fontId="47" fillId="0" borderId="0"/>
    <xf numFmtId="43" fontId="10" fillId="0" borderId="0" applyFont="0" applyFill="0" applyBorder="0" applyAlignment="0" applyProtection="0"/>
    <xf numFmtId="9" fontId="10" fillId="0" borderId="0" applyFont="0" applyFill="0" applyBorder="0" applyAlignment="0" applyProtection="0"/>
    <xf numFmtId="44" fontId="10" fillId="0" borderId="0" applyFont="0" applyFill="0" applyBorder="0" applyAlignment="0" applyProtection="0"/>
    <xf numFmtId="0" fontId="42" fillId="0" borderId="78" applyNumberFormat="0" applyFill="0" applyAlignment="0" applyProtection="0"/>
    <xf numFmtId="0" fontId="42" fillId="0" borderId="78" applyNumberFormat="0" applyFill="0" applyAlignment="0" applyProtection="0"/>
    <xf numFmtId="0" fontId="42" fillId="0" borderId="78" applyNumberFormat="0" applyFill="0" applyAlignment="0" applyProtection="0"/>
    <xf numFmtId="0" fontId="42" fillId="0" borderId="78" applyNumberFormat="0" applyFill="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4" borderId="0" applyNumberFormat="0" applyBorder="0" applyAlignment="0" applyProtection="0"/>
    <xf numFmtId="0" fontId="10" fillId="14" borderId="0" applyNumberFormat="0" applyBorder="0" applyAlignment="0" applyProtection="0"/>
    <xf numFmtId="0" fontId="10" fillId="14" borderId="0" applyNumberFormat="0" applyBorder="0" applyAlignment="0" applyProtection="0"/>
    <xf numFmtId="0" fontId="10" fillId="14" borderId="0" applyNumberFormat="0" applyBorder="0" applyAlignment="0" applyProtection="0"/>
    <xf numFmtId="0" fontId="10" fillId="18" borderId="0" applyNumberFormat="0" applyBorder="0" applyAlignment="0" applyProtection="0"/>
    <xf numFmtId="0" fontId="10" fillId="18" borderId="0" applyNumberFormat="0" applyBorder="0" applyAlignment="0" applyProtection="0"/>
    <xf numFmtId="0" fontId="10" fillId="18" borderId="0" applyNumberFormat="0" applyBorder="0" applyAlignment="0" applyProtection="0"/>
    <xf numFmtId="0" fontId="10" fillId="18" borderId="0" applyNumberFormat="0" applyBorder="0" applyAlignment="0" applyProtection="0"/>
    <xf numFmtId="0" fontId="10" fillId="22" borderId="0" applyNumberFormat="0" applyBorder="0" applyAlignment="0" applyProtection="0"/>
    <xf numFmtId="0" fontId="10" fillId="22" borderId="0" applyNumberFormat="0" applyBorder="0" applyAlignment="0" applyProtection="0"/>
    <xf numFmtId="0" fontId="10" fillId="22" borderId="0" applyNumberFormat="0" applyBorder="0" applyAlignment="0" applyProtection="0"/>
    <xf numFmtId="0" fontId="10" fillId="22" borderId="0" applyNumberFormat="0" applyBorder="0" applyAlignment="0" applyProtection="0"/>
    <xf numFmtId="0" fontId="10" fillId="26" borderId="0" applyNumberFormat="0" applyBorder="0" applyAlignment="0" applyProtection="0"/>
    <xf numFmtId="0" fontId="10" fillId="26" borderId="0" applyNumberFormat="0" applyBorder="0" applyAlignment="0" applyProtection="0"/>
    <xf numFmtId="0" fontId="10" fillId="26" borderId="0" applyNumberFormat="0" applyBorder="0" applyAlignment="0" applyProtection="0"/>
    <xf numFmtId="0" fontId="10" fillId="26" borderId="0" applyNumberFormat="0" applyBorder="0" applyAlignment="0" applyProtection="0"/>
    <xf numFmtId="37" fontId="46" fillId="1" borderId="77">
      <alignment horizontal="centerContinuous" vertical="center"/>
    </xf>
    <xf numFmtId="37" fontId="46" fillId="1" borderId="77">
      <alignment horizontal="centerContinuous" vertical="center"/>
    </xf>
    <xf numFmtId="37" fontId="78" fillId="58" borderId="75" applyBorder="0" applyProtection="0">
      <alignment vertical="center"/>
    </xf>
    <xf numFmtId="37" fontId="78" fillId="58" borderId="75" applyBorder="0" applyProtection="0">
      <alignment vertical="center"/>
    </xf>
    <xf numFmtId="37" fontId="78" fillId="58" borderId="75" applyBorder="0" applyProtection="0">
      <alignment vertical="center"/>
    </xf>
    <xf numFmtId="37" fontId="78" fillId="58" borderId="75" applyBorder="0" applyProtection="0">
      <alignment vertical="center"/>
    </xf>
    <xf numFmtId="37" fontId="78" fillId="58" borderId="75" applyBorder="0" applyProtection="0">
      <alignment vertical="center"/>
    </xf>
    <xf numFmtId="37" fontId="78" fillId="58" borderId="75" applyBorder="0" applyProtection="0">
      <alignment vertical="center"/>
    </xf>
    <xf numFmtId="37" fontId="78" fillId="58" borderId="75" applyBorder="0" applyProtection="0">
      <alignment vertical="center"/>
    </xf>
    <xf numFmtId="37" fontId="78" fillId="58" borderId="75" applyBorder="0" applyProtection="0">
      <alignment vertical="center"/>
    </xf>
    <xf numFmtId="37" fontId="78" fillId="58" borderId="75" applyBorder="0" applyProtection="0">
      <alignment vertical="center"/>
    </xf>
    <xf numFmtId="37" fontId="78" fillId="58" borderId="75" applyBorder="0" applyProtection="0">
      <alignment vertical="center"/>
    </xf>
    <xf numFmtId="37" fontId="78" fillId="58" borderId="75" applyBorder="0" applyProtection="0">
      <alignment vertical="center"/>
    </xf>
    <xf numFmtId="37" fontId="78" fillId="58" borderId="75" applyBorder="0" applyProtection="0">
      <alignment vertical="center"/>
    </xf>
    <xf numFmtId="37" fontId="78" fillId="58" borderId="75" applyBorder="0" applyProtection="0">
      <alignment vertical="center"/>
    </xf>
    <xf numFmtId="37" fontId="78" fillId="58" borderId="75" applyBorder="0" applyProtection="0">
      <alignment vertical="center"/>
    </xf>
    <xf numFmtId="37" fontId="78" fillId="58" borderId="75" applyBorder="0" applyProtection="0">
      <alignment vertical="center"/>
    </xf>
    <xf numFmtId="37" fontId="78" fillId="58" borderId="75" applyBorder="0" applyProtection="0">
      <alignment vertical="center"/>
    </xf>
    <xf numFmtId="37" fontId="78" fillId="58" borderId="75" applyBorder="0" applyProtection="0">
      <alignment vertical="center"/>
    </xf>
    <xf numFmtId="37" fontId="78" fillId="58" borderId="75" applyBorder="0" applyProtection="0">
      <alignment vertical="center"/>
    </xf>
    <xf numFmtId="37" fontId="78" fillId="58" borderId="75" applyBorder="0" applyProtection="0">
      <alignment vertical="center"/>
    </xf>
    <xf numFmtId="37" fontId="78" fillId="58" borderId="75" applyBorder="0" applyProtection="0">
      <alignment vertical="center"/>
    </xf>
    <xf numFmtId="37" fontId="78" fillId="58" borderId="75" applyBorder="0" applyProtection="0">
      <alignment vertical="center"/>
    </xf>
    <xf numFmtId="37" fontId="78" fillId="58" borderId="75" applyBorder="0" applyProtection="0">
      <alignment vertical="center"/>
    </xf>
    <xf numFmtId="37" fontId="78" fillId="58" borderId="75" applyBorder="0" applyProtection="0">
      <alignment vertical="center"/>
    </xf>
    <xf numFmtId="37" fontId="78" fillId="58" borderId="75" applyBorder="0" applyProtection="0">
      <alignment vertical="center"/>
    </xf>
    <xf numFmtId="37" fontId="78" fillId="58" borderId="75" applyBorder="0" applyProtection="0">
      <alignment vertical="center"/>
    </xf>
    <xf numFmtId="0" fontId="80" fillId="0" borderId="79" applyNumberFormat="0" applyFill="0" applyBorder="0" applyAlignment="0" applyProtection="0"/>
    <xf numFmtId="0" fontId="80" fillId="0" borderId="79" applyNumberFormat="0" applyFill="0" applyBorder="0" applyAlignment="0" applyProtection="0"/>
    <xf numFmtId="0" fontId="80" fillId="0" borderId="79" applyNumberFormat="0" applyFill="0" applyBorder="0" applyAlignment="0" applyProtection="0"/>
    <xf numFmtId="0" fontId="80" fillId="0" borderId="79" applyNumberFormat="0" applyFill="0" applyBorder="0" applyAlignment="0" applyProtection="0"/>
    <xf numFmtId="0" fontId="80" fillId="0" borderId="79" applyNumberFormat="0" applyFill="0" applyBorder="0" applyAlignment="0" applyProtection="0"/>
    <xf numFmtId="0" fontId="80" fillId="0" borderId="79" applyNumberFormat="0" applyFill="0" applyBorder="0" applyAlignment="0" applyProtection="0"/>
    <xf numFmtId="0" fontId="80" fillId="0" borderId="79" applyNumberFormat="0" applyFill="0" applyBorder="0" applyAlignment="0" applyProtection="0"/>
    <xf numFmtId="0" fontId="80" fillId="0" borderId="79" applyNumberFormat="0" applyFill="0" applyBorder="0" applyAlignment="0" applyProtection="0"/>
    <xf numFmtId="0" fontId="80" fillId="0" borderId="79" applyNumberFormat="0" applyFill="0" applyBorder="0" applyAlignment="0" applyProtection="0"/>
    <xf numFmtId="0" fontId="80" fillId="0" borderId="79" applyNumberFormat="0" applyFill="0" applyBorder="0" applyAlignment="0" applyProtection="0"/>
    <xf numFmtId="0" fontId="80" fillId="0" borderId="79" applyNumberFormat="0" applyFill="0" applyBorder="0" applyAlignment="0" applyProtection="0"/>
    <xf numFmtId="0" fontId="80" fillId="0" borderId="79" applyNumberFormat="0" applyFill="0" applyBorder="0" applyAlignment="0" applyProtection="0"/>
    <xf numFmtId="0" fontId="81" fillId="0" borderId="79" applyNumberFormat="0" applyFill="0" applyBorder="0" applyAlignment="0" applyProtection="0"/>
    <xf numFmtId="0" fontId="81" fillId="0" borderId="79" applyNumberFormat="0" applyFill="0" applyBorder="0" applyAlignment="0" applyProtection="0"/>
    <xf numFmtId="0" fontId="81" fillId="0" borderId="79" applyNumberFormat="0" applyFill="0" applyBorder="0" applyAlignment="0" applyProtection="0"/>
    <xf numFmtId="0" fontId="81" fillId="0" borderId="79" applyNumberFormat="0" applyFill="0" applyBorder="0" applyAlignment="0" applyProtection="0"/>
    <xf numFmtId="0" fontId="81" fillId="0" borderId="79" applyNumberFormat="0" applyFill="0" applyBorder="0" applyAlignment="0" applyProtection="0"/>
    <xf numFmtId="0" fontId="81" fillId="0" borderId="79" applyNumberFormat="0" applyFill="0" applyBorder="0" applyAlignment="0" applyProtection="0"/>
    <xf numFmtId="0" fontId="81" fillId="0" borderId="79" applyNumberFormat="0" applyFill="0" applyBorder="0" applyAlignment="0" applyProtection="0"/>
    <xf numFmtId="0" fontId="81" fillId="0" borderId="79" applyNumberFormat="0" applyFill="0" applyBorder="0" applyAlignment="0" applyProtection="0"/>
    <xf numFmtId="0" fontId="81" fillId="0" borderId="79" applyNumberFormat="0" applyFill="0" applyBorder="0" applyAlignment="0" applyProtection="0"/>
    <xf numFmtId="0" fontId="81" fillId="0" borderId="79" applyNumberFormat="0" applyFill="0" applyBorder="0" applyAlignment="0" applyProtection="0"/>
    <xf numFmtId="0" fontId="81" fillId="0" borderId="79" applyNumberFormat="0" applyFill="0" applyBorder="0" applyAlignment="0" applyProtection="0"/>
    <xf numFmtId="0" fontId="81" fillId="0" borderId="79" applyNumberFormat="0" applyFill="0" applyBorder="0" applyAlignment="0" applyProtection="0"/>
    <xf numFmtId="0" fontId="48" fillId="0" borderId="79" applyNumberFormat="0" applyFill="0" applyBorder="0" applyAlignment="0" applyProtection="0"/>
    <xf numFmtId="0" fontId="48" fillId="0" borderId="79" applyNumberFormat="0" applyFill="0" applyBorder="0" applyAlignment="0" applyProtection="0"/>
    <xf numFmtId="0" fontId="48" fillId="0" borderId="79" applyNumberFormat="0" applyFill="0" applyBorder="0" applyAlignment="0" applyProtection="0"/>
    <xf numFmtId="0" fontId="48" fillId="0" borderId="79" applyNumberFormat="0" applyFill="0" applyBorder="0" applyAlignment="0" applyProtection="0"/>
    <xf numFmtId="0" fontId="48" fillId="0" borderId="79" applyNumberFormat="0" applyFill="0" applyBorder="0" applyAlignment="0" applyProtection="0"/>
    <xf numFmtId="0" fontId="48" fillId="0" borderId="79" applyNumberFormat="0" applyFill="0" applyBorder="0" applyAlignment="0" applyProtection="0"/>
    <xf numFmtId="0" fontId="48" fillId="0" borderId="79" applyNumberFormat="0" applyFill="0" applyBorder="0" applyAlignment="0" applyProtection="0"/>
    <xf numFmtId="0" fontId="48" fillId="0" borderId="79" applyNumberFormat="0" applyFill="0" applyBorder="0" applyAlignment="0" applyProtection="0"/>
    <xf numFmtId="0" fontId="48" fillId="0" borderId="79" applyNumberFormat="0" applyFill="0" applyBorder="0" applyAlignment="0" applyProtection="0"/>
    <xf numFmtId="0" fontId="48" fillId="0" borderId="79" applyNumberFormat="0" applyFill="0" applyBorder="0" applyAlignment="0" applyProtection="0"/>
    <xf numFmtId="0" fontId="48" fillId="0" borderId="79" applyNumberFormat="0" applyFill="0" applyBorder="0" applyAlignment="0" applyProtection="0"/>
    <xf numFmtId="0" fontId="48" fillId="0" borderId="79" applyNumberFormat="0" applyFill="0" applyBorder="0" applyAlignment="0" applyProtection="0"/>
    <xf numFmtId="0" fontId="47" fillId="0" borderId="79" applyNumberFormat="0" applyFill="0" applyAlignment="0" applyProtection="0"/>
    <xf numFmtId="0" fontId="47" fillId="0" borderId="79" applyNumberFormat="0" applyFill="0" applyAlignment="0" applyProtection="0"/>
    <xf numFmtId="0" fontId="47" fillId="0" borderId="79" applyNumberFormat="0" applyFill="0" applyAlignment="0" applyProtection="0"/>
    <xf numFmtId="0" fontId="47" fillId="0" borderId="79" applyNumberFormat="0" applyFill="0" applyAlignment="0" applyProtection="0"/>
    <xf numFmtId="0" fontId="47" fillId="0" borderId="79" applyNumberFormat="0" applyFill="0" applyAlignment="0" applyProtection="0"/>
    <xf numFmtId="0" fontId="47" fillId="0" borderId="79" applyNumberFormat="0" applyFill="0" applyAlignment="0" applyProtection="0"/>
    <xf numFmtId="0" fontId="47" fillId="0" borderId="79" applyNumberFormat="0" applyFill="0" applyAlignment="0" applyProtection="0"/>
    <xf numFmtId="0" fontId="47" fillId="0" borderId="79" applyNumberFormat="0" applyFill="0" applyAlignment="0" applyProtection="0"/>
    <xf numFmtId="177" fontId="26" fillId="0" borderId="77"/>
    <xf numFmtId="177" fontId="26" fillId="0" borderId="77"/>
    <xf numFmtId="177" fontId="26" fillId="0" borderId="77"/>
    <xf numFmtId="177" fontId="26" fillId="0" borderId="77"/>
    <xf numFmtId="177" fontId="26" fillId="0" borderId="77"/>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5" fontId="57" fillId="0" borderId="77" applyAlignment="0" applyProtection="0"/>
    <xf numFmtId="0" fontId="93" fillId="43" borderId="80" applyNumberFormat="0" applyAlignment="0" applyProtection="0"/>
    <xf numFmtId="0" fontId="93" fillId="43" borderId="80" applyNumberFormat="0" applyAlignment="0" applyProtection="0"/>
    <xf numFmtId="0" fontId="93" fillId="43" borderId="80" applyNumberFormat="0" applyAlignment="0" applyProtection="0"/>
    <xf numFmtId="0" fontId="93" fillId="43" borderId="80" applyNumberFormat="0" applyAlignment="0" applyProtection="0"/>
    <xf numFmtId="0" fontId="94" fillId="61" borderId="81"/>
    <xf numFmtId="0" fontId="94" fillId="61" borderId="81"/>
    <xf numFmtId="0" fontId="94" fillId="61" borderId="81"/>
    <xf numFmtId="0" fontId="94" fillId="61" borderId="81"/>
    <xf numFmtId="0" fontId="94" fillId="61" borderId="81"/>
    <xf numFmtId="0" fontId="94" fillId="61" borderId="81"/>
    <xf numFmtId="0" fontId="94" fillId="61" borderId="81"/>
    <xf numFmtId="0" fontId="94" fillId="61" borderId="81"/>
    <xf numFmtId="0" fontId="94" fillId="61" borderId="81"/>
    <xf numFmtId="0" fontId="94" fillId="61" borderId="81"/>
    <xf numFmtId="0" fontId="94" fillId="61" borderId="81"/>
    <xf numFmtId="0" fontId="94" fillId="61" borderId="81"/>
    <xf numFmtId="0" fontId="94" fillId="61" borderId="81"/>
    <xf numFmtId="0" fontId="94" fillId="61" borderId="81"/>
    <xf numFmtId="0" fontId="94" fillId="61" borderId="81"/>
    <xf numFmtId="0" fontId="94" fillId="61" borderId="81"/>
    <xf numFmtId="0" fontId="94" fillId="61" borderId="81"/>
    <xf numFmtId="0" fontId="94" fillId="61" borderId="81"/>
    <xf numFmtId="0" fontId="94" fillId="61" borderId="81"/>
    <xf numFmtId="0" fontId="94" fillId="61" borderId="81"/>
    <xf numFmtId="0" fontId="94" fillId="61" borderId="81"/>
    <xf numFmtId="0" fontId="94" fillId="61" borderId="81"/>
    <xf numFmtId="0" fontId="94" fillId="61" borderId="81"/>
    <xf numFmtId="0" fontId="94" fillId="61" borderId="81"/>
    <xf numFmtId="0" fontId="94" fillId="61" borderId="81"/>
    <xf numFmtId="0" fontId="94" fillId="61" borderId="81"/>
    <xf numFmtId="0" fontId="94" fillId="61" borderId="81"/>
    <xf numFmtId="0" fontId="94" fillId="61" borderId="81"/>
    <xf numFmtId="0" fontId="94" fillId="61" borderId="81"/>
    <xf numFmtId="0" fontId="94" fillId="61" borderId="81"/>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0" fontId="105" fillId="0" borderId="81"/>
    <xf numFmtId="0" fontId="105" fillId="0" borderId="81"/>
    <xf numFmtId="0" fontId="105" fillId="0" borderId="81"/>
    <xf numFmtId="0" fontId="105" fillId="0" borderId="81"/>
    <xf numFmtId="0" fontId="105" fillId="0" borderId="81"/>
    <xf numFmtId="0" fontId="105" fillId="0" borderId="81"/>
    <xf numFmtId="0" fontId="105" fillId="0" borderId="81"/>
    <xf numFmtId="0" fontId="105" fillId="0" borderId="81"/>
    <xf numFmtId="0" fontId="105" fillId="0" borderId="81"/>
    <xf numFmtId="0" fontId="105" fillId="0" borderId="81"/>
    <xf numFmtId="0" fontId="105" fillId="0" borderId="81"/>
    <xf numFmtId="0" fontId="105" fillId="0" borderId="81"/>
    <xf numFmtId="0" fontId="105" fillId="0" borderId="81"/>
    <xf numFmtId="0" fontId="105" fillId="0" borderId="81"/>
    <xf numFmtId="0" fontId="105" fillId="0" borderId="81"/>
    <xf numFmtId="0" fontId="105" fillId="0" borderId="81"/>
    <xf numFmtId="0" fontId="105" fillId="0" borderId="81"/>
    <xf numFmtId="0" fontId="105" fillId="0" borderId="81"/>
    <xf numFmtId="0" fontId="105" fillId="0" borderId="81"/>
    <xf numFmtId="0" fontId="105" fillId="0" borderId="81"/>
    <xf numFmtId="0" fontId="105" fillId="0" borderId="81"/>
    <xf numFmtId="0" fontId="105" fillId="0" borderId="81"/>
    <xf numFmtId="0" fontId="105" fillId="0" borderId="81"/>
    <xf numFmtId="0" fontId="105" fillId="0" borderId="81"/>
    <xf numFmtId="0" fontId="105" fillId="0" borderId="81"/>
    <xf numFmtId="0" fontId="105" fillId="0" borderId="81"/>
    <xf numFmtId="0" fontId="105" fillId="0" borderId="81"/>
    <xf numFmtId="0" fontId="105" fillId="0" borderId="81"/>
    <xf numFmtId="0" fontId="105" fillId="0" borderId="81"/>
    <xf numFmtId="0" fontId="105" fillId="0" borderId="81"/>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302" fontId="87" fillId="0" borderId="83" applyFont="0" applyFill="0" applyBorder="0" applyAlignment="0" applyProtection="0">
      <alignment horizontal="center"/>
    </xf>
    <xf numFmtId="302" fontId="87" fillId="0" borderId="83" applyFont="0" applyFill="0" applyBorder="0" applyAlignment="0" applyProtection="0">
      <alignment horizontal="center"/>
    </xf>
    <xf numFmtId="302" fontId="87" fillId="0" borderId="83" applyFont="0" applyFill="0" applyBorder="0" applyAlignment="0" applyProtection="0">
      <alignment horizontal="center"/>
    </xf>
    <xf numFmtId="302" fontId="87" fillId="0" borderId="83" applyFont="0" applyFill="0" applyBorder="0" applyAlignment="0" applyProtection="0">
      <alignment horizontal="center"/>
    </xf>
    <xf numFmtId="302" fontId="87" fillId="0" borderId="83" applyFont="0" applyFill="0" applyBorder="0" applyAlignment="0" applyProtection="0">
      <alignment horizontal="center"/>
    </xf>
    <xf numFmtId="302" fontId="87" fillId="0" borderId="83" applyFont="0" applyFill="0" applyBorder="0" applyAlignment="0" applyProtection="0">
      <alignment horizontal="center"/>
    </xf>
    <xf numFmtId="186" fontId="47" fillId="0" borderId="83" applyFont="0" applyFill="0" applyBorder="0" applyAlignment="0" applyProtection="0">
      <alignment horizontal="center"/>
    </xf>
    <xf numFmtId="186" fontId="47" fillId="0" borderId="83" applyFont="0" applyFill="0" applyBorder="0" applyAlignment="0" applyProtection="0">
      <alignment horizontal="center"/>
    </xf>
    <xf numFmtId="186" fontId="47" fillId="0" borderId="83" applyFont="0" applyFill="0" applyBorder="0" applyAlignment="0" applyProtection="0">
      <alignment horizontal="center"/>
    </xf>
    <xf numFmtId="186" fontId="47" fillId="0" borderId="83" applyFont="0" applyFill="0" applyBorder="0" applyAlignment="0" applyProtection="0">
      <alignment horizontal="center"/>
    </xf>
    <xf numFmtId="186" fontId="47" fillId="0" borderId="83" applyFont="0" applyFill="0" applyBorder="0" applyAlignment="0" applyProtection="0">
      <alignment horizontal="center"/>
    </xf>
    <xf numFmtId="186" fontId="47" fillId="0" borderId="83" applyFont="0" applyFill="0" applyBorder="0" applyAlignment="0" applyProtection="0">
      <alignment horizontal="center"/>
    </xf>
    <xf numFmtId="2" fontId="17" fillId="36" borderId="84" applyFill="0" applyBorder="0" applyProtection="0">
      <alignment horizontal="center"/>
    </xf>
    <xf numFmtId="2" fontId="17" fillId="36" borderId="84" applyFill="0" applyBorder="0" applyProtection="0">
      <alignment horizontal="center"/>
    </xf>
    <xf numFmtId="2" fontId="17" fillId="36" borderId="84" applyFill="0" applyBorder="0" applyProtection="0">
      <alignment horizontal="center"/>
    </xf>
    <xf numFmtId="2" fontId="17" fillId="36" borderId="84" applyFill="0" applyBorder="0" applyProtection="0">
      <alignment horizontal="center"/>
    </xf>
    <xf numFmtId="2" fontId="17" fillId="36" borderId="84" applyFill="0" applyBorder="0" applyProtection="0">
      <alignment horizontal="center"/>
    </xf>
    <xf numFmtId="2" fontId="17" fillId="36" borderId="84" applyFill="0" applyBorder="0" applyProtection="0">
      <alignment horizontal="center"/>
    </xf>
    <xf numFmtId="0" fontId="115" fillId="0" borderId="85">
      <alignment horizontal="left" vertical="center"/>
    </xf>
    <xf numFmtId="0" fontId="115" fillId="0" borderId="85">
      <alignment horizontal="left" vertical="center"/>
    </xf>
    <xf numFmtId="0" fontId="115" fillId="0" borderId="85">
      <alignment horizontal="left" vertical="center"/>
    </xf>
    <xf numFmtId="0" fontId="115" fillId="0" borderId="85">
      <alignment horizontal="left" vertical="center"/>
    </xf>
    <xf numFmtId="0" fontId="119" fillId="64" borderId="86">
      <alignment horizontal="left" vertical="center"/>
    </xf>
    <xf numFmtId="0" fontId="119" fillId="64" borderId="86">
      <alignment horizontal="left" vertical="center"/>
    </xf>
    <xf numFmtId="0" fontId="119" fillId="64" borderId="86">
      <alignment horizontal="left" vertical="center"/>
    </xf>
    <xf numFmtId="0" fontId="119" fillId="64" borderId="86">
      <alignment horizontal="left" vertical="center"/>
    </xf>
    <xf numFmtId="0" fontId="119" fillId="64" borderId="86">
      <alignment horizontal="left" vertical="center"/>
    </xf>
    <xf numFmtId="0" fontId="119" fillId="64" borderId="86">
      <alignment horizontal="left" vertical="center"/>
    </xf>
    <xf numFmtId="0" fontId="119" fillId="64" borderId="87" applyBorder="0">
      <alignment horizontal="center" vertical="center" wrapText="1"/>
    </xf>
    <xf numFmtId="0" fontId="119" fillId="64" borderId="87" applyBorder="0">
      <alignment horizontal="center" vertical="center" wrapText="1"/>
    </xf>
    <xf numFmtId="0" fontId="119" fillId="64" borderId="87" applyBorder="0">
      <alignment horizontal="center" vertical="center" wrapText="1"/>
    </xf>
    <xf numFmtId="0" fontId="119" fillId="64" borderId="87" applyBorder="0">
      <alignment horizontal="center" vertical="center" wrapText="1"/>
    </xf>
    <xf numFmtId="0" fontId="119" fillId="64" borderId="87" applyBorder="0">
      <alignment horizontal="center" vertical="center" wrapText="1"/>
    </xf>
    <xf numFmtId="0" fontId="119" fillId="64" borderId="87" applyBorder="0">
      <alignment horizontal="center" vertical="center" wrapText="1"/>
    </xf>
    <xf numFmtId="8" fontId="124" fillId="0" borderId="82" applyNumberFormat="0" applyFill="0" applyBorder="0" applyAlignment="0" applyProtection="0"/>
    <xf numFmtId="8" fontId="124" fillId="0" borderId="82" applyNumberFormat="0" applyFill="0" applyBorder="0" applyAlignment="0" applyProtection="0"/>
    <xf numFmtId="8" fontId="124" fillId="0" borderId="82" applyNumberFormat="0" applyFill="0" applyBorder="0" applyAlignment="0" applyProtection="0"/>
    <xf numFmtId="8" fontId="124" fillId="0" borderId="82" applyNumberFormat="0" applyFill="0" applyBorder="0" applyAlignment="0" applyProtection="0"/>
    <xf numFmtId="8" fontId="124" fillId="0" borderId="82" applyNumberFormat="0" applyFill="0" applyBorder="0" applyAlignment="0" applyProtection="0"/>
    <xf numFmtId="8" fontId="124" fillId="0" borderId="82" applyNumberFormat="0" applyFill="0" applyBorder="0" applyAlignment="0" applyProtection="0"/>
    <xf numFmtId="0" fontId="41" fillId="65" borderId="86">
      <alignment horizontal="left" vertical="center" wrapText="1"/>
    </xf>
    <xf numFmtId="0" fontId="41" fillId="65" borderId="86">
      <alignment horizontal="left" vertical="center" wrapText="1"/>
    </xf>
    <xf numFmtId="0" fontId="41" fillId="65" borderId="86">
      <alignment horizontal="left" vertical="center" wrapText="1"/>
    </xf>
    <xf numFmtId="0" fontId="41" fillId="65" borderId="86">
      <alignment horizontal="left" vertical="center" wrapText="1"/>
    </xf>
    <xf numFmtId="0" fontId="41" fillId="65" borderId="86">
      <alignment horizontal="left" vertical="center" wrapText="1"/>
    </xf>
    <xf numFmtId="0" fontId="41" fillId="65" borderId="86">
      <alignment horizontal="left" vertical="center" wrapText="1"/>
    </xf>
    <xf numFmtId="1" fontId="47" fillId="0" borderId="83" applyNumberFormat="0" applyFont="0" applyFill="0" applyProtection="0">
      <alignment horizontal="center"/>
    </xf>
    <xf numFmtId="1" fontId="47" fillId="0" borderId="83" applyNumberFormat="0" applyFont="0" applyFill="0" applyProtection="0">
      <alignment horizontal="center"/>
    </xf>
    <xf numFmtId="1" fontId="47" fillId="0" borderId="83" applyNumberFormat="0" applyFont="0" applyFill="0" applyProtection="0">
      <alignment horizontal="center"/>
    </xf>
    <xf numFmtId="1" fontId="47" fillId="0" borderId="83" applyNumberFormat="0" applyFont="0" applyFill="0" applyProtection="0">
      <alignment horizontal="center"/>
    </xf>
    <xf numFmtId="1" fontId="47" fillId="0" borderId="83" applyNumberFormat="0" applyFont="0" applyFill="0" applyProtection="0">
      <alignment horizontal="center"/>
    </xf>
    <xf numFmtId="1" fontId="47" fillId="0" borderId="83" applyNumberFormat="0" applyFont="0" applyFill="0" applyProtection="0">
      <alignment horizontal="center"/>
    </xf>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247" fontId="10" fillId="0" borderId="0"/>
    <xf numFmtId="0" fontId="10" fillId="0" borderId="0"/>
    <xf numFmtId="0" fontId="10" fillId="0" borderId="0"/>
    <xf numFmtId="0" fontId="10" fillId="0" borderId="0"/>
    <xf numFmtId="0" fontId="10" fillId="0" borderId="0"/>
    <xf numFmtId="0" fontId="10" fillId="3" borderId="1" applyNumberFormat="0" applyFont="0" applyAlignment="0" applyProtection="0"/>
    <xf numFmtId="0" fontId="10" fillId="3" borderId="1" applyNumberFormat="0" applyFont="0" applyAlignment="0" applyProtection="0"/>
    <xf numFmtId="0" fontId="10" fillId="3" borderId="1" applyNumberFormat="0" applyFont="0" applyAlignment="0" applyProtection="0"/>
    <xf numFmtId="0" fontId="10" fillId="3" borderId="1" applyNumberFormat="0" applyFont="0" applyAlignment="0" applyProtection="0"/>
    <xf numFmtId="0" fontId="10" fillId="3" borderId="1" applyNumberFormat="0" applyFont="0" applyAlignment="0" applyProtection="0"/>
    <xf numFmtId="0" fontId="10" fillId="3" borderId="1" applyNumberFormat="0" applyFont="0" applyAlignment="0" applyProtection="0"/>
    <xf numFmtId="0" fontId="10" fillId="3" borderId="1" applyNumberFormat="0" applyFont="0" applyAlignment="0" applyProtection="0"/>
    <xf numFmtId="0" fontId="10" fillId="3" borderId="1" applyNumberFormat="0" applyFont="0" applyAlignment="0" applyProtection="0"/>
    <xf numFmtId="0" fontId="10" fillId="3" borderId="1" applyNumberFormat="0" applyFont="0" applyAlignment="0" applyProtection="0"/>
    <xf numFmtId="0" fontId="10" fillId="3" borderId="1" applyNumberFormat="0" applyFont="0" applyAlignment="0" applyProtection="0"/>
    <xf numFmtId="0" fontId="10" fillId="3" borderId="1" applyNumberFormat="0" applyFont="0" applyAlignment="0" applyProtection="0"/>
    <xf numFmtId="0" fontId="10" fillId="3" borderId="1" applyNumberFormat="0" applyFont="0" applyAlignment="0" applyProtection="0"/>
    <xf numFmtId="9" fontId="10" fillId="0" borderId="0" applyFont="0" applyFill="0" applyBorder="0" applyAlignment="0" applyProtection="0"/>
    <xf numFmtId="9" fontId="10" fillId="0" borderId="0" applyFont="0" applyFill="0" applyBorder="0" applyAlignment="0" applyProtection="0"/>
    <xf numFmtId="339" fontId="17" fillId="0" borderId="88" applyBorder="0">
      <alignment horizontal="right"/>
    </xf>
    <xf numFmtId="339" fontId="17" fillId="0" borderId="88" applyBorder="0">
      <alignment horizontal="right"/>
    </xf>
    <xf numFmtId="339" fontId="17" fillId="0" borderId="88" applyBorder="0">
      <alignment horizontal="right"/>
    </xf>
    <xf numFmtId="339" fontId="17" fillId="0" borderId="88" applyBorder="0">
      <alignment horizontal="right"/>
    </xf>
    <xf numFmtId="0" fontId="140" fillId="0" borderId="89"/>
    <xf numFmtId="0" fontId="140" fillId="0" borderId="89"/>
    <xf numFmtId="0" fontId="140" fillId="0" borderId="89"/>
    <xf numFmtId="0" fontId="140" fillId="0" borderId="89"/>
    <xf numFmtId="0" fontId="140" fillId="0" borderId="89"/>
    <xf numFmtId="0" fontId="140" fillId="0" borderId="89"/>
    <xf numFmtId="0" fontId="115" fillId="62" borderId="81">
      <alignment horizontal="center" vertical="center" wrapText="1"/>
      <protection hidden="1"/>
    </xf>
    <xf numFmtId="0" fontId="115" fillId="62" borderId="81">
      <alignment horizontal="center" vertical="center" wrapText="1"/>
      <protection hidden="1"/>
    </xf>
    <xf numFmtId="0" fontId="115" fillId="62" borderId="81">
      <alignment horizontal="center" vertical="center" wrapText="1"/>
      <protection hidden="1"/>
    </xf>
    <xf numFmtId="0" fontId="115" fillId="62" borderId="81">
      <alignment horizontal="center" vertical="center" wrapText="1"/>
      <protection hidden="1"/>
    </xf>
    <xf numFmtId="0" fontId="115" fillId="62" borderId="81">
      <alignment horizontal="center" vertical="center" wrapText="1"/>
      <protection hidden="1"/>
    </xf>
    <xf numFmtId="0" fontId="115" fillId="62" borderId="81">
      <alignment horizontal="center" vertical="center" wrapText="1"/>
      <protection hidden="1"/>
    </xf>
    <xf numFmtId="0" fontId="141" fillId="1" borderId="85" applyNumberFormat="0" applyFont="0" applyAlignment="0">
      <alignment horizontal="center"/>
    </xf>
    <xf numFmtId="0" fontId="141" fillId="1" borderId="85" applyNumberFormat="0" applyFont="0" applyAlignment="0">
      <alignment horizontal="center"/>
    </xf>
    <xf numFmtId="0" fontId="141" fillId="1" borderId="85" applyNumberFormat="0" applyFont="0" applyAlignment="0">
      <alignment horizontal="center"/>
    </xf>
    <xf numFmtId="0" fontId="141" fillId="1" borderId="85" applyNumberFormat="0" applyFont="0" applyAlignment="0">
      <alignment horizontal="center"/>
    </xf>
    <xf numFmtId="37" fontId="17" fillId="0" borderId="81" applyBorder="0">
      <alignment horizontal="right"/>
      <protection locked="0"/>
    </xf>
    <xf numFmtId="37" fontId="17" fillId="0" borderId="81" applyBorder="0">
      <alignment horizontal="right"/>
      <protection locked="0"/>
    </xf>
    <xf numFmtId="37" fontId="17" fillId="0" borderId="81" applyBorder="0">
      <alignment horizontal="right"/>
      <protection locked="0"/>
    </xf>
    <xf numFmtId="37" fontId="17" fillId="0" borderId="81" applyBorder="0">
      <alignment horizontal="right"/>
      <protection locked="0"/>
    </xf>
    <xf numFmtId="37" fontId="17" fillId="0" borderId="81" applyBorder="0">
      <alignment horizontal="right"/>
      <protection locked="0"/>
    </xf>
    <xf numFmtId="37" fontId="17" fillId="0" borderId="81" applyBorder="0">
      <alignment horizontal="right"/>
      <protection locked="0"/>
    </xf>
    <xf numFmtId="248" fontId="21" fillId="0" borderId="45"/>
    <xf numFmtId="248" fontId="21" fillId="0" borderId="45"/>
    <xf numFmtId="248" fontId="21" fillId="0" borderId="45"/>
    <xf numFmtId="248" fontId="21" fillId="0" borderId="45"/>
    <xf numFmtId="248" fontId="21" fillId="0" borderId="45"/>
    <xf numFmtId="250" fontId="21" fillId="0" borderId="45"/>
    <xf numFmtId="250" fontId="21" fillId="0" borderId="45"/>
    <xf numFmtId="250" fontId="21" fillId="0" borderId="45"/>
    <xf numFmtId="250" fontId="21" fillId="0" borderId="45"/>
    <xf numFmtId="250" fontId="21" fillId="0" borderId="45"/>
    <xf numFmtId="164" fontId="84" fillId="60" borderId="45">
      <alignment horizontal="center" vertical="center" wrapText="1"/>
    </xf>
    <xf numFmtId="164" fontId="84" fillId="60" borderId="45">
      <alignment horizontal="center" vertical="center" wrapText="1"/>
    </xf>
    <xf numFmtId="164" fontId="84" fillId="60" borderId="45">
      <alignment horizontal="center" vertical="center" wrapText="1"/>
    </xf>
    <xf numFmtId="0" fontId="91" fillId="0" borderId="45" applyNumberFormat="0" applyFill="0" applyAlignment="0" applyProtection="0"/>
    <xf numFmtId="263" fontId="62" fillId="0" borderId="45" applyFill="0" applyAlignment="0" applyProtection="0">
      <alignment horizontal="center"/>
    </xf>
    <xf numFmtId="263" fontId="62" fillId="0" borderId="45" applyFill="0" applyAlignment="0" applyProtection="0">
      <alignment horizontal="center"/>
    </xf>
    <xf numFmtId="263" fontId="62" fillId="0" borderId="45" applyFill="0" applyAlignment="0" applyProtection="0">
      <alignment horizontal="center"/>
    </xf>
    <xf numFmtId="263" fontId="62" fillId="0" borderId="45" applyFill="0" applyAlignment="0" applyProtection="0">
      <alignment horizontal="center"/>
    </xf>
    <xf numFmtId="0" fontId="21" fillId="0" borderId="45" applyBorder="0">
      <alignment horizontal="centerContinuous"/>
    </xf>
    <xf numFmtId="0" fontId="21" fillId="0" borderId="45" applyBorder="0">
      <alignment horizontal="centerContinuous"/>
    </xf>
    <xf numFmtId="0" fontId="21" fillId="0" borderId="45" applyBorder="0">
      <alignment horizontal="centerContinuous"/>
    </xf>
    <xf numFmtId="0" fontId="81" fillId="0" borderId="45" applyNumberFormat="0" applyFill="0" applyProtection="0">
      <alignment horizontal="right" wrapText="1"/>
    </xf>
    <xf numFmtId="0" fontId="81" fillId="0" borderId="45" applyNumberFormat="0" applyFill="0" applyProtection="0">
      <alignment horizontal="left" wrapText="1"/>
    </xf>
    <xf numFmtId="43" fontId="17"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70"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0" fontId="118" fillId="0" borderId="45" applyFill="0" applyAlignment="0" applyProtection="0">
      <protection locked="0"/>
    </xf>
    <xf numFmtId="0" fontId="118" fillId="0" borderId="45" applyFill="0" applyAlignment="0" applyProtection="0">
      <protection locked="0"/>
    </xf>
    <xf numFmtId="0" fontId="118" fillId="0" borderId="45" applyFill="0" applyAlignment="0" applyProtection="0">
      <protection locked="0"/>
    </xf>
    <xf numFmtId="1" fontId="47" fillId="0" borderId="45" applyNumberFormat="0" applyFont="0" applyFill="0" applyAlignment="0" applyProtection="0">
      <alignment horizontal="center"/>
    </xf>
    <xf numFmtId="1" fontId="47" fillId="0" borderId="45" applyNumberFormat="0" applyFont="0" applyFill="0" applyAlignment="0" applyProtection="0">
      <alignment horizontal="center"/>
    </xf>
    <xf numFmtId="1" fontId="47" fillId="0" borderId="45" applyNumberFormat="0" applyFont="0" applyFill="0" applyAlignment="0" applyProtection="0">
      <alignment horizontal="center"/>
    </xf>
    <xf numFmtId="312" fontId="17" fillId="0" borderId="45" applyFont="0" applyFill="0" applyBorder="0" applyAlignment="0" applyProtection="0">
      <protection locked="0"/>
    </xf>
    <xf numFmtId="312" fontId="17" fillId="0" borderId="45" applyFont="0" applyFill="0" applyBorder="0" applyAlignment="0" applyProtection="0">
      <protection locked="0"/>
    </xf>
    <xf numFmtId="312" fontId="17" fillId="0" borderId="45" applyFont="0" applyFill="0" applyBorder="0" applyAlignment="0" applyProtection="0">
      <protection locked="0"/>
    </xf>
    <xf numFmtId="315" fontId="21" fillId="0" borderId="45" applyFont="0" applyFill="0" applyBorder="0" applyProtection="0"/>
    <xf numFmtId="315" fontId="21" fillId="0" borderId="45" applyFont="0" applyFill="0" applyBorder="0" applyProtection="0"/>
    <xf numFmtId="315" fontId="21" fillId="0" borderId="45" applyFont="0" applyFill="0" applyBorder="0" applyProtection="0"/>
    <xf numFmtId="316" fontId="21" fillId="0" borderId="45" applyFont="0" applyFill="0" applyBorder="0" applyAlignment="0" applyProtection="0"/>
    <xf numFmtId="316" fontId="21" fillId="0" borderId="45" applyFont="0" applyFill="0" applyBorder="0" applyAlignment="0" applyProtection="0"/>
    <xf numFmtId="316" fontId="21" fillId="0" borderId="45" applyFont="0" applyFill="0" applyBorder="0" applyAlignment="0" applyProtection="0"/>
    <xf numFmtId="0" fontId="189" fillId="0" borderId="0">
      <alignment wrapText="1"/>
    </xf>
    <xf numFmtId="0" fontId="9" fillId="0" borderId="0"/>
    <xf numFmtId="0" fontId="9" fillId="0" borderId="0"/>
    <xf numFmtId="0" fontId="190" fillId="0" borderId="0"/>
    <xf numFmtId="0" fontId="9" fillId="0" borderId="0"/>
    <xf numFmtId="0" fontId="9" fillId="0" borderId="0"/>
    <xf numFmtId="0" fontId="131" fillId="0" borderId="45" applyNumberFormat="0" applyFill="0" applyBorder="0" applyAlignment="0">
      <protection locked="0"/>
    </xf>
    <xf numFmtId="0" fontId="131" fillId="0" borderId="45" applyNumberFormat="0" applyFill="0" applyBorder="0" applyAlignment="0">
      <protection locked="0"/>
    </xf>
    <xf numFmtId="0" fontId="131" fillId="0" borderId="45" applyNumberFormat="0" applyFill="0" applyBorder="0" applyAlignment="0">
      <protection locked="0"/>
    </xf>
    <xf numFmtId="9" fontId="70" fillId="0" borderId="0" applyFont="0" applyFill="0" applyBorder="0" applyAlignment="0" applyProtection="0"/>
    <xf numFmtId="0" fontId="62" fillId="0" borderId="45" applyNumberFormat="0" applyFill="0" applyAlignment="0" applyProtection="0"/>
    <xf numFmtId="0" fontId="62" fillId="0" borderId="45" applyNumberFormat="0" applyFill="0" applyAlignment="0" applyProtection="0"/>
    <xf numFmtId="0" fontId="62" fillId="0" borderId="45" applyNumberFormat="0" applyFill="0" applyAlignment="0" applyProtection="0"/>
    <xf numFmtId="0" fontId="191" fillId="0" borderId="0" applyAlignment="0"/>
    <xf numFmtId="0" fontId="178" fillId="0" borderId="0" applyNumberFormat="0" applyFill="0" applyBorder="0" applyAlignment="0" applyProtection="0"/>
    <xf numFmtId="44" fontId="156" fillId="0" borderId="0" applyFont="0" applyFill="0" applyBorder="0" applyAlignment="0" applyProtection="0"/>
    <xf numFmtId="0" fontId="158" fillId="0" borderId="0"/>
    <xf numFmtId="0" fontId="8" fillId="0" borderId="0"/>
    <xf numFmtId="0" fontId="47" fillId="0" borderId="0"/>
    <xf numFmtId="9" fontId="17" fillId="0" borderId="0" applyFont="0" applyFill="0" applyBorder="0" applyAlignment="0" applyProtection="0"/>
    <xf numFmtId="0" fontId="8" fillId="0" borderId="0"/>
    <xf numFmtId="44" fontId="8" fillId="0" borderId="0" applyFont="0" applyFill="0" applyBorder="0" applyAlignment="0" applyProtection="0"/>
    <xf numFmtId="15" fontId="81" fillId="0" borderId="0" applyFill="0" applyBorder="0" applyAlignment="0"/>
    <xf numFmtId="297" fontId="81" fillId="36" borderId="0" applyFont="0" applyFill="0" applyBorder="0" applyAlignment="0" applyProtection="0"/>
    <xf numFmtId="17" fontId="81" fillId="0" borderId="0" applyFill="0" applyBorder="0">
      <alignment horizontal="right"/>
    </xf>
    <xf numFmtId="14" fontId="106" fillId="0" borderId="0" applyFill="0" applyBorder="0" applyAlignment="0"/>
    <xf numFmtId="17" fontId="17" fillId="0" borderId="0" applyFont="0" applyFill="0" applyBorder="0" applyAlignment="0" applyProtection="0">
      <alignment horizontal="center"/>
    </xf>
    <xf numFmtId="8" fontId="26" fillId="0" borderId="0" applyFill="0" applyBorder="0" applyProtection="0"/>
    <xf numFmtId="7" fontId="47" fillId="0" borderId="0"/>
    <xf numFmtId="7" fontId="47" fillId="0" borderId="0"/>
    <xf numFmtId="6" fontId="26" fillId="0" borderId="0" applyFont="0" applyFill="0" applyBorder="0" applyAlignment="0" applyProtection="0"/>
    <xf numFmtId="38" fontId="47" fillId="29" borderId="0" applyNumberFormat="0" applyFont="0" applyBorder="0" applyAlignment="0" applyProtection="0"/>
    <xf numFmtId="364" fontId="47" fillId="0" borderId="0">
      <alignment horizontal="left"/>
    </xf>
    <xf numFmtId="0" fontId="20" fillId="0" borderId="0" applyNumberFormat="0" applyFill="0" applyBorder="0" applyProtection="0">
      <alignment wrapText="1"/>
    </xf>
    <xf numFmtId="172" fontId="47" fillId="0" borderId="0" applyFill="0" applyBorder="0" applyAlignment="0" applyProtection="0">
      <alignment horizontal="right"/>
    </xf>
    <xf numFmtId="172" fontId="47" fillId="0" borderId="0" applyFill="0" applyBorder="0" applyAlignment="0" applyProtection="0"/>
    <xf numFmtId="37" fontId="195" fillId="34" borderId="60" applyBorder="0">
      <alignment horizontal="left" vertical="center" indent="1"/>
    </xf>
    <xf numFmtId="0" fontId="115" fillId="0" borderId="97" applyNumberFormat="0" applyAlignment="0" applyProtection="0">
      <alignment horizontal="left" vertical="center"/>
    </xf>
    <xf numFmtId="184" fontId="26" fillId="43" borderId="0" applyFont="0" applyFill="0" applyBorder="0" applyAlignment="0" applyProtection="0">
      <alignment horizontal="left"/>
    </xf>
    <xf numFmtId="270" fontId="26" fillId="0" borderId="0" applyFill="0" applyBorder="0" applyAlignment="0" applyProtection="0"/>
    <xf numFmtId="8" fontId="47" fillId="36" borderId="0" applyFont="0" applyBorder="0" applyAlignment="0" applyProtection="0">
      <protection locked="0"/>
    </xf>
    <xf numFmtId="298" fontId="47" fillId="36" borderId="0" applyFont="0" applyBorder="0" applyAlignment="0" applyProtection="0">
      <protection locked="0"/>
    </xf>
    <xf numFmtId="303" fontId="47" fillId="36" borderId="0" applyFont="0" applyBorder="0" applyAlignment="0">
      <protection locked="0"/>
    </xf>
    <xf numFmtId="270" fontId="47" fillId="36" borderId="0">
      <protection locked="0"/>
    </xf>
    <xf numFmtId="10" fontId="47" fillId="36" borderId="0">
      <protection locked="0"/>
    </xf>
    <xf numFmtId="307" fontId="47" fillId="36" borderId="0" applyFont="0" applyBorder="0" applyAlignment="0">
      <protection locked="0"/>
    </xf>
    <xf numFmtId="307" fontId="47" fillId="36" borderId="0" applyFont="0" applyBorder="0" applyAlignment="0">
      <protection locked="0"/>
    </xf>
    <xf numFmtId="270" fontId="47" fillId="36" borderId="0" applyNumberFormat="0" applyFont="0" applyBorder="0" applyAlignment="0" applyProtection="0">
      <alignment horizontal="center"/>
      <protection locked="0"/>
    </xf>
    <xf numFmtId="177" fontId="20" fillId="29" borderId="0" applyFont="0">
      <alignment horizontal="center"/>
    </xf>
    <xf numFmtId="0" fontId="21" fillId="0" borderId="0" applyNumberFormat="0" applyFont="0" applyFill="0" applyBorder="0" applyProtection="0">
      <alignment horizontal="left" vertical="center"/>
    </xf>
    <xf numFmtId="2" fontId="17" fillId="0" borderId="0" applyNumberFormat="0" applyBorder="0">
      <alignment horizontal="left"/>
    </xf>
    <xf numFmtId="310" fontId="115" fillId="66" borderId="39" applyBorder="0">
      <protection locked="0"/>
    </xf>
    <xf numFmtId="270" fontId="47" fillId="0" borderId="0" applyFill="0" applyBorder="0" applyAlignment="0" applyProtection="0"/>
    <xf numFmtId="167" fontId="47" fillId="29" borderId="0" applyFont="0" applyBorder="0" applyAlignment="0" applyProtection="0">
      <alignment horizontal="right"/>
      <protection hidden="1"/>
    </xf>
    <xf numFmtId="321" fontId="21" fillId="0" borderId="0"/>
    <xf numFmtId="0" fontId="37" fillId="85" borderId="0"/>
    <xf numFmtId="0" fontId="62" fillId="0" borderId="0" applyNumberFormat="0" applyFill="0" applyAlignment="0" applyProtection="0"/>
    <xf numFmtId="0" fontId="28" fillId="0" borderId="0"/>
    <xf numFmtId="38" fontId="47" fillId="0" borderId="0" applyFont="0" applyFill="0" applyBorder="0" applyAlignment="0"/>
    <xf numFmtId="40" fontId="47" fillId="0" borderId="0" applyFont="0" applyFill="0" applyBorder="0" applyAlignment="0"/>
    <xf numFmtId="274" fontId="47" fillId="0" borderId="0" applyFont="0" applyFill="0" applyBorder="0" applyAlignment="0"/>
    <xf numFmtId="0" fontId="17" fillId="0" borderId="0"/>
    <xf numFmtId="270" fontId="81" fillId="0" borderId="0" applyNumberFormat="0" applyFill="0" applyBorder="0" applyAlignment="0" applyProtection="0"/>
    <xf numFmtId="324" fontId="47" fillId="0" borderId="0" applyFont="0" applyFill="0" applyBorder="0" applyAlignment="0" applyProtection="0"/>
    <xf numFmtId="270" fontId="17" fillId="0" borderId="0">
      <alignment horizontal="right"/>
    </xf>
    <xf numFmtId="270" fontId="47" fillId="0" borderId="0"/>
    <xf numFmtId="40" fontId="47" fillId="0" borderId="0"/>
    <xf numFmtId="40" fontId="81" fillId="0" borderId="0">
      <alignment horizontal="left"/>
    </xf>
    <xf numFmtId="0" fontId="65" fillId="0" borderId="0"/>
    <xf numFmtId="40" fontId="17" fillId="0" borderId="0" applyBorder="0">
      <alignment horizontal="right"/>
    </xf>
    <xf numFmtId="270" fontId="47" fillId="0" borderId="0" applyFont="0" applyFill="0" applyBorder="0" applyAlignment="0" applyProtection="0"/>
    <xf numFmtId="365" fontId="62" fillId="0" borderId="0" applyFill="0" applyBorder="0" applyProtection="0">
      <alignment horizontal="center"/>
    </xf>
    <xf numFmtId="40" fontId="17" fillId="0" borderId="0" applyFont="0" applyFill="0" applyBorder="0" applyAlignment="0" applyProtection="0">
      <alignment horizontal="center"/>
    </xf>
    <xf numFmtId="326" fontId="47" fillId="0" borderId="0"/>
    <xf numFmtId="14" fontId="26" fillId="0" borderId="0">
      <alignment horizontal="center" wrapText="1"/>
      <protection locked="0"/>
    </xf>
    <xf numFmtId="307" fontId="47" fillId="0" borderId="0" applyFont="0" applyFill="0" applyBorder="0" applyAlignment="0"/>
    <xf numFmtId="9" fontId="8" fillId="0" borderId="0" applyFont="0" applyFill="0" applyBorder="0" applyAlignment="0" applyProtection="0"/>
    <xf numFmtId="366" fontId="26" fillId="0" borderId="0" applyFont="0" applyFill="0" applyBorder="0" applyProtection="0">
      <alignment horizontal="right"/>
    </xf>
    <xf numFmtId="0" fontId="26" fillId="0" borderId="0" applyFill="0" applyBorder="0" applyAlignment="0" applyProtection="0"/>
    <xf numFmtId="335" fontId="47" fillId="0" borderId="0" applyFont="0" applyFill="0" applyBorder="0" applyAlignment="0" applyProtection="0"/>
    <xf numFmtId="337" fontId="21" fillId="0" borderId="0"/>
    <xf numFmtId="0" fontId="57" fillId="0" borderId="18">
      <alignment horizontal="center"/>
    </xf>
    <xf numFmtId="340" fontId="21" fillId="0" borderId="0" applyFont="0" applyFill="0" applyBorder="0" applyAlignment="0" applyProtection="0">
      <alignment vertical="center"/>
    </xf>
    <xf numFmtId="274" fontId="26" fillId="0" borderId="0" applyFont="0" applyFill="0" applyBorder="0" applyAlignment="0" applyProtection="0"/>
    <xf numFmtId="1" fontId="17" fillId="0" borderId="0" applyNumberFormat="0" applyFill="0" applyBorder="0" applyAlignment="0" applyProtection="0">
      <alignment horizontal="center"/>
    </xf>
    <xf numFmtId="1" fontId="20" fillId="0" borderId="0" applyNumberFormat="0" applyFill="0" applyBorder="0" applyAlignment="0" applyProtection="0">
      <alignment horizontal="center"/>
    </xf>
    <xf numFmtId="270" fontId="47" fillId="66" borderId="0" applyNumberFormat="0" applyFont="0" applyBorder="0" applyAlignment="0">
      <protection hidden="1"/>
    </xf>
    <xf numFmtId="367" fontId="122" fillId="0" borderId="0" applyFill="0" applyBorder="0" applyProtection="0">
      <alignment horizontal="center" wrapText="1"/>
    </xf>
    <xf numFmtId="368" fontId="122" fillId="0" borderId="0" applyFill="0" applyBorder="0" applyProtection="0">
      <alignment horizontal="right" wrapText="1"/>
    </xf>
    <xf numFmtId="0" fontId="17" fillId="0" borderId="0"/>
    <xf numFmtId="0" fontId="7" fillId="0" borderId="0"/>
    <xf numFmtId="0" fontId="7" fillId="0" borderId="0"/>
    <xf numFmtId="0" fontId="156" fillId="0" borderId="0"/>
    <xf numFmtId="9" fontId="156" fillId="0" borderId="0" applyFont="0" applyFill="0" applyBorder="0" applyAlignment="0" applyProtection="0"/>
    <xf numFmtId="9" fontId="17" fillId="0" borderId="0"/>
    <xf numFmtId="0" fontId="198" fillId="0" borderId="0" applyNumberFormat="0" applyFill="0" applyBorder="0" applyAlignment="0" applyProtection="0"/>
    <xf numFmtId="0" fontId="6" fillId="0" borderId="0"/>
    <xf numFmtId="43" fontId="6" fillId="0" borderId="0" applyFont="0" applyFill="0" applyBorder="0" applyAlignment="0" applyProtection="0"/>
    <xf numFmtId="0" fontId="6" fillId="0" borderId="0"/>
    <xf numFmtId="0" fontId="5" fillId="0" borderId="0"/>
    <xf numFmtId="0" fontId="5" fillId="0" borderId="0"/>
    <xf numFmtId="0" fontId="4" fillId="0" borderId="0"/>
    <xf numFmtId="43" fontId="70" fillId="0" borderId="0" applyFont="0" applyFill="0" applyBorder="0" applyAlignment="0" applyProtection="0"/>
    <xf numFmtId="43" fontId="199" fillId="0" borderId="0" applyFont="0" applyFill="0" applyBorder="0" applyAlignment="0" applyProtection="0"/>
    <xf numFmtId="44" fontId="4"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43" fontId="3" fillId="0" borderId="0" applyFont="0" applyFill="0" applyBorder="0" applyAlignment="0" applyProtection="0"/>
    <xf numFmtId="44" fontId="3" fillId="0" borderId="0" applyFont="0" applyFill="0" applyBorder="0" applyAlignment="0" applyProtection="0"/>
    <xf numFmtId="0" fontId="156" fillId="0" borderId="0"/>
    <xf numFmtId="0" fontId="2" fillId="0" borderId="0"/>
    <xf numFmtId="0" fontId="2" fillId="0" borderId="0"/>
    <xf numFmtId="43" fontId="2" fillId="0" borderId="0" applyFont="0" applyFill="0" applyBorder="0" applyAlignment="0" applyProtection="0"/>
    <xf numFmtId="0" fontId="1" fillId="0" borderId="0"/>
    <xf numFmtId="0" fontId="268" fillId="0" borderId="0"/>
    <xf numFmtId="0" fontId="17" fillId="0" borderId="0"/>
    <xf numFmtId="0" fontId="17" fillId="0" borderId="0"/>
  </cellStyleXfs>
  <cellXfs count="1954">
    <xf numFmtId="0" fontId="0" fillId="0" borderId="0" xfId="0"/>
    <xf numFmtId="0" fontId="150" fillId="0" borderId="0" xfId="0" applyFont="1"/>
    <xf numFmtId="0" fontId="149" fillId="0" borderId="0" xfId="0" applyFont="1" applyAlignment="1">
      <alignment wrapText="1"/>
    </xf>
    <xf numFmtId="0" fontId="152" fillId="0" borderId="0" xfId="0" applyFont="1"/>
    <xf numFmtId="43" fontId="153" fillId="68" borderId="55" xfId="11155" applyFont="1" applyFill="1" applyBorder="1" applyAlignment="1"/>
    <xf numFmtId="43" fontId="153" fillId="68" borderId="0" xfId="11155" applyFont="1" applyFill="1" applyBorder="1" applyAlignment="1"/>
    <xf numFmtId="43" fontId="153" fillId="68" borderId="56" xfId="11155" applyFont="1" applyFill="1" applyBorder="1" applyAlignment="1"/>
    <xf numFmtId="43" fontId="153" fillId="68" borderId="56" xfId="11155" applyFont="1" applyFill="1" applyBorder="1" applyAlignment="1">
      <alignment horizontal="right"/>
    </xf>
    <xf numFmtId="0" fontId="149" fillId="0" borderId="0" xfId="0" applyFont="1" applyBorder="1"/>
    <xf numFmtId="0" fontId="21" fillId="0" borderId="0" xfId="0" applyFont="1" applyFill="1"/>
    <xf numFmtId="0" fontId="123" fillId="0" borderId="0" xfId="0" applyFont="1" applyAlignment="1">
      <alignment horizontal="center"/>
    </xf>
    <xf numFmtId="0" fontId="149" fillId="71" borderId="0" xfId="0" applyFont="1" applyFill="1" applyBorder="1"/>
    <xf numFmtId="0" fontId="149" fillId="71" borderId="13" xfId="0" applyFont="1" applyFill="1" applyBorder="1"/>
    <xf numFmtId="169" fontId="150" fillId="71" borderId="45" xfId="0" applyNumberFormat="1" applyFont="1" applyFill="1" applyBorder="1"/>
    <xf numFmtId="0" fontId="149" fillId="0" borderId="10" xfId="0" applyFont="1" applyBorder="1"/>
    <xf numFmtId="234" fontId="150" fillId="71" borderId="0" xfId="0" applyNumberFormat="1" applyFont="1" applyFill="1" applyBorder="1"/>
    <xf numFmtId="169" fontId="150" fillId="71" borderId="0" xfId="0" applyNumberFormat="1" applyFont="1" applyFill="1" applyBorder="1"/>
    <xf numFmtId="234" fontId="150" fillId="71" borderId="45" xfId="0" applyNumberFormat="1" applyFont="1" applyFill="1" applyBorder="1"/>
    <xf numFmtId="0" fontId="151" fillId="0" borderId="32" xfId="0" applyFont="1" applyFill="1" applyBorder="1" applyAlignment="1">
      <alignment horizontal="center" wrapText="1"/>
    </xf>
    <xf numFmtId="0" fontId="151" fillId="0" borderId="0" xfId="0" applyFont="1" applyFill="1" applyBorder="1" applyAlignment="1">
      <alignment horizontal="center" wrapText="1"/>
    </xf>
    <xf numFmtId="165" fontId="150" fillId="71" borderId="0" xfId="0" applyNumberFormat="1" applyFont="1" applyFill="1" applyBorder="1"/>
    <xf numFmtId="165" fontId="150" fillId="71" borderId="13" xfId="0" applyNumberFormat="1" applyFont="1" applyFill="1" applyBorder="1"/>
    <xf numFmtId="165" fontId="150" fillId="71" borderId="45" xfId="0" applyNumberFormat="1" applyFont="1" applyFill="1" applyBorder="1"/>
    <xf numFmtId="164" fontId="149" fillId="0" borderId="0" xfId="0" applyNumberFormat="1" applyFont="1" applyAlignment="1">
      <alignment horizontal="center" vertical="top" wrapText="1"/>
    </xf>
    <xf numFmtId="0" fontId="149" fillId="0" borderId="0" xfId="0" applyFont="1" applyAlignment="1">
      <alignment vertical="top" wrapText="1"/>
    </xf>
    <xf numFmtId="165" fontId="149" fillId="0" borderId="0" xfId="0" applyNumberFormat="1" applyFont="1" applyAlignment="1">
      <alignment horizontal="center" vertical="top" wrapText="1"/>
    </xf>
    <xf numFmtId="0" fontId="149" fillId="0" borderId="0" xfId="0" applyFont="1" applyAlignment="1">
      <alignment horizontal="center" vertical="top" wrapText="1"/>
    </xf>
    <xf numFmtId="169" fontId="149" fillId="0" borderId="0" xfId="0" applyNumberFormat="1" applyFont="1" applyAlignment="1">
      <alignment horizontal="right" vertical="top"/>
    </xf>
    <xf numFmtId="0" fontId="149" fillId="0" borderId="0" xfId="0" applyFont="1" applyAlignment="1">
      <alignment horizontal="right" vertical="top"/>
    </xf>
    <xf numFmtId="234" fontId="149" fillId="0" borderId="0" xfId="0" applyNumberFormat="1" applyFont="1" applyAlignment="1">
      <alignment horizontal="right" vertical="top"/>
    </xf>
    <xf numFmtId="165" fontId="149" fillId="0" borderId="0" xfId="0" applyNumberFormat="1" applyFont="1" applyAlignment="1">
      <alignment vertical="top" wrapText="1"/>
    </xf>
    <xf numFmtId="0" fontId="149" fillId="71" borderId="45" xfId="0" applyFont="1" applyFill="1" applyBorder="1"/>
    <xf numFmtId="0" fontId="21" fillId="0" borderId="0" xfId="0" applyFont="1" applyFill="1" applyAlignment="1">
      <alignment horizontal="right"/>
    </xf>
    <xf numFmtId="0" fontId="149" fillId="0" borderId="0" xfId="0" applyFont="1" applyAlignment="1">
      <alignment horizontal="right"/>
    </xf>
    <xf numFmtId="0" fontId="149" fillId="0" borderId="13" xfId="0" applyFont="1" applyBorder="1" applyAlignment="1">
      <alignment horizontal="right"/>
    </xf>
    <xf numFmtId="0" fontId="157" fillId="0" borderId="0" xfId="0" applyFont="1"/>
    <xf numFmtId="0" fontId="149" fillId="0" borderId="60" xfId="0" applyFont="1" applyBorder="1"/>
    <xf numFmtId="0" fontId="149" fillId="0" borderId="0" xfId="0" applyFont="1"/>
    <xf numFmtId="0" fontId="149" fillId="0" borderId="0" xfId="0" applyFont="1" applyAlignment="1">
      <alignment horizontal="center"/>
    </xf>
    <xf numFmtId="0" fontId="149" fillId="71" borderId="92" xfId="0" applyFont="1" applyFill="1" applyBorder="1"/>
    <xf numFmtId="0" fontId="26" fillId="75" borderId="0" xfId="11828" applyFont="1" applyFill="1"/>
    <xf numFmtId="0" fontId="26" fillId="75" borderId="0" xfId="11828" applyFont="1" applyFill="1" applyAlignment="1">
      <alignment horizontal="right"/>
    </xf>
    <xf numFmtId="0" fontId="193" fillId="75" borderId="0" xfId="11828" applyFont="1" applyFill="1" applyAlignment="1">
      <alignment horizontal="right"/>
    </xf>
    <xf numFmtId="0" fontId="26" fillId="0" borderId="0" xfId="11828" applyFont="1"/>
    <xf numFmtId="0" fontId="26" fillId="0" borderId="0" xfId="11828" applyFont="1" applyAlignment="1">
      <alignment horizontal="right"/>
    </xf>
    <xf numFmtId="0" fontId="26" fillId="0" borderId="0" xfId="11828" applyFont="1" applyFill="1" applyAlignment="1">
      <alignment horizontal="right"/>
    </xf>
    <xf numFmtId="14" fontId="26" fillId="0" borderId="0" xfId="11828" applyNumberFormat="1" applyFont="1" applyAlignment="1">
      <alignment horizontal="right"/>
    </xf>
    <xf numFmtId="0" fontId="26" fillId="0" borderId="0" xfId="11828" applyFont="1" applyFill="1"/>
    <xf numFmtId="165" fontId="26" fillId="0" borderId="0" xfId="12424" applyNumberFormat="1" applyFont="1" applyAlignment="1">
      <alignment horizontal="right"/>
    </xf>
    <xf numFmtId="363" fontId="26" fillId="0" borderId="0" xfId="11828" applyNumberFormat="1" applyFont="1" applyAlignment="1">
      <alignment horizontal="right"/>
    </xf>
    <xf numFmtId="10" fontId="21" fillId="0" borderId="10" xfId="20309" applyNumberFormat="1" applyFont="1" applyFill="1" applyBorder="1" applyAlignment="1">
      <alignment horizontal="right"/>
    </xf>
    <xf numFmtId="0" fontId="21" fillId="0" borderId="0" xfId="0" applyFont="1"/>
    <xf numFmtId="0" fontId="21" fillId="0" borderId="0" xfId="0" applyFont="1" applyAlignment="1">
      <alignment horizontal="right"/>
    </xf>
    <xf numFmtId="10" fontId="21" fillId="0" borderId="60" xfId="20309" applyNumberFormat="1" applyFont="1" applyFill="1" applyBorder="1" applyAlignment="1">
      <alignment horizontal="right"/>
    </xf>
    <xf numFmtId="0" fontId="196" fillId="0" borderId="0" xfId="0" applyFont="1" applyAlignment="1">
      <alignment horizontal="center" wrapText="1"/>
    </xf>
    <xf numFmtId="14" fontId="26" fillId="0" borderId="0" xfId="11828" applyNumberFormat="1" applyFont="1" applyFill="1" applyAlignment="1">
      <alignment horizontal="left"/>
    </xf>
    <xf numFmtId="14" fontId="26" fillId="0" borderId="0" xfId="11828" applyNumberFormat="1" applyFont="1" applyFill="1"/>
    <xf numFmtId="0" fontId="26" fillId="0" borderId="101" xfId="11828" applyFont="1" applyFill="1" applyBorder="1" applyAlignment="1">
      <alignment horizontal="right"/>
    </xf>
    <xf numFmtId="14" fontId="26" fillId="0" borderId="102" xfId="11828" applyNumberFormat="1" applyFont="1" applyFill="1" applyBorder="1" applyAlignment="1">
      <alignment horizontal="right"/>
    </xf>
    <xf numFmtId="0" fontId="26" fillId="0" borderId="60" xfId="11828" applyFont="1" applyFill="1" applyBorder="1" applyAlignment="1">
      <alignment horizontal="right"/>
    </xf>
    <xf numFmtId="0" fontId="26" fillId="0" borderId="13" xfId="11828" applyFont="1" applyFill="1" applyBorder="1" applyAlignment="1">
      <alignment horizontal="right"/>
    </xf>
    <xf numFmtId="0" fontId="26" fillId="0" borderId="10" xfId="11828" applyFont="1" applyFill="1" applyBorder="1" applyAlignment="1">
      <alignment horizontal="right"/>
    </xf>
    <xf numFmtId="0" fontId="26" fillId="0" borderId="92" xfId="11828" applyFont="1" applyFill="1" applyBorder="1" applyAlignment="1">
      <alignment horizontal="right"/>
    </xf>
    <xf numFmtId="0" fontId="26" fillId="0" borderId="0" xfId="11828" applyFont="1" applyFill="1" applyBorder="1" applyAlignment="1">
      <alignment horizontal="right"/>
    </xf>
    <xf numFmtId="0" fontId="197" fillId="0" borderId="0" xfId="11828" applyFont="1" applyFill="1" applyBorder="1" applyAlignment="1">
      <alignment horizontal="right"/>
    </xf>
    <xf numFmtId="0" fontId="194" fillId="0" borderId="0" xfId="11828" applyFont="1" applyFill="1"/>
    <xf numFmtId="14" fontId="26" fillId="0" borderId="0" xfId="11828" applyNumberFormat="1" applyFont="1" applyFill="1" applyAlignment="1">
      <alignment horizontal="right"/>
    </xf>
    <xf numFmtId="0" fontId="26" fillId="0" borderId="0" xfId="11828" applyNumberFormat="1" applyFont="1" applyFill="1" applyAlignment="1">
      <alignment horizontal="right"/>
    </xf>
    <xf numFmtId="167" fontId="26" fillId="0" borderId="0" xfId="12425" applyNumberFormat="1" applyFont="1" applyFill="1" applyAlignment="1">
      <alignment horizontal="right"/>
    </xf>
    <xf numFmtId="165" fontId="26" fillId="0" borderId="0" xfId="12424" applyNumberFormat="1" applyFont="1" applyFill="1" applyAlignment="1">
      <alignment horizontal="right"/>
    </xf>
    <xf numFmtId="0" fontId="26" fillId="0" borderId="0" xfId="11828" applyFont="1" applyFill="1" applyAlignment="1"/>
    <xf numFmtId="255" fontId="26" fillId="0" borderId="0" xfId="11828" applyNumberFormat="1" applyFont="1" applyFill="1" applyAlignment="1">
      <alignment horizontal="right"/>
    </xf>
    <xf numFmtId="165" fontId="26" fillId="74" borderId="0" xfId="12424" applyNumberFormat="1" applyFont="1" applyFill="1" applyAlignment="1">
      <alignment horizontal="right"/>
    </xf>
    <xf numFmtId="14" fontId="26" fillId="0" borderId="0" xfId="11828" applyNumberFormat="1" applyFont="1"/>
    <xf numFmtId="0" fontId="151" fillId="0" borderId="74" xfId="11826" applyFont="1" applyFill="1" applyBorder="1" applyAlignment="1">
      <alignment horizontal="left"/>
    </xf>
    <xf numFmtId="0" fontId="151" fillId="0" borderId="74" xfId="11826" applyFont="1" applyFill="1" applyBorder="1" applyAlignment="1">
      <alignment horizontal="right"/>
    </xf>
    <xf numFmtId="0" fontId="151" fillId="0" borderId="98" xfId="11826" applyFont="1" applyFill="1" applyBorder="1" applyAlignment="1">
      <alignment horizontal="right"/>
    </xf>
    <xf numFmtId="0" fontId="151" fillId="0" borderId="98" xfId="11826" applyFont="1" applyFill="1" applyBorder="1" applyAlignment="1">
      <alignment horizontal="centerContinuous"/>
    </xf>
    <xf numFmtId="0" fontId="151" fillId="0" borderId="99" xfId="11826" applyFont="1" applyFill="1" applyBorder="1" applyAlignment="1">
      <alignment horizontal="centerContinuous"/>
    </xf>
    <xf numFmtId="0" fontId="26" fillId="0" borderId="99" xfId="11828" applyFont="1" applyFill="1" applyBorder="1" applyAlignment="1">
      <alignment horizontal="centerContinuous"/>
    </xf>
    <xf numFmtId="0" fontId="26" fillId="0" borderId="100" xfId="11828" applyFont="1" applyFill="1" applyBorder="1" applyAlignment="1">
      <alignment horizontal="centerContinuous"/>
    </xf>
    <xf numFmtId="0" fontId="21" fillId="0" borderId="103" xfId="20308" applyFont="1" applyFill="1" applyBorder="1" applyAlignment="1">
      <alignment horizontal="left"/>
    </xf>
    <xf numFmtId="2" fontId="21" fillId="0" borderId="103" xfId="11826" applyNumberFormat="1" applyFont="1" applyFill="1" applyBorder="1" applyAlignment="1">
      <alignment horizontal="right"/>
    </xf>
    <xf numFmtId="10" fontId="21" fillId="0" borderId="101" xfId="20309" applyNumberFormat="1" applyFont="1" applyFill="1" applyBorder="1" applyAlignment="1">
      <alignment horizontal="right"/>
    </xf>
    <xf numFmtId="0" fontId="21" fillId="0" borderId="60" xfId="11826" applyFont="1" applyFill="1" applyBorder="1" applyAlignment="1">
      <alignment horizontal="centerContinuous"/>
    </xf>
    <xf numFmtId="0" fontId="21" fillId="0" borderId="0" xfId="11826" applyFont="1" applyFill="1" applyBorder="1" applyAlignment="1">
      <alignment horizontal="centerContinuous"/>
    </xf>
    <xf numFmtId="0" fontId="26" fillId="0" borderId="0" xfId="11828" applyFont="1" applyFill="1" applyBorder="1" applyAlignment="1">
      <alignment horizontal="centerContinuous"/>
    </xf>
    <xf numFmtId="0" fontId="26" fillId="0" borderId="13" xfId="11828" applyFont="1" applyFill="1" applyBorder="1" applyAlignment="1">
      <alignment horizontal="centerContinuous"/>
    </xf>
    <xf numFmtId="14" fontId="149" fillId="0" borderId="50" xfId="16168" applyNumberFormat="1" applyFont="1" applyFill="1" applyBorder="1" applyAlignment="1">
      <alignment horizontal="left"/>
    </xf>
    <xf numFmtId="2" fontId="21" fillId="0" borderId="50" xfId="11826" applyNumberFormat="1" applyFont="1" applyFill="1" applyBorder="1" applyAlignment="1">
      <alignment horizontal="right"/>
    </xf>
    <xf numFmtId="14" fontId="149" fillId="0" borderId="32" xfId="16168" applyNumberFormat="1" applyFont="1" applyFill="1" applyBorder="1" applyAlignment="1">
      <alignment horizontal="left"/>
    </xf>
    <xf numFmtId="2" fontId="21" fillId="0" borderId="32" xfId="11826" applyNumberFormat="1" applyFont="1" applyFill="1" applyBorder="1" applyAlignment="1">
      <alignment horizontal="right"/>
    </xf>
    <xf numFmtId="0" fontId="21" fillId="0" borderId="10" xfId="11826" applyFont="1" applyFill="1" applyBorder="1" applyAlignment="1">
      <alignment horizontal="centerContinuous"/>
    </xf>
    <xf numFmtId="0" fontId="21" fillId="0" borderId="45" xfId="11826" applyFont="1" applyFill="1" applyBorder="1" applyAlignment="1">
      <alignment horizontal="centerContinuous"/>
    </xf>
    <xf numFmtId="0" fontId="26" fillId="0" borderId="45" xfId="11828" applyFont="1" applyFill="1" applyBorder="1" applyAlignment="1">
      <alignment horizontal="centerContinuous"/>
    </xf>
    <xf numFmtId="0" fontId="26" fillId="0" borderId="92" xfId="11828" applyFont="1" applyFill="1" applyBorder="1" applyAlignment="1">
      <alignment horizontal="centerContinuous"/>
    </xf>
    <xf numFmtId="0" fontId="87" fillId="0" borderId="0" xfId="11828" applyFont="1" applyFill="1"/>
    <xf numFmtId="14" fontId="149" fillId="0" borderId="74" xfId="16168" applyNumberFormat="1" applyFont="1" applyFill="1" applyBorder="1" applyAlignment="1">
      <alignment horizontal="left"/>
    </xf>
    <xf numFmtId="10" fontId="26" fillId="0" borderId="74" xfId="12424" applyNumberFormat="1" applyFont="1" applyFill="1" applyBorder="1" applyAlignment="1">
      <alignment horizontal="right"/>
    </xf>
    <xf numFmtId="0" fontId="26" fillId="0" borderId="99" xfId="11828" applyFont="1" applyFill="1" applyBorder="1" applyAlignment="1">
      <alignment horizontal="left"/>
    </xf>
    <xf numFmtId="0" fontId="26" fillId="0" borderId="99" xfId="11828" applyFont="1" applyFill="1" applyBorder="1" applyAlignment="1">
      <alignment horizontal="right"/>
    </xf>
    <xf numFmtId="0" fontId="26" fillId="0" borderId="100" xfId="11828" applyFont="1" applyFill="1" applyBorder="1" applyAlignment="1">
      <alignment horizontal="right"/>
    </xf>
    <xf numFmtId="0" fontId="149" fillId="0" borderId="107" xfId="0" applyFont="1" applyBorder="1"/>
    <xf numFmtId="0" fontId="26" fillId="0" borderId="107" xfId="11828" applyFont="1" applyFill="1" applyBorder="1" applyAlignment="1">
      <alignment horizontal="right"/>
    </xf>
    <xf numFmtId="14" fontId="26" fillId="0" borderId="108" xfId="11828" applyNumberFormat="1" applyFont="1" applyFill="1" applyBorder="1" applyAlignment="1">
      <alignment horizontal="right"/>
    </xf>
    <xf numFmtId="0" fontId="21" fillId="0" borderId="0" xfId="20306" applyFont="1" applyFill="1"/>
    <xf numFmtId="0" fontId="21" fillId="0" borderId="0" xfId="20306" applyFont="1" applyFill="1" applyAlignment="1">
      <alignment horizontal="right"/>
    </xf>
    <xf numFmtId="0" fontId="21" fillId="0" borderId="0" xfId="20306" applyFont="1" applyAlignment="1">
      <alignment horizontal="right"/>
    </xf>
    <xf numFmtId="0" fontId="21" fillId="0" borderId="0" xfId="20306" applyFont="1"/>
    <xf numFmtId="0" fontId="26" fillId="0" borderId="104" xfId="11828" applyFont="1" applyFill="1" applyBorder="1" applyAlignment="1">
      <alignment horizontal="centerContinuous"/>
    </xf>
    <xf numFmtId="0" fontId="26" fillId="0" borderId="105" xfId="11828" applyFont="1" applyFill="1" applyBorder="1" applyAlignment="1">
      <alignment horizontal="centerContinuous"/>
    </xf>
    <xf numFmtId="0" fontId="26" fillId="0" borderId="106" xfId="11828" applyFont="1" applyFill="1" applyBorder="1" applyAlignment="1">
      <alignment horizontal="centerContinuous"/>
    </xf>
    <xf numFmtId="0" fontId="123" fillId="0" borderId="0" xfId="20306" applyFont="1" applyAlignment="1">
      <alignment horizontal="center"/>
    </xf>
    <xf numFmtId="0" fontId="151" fillId="0" borderId="74" xfId="20380" applyFont="1" applyFill="1" applyBorder="1" applyAlignment="1">
      <alignment horizontal="left"/>
    </xf>
    <xf numFmtId="0" fontId="151" fillId="0" borderId="74" xfId="20380" applyFont="1" applyFill="1" applyBorder="1" applyAlignment="1">
      <alignment horizontal="right"/>
    </xf>
    <xf numFmtId="0" fontId="151" fillId="0" borderId="104" xfId="20380" applyFont="1" applyFill="1" applyBorder="1" applyAlignment="1">
      <alignment horizontal="right"/>
    </xf>
    <xf numFmtId="0" fontId="151" fillId="0" borderId="104" xfId="20380" applyFont="1" applyFill="1" applyBorder="1" applyAlignment="1">
      <alignment horizontal="centerContinuous"/>
    </xf>
    <xf numFmtId="0" fontId="151" fillId="0" borderId="105" xfId="20380" applyFont="1" applyFill="1" applyBorder="1" applyAlignment="1">
      <alignment horizontal="centerContinuous"/>
    </xf>
    <xf numFmtId="2" fontId="21" fillId="0" borderId="103" xfId="20380" applyNumberFormat="1" applyFont="1" applyFill="1" applyBorder="1" applyAlignment="1">
      <alignment horizontal="right"/>
    </xf>
    <xf numFmtId="10" fontId="21" fillId="0" borderId="107" xfId="20309" applyNumberFormat="1" applyFont="1" applyFill="1" applyBorder="1" applyAlignment="1">
      <alignment horizontal="right"/>
    </xf>
    <xf numFmtId="0" fontId="21" fillId="0" borderId="60" xfId="20380" applyFont="1" applyFill="1" applyBorder="1" applyAlignment="1">
      <alignment horizontal="centerContinuous"/>
    </xf>
    <xf numFmtId="0" fontId="21" fillId="0" borderId="0" xfId="20380" applyFont="1" applyFill="1" applyBorder="1" applyAlignment="1">
      <alignment horizontal="centerContinuous"/>
    </xf>
    <xf numFmtId="14" fontId="149" fillId="0" borderId="50" xfId="20381" applyNumberFormat="1" applyFont="1" applyFill="1" applyBorder="1" applyAlignment="1">
      <alignment horizontal="left"/>
    </xf>
    <xf numFmtId="2" fontId="21" fillId="0" borderId="50" xfId="20380" applyNumberFormat="1" applyFont="1" applyFill="1" applyBorder="1" applyAlignment="1">
      <alignment horizontal="right"/>
    </xf>
    <xf numFmtId="14" fontId="149" fillId="0" borderId="32" xfId="20381" applyNumberFormat="1" applyFont="1" applyFill="1" applyBorder="1" applyAlignment="1">
      <alignment horizontal="left"/>
    </xf>
    <xf numFmtId="2" fontId="21" fillId="0" borderId="32" xfId="20380" applyNumberFormat="1" applyFont="1" applyFill="1" applyBorder="1" applyAlignment="1">
      <alignment horizontal="right"/>
    </xf>
    <xf numFmtId="0" fontId="21" fillId="0" borderId="10" xfId="20380" applyFont="1" applyFill="1" applyBorder="1" applyAlignment="1">
      <alignment horizontal="centerContinuous"/>
    </xf>
    <xf numFmtId="0" fontId="21" fillId="0" borderId="45" xfId="20380" applyFont="1" applyFill="1" applyBorder="1" applyAlignment="1">
      <alignment horizontal="centerContinuous"/>
    </xf>
    <xf numFmtId="14" fontId="149" fillId="0" borderId="74" xfId="20381" applyNumberFormat="1" applyFont="1" applyFill="1" applyBorder="1" applyAlignment="1">
      <alignment horizontal="left"/>
    </xf>
    <xf numFmtId="0" fontId="26" fillId="0" borderId="105" xfId="11828" applyFont="1" applyFill="1" applyBorder="1" applyAlignment="1">
      <alignment horizontal="left"/>
    </xf>
    <xf numFmtId="0" fontId="26" fillId="0" borderId="105" xfId="11828" applyFont="1" applyFill="1" applyBorder="1" applyAlignment="1">
      <alignment horizontal="right"/>
    </xf>
    <xf numFmtId="0" fontId="26" fillId="0" borderId="106" xfId="11828" applyFont="1" applyFill="1" applyBorder="1" applyAlignment="1">
      <alignment horizontal="right"/>
    </xf>
    <xf numFmtId="14" fontId="149" fillId="0" borderId="110" xfId="0" applyNumberFormat="1" applyFont="1" applyBorder="1" applyAlignment="1">
      <alignment horizontal="right"/>
    </xf>
    <xf numFmtId="0" fontId="149" fillId="0" borderId="92" xfId="0" applyFont="1" applyBorder="1" applyAlignment="1">
      <alignment horizontal="right"/>
    </xf>
    <xf numFmtId="0" fontId="149" fillId="0" borderId="0" xfId="20306" applyFont="1"/>
    <xf numFmtId="0" fontId="192" fillId="0" borderId="0" xfId="20306" applyFont="1"/>
    <xf numFmtId="0" fontId="155" fillId="72" borderId="104" xfId="20306" applyFont="1" applyFill="1" applyBorder="1" applyAlignment="1">
      <alignment horizontal="centerContinuous"/>
    </xf>
    <xf numFmtId="0" fontId="155" fillId="72" borderId="106" xfId="20306" applyFont="1" applyFill="1" applyBorder="1" applyAlignment="1">
      <alignment horizontal="centerContinuous"/>
    </xf>
    <xf numFmtId="0" fontId="155" fillId="72" borderId="105" xfId="20306" applyFont="1" applyFill="1" applyBorder="1" applyAlignment="1">
      <alignment horizontal="centerContinuous"/>
    </xf>
    <xf numFmtId="0" fontId="155" fillId="72" borderId="74" xfId="20306" applyFont="1" applyFill="1" applyBorder="1" applyAlignment="1">
      <alignment horizontal="centerContinuous"/>
    </xf>
    <xf numFmtId="0" fontId="151" fillId="0" borderId="104" xfId="20306" applyFont="1" applyFill="1" applyBorder="1" applyAlignment="1">
      <alignment horizontal="center" wrapText="1"/>
    </xf>
    <xf numFmtId="0" fontId="151" fillId="0" borderId="105" xfId="20306" applyFont="1" applyFill="1" applyBorder="1" applyAlignment="1">
      <alignment horizontal="center" wrapText="1"/>
    </xf>
    <xf numFmtId="0" fontId="151" fillId="0" borderId="106" xfId="20306" applyFont="1" applyFill="1" applyBorder="1" applyAlignment="1">
      <alignment horizontal="center" wrapText="1"/>
    </xf>
    <xf numFmtId="0" fontId="149" fillId="0" borderId="0" xfId="20306" applyFont="1" applyAlignment="1">
      <alignment wrapText="1"/>
    </xf>
    <xf numFmtId="0" fontId="151" fillId="0" borderId="0" xfId="20306" applyFont="1" applyFill="1" applyBorder="1" applyAlignment="1">
      <alignment horizontal="center" wrapText="1"/>
    </xf>
    <xf numFmtId="0" fontId="151" fillId="0" borderId="10" xfId="20306" applyFont="1" applyFill="1" applyBorder="1" applyAlignment="1">
      <alignment horizontal="center" wrapText="1"/>
    </xf>
    <xf numFmtId="0" fontId="151" fillId="0" borderId="32" xfId="20306" applyFont="1" applyFill="1" applyBorder="1" applyAlignment="1">
      <alignment horizontal="center" wrapText="1"/>
    </xf>
    <xf numFmtId="0" fontId="150" fillId="0" borderId="0" xfId="20306" applyFont="1" applyAlignment="1">
      <alignment horizontal="center" wrapText="1"/>
    </xf>
    <xf numFmtId="164" fontId="149" fillId="0" borderId="0" xfId="20306" applyNumberFormat="1" applyFont="1" applyAlignment="1">
      <alignment horizontal="center" vertical="top" wrapText="1"/>
    </xf>
    <xf numFmtId="0" fontId="149" fillId="0" borderId="0" xfId="20306" applyFont="1" applyAlignment="1">
      <alignment vertical="top" wrapText="1"/>
    </xf>
    <xf numFmtId="165" fontId="149" fillId="0" borderId="0" xfId="20306" applyNumberFormat="1" applyFont="1" applyAlignment="1">
      <alignment horizontal="center" vertical="top" wrapText="1"/>
    </xf>
    <xf numFmtId="0" fontId="149" fillId="0" borderId="0" xfId="20306" applyFont="1" applyAlignment="1">
      <alignment horizontal="center" vertical="top" wrapText="1"/>
    </xf>
    <xf numFmtId="169" fontId="149" fillId="0" borderId="0" xfId="20306" applyNumberFormat="1" applyFont="1" applyAlignment="1">
      <alignment horizontal="right" vertical="top"/>
    </xf>
    <xf numFmtId="0" fontId="149" fillId="0" borderId="0" xfId="20306" applyFont="1" applyAlignment="1">
      <alignment horizontal="right" vertical="top"/>
    </xf>
    <xf numFmtId="234" fontId="149" fillId="0" borderId="0" xfId="20306" applyNumberFormat="1" applyFont="1" applyAlignment="1">
      <alignment horizontal="right" vertical="top"/>
    </xf>
    <xf numFmtId="165" fontId="149" fillId="0" borderId="0" xfId="20306" applyNumberFormat="1" applyFont="1" applyAlignment="1">
      <alignment vertical="top" wrapText="1"/>
    </xf>
    <xf numFmtId="0" fontId="157" fillId="0" borderId="0" xfId="20306" applyFont="1"/>
    <xf numFmtId="0" fontId="150" fillId="71" borderId="107" xfId="20306" applyFont="1" applyFill="1" applyBorder="1"/>
    <xf numFmtId="0" fontId="149" fillId="71" borderId="109" xfId="20306" applyFont="1" applyFill="1" applyBorder="1"/>
    <xf numFmtId="169" fontId="150" fillId="71" borderId="109" xfId="20306" applyNumberFormat="1" applyFont="1" applyFill="1" applyBorder="1"/>
    <xf numFmtId="0" fontId="149" fillId="71" borderId="110" xfId="20306" applyFont="1" applyFill="1" applyBorder="1"/>
    <xf numFmtId="234" fontId="150" fillId="71" borderId="109" xfId="20306" applyNumberFormat="1" applyFont="1" applyFill="1" applyBorder="1"/>
    <xf numFmtId="165" fontId="150" fillId="71" borderId="109" xfId="20306" applyNumberFormat="1" applyFont="1" applyFill="1" applyBorder="1"/>
    <xf numFmtId="165" fontId="150" fillId="71" borderId="110" xfId="20306" applyNumberFormat="1" applyFont="1" applyFill="1" applyBorder="1"/>
    <xf numFmtId="0" fontId="150" fillId="71" borderId="60" xfId="20306" applyFont="1" applyFill="1" applyBorder="1"/>
    <xf numFmtId="0" fontId="149" fillId="71" borderId="0" xfId="20306" applyFont="1" applyFill="1" applyBorder="1"/>
    <xf numFmtId="169" fontId="150" fillId="71" borderId="0" xfId="20306" applyNumberFormat="1" applyFont="1" applyFill="1" applyBorder="1"/>
    <xf numFmtId="0" fontId="149" fillId="71" borderId="13" xfId="20306" applyFont="1" applyFill="1" applyBorder="1"/>
    <xf numFmtId="234" fontId="150" fillId="71" borderId="0" xfId="20306" applyNumberFormat="1" applyFont="1" applyFill="1" applyBorder="1"/>
    <xf numFmtId="165" fontId="150" fillId="71" borderId="0" xfId="20306" applyNumberFormat="1" applyFont="1" applyFill="1" applyBorder="1"/>
    <xf numFmtId="165" fontId="150" fillId="71" borderId="13" xfId="20306" applyNumberFormat="1" applyFont="1" applyFill="1" applyBorder="1"/>
    <xf numFmtId="0" fontId="150" fillId="71" borderId="10" xfId="20306" applyFont="1" applyFill="1" applyBorder="1"/>
    <xf numFmtId="0" fontId="149" fillId="71" borderId="45" xfId="20306" applyFont="1" applyFill="1" applyBorder="1"/>
    <xf numFmtId="169" fontId="150" fillId="71" borderId="45" xfId="20306" applyNumberFormat="1" applyFont="1" applyFill="1" applyBorder="1"/>
    <xf numFmtId="0" fontId="149" fillId="71" borderId="92" xfId="20306" applyFont="1" applyFill="1" applyBorder="1"/>
    <xf numFmtId="234" fontId="150" fillId="71" borderId="45" xfId="20306" applyNumberFormat="1" applyFont="1" applyFill="1" applyBorder="1"/>
    <xf numFmtId="165" fontId="150" fillId="71" borderId="45" xfId="20306" applyNumberFormat="1" applyFont="1" applyFill="1" applyBorder="1"/>
    <xf numFmtId="165" fontId="150" fillId="71" borderId="92" xfId="20306" applyNumberFormat="1" applyFont="1" applyFill="1" applyBorder="1"/>
    <xf numFmtId="0" fontId="152" fillId="0" borderId="0" xfId="20306" applyFont="1"/>
    <xf numFmtId="234" fontId="149" fillId="0" borderId="0" xfId="20306" applyNumberFormat="1" applyFont="1" applyFill="1" applyAlignment="1">
      <alignment horizontal="right" vertical="top"/>
    </xf>
    <xf numFmtId="0" fontId="155" fillId="72" borderId="136" xfId="20306" applyFont="1" applyFill="1" applyBorder="1" applyAlignment="1">
      <alignment horizontal="centerContinuous"/>
    </xf>
    <xf numFmtId="0" fontId="151" fillId="0" borderId="136" xfId="20306" applyFont="1" applyFill="1" applyBorder="1" applyAlignment="1">
      <alignment horizontal="center" wrapText="1"/>
    </xf>
    <xf numFmtId="169" fontId="150" fillId="71" borderId="144" xfId="20306" applyNumberFormat="1" applyFont="1" applyFill="1" applyBorder="1"/>
    <xf numFmtId="0" fontId="200" fillId="0" borderId="0" xfId="12421" applyFont="1" applyBorder="1"/>
    <xf numFmtId="0" fontId="201" fillId="0" borderId="0" xfId="12421" applyFont="1" applyBorder="1"/>
    <xf numFmtId="0" fontId="200" fillId="0" borderId="0" xfId="12421" applyFont="1"/>
    <xf numFmtId="0" fontId="201" fillId="69" borderId="55" xfId="12421" applyFont="1" applyFill="1" applyBorder="1"/>
    <xf numFmtId="0" fontId="200" fillId="69" borderId="55" xfId="12421" applyFont="1" applyFill="1" applyBorder="1"/>
    <xf numFmtId="0" fontId="202" fillId="69" borderId="55" xfId="12421" applyFont="1" applyFill="1" applyBorder="1" applyAlignment="1">
      <alignment horizontal="center"/>
    </xf>
    <xf numFmtId="0" fontId="203" fillId="69" borderId="0" xfId="12421" applyFont="1" applyFill="1" applyBorder="1"/>
    <xf numFmtId="0" fontId="204" fillId="69" borderId="0" xfId="12421" applyFont="1" applyFill="1" applyBorder="1" applyAlignment="1">
      <alignment horizontal="center"/>
    </xf>
    <xf numFmtId="0" fontId="205" fillId="69" borderId="0" xfId="12421" applyFont="1" applyFill="1" applyBorder="1"/>
    <xf numFmtId="0" fontId="205" fillId="0" borderId="0" xfId="12421" applyFont="1"/>
    <xf numFmtId="0" fontId="206" fillId="74" borderId="0" xfId="12421" applyFont="1" applyFill="1"/>
    <xf numFmtId="0" fontId="201" fillId="69" borderId="0" xfId="12421" applyFont="1" applyFill="1" applyBorder="1"/>
    <xf numFmtId="0" fontId="200" fillId="69" borderId="0" xfId="12421" applyFont="1" applyFill="1" applyBorder="1"/>
    <xf numFmtId="0" fontId="207" fillId="69" borderId="0" xfId="12421" applyFont="1" applyFill="1" applyBorder="1" applyAlignment="1">
      <alignment horizontal="center"/>
    </xf>
    <xf numFmtId="0" fontId="208" fillId="69" borderId="0" xfId="12421" applyFont="1" applyFill="1" applyBorder="1" applyAlignment="1">
      <alignment horizontal="center"/>
    </xf>
    <xf numFmtId="0" fontId="209" fillId="69" borderId="0" xfId="12421" applyFont="1" applyFill="1" applyBorder="1" applyAlignment="1">
      <alignment horizontal="center"/>
    </xf>
    <xf numFmtId="0" fontId="201" fillId="69" borderId="56" xfId="12421" applyFont="1" applyFill="1" applyBorder="1"/>
    <xf numFmtId="0" fontId="200" fillId="69" borderId="56" xfId="12421" applyFont="1" applyFill="1" applyBorder="1"/>
    <xf numFmtId="0" fontId="202" fillId="69" borderId="56" xfId="12421" applyFont="1" applyFill="1" applyBorder="1" applyAlignment="1">
      <alignment horizontal="center"/>
    </xf>
    <xf numFmtId="0" fontId="200" fillId="0" borderId="0" xfId="12421" applyFont="1" applyAlignment="1">
      <alignment horizontal="center"/>
    </xf>
    <xf numFmtId="0" fontId="210" fillId="0" borderId="0" xfId="12421" applyFont="1" applyBorder="1" applyAlignment="1">
      <alignment horizontal="center"/>
    </xf>
    <xf numFmtId="343" fontId="211" fillId="0" borderId="0" xfId="12421" applyNumberFormat="1" applyFont="1" applyAlignment="1">
      <alignment horizontal="center"/>
    </xf>
    <xf numFmtId="0" fontId="212" fillId="0" borderId="0" xfId="12421" applyFont="1" applyAlignment="1">
      <alignment horizontal="center"/>
    </xf>
    <xf numFmtId="0" fontId="213" fillId="0" borderId="0" xfId="12421" applyFont="1" applyAlignment="1">
      <alignment horizontal="center"/>
    </xf>
    <xf numFmtId="0" fontId="214" fillId="0" borderId="0" xfId="12421" applyFont="1" applyAlignment="1">
      <alignment horizontal="center" wrapText="1"/>
    </xf>
    <xf numFmtId="0" fontId="215" fillId="0" borderId="0" xfId="0" applyFont="1"/>
    <xf numFmtId="0" fontId="215" fillId="0" borderId="0" xfId="0" applyFont="1" applyAlignment="1">
      <alignment horizontal="center"/>
    </xf>
    <xf numFmtId="0" fontId="216" fillId="0" borderId="0" xfId="0" applyFont="1" applyAlignment="1">
      <alignment horizontal="center"/>
    </xf>
    <xf numFmtId="0" fontId="216" fillId="0" borderId="0" xfId="0" applyFont="1"/>
    <xf numFmtId="0" fontId="216" fillId="0" borderId="0" xfId="0" applyFont="1" applyAlignment="1">
      <alignment horizontal="center" vertical="center"/>
    </xf>
    <xf numFmtId="43" fontId="215" fillId="0" borderId="0" xfId="0" applyNumberFormat="1" applyFont="1" applyAlignment="1">
      <alignment horizontal="center" vertical="center"/>
    </xf>
    <xf numFmtId="43" fontId="215" fillId="0" borderId="0" xfId="0" applyNumberFormat="1" applyFont="1" applyAlignment="1">
      <alignment horizontal="center"/>
    </xf>
    <xf numFmtId="0" fontId="200" fillId="0" borderId="0" xfId="0" applyFont="1"/>
    <xf numFmtId="43" fontId="218" fillId="68" borderId="55" xfId="11155" applyFont="1" applyFill="1" applyBorder="1" applyAlignment="1"/>
    <xf numFmtId="43" fontId="218" fillId="68" borderId="0" xfId="11155" applyFont="1" applyFill="1" applyBorder="1" applyAlignment="1"/>
    <xf numFmtId="0" fontId="219" fillId="69" borderId="0" xfId="12421" applyFont="1" applyFill="1" applyBorder="1" applyAlignment="1">
      <alignment horizontal="center"/>
    </xf>
    <xf numFmtId="43" fontId="218" fillId="0" borderId="0" xfId="11155" applyFont="1" applyFill="1" applyBorder="1" applyAlignment="1"/>
    <xf numFmtId="43" fontId="218" fillId="68" borderId="55" xfId="11155" applyFont="1" applyFill="1" applyBorder="1" applyAlignment="1">
      <alignment horizontal="center"/>
    </xf>
    <xf numFmtId="43" fontId="218" fillId="68" borderId="56" xfId="11155" applyFont="1" applyFill="1" applyBorder="1" applyAlignment="1">
      <alignment horizontal="center"/>
    </xf>
    <xf numFmtId="0" fontId="216" fillId="0" borderId="140" xfId="0" applyFont="1" applyBorder="1"/>
    <xf numFmtId="0" fontId="216" fillId="0" borderId="135" xfId="0" applyFont="1" applyBorder="1" applyAlignment="1">
      <alignment horizontal="center"/>
    </xf>
    <xf numFmtId="0" fontId="216" fillId="0" borderId="136" xfId="0" applyFont="1" applyBorder="1" applyAlignment="1">
      <alignment horizontal="center"/>
    </xf>
    <xf numFmtId="0" fontId="216" fillId="0" borderId="137" xfId="0" applyFont="1" applyBorder="1" applyAlignment="1">
      <alignment horizontal="right"/>
    </xf>
    <xf numFmtId="43" fontId="216" fillId="0" borderId="0" xfId="0" applyNumberFormat="1" applyFont="1" applyAlignment="1">
      <alignment horizontal="center" vertical="center"/>
    </xf>
    <xf numFmtId="43" fontId="217" fillId="0" borderId="0" xfId="0" applyNumberFormat="1" applyFont="1" applyAlignment="1">
      <alignment horizontal="center" vertical="center"/>
    </xf>
    <xf numFmtId="0" fontId="221" fillId="0" borderId="0" xfId="0" applyFont="1"/>
    <xf numFmtId="0" fontId="215" fillId="0" borderId="0" xfId="0" applyFont="1" applyAlignment="1">
      <alignment wrapText="1"/>
    </xf>
    <xf numFmtId="0" fontId="222" fillId="0" borderId="0" xfId="0" applyFont="1"/>
    <xf numFmtId="0" fontId="215" fillId="0" borderId="0" xfId="0" applyFont="1" applyAlignment="1">
      <alignment horizontal="left"/>
    </xf>
    <xf numFmtId="0" fontId="215" fillId="0" borderId="0" xfId="0" applyFont="1" applyAlignment="1">
      <alignment horizontal="right"/>
    </xf>
    <xf numFmtId="164" fontId="216" fillId="73" borderId="0" xfId="0" applyNumberFormat="1" applyFont="1" applyFill="1" applyProtection="1"/>
    <xf numFmtId="0" fontId="222" fillId="70" borderId="0" xfId="0" applyFont="1" applyFill="1" applyAlignment="1">
      <alignment horizontal="right"/>
    </xf>
    <xf numFmtId="164" fontId="222" fillId="70" borderId="0" xfId="0" applyNumberFormat="1" applyFont="1" applyFill="1" applyAlignment="1">
      <alignment horizontal="right"/>
    </xf>
    <xf numFmtId="165" fontId="222" fillId="70" borderId="0" xfId="12422" applyNumberFormat="1" applyFont="1" applyFill="1" applyAlignment="1">
      <alignment horizontal="right"/>
    </xf>
    <xf numFmtId="0" fontId="216" fillId="0" borderId="0" xfId="0" applyFont="1" applyAlignment="1">
      <alignment horizontal="right"/>
    </xf>
    <xf numFmtId="0" fontId="216" fillId="0" borderId="34" xfId="0" applyFont="1" applyBorder="1" applyAlignment="1">
      <alignment horizontal="center"/>
    </xf>
    <xf numFmtId="0" fontId="216" fillId="0" borderId="35" xfId="0" applyFont="1" applyBorder="1" applyAlignment="1">
      <alignment horizontal="left"/>
    </xf>
    <xf numFmtId="0" fontId="223" fillId="0" borderId="35" xfId="0" applyFont="1" applyBorder="1" applyAlignment="1">
      <alignment horizontal="center"/>
    </xf>
    <xf numFmtId="0" fontId="215" fillId="0" borderId="42" xfId="0" applyFont="1" applyBorder="1" applyAlignment="1">
      <alignment horizontal="right"/>
    </xf>
    <xf numFmtId="0" fontId="215" fillId="0" borderId="107" xfId="0" applyFont="1" applyBorder="1" applyAlignment="1">
      <alignment horizontal="center"/>
    </xf>
    <xf numFmtId="0" fontId="224" fillId="70" borderId="109" xfId="0" applyFont="1" applyFill="1" applyBorder="1"/>
    <xf numFmtId="0" fontId="215" fillId="73" borderId="109" xfId="0" applyFont="1" applyFill="1" applyBorder="1" applyAlignment="1">
      <alignment horizontal="center"/>
    </xf>
    <xf numFmtId="342" fontId="215" fillId="73" borderId="110" xfId="0" applyNumberFormat="1" applyFont="1" applyFill="1" applyBorder="1" applyAlignment="1">
      <alignment horizontal="right"/>
    </xf>
    <xf numFmtId="0" fontId="215" fillId="0" borderId="60" xfId="0" applyFont="1" applyBorder="1" applyAlignment="1">
      <alignment horizontal="center"/>
    </xf>
    <xf numFmtId="0" fontId="224" fillId="70" borderId="0" xfId="0" applyFont="1" applyFill="1" applyBorder="1"/>
    <xf numFmtId="0" fontId="215" fillId="73" borderId="0" xfId="0" applyFont="1" applyFill="1" applyBorder="1" applyAlignment="1">
      <alignment horizontal="center"/>
    </xf>
    <xf numFmtId="342" fontId="215" fillId="73" borderId="13" xfId="0" applyNumberFormat="1" applyFont="1" applyFill="1" applyBorder="1" applyAlignment="1">
      <alignment horizontal="right"/>
    </xf>
    <xf numFmtId="0" fontId="215" fillId="0" borderId="10" xfId="0" applyFont="1" applyBorder="1" applyAlignment="1">
      <alignment horizontal="center"/>
    </xf>
    <xf numFmtId="0" fontId="224" fillId="70" borderId="45" xfId="0" applyFont="1" applyFill="1" applyBorder="1"/>
    <xf numFmtId="0" fontId="215" fillId="73" borderId="45" xfId="0" applyFont="1" applyFill="1" applyBorder="1" applyAlignment="1">
      <alignment horizontal="center"/>
    </xf>
    <xf numFmtId="342" fontId="215" fillId="73" borderId="92" xfId="0" applyNumberFormat="1" applyFont="1" applyFill="1" applyBorder="1" applyAlignment="1">
      <alignment horizontal="right"/>
    </xf>
    <xf numFmtId="22" fontId="215" fillId="0" borderId="0" xfId="0" applyNumberFormat="1" applyFont="1" applyAlignment="1">
      <alignment horizontal="left"/>
    </xf>
    <xf numFmtId="0" fontId="216" fillId="0" borderId="74" xfId="0" applyFont="1" applyBorder="1"/>
    <xf numFmtId="0" fontId="215" fillId="0" borderId="74" xfId="0" applyFont="1" applyBorder="1"/>
    <xf numFmtId="164" fontId="215" fillId="0" borderId="74" xfId="0" applyNumberFormat="1" applyFont="1" applyBorder="1"/>
    <xf numFmtId="0" fontId="215" fillId="0" borderId="74" xfId="0" applyFont="1" applyBorder="1" applyAlignment="1">
      <alignment wrapText="1"/>
    </xf>
    <xf numFmtId="14" fontId="215" fillId="0" borderId="74" xfId="0" applyNumberFormat="1" applyFont="1" applyBorder="1"/>
    <xf numFmtId="0" fontId="215" fillId="0" borderId="0" xfId="12421" applyFont="1"/>
    <xf numFmtId="14" fontId="215" fillId="0" borderId="0" xfId="12421" applyNumberFormat="1" applyFont="1"/>
    <xf numFmtId="43" fontId="225" fillId="68" borderId="55" xfId="11155" applyFont="1" applyFill="1" applyBorder="1" applyAlignment="1">
      <alignment horizontal="center"/>
    </xf>
    <xf numFmtId="43" fontId="225" fillId="68" borderId="56" xfId="11155" applyFont="1" applyFill="1" applyBorder="1" applyAlignment="1">
      <alignment horizontal="center"/>
    </xf>
    <xf numFmtId="43" fontId="215" fillId="0" borderId="0" xfId="0" applyNumberFormat="1" applyFont="1" applyFill="1" applyAlignment="1">
      <alignment horizontal="center"/>
    </xf>
    <xf numFmtId="0" fontId="215" fillId="0" borderId="104" xfId="0" applyFont="1" applyBorder="1" applyAlignment="1">
      <alignment horizontal="centerContinuous"/>
    </xf>
    <xf numFmtId="0" fontId="215" fillId="0" borderId="105" xfId="0" applyFont="1" applyBorder="1" applyAlignment="1">
      <alignment horizontal="centerContinuous"/>
    </xf>
    <xf numFmtId="0" fontId="215" fillId="0" borderId="106" xfId="0" applyFont="1" applyBorder="1" applyAlignment="1">
      <alignment horizontal="centerContinuous"/>
    </xf>
    <xf numFmtId="43" fontId="215" fillId="0" borderId="107" xfId="0" applyNumberFormat="1" applyFont="1" applyBorder="1" applyAlignment="1">
      <alignment horizontal="center"/>
    </xf>
    <xf numFmtId="43" fontId="215" fillId="0" borderId="109" xfId="0" applyNumberFormat="1" applyFont="1" applyBorder="1" applyAlignment="1">
      <alignment horizontal="center"/>
    </xf>
    <xf numFmtId="0" fontId="215" fillId="0" borderId="110" xfId="0" applyFont="1" applyBorder="1" applyAlignment="1">
      <alignment horizontal="center"/>
    </xf>
    <xf numFmtId="0" fontId="226" fillId="0" borderId="140" xfId="0" applyFont="1" applyBorder="1"/>
    <xf numFmtId="0" fontId="215" fillId="0" borderId="0" xfId="0" applyFont="1" applyBorder="1" applyAlignment="1">
      <alignment horizontal="center"/>
    </xf>
    <xf numFmtId="0" fontId="215" fillId="0" borderId="13" xfId="0" applyFont="1" applyBorder="1" applyAlignment="1">
      <alignment horizontal="center"/>
    </xf>
    <xf numFmtId="0" fontId="215" fillId="0" borderId="45" xfId="0" applyFont="1" applyBorder="1" applyAlignment="1">
      <alignment horizontal="center"/>
    </xf>
    <xf numFmtId="0" fontId="215" fillId="0" borderId="92" xfId="0" applyFont="1" applyBorder="1" applyAlignment="1">
      <alignment horizontal="center"/>
    </xf>
    <xf numFmtId="0" fontId="227" fillId="72" borderId="29" xfId="0" applyFont="1" applyFill="1" applyBorder="1" applyAlignment="1">
      <alignment horizontal="left"/>
    </xf>
    <xf numFmtId="0" fontId="227" fillId="72" borderId="29" xfId="0" applyFont="1" applyFill="1" applyBorder="1" applyAlignment="1">
      <alignment horizontal="right"/>
    </xf>
    <xf numFmtId="0" fontId="227" fillId="72" borderId="29" xfId="0" applyFont="1" applyFill="1" applyBorder="1" applyAlignment="1">
      <alignment horizontal="center"/>
    </xf>
    <xf numFmtId="0" fontId="215" fillId="0" borderId="145" xfId="0" applyFont="1" applyBorder="1"/>
    <xf numFmtId="0" fontId="215" fillId="0" borderId="0" xfId="0" applyFont="1" applyAlignment="1">
      <alignment horizontal="left" indent="1"/>
    </xf>
    <xf numFmtId="169" fontId="228" fillId="0" borderId="0" xfId="0" applyNumberFormat="1" applyFont="1" applyAlignment="1">
      <alignment horizontal="right"/>
    </xf>
    <xf numFmtId="0" fontId="215" fillId="0" borderId="0" xfId="0" quotePrefix="1" applyFont="1" applyAlignment="1">
      <alignment horizontal="center"/>
    </xf>
    <xf numFmtId="169" fontId="215" fillId="0" borderId="0" xfId="0" applyNumberFormat="1" applyFont="1"/>
    <xf numFmtId="165" fontId="215" fillId="0" borderId="0" xfId="0" applyNumberFormat="1" applyFont="1"/>
    <xf numFmtId="169" fontId="228" fillId="0" borderId="0" xfId="0" applyNumberFormat="1" applyFont="1"/>
    <xf numFmtId="167" fontId="228" fillId="0" borderId="0" xfId="12427" applyNumberFormat="1" applyFont="1"/>
    <xf numFmtId="169" fontId="229" fillId="0" borderId="0" xfId="0" applyNumberFormat="1" applyFont="1"/>
    <xf numFmtId="0" fontId="215" fillId="0" borderId="45" xfId="0" applyFont="1" applyBorder="1"/>
    <xf numFmtId="0" fontId="215" fillId="0" borderId="0" xfId="0" applyFont="1" applyAlignment="1">
      <alignment horizontal="right" wrapText="1"/>
    </xf>
    <xf numFmtId="8" fontId="228" fillId="0" borderId="0" xfId="0" applyNumberFormat="1" applyFont="1"/>
    <xf numFmtId="0" fontId="216" fillId="71" borderId="34" xfId="0" applyFont="1" applyFill="1" applyBorder="1"/>
    <xf numFmtId="0" fontId="216" fillId="71" borderId="35" xfId="0" applyFont="1" applyFill="1" applyBorder="1"/>
    <xf numFmtId="8" fontId="216" fillId="71" borderId="42" xfId="0" applyNumberFormat="1" applyFont="1" applyFill="1" applyBorder="1"/>
    <xf numFmtId="0" fontId="217" fillId="0" borderId="140" xfId="0" applyFont="1" applyBorder="1"/>
    <xf numFmtId="0" fontId="230" fillId="0" borderId="0" xfId="0" applyFont="1"/>
    <xf numFmtId="0" fontId="215" fillId="0" borderId="0" xfId="0" quotePrefix="1" applyFont="1" applyAlignment="1">
      <alignment horizontal="right"/>
    </xf>
    <xf numFmtId="0" fontId="215" fillId="74" borderId="0" xfId="0" applyFont="1" applyFill="1"/>
    <xf numFmtId="43" fontId="215" fillId="0" borderId="0" xfId="0" applyNumberFormat="1" applyFont="1"/>
    <xf numFmtId="0" fontId="215" fillId="0" borderId="152" xfId="0" applyFont="1" applyBorder="1" applyAlignment="1">
      <alignment horizontal="center"/>
    </xf>
    <xf numFmtId="0" fontId="215" fillId="0" borderId="0" xfId="12421" applyFont="1" applyAlignment="1">
      <alignment horizontal="center"/>
    </xf>
    <xf numFmtId="0" fontId="215" fillId="0" borderId="0" xfId="12421" applyFont="1" applyBorder="1"/>
    <xf numFmtId="0" fontId="216" fillId="0" borderId="0" xfId="12421" applyFont="1" applyBorder="1"/>
    <xf numFmtId="0" fontId="216" fillId="0" borderId="0" xfId="12421" applyFont="1" applyBorder="1" applyAlignment="1">
      <alignment horizontal="center"/>
    </xf>
    <xf numFmtId="0" fontId="216" fillId="0" borderId="34" xfId="0" applyFont="1" applyFill="1" applyBorder="1"/>
    <xf numFmtId="0" fontId="232" fillId="0" borderId="35" xfId="0" applyFont="1" applyFill="1" applyBorder="1"/>
    <xf numFmtId="169" fontId="233" fillId="0" borderId="0" xfId="0" applyNumberFormat="1" applyFont="1"/>
    <xf numFmtId="0" fontId="216" fillId="0" borderId="0" xfId="0" applyFont="1" applyAlignment="1">
      <alignment horizontal="left"/>
    </xf>
    <xf numFmtId="169" fontId="216" fillId="0" borderId="0" xfId="0" applyNumberFormat="1" applyFont="1"/>
    <xf numFmtId="0" fontId="215" fillId="0" borderId="0" xfId="0" applyFont="1" applyFill="1" applyAlignment="1">
      <alignment horizontal="left" indent="1"/>
    </xf>
    <xf numFmtId="0" fontId="215" fillId="0" borderId="0" xfId="0" applyFont="1" applyFill="1"/>
    <xf numFmtId="169" fontId="215" fillId="0" borderId="0" xfId="0" applyNumberFormat="1" applyFont="1" applyFill="1"/>
    <xf numFmtId="165" fontId="215" fillId="0" borderId="0" xfId="12422" applyNumberFormat="1" applyFont="1"/>
    <xf numFmtId="8" fontId="215" fillId="0" borderId="0" xfId="0" applyNumberFormat="1" applyFont="1" applyFill="1" applyAlignment="1">
      <alignment horizontal="left" indent="1"/>
    </xf>
    <xf numFmtId="0" fontId="233" fillId="0" borderId="0" xfId="0" applyFont="1" applyFill="1" applyAlignment="1">
      <alignment horizontal="left" indent="1"/>
    </xf>
    <xf numFmtId="0" fontId="215" fillId="0" borderId="50" xfId="0" applyFont="1" applyBorder="1"/>
    <xf numFmtId="0" fontId="215" fillId="0" borderId="32" xfId="0" applyFont="1" applyBorder="1"/>
    <xf numFmtId="0" fontId="230" fillId="0" borderId="0" xfId="0" applyFont="1" applyAlignment="1">
      <alignment horizontal="left" indent="1"/>
    </xf>
    <xf numFmtId="0" fontId="217" fillId="0" borderId="0" xfId="0" applyFont="1"/>
    <xf numFmtId="0" fontId="216" fillId="0" borderId="0" xfId="0" applyFont="1" applyFill="1"/>
    <xf numFmtId="168" fontId="215" fillId="0" borderId="0" xfId="0" applyNumberFormat="1" applyFont="1"/>
    <xf numFmtId="165" fontId="215" fillId="0" borderId="0" xfId="0" applyNumberFormat="1" applyFont="1" applyFill="1" applyAlignment="1">
      <alignment horizontal="center"/>
    </xf>
    <xf numFmtId="0" fontId="230" fillId="0" borderId="0" xfId="0" applyFont="1" applyFill="1"/>
    <xf numFmtId="0" fontId="215" fillId="0" borderId="0" xfId="0" quotePrefix="1" applyFont="1" applyFill="1" applyAlignment="1">
      <alignment horizontal="right"/>
    </xf>
    <xf numFmtId="0" fontId="215" fillId="0" borderId="0" xfId="0" applyNumberFormat="1" applyFont="1"/>
    <xf numFmtId="0" fontId="215" fillId="0" borderId="60" xfId="0" applyFont="1" applyBorder="1"/>
    <xf numFmtId="0" fontId="215" fillId="0" borderId="0" xfId="0" applyFont="1" applyBorder="1"/>
    <xf numFmtId="0" fontId="215" fillId="0" borderId="13" xfId="0" applyFont="1" applyBorder="1"/>
    <xf numFmtId="8" fontId="215" fillId="0" borderId="0" xfId="0" applyNumberFormat="1" applyFont="1"/>
    <xf numFmtId="8" fontId="215" fillId="0" borderId="0" xfId="0" applyNumberFormat="1" applyFont="1" applyBorder="1"/>
    <xf numFmtId="0" fontId="215" fillId="0" borderId="127" xfId="0" applyFont="1" applyBorder="1"/>
    <xf numFmtId="10" fontId="215" fillId="0" borderId="0" xfId="0" applyNumberFormat="1" applyFont="1"/>
    <xf numFmtId="43" fontId="225" fillId="0" borderId="0" xfId="11155" applyFont="1" applyFill="1" applyBorder="1" applyAlignment="1"/>
    <xf numFmtId="43" fontId="225" fillId="0" borderId="0" xfId="11155" applyFont="1" applyFill="1" applyBorder="1" applyAlignment="1">
      <alignment horizontal="right"/>
    </xf>
    <xf numFmtId="0" fontId="217" fillId="0" borderId="0" xfId="0" applyFont="1" applyFill="1"/>
    <xf numFmtId="0" fontId="227" fillId="72" borderId="57" xfId="0" applyFont="1" applyFill="1" applyBorder="1" applyAlignment="1">
      <alignment horizontal="center"/>
    </xf>
    <xf numFmtId="0" fontId="215" fillId="0" borderId="121" xfId="0" applyFont="1" applyBorder="1"/>
    <xf numFmtId="0" fontId="215" fillId="0" borderId="0" xfId="0" applyFont="1" applyFill="1" applyBorder="1"/>
    <xf numFmtId="0" fontId="216" fillId="0" borderId="0" xfId="0" applyFont="1" applyFill="1" applyBorder="1"/>
    <xf numFmtId="0" fontId="215" fillId="0" borderId="10" xfId="0" applyFont="1" applyBorder="1"/>
    <xf numFmtId="0" fontId="215" fillId="0" borderId="0" xfId="0" applyFont="1" applyFill="1" applyAlignment="1">
      <alignment horizontal="left"/>
    </xf>
    <xf numFmtId="0" fontId="227" fillId="72" borderId="59" xfId="0" applyFont="1" applyFill="1" applyBorder="1" applyAlignment="1">
      <alignment horizontal="right" wrapText="1"/>
    </xf>
    <xf numFmtId="165" fontId="233" fillId="0" borderId="0" xfId="0" applyNumberFormat="1" applyFont="1" applyFill="1" applyBorder="1" applyAlignment="1">
      <alignment horizontal="center"/>
    </xf>
    <xf numFmtId="0" fontId="238" fillId="0" borderId="0" xfId="0" applyFont="1"/>
    <xf numFmtId="164" fontId="222" fillId="0" borderId="0" xfId="0" applyNumberFormat="1" applyFont="1" applyFill="1" applyAlignment="1">
      <alignment horizontal="right"/>
    </xf>
    <xf numFmtId="165" fontId="215" fillId="0" borderId="0" xfId="0" applyNumberFormat="1" applyFont="1" applyFill="1" applyAlignment="1">
      <alignment horizontal="right"/>
    </xf>
    <xf numFmtId="0" fontId="216" fillId="0" borderId="0" xfId="0" applyFont="1" applyFill="1" applyAlignment="1">
      <alignment horizontal="left"/>
    </xf>
    <xf numFmtId="0" fontId="215" fillId="0" borderId="0" xfId="0" applyFont="1" applyFill="1" applyBorder="1" applyAlignment="1"/>
    <xf numFmtId="165" fontId="215" fillId="0" borderId="0" xfId="0" applyNumberFormat="1" applyFont="1" applyFill="1" applyBorder="1"/>
    <xf numFmtId="0" fontId="215" fillId="0" borderId="45" xfId="0" applyFont="1" applyFill="1" applyBorder="1"/>
    <xf numFmtId="165" fontId="215" fillId="0" borderId="13" xfId="0" applyNumberFormat="1" applyFont="1" applyBorder="1"/>
    <xf numFmtId="165" fontId="215" fillId="0" borderId="0" xfId="0" applyNumberFormat="1" applyFont="1" applyBorder="1"/>
    <xf numFmtId="0" fontId="216" fillId="0" borderId="0" xfId="0" applyFont="1" applyBorder="1"/>
    <xf numFmtId="0" fontId="215" fillId="0" borderId="0" xfId="0" applyFont="1" applyBorder="1" applyAlignment="1">
      <alignment horizontal="right"/>
    </xf>
    <xf numFmtId="0" fontId="232" fillId="0" borderId="0" xfId="0" applyFont="1" applyFill="1" applyBorder="1"/>
    <xf numFmtId="0" fontId="233" fillId="0" borderId="0" xfId="0" applyFont="1" applyFill="1"/>
    <xf numFmtId="0" fontId="233" fillId="0" borderId="0" xfId="0" applyFont="1" applyFill="1" applyAlignment="1">
      <alignment horizontal="right"/>
    </xf>
    <xf numFmtId="169" fontId="229" fillId="0" borderId="0" xfId="0" applyNumberFormat="1" applyFont="1" applyAlignment="1">
      <alignment horizontal="right"/>
    </xf>
    <xf numFmtId="169" fontId="222" fillId="0" borderId="0" xfId="0" applyNumberFormat="1" applyFont="1" applyAlignment="1">
      <alignment horizontal="right"/>
    </xf>
    <xf numFmtId="169" fontId="224" fillId="0" borderId="0" xfId="0" applyNumberFormat="1" applyFont="1" applyAlignment="1">
      <alignment horizontal="right"/>
    </xf>
    <xf numFmtId="10" fontId="229" fillId="0" borderId="0" xfId="0" applyNumberFormat="1" applyFont="1" applyAlignment="1">
      <alignment horizontal="right"/>
    </xf>
    <xf numFmtId="165" fontId="228" fillId="0" borderId="0" xfId="0" applyNumberFormat="1" applyFont="1" applyAlignment="1">
      <alignment horizontal="right"/>
    </xf>
    <xf numFmtId="0" fontId="239" fillId="0" borderId="0" xfId="0" applyFont="1"/>
    <xf numFmtId="10" fontId="228" fillId="0" borderId="0" xfId="0" applyNumberFormat="1" applyFont="1" applyAlignment="1">
      <alignment horizontal="right"/>
    </xf>
    <xf numFmtId="10" fontId="224" fillId="0" borderId="0" xfId="0" applyNumberFormat="1" applyFont="1" applyAlignment="1">
      <alignment horizontal="right"/>
    </xf>
    <xf numFmtId="0" fontId="227" fillId="72" borderId="29" xfId="0" applyFont="1" applyFill="1" applyBorder="1"/>
    <xf numFmtId="0" fontId="227" fillId="72" borderId="34" xfId="0" applyFont="1" applyFill="1" applyBorder="1" applyAlignment="1">
      <alignment horizontal="right" wrapText="1"/>
    </xf>
    <xf numFmtId="0" fontId="232" fillId="0" borderId="0" xfId="0" applyFont="1" applyFill="1" applyBorder="1" applyAlignment="1">
      <alignment horizontal="center" wrapText="1"/>
    </xf>
    <xf numFmtId="167" fontId="228" fillId="0" borderId="0" xfId="12427" applyNumberFormat="1" applyFont="1" applyAlignment="1">
      <alignment horizontal="right"/>
    </xf>
    <xf numFmtId="342" fontId="215" fillId="0" borderId="0" xfId="0" applyNumberFormat="1" applyFont="1" applyAlignment="1">
      <alignment horizontal="right"/>
    </xf>
    <xf numFmtId="8" fontId="228" fillId="0" borderId="50" xfId="0" applyNumberFormat="1" applyFont="1" applyBorder="1"/>
    <xf numFmtId="0" fontId="215" fillId="0" borderId="45" xfId="0" applyFont="1" applyBorder="1" applyAlignment="1">
      <alignment horizontal="right"/>
    </xf>
    <xf numFmtId="0" fontId="236" fillId="0" borderId="17" xfId="0" applyFont="1" applyBorder="1"/>
    <xf numFmtId="358" fontId="216" fillId="0" borderId="0" xfId="0" applyNumberFormat="1" applyFont="1"/>
    <xf numFmtId="0" fontId="233" fillId="0" borderId="0" xfId="0" applyFont="1" applyFill="1" applyAlignment="1">
      <alignment wrapText="1"/>
    </xf>
    <xf numFmtId="0" fontId="240" fillId="72" borderId="29" xfId="0" applyFont="1" applyFill="1" applyBorder="1"/>
    <xf numFmtId="0" fontId="240" fillId="72" borderId="34" xfId="0" applyFont="1" applyFill="1" applyBorder="1" applyAlignment="1">
      <alignment horizontal="center" wrapText="1"/>
    </xf>
    <xf numFmtId="0" fontId="240" fillId="72" borderId="35" xfId="0" applyFont="1" applyFill="1" applyBorder="1" applyAlignment="1">
      <alignment horizontal="center" wrapText="1"/>
    </xf>
    <xf numFmtId="169" fontId="215" fillId="0" borderId="0" xfId="0" applyNumberFormat="1" applyFont="1" applyAlignment="1">
      <alignment horizontal="right"/>
    </xf>
    <xf numFmtId="0" fontId="241" fillId="0" borderId="0" xfId="0" applyFont="1" applyAlignment="1">
      <alignment horizontal="center"/>
    </xf>
    <xf numFmtId="0" fontId="233" fillId="0" borderId="45" xfId="0" applyFont="1" applyFill="1" applyBorder="1"/>
    <xf numFmtId="0" fontId="232" fillId="0" borderId="29" xfId="0" applyFont="1" applyFill="1" applyBorder="1" applyAlignment="1">
      <alignment horizontal="center" wrapText="1"/>
    </xf>
    <xf numFmtId="358" fontId="216" fillId="0" borderId="0" xfId="12427" applyNumberFormat="1" applyFont="1"/>
    <xf numFmtId="168" fontId="242" fillId="0" borderId="0" xfId="0" applyNumberFormat="1" applyFont="1" applyAlignment="1">
      <alignment horizontal="right"/>
    </xf>
    <xf numFmtId="358" fontId="215" fillId="0" borderId="0" xfId="0" applyNumberFormat="1" applyFont="1"/>
    <xf numFmtId="0" fontId="240" fillId="72" borderId="152" xfId="0" applyFont="1" applyFill="1" applyBorder="1"/>
    <xf numFmtId="0" fontId="240" fillId="72" borderId="153" xfId="0" applyFont="1" applyFill="1" applyBorder="1" applyAlignment="1">
      <alignment horizontal="center" wrapText="1"/>
    </xf>
    <xf numFmtId="0" fontId="240" fillId="72" borderId="154" xfId="0" applyFont="1" applyFill="1" applyBorder="1" applyAlignment="1">
      <alignment horizontal="center" wrapText="1"/>
    </xf>
    <xf numFmtId="243" fontId="215" fillId="0" borderId="0" xfId="12422" applyNumberFormat="1" applyFont="1"/>
    <xf numFmtId="165" fontId="236" fillId="0" borderId="0" xfId="12422" applyNumberFormat="1" applyFont="1"/>
    <xf numFmtId="0" fontId="217" fillId="0" borderId="121" xfId="0" applyFont="1" applyBorder="1"/>
    <xf numFmtId="0" fontId="217" fillId="0" borderId="123" xfId="0" applyFont="1" applyBorder="1"/>
    <xf numFmtId="0" fontId="215" fillId="0" borderId="123" xfId="0" applyFont="1" applyBorder="1"/>
    <xf numFmtId="8" fontId="228" fillId="0" borderId="13" xfId="0" applyNumberFormat="1" applyFont="1" applyBorder="1"/>
    <xf numFmtId="8" fontId="215" fillId="0" borderId="13" xfId="0" applyNumberFormat="1" applyFont="1" applyBorder="1"/>
    <xf numFmtId="0" fontId="215" fillId="0" borderId="118" xfId="0" applyFont="1" applyBorder="1"/>
    <xf numFmtId="8" fontId="215" fillId="0" borderId="120" xfId="0" applyNumberFormat="1" applyFont="1" applyBorder="1"/>
    <xf numFmtId="0" fontId="227" fillId="72" borderId="34" xfId="0" applyFont="1" applyFill="1" applyBorder="1" applyAlignment="1">
      <alignment horizontal="left"/>
    </xf>
    <xf numFmtId="0" fontId="227" fillId="72" borderId="35" xfId="0" applyFont="1" applyFill="1" applyBorder="1" applyAlignment="1">
      <alignment horizontal="center"/>
    </xf>
    <xf numFmtId="0" fontId="227" fillId="72" borderId="35" xfId="0" applyFont="1" applyFill="1" applyBorder="1" applyAlignment="1">
      <alignment horizontal="right"/>
    </xf>
    <xf numFmtId="0" fontId="227" fillId="72" borderId="42" xfId="0" applyFont="1" applyFill="1" applyBorder="1" applyAlignment="1">
      <alignment horizontal="right"/>
    </xf>
    <xf numFmtId="167" fontId="222" fillId="0" borderId="92" xfId="12427" applyNumberFormat="1" applyFont="1" applyBorder="1"/>
    <xf numFmtId="169" fontId="233" fillId="0" borderId="0" xfId="0" applyNumberFormat="1" applyFont="1" applyAlignment="1">
      <alignment horizontal="right"/>
    </xf>
    <xf numFmtId="8" fontId="215" fillId="0" borderId="0" xfId="0" applyNumberFormat="1" applyFont="1" applyAlignment="1">
      <alignment horizontal="right"/>
    </xf>
    <xf numFmtId="0" fontId="215" fillId="29" borderId="0" xfId="0" applyFont="1" applyFill="1" applyAlignment="1">
      <alignment horizontal="right"/>
    </xf>
    <xf numFmtId="0" fontId="215" fillId="0" borderId="0" xfId="0" quotePrefix="1" applyFont="1"/>
    <xf numFmtId="169" fontId="215" fillId="0" borderId="45" xfId="0" applyNumberFormat="1" applyFont="1" applyBorder="1" applyAlignment="1">
      <alignment horizontal="right"/>
    </xf>
    <xf numFmtId="169" fontId="216" fillId="0" borderId="0" xfId="0" applyNumberFormat="1" applyFont="1" applyAlignment="1">
      <alignment horizontal="right"/>
    </xf>
    <xf numFmtId="0" fontId="215" fillId="0" borderId="0" xfId="0" quotePrefix="1" applyFont="1" applyAlignment="1">
      <alignment horizontal="left"/>
    </xf>
    <xf numFmtId="0" fontId="217" fillId="0" borderId="0" xfId="0" applyFont="1" applyBorder="1"/>
    <xf numFmtId="0" fontId="233" fillId="0" borderId="0" xfId="0" applyFont="1" applyBorder="1" applyAlignment="1">
      <alignment horizontal="center"/>
    </xf>
    <xf numFmtId="0" fontId="222" fillId="0" borderId="0" xfId="0" applyFont="1" applyBorder="1"/>
    <xf numFmtId="165" fontId="222" fillId="0" borderId="0" xfId="0" applyNumberFormat="1" applyFont="1" applyBorder="1"/>
    <xf numFmtId="10" fontId="215" fillId="0" borderId="0" xfId="0" applyNumberFormat="1" applyFont="1" applyBorder="1"/>
    <xf numFmtId="10" fontId="222" fillId="0" borderId="0" xfId="0" applyNumberFormat="1" applyFont="1" applyBorder="1"/>
    <xf numFmtId="0" fontId="227" fillId="72" borderId="34" xfId="0" applyFont="1" applyFill="1" applyBorder="1" applyAlignment="1">
      <alignment horizontal="centerContinuous"/>
    </xf>
    <xf numFmtId="0" fontId="227" fillId="72" borderId="35" xfId="0" applyFont="1" applyFill="1" applyBorder="1" applyAlignment="1">
      <alignment horizontal="centerContinuous"/>
    </xf>
    <xf numFmtId="0" fontId="227" fillId="72" borderId="42" xfId="0" applyFont="1" applyFill="1" applyBorder="1" applyAlignment="1">
      <alignment horizontal="centerContinuous"/>
    </xf>
    <xf numFmtId="169" fontId="233" fillId="0" borderId="0" xfId="0" applyNumberFormat="1" applyFont="1" applyFill="1"/>
    <xf numFmtId="0" fontId="215" fillId="0" borderId="3" xfId="0" applyFont="1" applyBorder="1"/>
    <xf numFmtId="169" fontId="224" fillId="74" borderId="0" xfId="0" applyNumberFormat="1" applyFont="1" applyFill="1"/>
    <xf numFmtId="0" fontId="216" fillId="0" borderId="35" xfId="0" applyFont="1" applyBorder="1"/>
    <xf numFmtId="0" fontId="215" fillId="71" borderId="53" xfId="0" applyFont="1" applyFill="1" applyBorder="1"/>
    <xf numFmtId="0" fontId="215" fillId="71" borderId="12" xfId="0" applyFont="1" applyFill="1" applyBorder="1" applyAlignment="1">
      <alignment horizontal="left" indent="1"/>
    </xf>
    <xf numFmtId="0" fontId="215" fillId="71" borderId="0" xfId="0" applyFont="1" applyFill="1" applyBorder="1"/>
    <xf numFmtId="169" fontId="215" fillId="0" borderId="13" xfId="0" applyNumberFormat="1" applyFont="1" applyBorder="1"/>
    <xf numFmtId="169" fontId="215" fillId="0" borderId="0" xfId="0" applyNumberFormat="1" applyFont="1" applyBorder="1"/>
    <xf numFmtId="0" fontId="216" fillId="71" borderId="45" xfId="0" applyFont="1" applyFill="1" applyBorder="1"/>
    <xf numFmtId="0" fontId="216" fillId="71" borderId="48" xfId="0" applyFont="1" applyFill="1" applyBorder="1"/>
    <xf numFmtId="0" fontId="216" fillId="71" borderId="33" xfId="0" applyFont="1" applyFill="1" applyBorder="1"/>
    <xf numFmtId="169" fontId="216" fillId="71" borderId="45" xfId="0" applyNumberFormat="1" applyFont="1" applyFill="1" applyBorder="1"/>
    <xf numFmtId="0" fontId="215" fillId="71" borderId="12" xfId="0" applyFont="1" applyFill="1" applyBorder="1"/>
    <xf numFmtId="0" fontId="215" fillId="71" borderId="13" xfId="0" applyFont="1" applyFill="1" applyBorder="1"/>
    <xf numFmtId="272" fontId="215" fillId="0" borderId="0" xfId="0" applyNumberFormat="1" applyFont="1"/>
    <xf numFmtId="0" fontId="233" fillId="0" borderId="0" xfId="0" quotePrefix="1" applyFont="1" applyFill="1" applyAlignment="1">
      <alignment horizontal="right" vertical="top"/>
    </xf>
    <xf numFmtId="0" fontId="215" fillId="0" borderId="138" xfId="0" applyFont="1" applyBorder="1"/>
    <xf numFmtId="0" fontId="215" fillId="0" borderId="95" xfId="0" applyFont="1" applyBorder="1"/>
    <xf numFmtId="0" fontId="215" fillId="0" borderId="96" xfId="0" applyFont="1" applyBorder="1"/>
    <xf numFmtId="167" fontId="215" fillId="0" borderId="0" xfId="12427" applyNumberFormat="1" applyFont="1"/>
    <xf numFmtId="272" fontId="215" fillId="0" borderId="0" xfId="0" applyNumberFormat="1" applyFont="1" applyBorder="1"/>
    <xf numFmtId="0" fontId="215" fillId="0" borderId="92" xfId="0" applyFont="1" applyBorder="1"/>
    <xf numFmtId="167" fontId="215" fillId="0" borderId="0" xfId="0" applyNumberFormat="1" applyFont="1"/>
    <xf numFmtId="0" fontId="244" fillId="0" borderId="0" xfId="12421" applyFont="1" applyBorder="1"/>
    <xf numFmtId="0" fontId="244" fillId="0" borderId="0" xfId="12421" applyFont="1" applyBorder="1" applyAlignment="1">
      <alignment horizontal="center"/>
    </xf>
    <xf numFmtId="43" fontId="218" fillId="68" borderId="56" xfId="11155" applyFont="1" applyFill="1" applyBorder="1" applyAlignment="1"/>
    <xf numFmtId="43" fontId="218" fillId="68" borderId="56" xfId="11155" applyFont="1" applyFill="1" applyBorder="1" applyAlignment="1">
      <alignment horizontal="right"/>
    </xf>
    <xf numFmtId="0" fontId="232" fillId="0" borderId="0" xfId="0" applyFont="1" applyFill="1" applyAlignment="1">
      <alignment horizontal="center"/>
    </xf>
    <xf numFmtId="0" fontId="227" fillId="0" borderId="13" xfId="0" applyFont="1" applyFill="1" applyBorder="1" applyAlignment="1">
      <alignment horizontal="centerContinuous"/>
    </xf>
    <xf numFmtId="0" fontId="227" fillId="72" borderId="114" xfId="0" applyFont="1" applyFill="1" applyBorder="1" applyAlignment="1">
      <alignment horizontal="centerContinuous"/>
    </xf>
    <xf numFmtId="0" fontId="227" fillId="72" borderId="76" xfId="0" applyFont="1" applyFill="1" applyBorder="1" applyAlignment="1">
      <alignment horizontal="centerContinuous"/>
    </xf>
    <xf numFmtId="0" fontId="227" fillId="72" borderId="63" xfId="0" applyFont="1" applyFill="1" applyBorder="1" applyAlignment="1">
      <alignment horizontal="centerContinuous"/>
    </xf>
    <xf numFmtId="0" fontId="227" fillId="0" borderId="92" xfId="0" applyFont="1" applyFill="1" applyBorder="1" applyAlignment="1">
      <alignment horizontal="centerContinuous"/>
    </xf>
    <xf numFmtId="0" fontId="227" fillId="0" borderId="0" xfId="0" applyFont="1" applyFill="1" applyBorder="1" applyAlignment="1"/>
    <xf numFmtId="1" fontId="232" fillId="0" borderId="153" xfId="0" applyNumberFormat="1" applyFont="1" applyFill="1" applyBorder="1" applyAlignment="1">
      <alignment horizontal="right"/>
    </xf>
    <xf numFmtId="1" fontId="232" fillId="0" borderId="76" xfId="0" applyNumberFormat="1" applyFont="1" applyFill="1" applyBorder="1" applyAlignment="1">
      <alignment horizontal="right"/>
    </xf>
    <xf numFmtId="0" fontId="232" fillId="0" borderId="75" xfId="0" applyFont="1" applyFill="1" applyBorder="1"/>
    <xf numFmtId="0" fontId="233" fillId="0" borderId="0" xfId="0" applyFont="1" applyAlignment="1">
      <alignment horizontal="right"/>
    </xf>
    <xf numFmtId="0" fontId="233" fillId="0" borderId="0" xfId="0" applyFont="1"/>
    <xf numFmtId="165" fontId="215" fillId="0" borderId="0" xfId="0" applyNumberFormat="1" applyFont="1" applyAlignment="1">
      <alignment horizontal="right"/>
    </xf>
    <xf numFmtId="0" fontId="233" fillId="0" borderId="45" xfId="0" applyFont="1" applyBorder="1"/>
    <xf numFmtId="272" fontId="232" fillId="0" borderId="0" xfId="0" applyNumberFormat="1" applyFont="1" applyBorder="1"/>
    <xf numFmtId="165" fontId="215" fillId="0" borderId="0" xfId="0" applyNumberFormat="1" applyFont="1" applyBorder="1" applyAlignment="1">
      <alignment horizontal="right"/>
    </xf>
    <xf numFmtId="0" fontId="233" fillId="0" borderId="0" xfId="0" applyNumberFormat="1" applyFont="1"/>
    <xf numFmtId="0" fontId="215" fillId="65" borderId="0" xfId="0" quotePrefix="1" applyFont="1" applyFill="1" applyAlignment="1">
      <alignment horizontal="left" indent="1"/>
    </xf>
    <xf numFmtId="0" fontId="227" fillId="72" borderId="52" xfId="0" applyFont="1" applyFill="1" applyBorder="1" applyAlignment="1">
      <alignment horizontal="centerContinuous"/>
    </xf>
    <xf numFmtId="0" fontId="227" fillId="72" borderId="53" xfId="0" applyFont="1" applyFill="1" applyBorder="1" applyAlignment="1">
      <alignment horizontal="centerContinuous"/>
    </xf>
    <xf numFmtId="0" fontId="227" fillId="72" borderId="96" xfId="0" applyFont="1" applyFill="1" applyBorder="1" applyAlignment="1">
      <alignment horizontal="centerContinuous"/>
    </xf>
    <xf numFmtId="1" fontId="232" fillId="0" borderId="34" xfId="0" applyNumberFormat="1" applyFont="1" applyFill="1" applyBorder="1" applyAlignment="1">
      <alignment horizontal="right"/>
    </xf>
    <xf numFmtId="1" fontId="232" fillId="0" borderId="35" xfId="0" applyNumberFormat="1" applyFont="1" applyFill="1" applyBorder="1" applyAlignment="1">
      <alignment horizontal="right"/>
    </xf>
    <xf numFmtId="1" fontId="232" fillId="0" borderId="63" xfId="0" applyNumberFormat="1" applyFont="1" applyFill="1" applyBorder="1" applyAlignment="1">
      <alignment horizontal="right"/>
    </xf>
    <xf numFmtId="0" fontId="216" fillId="0" borderId="35" xfId="0" applyFont="1" applyFill="1" applyBorder="1"/>
    <xf numFmtId="0" fontId="215" fillId="0" borderId="35" xfId="0" applyFont="1" applyFill="1" applyBorder="1"/>
    <xf numFmtId="0" fontId="215" fillId="0" borderId="45" xfId="0" applyFont="1" applyBorder="1" applyAlignment="1">
      <alignment horizontal="left" indent="1"/>
    </xf>
    <xf numFmtId="0" fontId="215" fillId="0" borderId="0" xfId="0" applyFont="1" applyFill="1" applyBorder="1" applyAlignment="1">
      <alignment horizontal="left" indent="1"/>
    </xf>
    <xf numFmtId="169" fontId="232" fillId="0" borderId="0" xfId="0" applyNumberFormat="1" applyFont="1"/>
    <xf numFmtId="165" fontId="216" fillId="0" borderId="0" xfId="0" applyNumberFormat="1" applyFont="1" applyAlignment="1">
      <alignment horizontal="right"/>
    </xf>
    <xf numFmtId="0" fontId="216" fillId="0" borderId="149" xfId="0" applyFont="1" applyBorder="1"/>
    <xf numFmtId="169" fontId="232" fillId="0" borderId="149" xfId="0" applyNumberFormat="1" applyFont="1" applyBorder="1"/>
    <xf numFmtId="0" fontId="215" fillId="0" borderId="0" xfId="0" applyFont="1" applyBorder="1" applyAlignment="1">
      <alignment horizontal="left" indent="1"/>
    </xf>
    <xf numFmtId="0" fontId="215" fillId="74" borderId="0" xfId="0" quotePrefix="1" applyFont="1" applyFill="1" applyBorder="1" applyAlignment="1">
      <alignment horizontal="center"/>
    </xf>
    <xf numFmtId="169" fontId="233" fillId="74" borderId="0" xfId="0" applyNumberFormat="1" applyFont="1" applyFill="1" applyBorder="1"/>
    <xf numFmtId="0" fontId="233" fillId="0" borderId="45" xfId="0" applyFont="1" applyFill="1" applyBorder="1" applyAlignment="1">
      <alignment horizontal="left" indent="1"/>
    </xf>
    <xf numFmtId="169" fontId="233" fillId="0" borderId="45" xfId="0" applyNumberFormat="1" applyFont="1" applyFill="1" applyBorder="1"/>
    <xf numFmtId="0" fontId="216" fillId="0" borderId="34" xfId="0" applyFont="1" applyBorder="1"/>
    <xf numFmtId="169" fontId="246" fillId="0" borderId="35" xfId="0" applyNumberFormat="1" applyFont="1" applyBorder="1"/>
    <xf numFmtId="0" fontId="235" fillId="0" borderId="140" xfId="0" applyFont="1" applyBorder="1"/>
    <xf numFmtId="0" fontId="235" fillId="0" borderId="140" xfId="0" applyFont="1" applyBorder="1" applyAlignment="1">
      <alignment horizontal="center"/>
    </xf>
    <xf numFmtId="0" fontId="230" fillId="0" borderId="0" xfId="12421" applyFont="1" applyBorder="1" applyAlignment="1">
      <alignment horizontal="center"/>
    </xf>
    <xf numFmtId="0" fontId="240" fillId="72" borderId="74" xfId="0" applyFont="1" applyFill="1" applyBorder="1" applyAlignment="1">
      <alignment horizontal="left"/>
    </xf>
    <xf numFmtId="0" fontId="240" fillId="72" borderId="75" xfId="0" applyFont="1" applyFill="1" applyBorder="1" applyAlignment="1">
      <alignment horizontal="right"/>
    </xf>
    <xf numFmtId="0" fontId="240" fillId="72" borderId="76" xfId="0" applyFont="1" applyFill="1" applyBorder="1" applyAlignment="1">
      <alignment horizontal="right"/>
    </xf>
    <xf numFmtId="0" fontId="240" fillId="72" borderId="63" xfId="0" applyFont="1" applyFill="1" applyBorder="1" applyAlignment="1">
      <alignment horizontal="right"/>
    </xf>
    <xf numFmtId="0" fontId="240" fillId="72" borderId="74" xfId="0" applyFont="1" applyFill="1" applyBorder="1" applyAlignment="1">
      <alignment horizontal="centerContinuous"/>
    </xf>
    <xf numFmtId="0" fontId="215" fillId="72" borderId="45" xfId="0" applyFont="1" applyFill="1" applyBorder="1"/>
    <xf numFmtId="164" fontId="229" fillId="0" borderId="45" xfId="0" applyNumberFormat="1" applyFont="1" applyFill="1" applyBorder="1" applyAlignment="1">
      <alignment horizontal="center"/>
    </xf>
    <xf numFmtId="165" fontId="228" fillId="0" borderId="0" xfId="12422" applyNumberFormat="1" applyFont="1"/>
    <xf numFmtId="10" fontId="215" fillId="0" borderId="45" xfId="0" applyNumberFormat="1" applyFont="1" applyBorder="1"/>
    <xf numFmtId="10" fontId="216" fillId="0" borderId="35" xfId="0" applyNumberFormat="1" applyFont="1" applyFill="1" applyBorder="1"/>
    <xf numFmtId="165" fontId="216" fillId="0" borderId="35" xfId="0" applyNumberFormat="1" applyFont="1" applyFill="1" applyBorder="1"/>
    <xf numFmtId="165" fontId="232" fillId="71" borderId="42" xfId="0" applyNumberFormat="1" applyFont="1" applyFill="1" applyBorder="1"/>
    <xf numFmtId="0" fontId="240" fillId="72" borderId="34" xfId="0" applyFont="1" applyFill="1" applyBorder="1"/>
    <xf numFmtId="0" fontId="243" fillId="72" borderId="35" xfId="0" applyFont="1" applyFill="1" applyBorder="1"/>
    <xf numFmtId="0" fontId="240" fillId="72" borderId="42" xfId="0" applyFont="1" applyFill="1" applyBorder="1" applyAlignment="1">
      <alignment horizontal="centerContinuous" wrapText="1"/>
    </xf>
    <xf numFmtId="165" fontId="224" fillId="0" borderId="0" xfId="0" applyNumberFormat="1" applyFont="1"/>
    <xf numFmtId="0" fontId="233" fillId="0" borderId="0" xfId="0" quotePrefix="1" applyFont="1" applyFill="1" applyAlignment="1">
      <alignment horizontal="center"/>
    </xf>
    <xf numFmtId="165" fontId="228" fillId="0" borderId="0" xfId="0" applyNumberFormat="1" applyFont="1"/>
    <xf numFmtId="234" fontId="228" fillId="0" borderId="0" xfId="0" applyNumberFormat="1" applyFont="1" applyFill="1" applyBorder="1"/>
    <xf numFmtId="0" fontId="233" fillId="0" borderId="0" xfId="0" applyFont="1" applyFill="1" applyAlignment="1">
      <alignment horizontal="center"/>
    </xf>
    <xf numFmtId="234" fontId="233" fillId="0" borderId="0" xfId="0" applyNumberFormat="1" applyFont="1" applyFill="1" applyBorder="1"/>
    <xf numFmtId="165" fontId="224" fillId="74" borderId="0" xfId="0" applyNumberFormat="1" applyFont="1" applyFill="1"/>
    <xf numFmtId="10" fontId="224" fillId="0" borderId="0" xfId="0" applyNumberFormat="1" applyFont="1"/>
    <xf numFmtId="10" fontId="228" fillId="0" borderId="0" xfId="0" applyNumberFormat="1" applyFont="1"/>
    <xf numFmtId="0" fontId="233" fillId="0" borderId="0" xfId="0" quotePrefix="1" applyFont="1" applyFill="1" applyAlignment="1">
      <alignment horizontal="left"/>
    </xf>
    <xf numFmtId="0" fontId="233" fillId="74" borderId="0" xfId="0" quotePrefix="1" applyFont="1" applyFill="1" applyAlignment="1">
      <alignment horizontal="left"/>
    </xf>
    <xf numFmtId="0" fontId="233" fillId="0" borderId="0" xfId="0" quotePrefix="1" applyFont="1" applyFill="1" applyAlignment="1">
      <alignment horizontal="left" indent="1"/>
    </xf>
    <xf numFmtId="0" fontId="232" fillId="0" borderId="84" xfId="20379" applyFont="1" applyFill="1" applyBorder="1" applyAlignment="1" applyProtection="1">
      <alignment horizontal="left"/>
      <protection locked="0"/>
    </xf>
    <xf numFmtId="0" fontId="232" fillId="0" borderId="85" xfId="20379" applyFont="1" applyFill="1" applyBorder="1" applyAlignment="1" applyProtection="1">
      <alignment horizontal="center"/>
      <protection locked="0"/>
    </xf>
    <xf numFmtId="0" fontId="215" fillId="0" borderId="85" xfId="0" applyFont="1" applyBorder="1"/>
    <xf numFmtId="0" fontId="232" fillId="0" borderId="85" xfId="20379" applyFont="1" applyFill="1" applyBorder="1" applyAlignment="1" applyProtection="1">
      <alignment horizontal="right"/>
      <protection locked="0"/>
    </xf>
    <xf numFmtId="0" fontId="232" fillId="0" borderId="88" xfId="20379" applyFont="1" applyFill="1" applyBorder="1" applyAlignment="1" applyProtection="1">
      <alignment horizontal="right"/>
      <protection locked="0"/>
    </xf>
    <xf numFmtId="0" fontId="233" fillId="0" borderId="60" xfId="20379" applyFont="1" applyFill="1" applyBorder="1" applyProtection="1">
      <protection locked="0"/>
    </xf>
    <xf numFmtId="0" fontId="233" fillId="0" borderId="0" xfId="20379" applyFont="1" applyFill="1" applyBorder="1" applyProtection="1">
      <protection locked="0"/>
    </xf>
    <xf numFmtId="369" fontId="233" fillId="0" borderId="0" xfId="11155" applyNumberFormat="1" applyFont="1" applyFill="1" applyBorder="1" applyProtection="1">
      <protection locked="0"/>
    </xf>
    <xf numFmtId="10" fontId="233" fillId="0" borderId="13" xfId="12074" applyNumberFormat="1" applyFont="1" applyFill="1" applyBorder="1" applyAlignment="1" applyProtection="1">
      <alignment horizontal="right"/>
      <protection locked="0"/>
    </xf>
    <xf numFmtId="0" fontId="233" fillId="0" borderId="13" xfId="20379" applyFont="1" applyFill="1" applyBorder="1" applyAlignment="1" applyProtection="1">
      <alignment horizontal="right"/>
      <protection locked="0"/>
    </xf>
    <xf numFmtId="0" fontId="233" fillId="0" borderId="10" xfId="20379" applyFont="1" applyFill="1" applyBorder="1" applyProtection="1">
      <protection locked="0"/>
    </xf>
    <xf numFmtId="0" fontId="233" fillId="0" borderId="45" xfId="20379" applyFont="1" applyFill="1" applyBorder="1" applyProtection="1">
      <protection locked="0"/>
    </xf>
    <xf numFmtId="369" fontId="233" fillId="0" borderId="45" xfId="11155" applyNumberFormat="1" applyFont="1" applyFill="1" applyBorder="1" applyProtection="1">
      <protection locked="0"/>
    </xf>
    <xf numFmtId="10" fontId="233" fillId="0" borderId="92" xfId="12074" applyNumberFormat="1" applyFont="1" applyFill="1" applyBorder="1" applyAlignment="1" applyProtection="1">
      <alignment horizontal="right"/>
      <protection locked="0"/>
    </xf>
    <xf numFmtId="0" fontId="215" fillId="0" borderId="94" xfId="0" applyFont="1" applyBorder="1"/>
    <xf numFmtId="0" fontId="215" fillId="0" borderId="45" xfId="0" applyFont="1" applyBorder="1" applyAlignment="1">
      <alignment wrapText="1"/>
    </xf>
    <xf numFmtId="10" fontId="215" fillId="0" borderId="92" xfId="12422" applyNumberFormat="1" applyFont="1" applyBorder="1"/>
    <xf numFmtId="0" fontId="215" fillId="0" borderId="52" xfId="0" applyFont="1" applyBorder="1"/>
    <xf numFmtId="14" fontId="215" fillId="0" borderId="54" xfId="0" applyNumberFormat="1" applyFont="1" applyBorder="1" applyAlignment="1">
      <alignment horizontal="right"/>
    </xf>
    <xf numFmtId="0" fontId="215" fillId="0" borderId="12" xfId="0" applyFont="1" applyBorder="1"/>
    <xf numFmtId="0" fontId="215" fillId="0" borderId="13" xfId="0" applyFont="1" applyBorder="1" applyAlignment="1">
      <alignment horizontal="right"/>
    </xf>
    <xf numFmtId="0" fontId="215" fillId="0" borderId="11" xfId="0" applyFont="1" applyBorder="1" applyAlignment="1">
      <alignment horizontal="right"/>
    </xf>
    <xf numFmtId="0" fontId="247" fillId="72" borderId="52" xfId="0" applyFont="1" applyFill="1" applyBorder="1" applyAlignment="1">
      <alignment horizontal="centerContinuous"/>
    </xf>
    <xf numFmtId="0" fontId="247" fillId="72" borderId="53" xfId="0" applyFont="1" applyFill="1" applyBorder="1" applyAlignment="1">
      <alignment horizontal="centerContinuous"/>
    </xf>
    <xf numFmtId="0" fontId="247" fillId="72" borderId="54" xfId="0" applyFont="1" applyFill="1" applyBorder="1" applyAlignment="1">
      <alignment horizontal="centerContinuous"/>
    </xf>
    <xf numFmtId="0" fontId="232" fillId="72" borderId="53" xfId="0" applyFont="1" applyFill="1" applyBorder="1" applyAlignment="1">
      <alignment horizontal="centerContinuous"/>
    </xf>
    <xf numFmtId="0" fontId="232" fillId="72" borderId="54" xfId="0" applyFont="1" applyFill="1" applyBorder="1" applyAlignment="1">
      <alignment horizontal="centerContinuous"/>
    </xf>
    <xf numFmtId="0" fontId="232" fillId="0" borderId="51" xfId="0" applyFont="1" applyFill="1" applyBorder="1" applyAlignment="1">
      <alignment horizontal="center" wrapText="1"/>
    </xf>
    <xf numFmtId="0" fontId="232" fillId="0" borderId="34" xfId="0" applyFont="1" applyFill="1" applyBorder="1" applyAlignment="1">
      <alignment horizontal="right" wrapText="1"/>
    </xf>
    <xf numFmtId="0" fontId="232" fillId="0" borderId="35" xfId="0" applyFont="1" applyFill="1" applyBorder="1" applyAlignment="1">
      <alignment horizontal="right" wrapText="1"/>
    </xf>
    <xf numFmtId="0" fontId="215" fillId="0" borderId="35" xfId="0" applyFont="1" applyBorder="1" applyAlignment="1">
      <alignment horizontal="right" wrapText="1"/>
    </xf>
    <xf numFmtId="0" fontId="232" fillId="0" borderId="42" xfId="0" applyFont="1" applyFill="1" applyBorder="1" applyAlignment="1">
      <alignment horizontal="right" wrapText="1"/>
    </xf>
    <xf numFmtId="0" fontId="247" fillId="28" borderId="34" xfId="0" applyFont="1" applyFill="1" applyBorder="1" applyAlignment="1">
      <alignment horizontal="center" wrapText="1"/>
    </xf>
    <xf numFmtId="0" fontId="247" fillId="28" borderId="35" xfId="0" applyFont="1" applyFill="1" applyBorder="1" applyAlignment="1">
      <alignment horizontal="center" wrapText="1"/>
    </xf>
    <xf numFmtId="0" fontId="247" fillId="28" borderId="42" xfId="0" applyFont="1" applyFill="1" applyBorder="1" applyAlignment="1">
      <alignment horizontal="center" wrapText="1"/>
    </xf>
    <xf numFmtId="0" fontId="232" fillId="0" borderId="0" xfId="0" applyFont="1" applyFill="1" applyAlignment="1">
      <alignment horizontal="center" wrapText="1"/>
    </xf>
    <xf numFmtId="0" fontId="216" fillId="0" borderId="0" xfId="0" applyFont="1" applyAlignment="1">
      <alignment horizontal="center" wrapText="1"/>
    </xf>
    <xf numFmtId="0" fontId="235" fillId="0" borderId="140" xfId="0" applyFont="1" applyBorder="1" applyAlignment="1">
      <alignment wrapText="1"/>
    </xf>
    <xf numFmtId="0" fontId="224" fillId="0" borderId="0" xfId="0" applyFont="1" applyAlignment="1">
      <alignment horizontal="center"/>
    </xf>
    <xf numFmtId="234" fontId="215" fillId="0" borderId="0" xfId="0" applyNumberFormat="1" applyFont="1" applyAlignment="1">
      <alignment horizontal="right"/>
    </xf>
    <xf numFmtId="234" fontId="215" fillId="0" borderId="0" xfId="0" quotePrefix="1" applyNumberFormat="1" applyFont="1" applyAlignment="1">
      <alignment horizontal="right"/>
    </xf>
    <xf numFmtId="164" fontId="215" fillId="0" borderId="0" xfId="0" applyNumberFormat="1" applyFont="1" applyAlignment="1">
      <alignment horizontal="center"/>
    </xf>
    <xf numFmtId="0" fontId="229" fillId="0" borderId="0" xfId="0" applyFont="1"/>
    <xf numFmtId="169" fontId="242" fillId="0" borderId="0" xfId="0" applyNumberFormat="1" applyFont="1"/>
    <xf numFmtId="0" fontId="224" fillId="0" borderId="0" xfId="0" applyFont="1"/>
    <xf numFmtId="0" fontId="233" fillId="0" borderId="0" xfId="0" applyFont="1" applyFill="1" applyBorder="1"/>
    <xf numFmtId="0" fontId="216" fillId="71" borderId="121" xfId="0" applyFont="1" applyFill="1" applyBorder="1"/>
    <xf numFmtId="0" fontId="216" fillId="71" borderId="122" xfId="0" applyFont="1" applyFill="1" applyBorder="1"/>
    <xf numFmtId="234" fontId="216" fillId="71" borderId="122" xfId="0" applyNumberFormat="1" applyFont="1" applyFill="1" applyBorder="1"/>
    <xf numFmtId="169" fontId="216" fillId="71" borderId="122" xfId="0" applyNumberFormat="1" applyFont="1" applyFill="1" applyBorder="1"/>
    <xf numFmtId="169" fontId="216" fillId="71" borderId="123" xfId="0" applyNumberFormat="1" applyFont="1" applyFill="1" applyBorder="1"/>
    <xf numFmtId="165" fontId="216" fillId="71" borderId="0" xfId="12422" applyNumberFormat="1" applyFont="1" applyFill="1" applyBorder="1"/>
    <xf numFmtId="0" fontId="216" fillId="71" borderId="60" xfId="0" applyFont="1" applyFill="1" applyBorder="1"/>
    <xf numFmtId="0" fontId="216" fillId="71" borderId="0" xfId="0" applyFont="1" applyFill="1" applyBorder="1"/>
    <xf numFmtId="234" fontId="216" fillId="71" borderId="0" xfId="0" applyNumberFormat="1" applyFont="1" applyFill="1" applyBorder="1"/>
    <xf numFmtId="169" fontId="216" fillId="71" borderId="0" xfId="0" applyNumberFormat="1" applyFont="1" applyFill="1" applyBorder="1"/>
    <xf numFmtId="169" fontId="216" fillId="71" borderId="13" xfId="0" applyNumberFormat="1" applyFont="1" applyFill="1" applyBorder="1"/>
    <xf numFmtId="0" fontId="216" fillId="71" borderId="10" xfId="0" applyFont="1" applyFill="1" applyBorder="1"/>
    <xf numFmtId="234" fontId="216" fillId="71" borderId="45" xfId="0" applyNumberFormat="1" applyFont="1" applyFill="1" applyBorder="1"/>
    <xf numFmtId="169" fontId="216" fillId="71" borderId="92" xfId="0" applyNumberFormat="1" applyFont="1" applyFill="1" applyBorder="1"/>
    <xf numFmtId="0" fontId="215" fillId="0" borderId="0" xfId="0" applyFont="1" applyFill="1" applyAlignment="1">
      <alignment horizontal="right"/>
    </xf>
    <xf numFmtId="0" fontId="215" fillId="0" borderId="0" xfId="0" applyFont="1" applyFill="1" applyAlignment="1">
      <alignment vertical="top"/>
    </xf>
    <xf numFmtId="0" fontId="248" fillId="0" borderId="0" xfId="0" applyFont="1"/>
    <xf numFmtId="0" fontId="227" fillId="72" borderId="75" xfId="0" applyFont="1" applyFill="1" applyBorder="1" applyAlignment="1">
      <alignment horizontal="left"/>
    </xf>
    <xf numFmtId="165" fontId="231" fillId="71" borderId="42" xfId="0" applyNumberFormat="1" applyFont="1" applyFill="1" applyBorder="1" applyAlignment="1">
      <alignment horizontal="center"/>
    </xf>
    <xf numFmtId="165" fontId="249" fillId="0" borderId="0" xfId="0" applyNumberFormat="1" applyFont="1" applyBorder="1"/>
    <xf numFmtId="0" fontId="244" fillId="69" borderId="55" xfId="12421" applyFont="1" applyFill="1" applyBorder="1"/>
    <xf numFmtId="0" fontId="215" fillId="69" borderId="55" xfId="12421" applyFont="1" applyFill="1" applyBorder="1"/>
    <xf numFmtId="0" fontId="244" fillId="69" borderId="0" xfId="12421" applyFont="1" applyFill="1" applyBorder="1"/>
    <xf numFmtId="0" fontId="215" fillId="69" borderId="0" xfId="12421" applyFont="1" applyFill="1" applyBorder="1"/>
    <xf numFmtId="0" fontId="244" fillId="69" borderId="56" xfId="12421" applyFont="1" applyFill="1" applyBorder="1"/>
    <xf numFmtId="0" fontId="215" fillId="69" borderId="56" xfId="12421" applyFont="1" applyFill="1" applyBorder="1"/>
    <xf numFmtId="0" fontId="227" fillId="72" borderId="57" xfId="0" applyFont="1" applyFill="1" applyBorder="1" applyAlignment="1">
      <alignment horizontal="centerContinuous"/>
    </xf>
    <xf numFmtId="0" fontId="227" fillId="72" borderId="58" xfId="0" applyFont="1" applyFill="1" applyBorder="1" applyAlignment="1">
      <alignment horizontal="centerContinuous"/>
    </xf>
    <xf numFmtId="0" fontId="227" fillId="72" borderId="59" xfId="0" applyFont="1" applyFill="1" applyBorder="1" applyAlignment="1">
      <alignment horizontal="centerContinuous"/>
    </xf>
    <xf numFmtId="0" fontId="215" fillId="0" borderId="0" xfId="0" applyFont="1" applyAlignment="1">
      <alignment horizontal="centerContinuous"/>
    </xf>
    <xf numFmtId="0" fontId="227" fillId="72" borderId="51" xfId="0" applyFont="1" applyFill="1" applyBorder="1" applyAlignment="1">
      <alignment horizontal="centerContinuous"/>
    </xf>
    <xf numFmtId="0" fontId="232" fillId="0" borderId="32" xfId="0" applyFont="1" applyFill="1" applyBorder="1" applyAlignment="1">
      <alignment horizontal="right" wrapText="1"/>
    </xf>
    <xf numFmtId="169" fontId="233" fillId="0" borderId="0" xfId="0" applyNumberFormat="1" applyFont="1" applyFill="1" applyAlignment="1">
      <alignment horizontal="right"/>
    </xf>
    <xf numFmtId="165" fontId="222" fillId="0" borderId="0" xfId="12422" applyNumberFormat="1" applyFont="1" applyAlignment="1">
      <alignment horizontal="right"/>
    </xf>
    <xf numFmtId="169" fontId="216" fillId="0" borderId="0" xfId="0" applyNumberFormat="1" applyFont="1" applyFill="1" applyBorder="1"/>
    <xf numFmtId="0" fontId="215" fillId="0" borderId="107" xfId="0" applyFont="1" applyBorder="1"/>
    <xf numFmtId="0" fontId="215" fillId="0" borderId="109" xfId="0" applyFont="1" applyBorder="1"/>
    <xf numFmtId="0" fontId="215" fillId="0" borderId="110" xfId="0" applyFont="1" applyBorder="1"/>
    <xf numFmtId="0" fontId="215" fillId="0" borderId="60" xfId="0" applyFont="1" applyBorder="1" applyAlignment="1">
      <alignment horizontal="left"/>
    </xf>
    <xf numFmtId="167" fontId="215" fillId="0" borderId="0" xfId="12427" applyNumberFormat="1" applyFont="1" applyBorder="1"/>
    <xf numFmtId="0" fontId="222" fillId="0" borderId="13" xfId="0" applyFont="1" applyBorder="1" applyAlignment="1">
      <alignment horizontal="right"/>
    </xf>
    <xf numFmtId="0" fontId="215" fillId="0" borderId="10" xfId="0" applyFont="1" applyBorder="1" applyAlignment="1">
      <alignment horizontal="left"/>
    </xf>
    <xf numFmtId="167" fontId="215" fillId="0" borderId="45" xfId="12427" applyNumberFormat="1" applyFont="1" applyBorder="1"/>
    <xf numFmtId="0" fontId="222" fillId="0" borderId="11" xfId="0" applyFont="1" applyBorder="1" applyAlignment="1">
      <alignment horizontal="right"/>
    </xf>
    <xf numFmtId="0" fontId="216" fillId="0" borderId="75" xfId="0" applyFont="1" applyBorder="1" applyAlignment="1">
      <alignment horizontal="centerContinuous"/>
    </xf>
    <xf numFmtId="0" fontId="216" fillId="0" borderId="76" xfId="0" applyFont="1" applyBorder="1" applyAlignment="1">
      <alignment horizontal="centerContinuous"/>
    </xf>
    <xf numFmtId="0" fontId="216" fillId="0" borderId="63" xfId="0" applyFont="1" applyBorder="1" applyAlignment="1">
      <alignment horizontal="centerContinuous"/>
    </xf>
    <xf numFmtId="0" fontId="216" fillId="0" borderId="64" xfId="0" applyFont="1" applyBorder="1" applyAlignment="1">
      <alignment horizontal="centerContinuous"/>
    </xf>
    <xf numFmtId="0" fontId="215" fillId="0" borderId="95" xfId="0" applyFont="1" applyBorder="1" applyAlignment="1">
      <alignment horizontal="centerContinuous"/>
    </xf>
    <xf numFmtId="0" fontId="215" fillId="0" borderId="0" xfId="0" applyFont="1" applyBorder="1" applyAlignment="1">
      <alignment horizontal="centerContinuous"/>
    </xf>
    <xf numFmtId="0" fontId="216" fillId="0" borderId="95" xfId="0" applyFont="1" applyBorder="1" applyAlignment="1">
      <alignment horizontal="centerContinuous"/>
    </xf>
    <xf numFmtId="0" fontId="215" fillId="0" borderId="114" xfId="0" applyFont="1" applyBorder="1"/>
    <xf numFmtId="234" fontId="222" fillId="0" borderId="115" xfId="0" applyNumberFormat="1" applyFont="1" applyBorder="1" applyAlignment="1">
      <alignment horizontal="right"/>
    </xf>
    <xf numFmtId="0" fontId="227" fillId="72" borderId="75" xfId="0" applyFont="1" applyFill="1" applyBorder="1" applyAlignment="1">
      <alignment horizontal="centerContinuous"/>
    </xf>
    <xf numFmtId="0" fontId="227" fillId="72" borderId="74" xfId="0" applyFont="1" applyFill="1" applyBorder="1" applyAlignment="1">
      <alignment horizontal="centerContinuous"/>
    </xf>
    <xf numFmtId="0" fontId="227" fillId="74" borderId="58" xfId="0" applyFont="1" applyFill="1" applyBorder="1" applyAlignment="1">
      <alignment horizontal="centerContinuous"/>
    </xf>
    <xf numFmtId="0" fontId="232" fillId="0" borderId="75" xfId="0" applyFont="1" applyFill="1" applyBorder="1" applyAlignment="1">
      <alignment horizontal="left" wrapText="1"/>
    </xf>
    <xf numFmtId="0" fontId="232" fillId="0" borderId="145" xfId="0" applyFont="1" applyFill="1" applyBorder="1" applyAlignment="1">
      <alignment horizontal="right" wrapText="1"/>
    </xf>
    <xf numFmtId="0" fontId="232" fillId="0" borderId="147" xfId="0" applyFont="1" applyFill="1" applyBorder="1" applyAlignment="1">
      <alignment horizontal="right" wrapText="1"/>
    </xf>
    <xf numFmtId="0" fontId="232" fillId="0" borderId="10" xfId="0" applyFont="1" applyFill="1" applyBorder="1" applyAlignment="1">
      <alignment horizontal="right" wrapText="1"/>
    </xf>
    <xf numFmtId="0" fontId="232" fillId="0" borderId="45" xfId="0" applyFont="1" applyFill="1" applyBorder="1" applyAlignment="1">
      <alignment horizontal="right" wrapText="1"/>
    </xf>
    <xf numFmtId="0" fontId="232" fillId="0" borderId="74" xfId="0" applyFont="1" applyFill="1" applyBorder="1" applyAlignment="1">
      <alignment horizontal="right" wrapText="1"/>
    </xf>
    <xf numFmtId="0" fontId="232" fillId="0" borderId="0" xfId="0" applyFont="1" applyFill="1" applyBorder="1" applyAlignment="1">
      <alignment horizontal="right" wrapText="1"/>
    </xf>
    <xf numFmtId="0" fontId="232" fillId="0" borderId="10" xfId="0" applyNumberFormat="1" applyFont="1" applyFill="1" applyBorder="1" applyAlignment="1">
      <alignment horizontal="right" wrapText="1"/>
    </xf>
    <xf numFmtId="0" fontId="232" fillId="0" borderId="45" xfId="0" applyNumberFormat="1" applyFont="1" applyFill="1" applyBorder="1" applyAlignment="1">
      <alignment horizontal="right" wrapText="1"/>
    </xf>
    <xf numFmtId="0" fontId="232" fillId="0" borderId="75" xfId="0" applyNumberFormat="1" applyFont="1" applyFill="1" applyBorder="1" applyAlignment="1">
      <alignment horizontal="right" wrapText="1"/>
    </xf>
    <xf numFmtId="0" fontId="232" fillId="0" borderId="76" xfId="0" applyNumberFormat="1" applyFont="1" applyFill="1" applyBorder="1" applyAlignment="1">
      <alignment horizontal="right" wrapText="1"/>
    </xf>
    <xf numFmtId="0" fontId="232" fillId="0" borderId="63" xfId="0" applyNumberFormat="1" applyFont="1" applyFill="1" applyBorder="1" applyAlignment="1">
      <alignment horizontal="right" wrapText="1"/>
    </xf>
    <xf numFmtId="0" fontId="216" fillId="0" borderId="4" xfId="0" applyFont="1" applyFill="1" applyBorder="1" applyAlignment="1">
      <alignment horizontal="center" wrapText="1"/>
    </xf>
    <xf numFmtId="0" fontId="216" fillId="0" borderId="5" xfId="0" applyFont="1" applyFill="1" applyBorder="1" applyAlignment="1">
      <alignment horizontal="center" wrapText="1"/>
    </xf>
    <xf numFmtId="0" fontId="216" fillId="74" borderId="5" xfId="0" applyFont="1" applyFill="1" applyBorder="1" applyAlignment="1">
      <alignment horizontal="center" wrapText="1"/>
    </xf>
    <xf numFmtId="0" fontId="216" fillId="0" borderId="6" xfId="0" applyFont="1" applyFill="1" applyBorder="1" applyAlignment="1">
      <alignment horizontal="center" wrapText="1"/>
    </xf>
    <xf numFmtId="0" fontId="238" fillId="0" borderId="0" xfId="0" applyFont="1" applyFill="1" applyBorder="1"/>
    <xf numFmtId="169" fontId="215" fillId="74" borderId="0" xfId="0" applyNumberFormat="1" applyFont="1" applyFill="1"/>
    <xf numFmtId="169" fontId="216" fillId="71" borderId="33" xfId="0" applyNumberFormat="1" applyFont="1" applyFill="1" applyBorder="1"/>
    <xf numFmtId="0" fontId="216" fillId="71" borderId="149" xfId="0" applyFont="1" applyFill="1" applyBorder="1"/>
    <xf numFmtId="41" fontId="216" fillId="71" borderId="33" xfId="0" applyNumberFormat="1" applyFont="1" applyFill="1" applyBorder="1"/>
    <xf numFmtId="234" fontId="216" fillId="71" borderId="33" xfId="0" applyNumberFormat="1" applyFont="1" applyFill="1" applyBorder="1"/>
    <xf numFmtId="234" fontId="216" fillId="71" borderId="49" xfId="0" applyNumberFormat="1" applyFont="1" applyFill="1" applyBorder="1"/>
    <xf numFmtId="0" fontId="216" fillId="71" borderId="12" xfId="0" applyFont="1" applyFill="1" applyBorder="1"/>
    <xf numFmtId="41" fontId="216" fillId="71" borderId="0" xfId="0" applyNumberFormat="1" applyFont="1" applyFill="1" applyBorder="1"/>
    <xf numFmtId="234" fontId="216" fillId="71" borderId="13" xfId="0" applyNumberFormat="1" applyFont="1" applyFill="1" applyBorder="1"/>
    <xf numFmtId="41" fontId="216" fillId="71" borderId="45" xfId="0" applyNumberFormat="1" applyFont="1" applyFill="1" applyBorder="1"/>
    <xf numFmtId="234" fontId="216" fillId="71" borderId="11" xfId="0" applyNumberFormat="1" applyFont="1" applyFill="1" applyBorder="1"/>
    <xf numFmtId="0" fontId="227" fillId="72" borderId="0" xfId="0" applyFont="1" applyFill="1" applyBorder="1" applyAlignment="1">
      <alignment horizontal="centerContinuous"/>
    </xf>
    <xf numFmtId="0" fontId="227" fillId="72" borderId="60" xfId="0" applyFont="1" applyFill="1" applyBorder="1" applyAlignment="1">
      <alignment horizontal="centerContinuous"/>
    </xf>
    <xf numFmtId="0" fontId="227" fillId="72" borderId="13" xfId="0" applyFont="1" applyFill="1" applyBorder="1" applyAlignment="1">
      <alignment horizontal="centerContinuous"/>
    </xf>
    <xf numFmtId="0" fontId="232" fillId="0" borderId="92" xfId="0" applyFont="1" applyFill="1" applyBorder="1" applyAlignment="1">
      <alignment horizontal="right" wrapText="1"/>
    </xf>
    <xf numFmtId="0" fontId="232" fillId="0" borderId="92" xfId="0" applyNumberFormat="1" applyFont="1" applyFill="1" applyBorder="1" applyAlignment="1">
      <alignment horizontal="right" wrapText="1"/>
    </xf>
    <xf numFmtId="169" fontId="232" fillId="0" borderId="0" xfId="0" applyNumberFormat="1" applyFont="1" applyFill="1" applyBorder="1"/>
    <xf numFmtId="0" fontId="216" fillId="0" borderId="34" xfId="0" applyFont="1" applyBorder="1" applyAlignment="1">
      <alignment horizontal="centerContinuous"/>
    </xf>
    <xf numFmtId="0" fontId="215" fillId="0" borderId="35" xfId="0" applyFont="1" applyBorder="1" applyAlignment="1">
      <alignment horizontal="centerContinuous"/>
    </xf>
    <xf numFmtId="0" fontId="215" fillId="0" borderId="42" xfId="0" applyFont="1" applyBorder="1" applyAlignment="1">
      <alignment horizontal="centerContinuous"/>
    </xf>
    <xf numFmtId="9" fontId="222" fillId="0" borderId="115" xfId="12422" applyFont="1" applyBorder="1" applyAlignment="1">
      <alignment horizontal="right"/>
    </xf>
    <xf numFmtId="0" fontId="232" fillId="0" borderId="74" xfId="0" applyFont="1" applyFill="1" applyBorder="1" applyAlignment="1">
      <alignment horizontal="left" wrapText="1"/>
    </xf>
    <xf numFmtId="0" fontId="232" fillId="0" borderId="11" xfId="0" applyFont="1" applyFill="1" applyBorder="1" applyAlignment="1">
      <alignment horizontal="right" wrapText="1"/>
    </xf>
    <xf numFmtId="165" fontId="216" fillId="71" borderId="122" xfId="0" applyNumberFormat="1" applyFont="1" applyFill="1" applyBorder="1"/>
    <xf numFmtId="165" fontId="216" fillId="71" borderId="123" xfId="0" applyNumberFormat="1" applyFont="1" applyFill="1" applyBorder="1"/>
    <xf numFmtId="165" fontId="216" fillId="71" borderId="0" xfId="0" applyNumberFormat="1" applyFont="1" applyFill="1" applyBorder="1"/>
    <xf numFmtId="165" fontId="216" fillId="71" borderId="13" xfId="0" applyNumberFormat="1" applyFont="1" applyFill="1" applyBorder="1"/>
    <xf numFmtId="165" fontId="216" fillId="71" borderId="45" xfId="0" applyNumberFormat="1" applyFont="1" applyFill="1" applyBorder="1"/>
    <xf numFmtId="165" fontId="216" fillId="71" borderId="92" xfId="0" applyNumberFormat="1" applyFont="1" applyFill="1" applyBorder="1"/>
    <xf numFmtId="0" fontId="215" fillId="0" borderId="34" xfId="0" applyFont="1" applyBorder="1" applyAlignment="1">
      <alignment wrapText="1"/>
    </xf>
    <xf numFmtId="0" fontId="215" fillId="0" borderId="35" xfId="0" applyFont="1" applyBorder="1" applyAlignment="1">
      <alignment wrapText="1"/>
    </xf>
    <xf numFmtId="0" fontId="224" fillId="0" borderId="35" xfId="0" applyFont="1" applyBorder="1" applyAlignment="1">
      <alignment wrapText="1"/>
    </xf>
    <xf numFmtId="0" fontId="224" fillId="0" borderId="42" xfId="0" applyFont="1" applyBorder="1" applyAlignment="1">
      <alignment wrapText="1"/>
    </xf>
    <xf numFmtId="0" fontId="227" fillId="72" borderId="74" xfId="0" applyFont="1" applyFill="1" applyBorder="1" applyAlignment="1">
      <alignment horizontal="left"/>
    </xf>
    <xf numFmtId="0" fontId="227" fillId="72" borderId="74" xfId="0" applyFont="1" applyFill="1" applyBorder="1" applyAlignment="1">
      <alignment horizontal="center"/>
    </xf>
    <xf numFmtId="0" fontId="215" fillId="0" borderId="93" xfId="0" applyFont="1" applyBorder="1" applyAlignment="1">
      <alignment horizontal="justify" vertical="center" wrapText="1"/>
    </xf>
    <xf numFmtId="0" fontId="215" fillId="0" borderId="61" xfId="0" applyFont="1" applyBorder="1"/>
    <xf numFmtId="0" fontId="215" fillId="0" borderId="117" xfId="0" applyFont="1" applyBorder="1"/>
    <xf numFmtId="0" fontId="215" fillId="0" borderId="0" xfId="0" applyFont="1" applyAlignment="1">
      <alignment horizontal="justify" vertical="top" wrapText="1"/>
    </xf>
    <xf numFmtId="0" fontId="215" fillId="0" borderId="0" xfId="0" applyFont="1" applyBorder="1" applyAlignment="1">
      <alignment horizontal="right" wrapText="1"/>
    </xf>
    <xf numFmtId="165" fontId="215" fillId="0" borderId="0" xfId="12422" applyNumberFormat="1" applyFont="1" applyAlignment="1">
      <alignment horizontal="right"/>
    </xf>
    <xf numFmtId="0" fontId="227" fillId="72" borderId="136" xfId="0" applyFont="1" applyFill="1" applyBorder="1" applyAlignment="1">
      <alignment horizontal="centerContinuous"/>
    </xf>
    <xf numFmtId="0" fontId="227" fillId="72" borderId="121" xfId="0" applyFont="1" applyFill="1" applyBorder="1" applyAlignment="1">
      <alignment horizontal="centerContinuous"/>
    </xf>
    <xf numFmtId="0" fontId="227" fillId="72" borderId="103" xfId="0" applyFont="1" applyFill="1" applyBorder="1" applyAlignment="1">
      <alignment horizontal="centerContinuous"/>
    </xf>
    <xf numFmtId="0" fontId="232" fillId="0" borderId="34" xfId="0" applyFont="1" applyFill="1" applyBorder="1" applyAlignment="1">
      <alignment horizontal="center" wrapText="1"/>
    </xf>
    <xf numFmtId="0" fontId="232" fillId="0" borderId="35" xfId="0" applyFont="1" applyFill="1" applyBorder="1" applyAlignment="1">
      <alignment horizontal="center" wrapText="1"/>
    </xf>
    <xf numFmtId="0" fontId="232" fillId="0" borderId="63" xfId="0" applyFont="1" applyFill="1" applyBorder="1" applyAlignment="1">
      <alignment horizontal="center" wrapText="1"/>
    </xf>
    <xf numFmtId="0" fontId="232" fillId="0" borderId="42" xfId="0" applyFont="1" applyFill="1" applyBorder="1" applyAlignment="1">
      <alignment horizontal="center" wrapText="1"/>
    </xf>
    <xf numFmtId="0" fontId="232" fillId="0" borderId="136" xfId="0" applyFont="1" applyFill="1" applyBorder="1" applyAlignment="1">
      <alignment horizontal="right" wrapText="1"/>
    </xf>
    <xf numFmtId="0" fontId="232" fillId="0" borderId="63" xfId="0" applyFont="1" applyFill="1" applyBorder="1" applyAlignment="1">
      <alignment horizontal="right" wrapText="1"/>
    </xf>
    <xf numFmtId="0" fontId="215" fillId="0" borderId="0" xfId="0" applyFont="1" applyFill="1" applyAlignment="1">
      <alignment horizontal="right" wrapText="1"/>
    </xf>
    <xf numFmtId="0" fontId="232" fillId="0" borderId="118" xfId="0" applyFont="1" applyFill="1" applyBorder="1" applyAlignment="1">
      <alignment horizontal="right" wrapText="1"/>
    </xf>
    <xf numFmtId="0" fontId="232" fillId="0" borderId="124" xfId="0" applyFont="1" applyFill="1" applyBorder="1" applyAlignment="1">
      <alignment horizontal="right" wrapText="1"/>
    </xf>
    <xf numFmtId="234" fontId="222" fillId="0" borderId="120" xfId="0" applyNumberFormat="1" applyFont="1" applyBorder="1" applyAlignment="1">
      <alignment horizontal="right"/>
    </xf>
    <xf numFmtId="164" fontId="215" fillId="0" borderId="0" xfId="0" applyNumberFormat="1" applyFont="1" applyFill="1" applyAlignment="1">
      <alignment horizontal="center" vertical="top" wrapText="1"/>
    </xf>
    <xf numFmtId="165" fontId="215" fillId="0" borderId="0" xfId="0" applyNumberFormat="1" applyFont="1" applyFill="1" applyAlignment="1">
      <alignment horizontal="center" vertical="top" wrapText="1"/>
    </xf>
    <xf numFmtId="0" fontId="215" fillId="0" borderId="0" xfId="0" applyFont="1" applyFill="1" applyAlignment="1">
      <alignment vertical="top" wrapText="1"/>
    </xf>
    <xf numFmtId="169" fontId="215" fillId="0" borderId="0" xfId="0" applyNumberFormat="1" applyFont="1" applyAlignment="1">
      <alignment horizontal="right" vertical="top"/>
    </xf>
    <xf numFmtId="0" fontId="215" fillId="0" borderId="0" xfId="0" applyFont="1" applyFill="1" applyAlignment="1">
      <alignment horizontal="right" vertical="top"/>
    </xf>
    <xf numFmtId="234" fontId="215" fillId="0" borderId="0" xfId="0" applyNumberFormat="1" applyFont="1" applyFill="1" applyAlignment="1">
      <alignment horizontal="right" vertical="top"/>
    </xf>
    <xf numFmtId="0" fontId="222" fillId="0" borderId="0" xfId="0" applyFont="1" applyFill="1"/>
    <xf numFmtId="0" fontId="222" fillId="0" borderId="0" xfId="0" applyFont="1" applyFill="1" applyAlignment="1">
      <alignment horizontal="center" vertical="top" wrapText="1"/>
    </xf>
    <xf numFmtId="0" fontId="215" fillId="71" borderId="33" xfId="0" applyFont="1" applyFill="1" applyBorder="1"/>
    <xf numFmtId="10" fontId="215" fillId="71" borderId="33" xfId="0" applyNumberFormat="1" applyFont="1" applyFill="1" applyBorder="1"/>
    <xf numFmtId="0" fontId="215" fillId="71" borderId="149" xfId="0" applyFont="1" applyFill="1" applyBorder="1"/>
    <xf numFmtId="169" fontId="216" fillId="71" borderId="144" xfId="0" applyNumberFormat="1" applyFont="1" applyFill="1" applyBorder="1"/>
    <xf numFmtId="169" fontId="216" fillId="71" borderId="53" xfId="0" applyNumberFormat="1" applyFont="1" applyFill="1" applyBorder="1"/>
    <xf numFmtId="0" fontId="215" fillId="71" borderId="91" xfId="0" applyFont="1" applyFill="1" applyBorder="1"/>
    <xf numFmtId="0" fontId="215" fillId="0" borderId="33" xfId="0" applyFont="1" applyFill="1" applyBorder="1"/>
    <xf numFmtId="165" fontId="216" fillId="71" borderId="33" xfId="0" applyNumberFormat="1" applyFont="1" applyFill="1" applyBorder="1"/>
    <xf numFmtId="165" fontId="216" fillId="71" borderId="49" xfId="0" applyNumberFormat="1" applyFont="1" applyFill="1" applyBorder="1"/>
    <xf numFmtId="10" fontId="215" fillId="71" borderId="0" xfId="0" applyNumberFormat="1" applyFont="1" applyFill="1" applyBorder="1"/>
    <xf numFmtId="0" fontId="215" fillId="71" borderId="45" xfId="0" applyFont="1" applyFill="1" applyBorder="1"/>
    <xf numFmtId="0" fontId="215" fillId="71" borderId="92" xfId="0" applyFont="1" applyFill="1" applyBorder="1"/>
    <xf numFmtId="165" fontId="216" fillId="71" borderId="11" xfId="0" applyNumberFormat="1" applyFont="1" applyFill="1" applyBorder="1"/>
    <xf numFmtId="0" fontId="227" fillId="0" borderId="0" xfId="0" applyFont="1" applyFill="1" applyBorder="1" applyAlignment="1">
      <alignment horizontal="left"/>
    </xf>
    <xf numFmtId="0" fontId="215" fillId="0" borderId="61" xfId="0" applyFont="1" applyBorder="1" applyAlignment="1">
      <alignment horizontal="justify" vertical="center" wrapText="1"/>
    </xf>
    <xf numFmtId="0" fontId="215" fillId="0" borderId="111" xfId="0" applyFont="1" applyBorder="1" applyAlignment="1">
      <alignment horizontal="justify" vertical="center" wrapText="1"/>
    </xf>
    <xf numFmtId="0" fontId="227" fillId="72" borderId="51" xfId="0" applyFont="1" applyFill="1" applyBorder="1" applyAlignment="1">
      <alignment wrapText="1"/>
    </xf>
    <xf numFmtId="0" fontId="227" fillId="72" borderId="51" xfId="0" applyFont="1" applyFill="1" applyBorder="1" applyAlignment="1">
      <alignment horizontal="right" wrapText="1"/>
    </xf>
    <xf numFmtId="270" fontId="224" fillId="0" borderId="0" xfId="0" applyNumberFormat="1" applyFont="1"/>
    <xf numFmtId="0" fontId="232" fillId="0" borderId="0" xfId="0" applyFont="1" applyFill="1"/>
    <xf numFmtId="0" fontId="233" fillId="74" borderId="0" xfId="0" applyFont="1" applyFill="1" applyAlignment="1">
      <alignment horizontal="left" indent="1"/>
    </xf>
    <xf numFmtId="169" fontId="224" fillId="0" borderId="0" xfId="0" applyNumberFormat="1" applyFont="1"/>
    <xf numFmtId="234" fontId="250" fillId="0" borderId="0" xfId="0" applyNumberFormat="1" applyFont="1" applyAlignment="1">
      <alignment horizontal="right" vertical="top"/>
    </xf>
    <xf numFmtId="0" fontId="216" fillId="71" borderId="57" xfId="0" applyFont="1" applyFill="1" applyBorder="1"/>
    <xf numFmtId="0" fontId="216" fillId="71" borderId="58" xfId="0" applyFont="1" applyFill="1" applyBorder="1"/>
    <xf numFmtId="169" fontId="216" fillId="71" borderId="58" xfId="0" applyNumberFormat="1" applyFont="1" applyFill="1" applyBorder="1"/>
    <xf numFmtId="169" fontId="216" fillId="71" borderId="124" xfId="0" applyNumberFormat="1" applyFont="1" applyFill="1" applyBorder="1"/>
    <xf numFmtId="169" fontId="216" fillId="71" borderId="51" xfId="0" applyNumberFormat="1" applyFont="1" applyFill="1" applyBorder="1"/>
    <xf numFmtId="0" fontId="227" fillId="72" borderId="57" xfId="0" applyFont="1" applyFill="1" applyBorder="1" applyAlignment="1">
      <alignment wrapText="1"/>
    </xf>
    <xf numFmtId="0" fontId="227" fillId="72" borderId="58" xfId="0" applyFont="1" applyFill="1" applyBorder="1" applyAlignment="1">
      <alignment wrapText="1"/>
    </xf>
    <xf numFmtId="0" fontId="227" fillId="72" borderId="59" xfId="0" applyFont="1" applyFill="1" applyBorder="1" applyAlignment="1">
      <alignment wrapText="1"/>
    </xf>
    <xf numFmtId="0" fontId="251" fillId="0" borderId="0" xfId="0" applyFont="1" applyBorder="1" applyAlignment="1">
      <alignment horizontal="left"/>
    </xf>
    <xf numFmtId="0" fontId="251" fillId="0" borderId="0" xfId="0" applyFont="1" applyBorder="1" applyAlignment="1">
      <alignment horizontal="right"/>
    </xf>
    <xf numFmtId="0" fontId="251" fillId="0" borderId="0" xfId="0" applyFont="1" applyAlignment="1">
      <alignment horizontal="right"/>
    </xf>
    <xf numFmtId="8" fontId="233" fillId="0" borderId="0" xfId="0" applyNumberFormat="1" applyFont="1" applyFill="1" applyBorder="1"/>
    <xf numFmtId="270" fontId="224" fillId="0" borderId="0" xfId="0" applyNumberFormat="1" applyFont="1" applyBorder="1" applyAlignment="1">
      <alignment horizontal="right"/>
    </xf>
    <xf numFmtId="8" fontId="222" fillId="0" borderId="0" xfId="0" applyNumberFormat="1" applyFont="1" applyAlignment="1">
      <alignment horizontal="right"/>
    </xf>
    <xf numFmtId="0" fontId="215" fillId="0" borderId="0" xfId="0" quotePrefix="1" applyFont="1" applyBorder="1"/>
    <xf numFmtId="8" fontId="228" fillId="0" borderId="0" xfId="0" applyNumberFormat="1" applyFont="1" applyAlignment="1">
      <alignment horizontal="right"/>
    </xf>
    <xf numFmtId="8" fontId="224" fillId="0" borderId="45" xfId="0" applyNumberFormat="1" applyFont="1" applyFill="1" applyBorder="1"/>
    <xf numFmtId="169" fontId="224" fillId="0" borderId="45" xfId="0" applyNumberFormat="1" applyFont="1" applyBorder="1" applyAlignment="1">
      <alignment horizontal="right"/>
    </xf>
    <xf numFmtId="8" fontId="216" fillId="0" borderId="0" xfId="0" applyNumberFormat="1" applyFont="1" applyFill="1" applyBorder="1"/>
    <xf numFmtId="0" fontId="252" fillId="0" borderId="0" xfId="0" applyFont="1" applyAlignment="1">
      <alignment horizontal="left" indent="2"/>
    </xf>
    <xf numFmtId="164" fontId="224" fillId="0" borderId="0" xfId="0" applyNumberFormat="1" applyFont="1" applyAlignment="1">
      <alignment horizontal="right"/>
    </xf>
    <xf numFmtId="167" fontId="215" fillId="0" borderId="0" xfId="12427" applyNumberFormat="1" applyFont="1" applyAlignment="1">
      <alignment horizontal="right"/>
    </xf>
    <xf numFmtId="167" fontId="215" fillId="0" borderId="0" xfId="0" applyNumberFormat="1" applyFont="1" applyAlignment="1">
      <alignment horizontal="right"/>
    </xf>
    <xf numFmtId="289" fontId="215" fillId="0" borderId="0" xfId="0" applyNumberFormat="1" applyFont="1" applyAlignment="1">
      <alignment horizontal="right"/>
    </xf>
    <xf numFmtId="234" fontId="224" fillId="0" borderId="0" xfId="0" applyNumberFormat="1" applyFont="1" applyAlignment="1">
      <alignment horizontal="right" vertical="top"/>
    </xf>
    <xf numFmtId="191" fontId="215" fillId="0" borderId="0" xfId="0" applyNumberFormat="1" applyFont="1" applyAlignment="1">
      <alignment horizontal="right"/>
    </xf>
    <xf numFmtId="0" fontId="224" fillId="0" borderId="0" xfId="0" applyNumberFormat="1" applyFont="1" applyAlignment="1">
      <alignment horizontal="right"/>
    </xf>
    <xf numFmtId="0" fontId="224" fillId="0" borderId="0" xfId="0" applyFont="1" applyAlignment="1">
      <alignment horizontal="right"/>
    </xf>
    <xf numFmtId="0" fontId="224" fillId="0" borderId="0" xfId="0" applyFont="1" applyAlignment="1">
      <alignment horizontal="right" wrapText="1"/>
    </xf>
    <xf numFmtId="0" fontId="215" fillId="74" borderId="0" xfId="0" applyFont="1" applyFill="1" applyAlignment="1">
      <alignment horizontal="left" indent="1"/>
    </xf>
    <xf numFmtId="344" fontId="215" fillId="74" borderId="0" xfId="0" applyNumberFormat="1" applyFont="1" applyFill="1" applyAlignment="1">
      <alignment horizontal="right"/>
    </xf>
    <xf numFmtId="167" fontId="215" fillId="74" borderId="0" xfId="12427" applyNumberFormat="1" applyFont="1" applyFill="1" applyAlignment="1">
      <alignment horizontal="right"/>
    </xf>
    <xf numFmtId="167" fontId="215" fillId="74" borderId="0" xfId="0" applyNumberFormat="1" applyFont="1" applyFill="1" applyAlignment="1">
      <alignment horizontal="right"/>
    </xf>
    <xf numFmtId="0" fontId="227" fillId="72" borderId="135" xfId="0" applyFont="1" applyFill="1" applyBorder="1" applyAlignment="1">
      <alignment horizontal="left"/>
    </xf>
    <xf numFmtId="0" fontId="227" fillId="72" borderId="136" xfId="0" applyFont="1" applyFill="1" applyBorder="1" applyAlignment="1">
      <alignment horizontal="right" wrapText="1"/>
    </xf>
    <xf numFmtId="0" fontId="227" fillId="72" borderId="137" xfId="0" applyFont="1" applyFill="1" applyBorder="1" applyAlignment="1">
      <alignment horizontal="right" wrapText="1"/>
    </xf>
    <xf numFmtId="0" fontId="227" fillId="72" borderId="16" xfId="0" applyFont="1" applyFill="1" applyBorder="1" applyAlignment="1">
      <alignment horizontal="center"/>
    </xf>
    <xf numFmtId="0" fontId="227" fillId="0" borderId="0" xfId="0" applyFont="1" applyFill="1" applyBorder="1" applyAlignment="1">
      <alignment horizontal="center"/>
    </xf>
    <xf numFmtId="169" fontId="229" fillId="0" borderId="0" xfId="0" applyNumberFormat="1" applyFont="1" applyBorder="1"/>
    <xf numFmtId="43" fontId="215" fillId="0" borderId="0" xfId="0" quotePrefix="1" applyNumberFormat="1" applyFont="1" applyAlignment="1">
      <alignment horizontal="center"/>
    </xf>
    <xf numFmtId="0" fontId="216" fillId="0" borderId="138" xfId="0" applyFont="1" applyBorder="1"/>
    <xf numFmtId="169" fontId="232" fillId="0" borderId="138" xfId="0" applyNumberFormat="1" applyFont="1" applyBorder="1"/>
    <xf numFmtId="169" fontId="232" fillId="0" borderId="143" xfId="0" applyNumberFormat="1" applyFont="1" applyBorder="1"/>
    <xf numFmtId="0" fontId="215" fillId="0" borderId="141" xfId="0" applyFont="1" applyBorder="1"/>
    <xf numFmtId="0" fontId="215" fillId="0" borderId="143" xfId="0" applyFont="1" applyBorder="1"/>
    <xf numFmtId="167" fontId="233" fillId="0" borderId="143" xfId="12427" applyNumberFormat="1" applyFont="1" applyBorder="1"/>
    <xf numFmtId="167" fontId="233" fillId="0" borderId="142" xfId="12427" applyNumberFormat="1" applyFont="1" applyBorder="1"/>
    <xf numFmtId="43" fontId="233" fillId="0" borderId="0" xfId="0" quotePrefix="1" applyNumberFormat="1" applyFont="1" applyFill="1" applyAlignment="1">
      <alignment horizontal="center"/>
    </xf>
    <xf numFmtId="10" fontId="228" fillId="0" borderId="0" xfId="0" applyNumberFormat="1" applyFont="1" applyBorder="1"/>
    <xf numFmtId="10" fontId="228" fillId="0" borderId="13" xfId="0" applyNumberFormat="1" applyFont="1" applyBorder="1"/>
    <xf numFmtId="10" fontId="224" fillId="0" borderId="0" xfId="0" applyNumberFormat="1" applyFont="1" applyBorder="1"/>
    <xf numFmtId="10" fontId="224" fillId="0" borderId="13" xfId="0" applyNumberFormat="1" applyFont="1" applyBorder="1"/>
    <xf numFmtId="0" fontId="215" fillId="0" borderId="60" xfId="0" applyFont="1" applyFill="1" applyBorder="1"/>
    <xf numFmtId="165" fontId="228" fillId="0" borderId="0" xfId="0" applyNumberFormat="1" applyFont="1" applyFill="1" applyBorder="1"/>
    <xf numFmtId="165" fontId="228" fillId="0" borderId="13" xfId="0" applyNumberFormat="1" applyFont="1" applyFill="1" applyBorder="1"/>
    <xf numFmtId="168" fontId="215" fillId="0" borderId="0" xfId="0" applyNumberFormat="1" applyFont="1" applyBorder="1"/>
    <xf numFmtId="168" fontId="215" fillId="0" borderId="13" xfId="0" applyNumberFormat="1" applyFont="1" applyBorder="1"/>
    <xf numFmtId="170" fontId="215" fillId="0" borderId="0" xfId="0" applyNumberFormat="1" applyFont="1" applyBorder="1"/>
    <xf numFmtId="170" fontId="215" fillId="0" borderId="13" xfId="0" applyNumberFormat="1" applyFont="1" applyBorder="1"/>
    <xf numFmtId="0" fontId="216" fillId="0" borderId="127" xfId="0" applyFont="1" applyBorder="1"/>
    <xf numFmtId="0" fontId="216" fillId="0" borderId="45" xfId="0" applyFont="1" applyBorder="1"/>
    <xf numFmtId="165" fontId="216" fillId="0" borderId="45" xfId="0" applyNumberFormat="1" applyFont="1" applyBorder="1"/>
    <xf numFmtId="165" fontId="216" fillId="0" borderId="92" xfId="0" applyNumberFormat="1" applyFont="1" applyBorder="1"/>
    <xf numFmtId="8" fontId="215" fillId="0" borderId="143" xfId="0" applyNumberFormat="1" applyFont="1" applyBorder="1"/>
    <xf numFmtId="8" fontId="215" fillId="0" borderId="142" xfId="0" applyNumberFormat="1" applyFont="1" applyBorder="1"/>
    <xf numFmtId="10" fontId="215" fillId="0" borderId="13" xfId="0" applyNumberFormat="1" applyFont="1" applyBorder="1"/>
    <xf numFmtId="169" fontId="215" fillId="0" borderId="143" xfId="0" applyNumberFormat="1" applyFont="1" applyBorder="1"/>
    <xf numFmtId="169" fontId="215" fillId="0" borderId="142" xfId="0" applyNumberFormat="1" applyFont="1" applyBorder="1"/>
    <xf numFmtId="0" fontId="227" fillId="72" borderId="155" xfId="0" applyFont="1" applyFill="1" applyBorder="1" applyAlignment="1">
      <alignment horizontal="left"/>
    </xf>
    <xf numFmtId="0" fontId="227" fillId="72" borderId="156" xfId="0" applyFont="1" applyFill="1" applyBorder="1" applyAlignment="1">
      <alignment horizontal="centerContinuous"/>
    </xf>
    <xf numFmtId="0" fontId="227" fillId="72" borderId="156" xfId="0" applyFont="1" applyFill="1" applyBorder="1" applyAlignment="1">
      <alignment horizontal="right" wrapText="1"/>
    </xf>
    <xf numFmtId="0" fontId="227" fillId="72" borderId="157" xfId="0" applyFont="1" applyFill="1" applyBorder="1" applyAlignment="1">
      <alignment horizontal="right" wrapText="1"/>
    </xf>
    <xf numFmtId="0" fontId="215" fillId="0" borderId="158" xfId="0" applyFont="1" applyBorder="1"/>
    <xf numFmtId="0" fontId="215" fillId="0" borderId="159" xfId="0" applyFont="1" applyBorder="1"/>
    <xf numFmtId="167" fontId="233" fillId="0" borderId="159" xfId="12427" applyNumberFormat="1" applyFont="1" applyBorder="1"/>
    <xf numFmtId="167" fontId="233" fillId="0" borderId="160" xfId="12427" applyNumberFormat="1" applyFont="1" applyBorder="1"/>
    <xf numFmtId="10" fontId="233" fillId="0" borderId="0" xfId="0" applyNumberFormat="1" applyFont="1" applyBorder="1"/>
    <xf numFmtId="10" fontId="233" fillId="0" borderId="13" xfId="0" applyNumberFormat="1" applyFont="1" applyBorder="1"/>
    <xf numFmtId="165" fontId="233" fillId="0" borderId="0" xfId="0" applyNumberFormat="1" applyFont="1" applyFill="1" applyBorder="1"/>
    <xf numFmtId="165" fontId="233" fillId="0" borderId="13" xfId="0" applyNumberFormat="1" applyFont="1" applyFill="1" applyBorder="1"/>
    <xf numFmtId="0" fontId="216" fillId="71" borderId="135" xfId="0" applyFont="1" applyFill="1" applyBorder="1"/>
    <xf numFmtId="0" fontId="216" fillId="71" borderId="136" xfId="0" applyFont="1" applyFill="1" applyBorder="1"/>
    <xf numFmtId="165" fontId="232" fillId="71" borderId="136" xfId="12422" applyNumberFormat="1" applyFont="1" applyFill="1" applyBorder="1"/>
    <xf numFmtId="165" fontId="232" fillId="71" borderId="137" xfId="12422" applyNumberFormat="1" applyFont="1" applyFill="1" applyBorder="1"/>
    <xf numFmtId="0" fontId="215" fillId="0" borderId="0" xfId="0" quotePrefix="1" applyFont="1" applyAlignment="1">
      <alignment horizontal="right" vertical="top"/>
    </xf>
    <xf numFmtId="0" fontId="215" fillId="0" borderId="0" xfId="0" quotePrefix="1" applyFont="1" applyAlignment="1">
      <alignment horizontal="left" vertical="top"/>
    </xf>
    <xf numFmtId="0" fontId="215" fillId="0" borderId="0" xfId="0" applyFont="1" applyAlignment="1">
      <alignment vertical="top"/>
    </xf>
    <xf numFmtId="0" fontId="215" fillId="0" borderId="0" xfId="0" applyFont="1" applyAlignment="1">
      <alignment horizontal="right" vertical="top"/>
    </xf>
    <xf numFmtId="169" fontId="229" fillId="0" borderId="0" xfId="0" applyNumberFormat="1" applyFont="1" applyFill="1" applyAlignment="1">
      <alignment horizontal="right"/>
    </xf>
    <xf numFmtId="10" fontId="229" fillId="0" borderId="0" xfId="0" applyNumberFormat="1" applyFont="1" applyFill="1" applyAlignment="1">
      <alignment horizontal="right"/>
    </xf>
    <xf numFmtId="169" fontId="229" fillId="0" borderId="0" xfId="0" applyNumberFormat="1" applyFont="1" applyFill="1"/>
    <xf numFmtId="0" fontId="227" fillId="72" borderId="4" xfId="0" applyFont="1" applyFill="1" applyBorder="1" applyAlignment="1">
      <alignment horizontal="centerContinuous"/>
    </xf>
    <xf numFmtId="0" fontId="227" fillId="72" borderId="5" xfId="0" applyFont="1" applyFill="1" applyBorder="1" applyAlignment="1">
      <alignment horizontal="centerContinuous"/>
    </xf>
    <xf numFmtId="0" fontId="227" fillId="72" borderId="6" xfId="0" applyFont="1" applyFill="1" applyBorder="1" applyAlignment="1">
      <alignment horizontal="centerContinuous"/>
    </xf>
    <xf numFmtId="10" fontId="227" fillId="72" borderId="5" xfId="0" applyNumberFormat="1" applyFont="1" applyFill="1" applyBorder="1" applyAlignment="1">
      <alignment horizontal="centerContinuous"/>
    </xf>
    <xf numFmtId="0" fontId="227" fillId="72" borderId="4" xfId="0" applyFont="1" applyFill="1" applyBorder="1" applyAlignment="1">
      <alignment horizontal="centerContinuous" wrapText="1"/>
    </xf>
    <xf numFmtId="0" fontId="227" fillId="72" borderId="6" xfId="0" applyFont="1" applyFill="1" applyBorder="1" applyAlignment="1">
      <alignment horizontal="centerContinuous" wrapText="1"/>
    </xf>
    <xf numFmtId="0" fontId="232" fillId="0" borderId="16" xfId="0" applyFont="1" applyFill="1" applyBorder="1" applyAlignment="1">
      <alignment horizontal="left" wrapText="1"/>
    </xf>
    <xf numFmtId="0" fontId="232" fillId="0" borderId="4" xfId="0" applyFont="1" applyFill="1" applyBorder="1" applyAlignment="1">
      <alignment horizontal="right" wrapText="1"/>
    </xf>
    <xf numFmtId="0" fontId="232" fillId="0" borderId="5" xfId="0" applyFont="1" applyFill="1" applyBorder="1" applyAlignment="1">
      <alignment horizontal="right" wrapText="1"/>
    </xf>
    <xf numFmtId="0" fontId="232" fillId="0" borderId="6" xfId="0" applyFont="1" applyFill="1" applyBorder="1" applyAlignment="1">
      <alignment horizontal="right" wrapText="1"/>
    </xf>
    <xf numFmtId="0" fontId="232" fillId="0" borderId="16" xfId="0" applyFont="1" applyFill="1" applyBorder="1" applyAlignment="1">
      <alignment horizontal="right" wrapText="1"/>
    </xf>
    <xf numFmtId="0" fontId="232" fillId="0" borderId="75" xfId="0" applyFont="1" applyFill="1" applyBorder="1" applyAlignment="1">
      <alignment horizontal="right" wrapText="1"/>
    </xf>
    <xf numFmtId="0" fontId="216" fillId="0" borderId="0" xfId="0" applyFont="1" applyAlignment="1">
      <alignment wrapText="1"/>
    </xf>
    <xf numFmtId="10" fontId="215" fillId="0" borderId="0" xfId="0" applyNumberFormat="1" applyFont="1" applyAlignment="1">
      <alignment horizontal="right"/>
    </xf>
    <xf numFmtId="10" fontId="233" fillId="0" borderId="0" xfId="0" applyNumberFormat="1" applyFont="1" applyFill="1"/>
    <xf numFmtId="165" fontId="233" fillId="0" borderId="0" xfId="0" applyNumberFormat="1" applyFont="1" applyFill="1" applyAlignment="1">
      <alignment horizontal="right"/>
    </xf>
    <xf numFmtId="165" fontId="233" fillId="0" borderId="0" xfId="0" applyNumberFormat="1" applyFont="1" applyFill="1"/>
    <xf numFmtId="168" fontId="215" fillId="0" borderId="0" xfId="0" applyNumberFormat="1" applyFont="1" applyAlignment="1">
      <alignment horizontal="right"/>
    </xf>
    <xf numFmtId="168" fontId="233" fillId="0" borderId="0" xfId="0" applyNumberFormat="1" applyFont="1" applyFill="1" applyAlignment="1">
      <alignment horizontal="right"/>
    </xf>
    <xf numFmtId="10" fontId="216" fillId="71" borderId="122" xfId="0" applyNumberFormat="1" applyFont="1" applyFill="1" applyBorder="1"/>
    <xf numFmtId="10" fontId="232" fillId="71" borderId="122" xfId="0" applyNumberFormat="1" applyFont="1" applyFill="1" applyBorder="1"/>
    <xf numFmtId="165" fontId="232" fillId="71" borderId="122" xfId="0" applyNumberFormat="1" applyFont="1" applyFill="1" applyBorder="1"/>
    <xf numFmtId="0" fontId="232" fillId="71" borderId="122" xfId="0" applyFont="1" applyFill="1" applyBorder="1"/>
    <xf numFmtId="168" fontId="216" fillId="71" borderId="122" xfId="0" applyNumberFormat="1" applyFont="1" applyFill="1" applyBorder="1" applyAlignment="1">
      <alignment horizontal="right"/>
    </xf>
    <xf numFmtId="168" fontId="232" fillId="71" borderId="122" xfId="0" applyNumberFormat="1" applyFont="1" applyFill="1" applyBorder="1" applyAlignment="1">
      <alignment horizontal="right"/>
    </xf>
    <xf numFmtId="165" fontId="232" fillId="71" borderId="123" xfId="0" applyNumberFormat="1" applyFont="1" applyFill="1" applyBorder="1" applyAlignment="1">
      <alignment horizontal="right"/>
    </xf>
    <xf numFmtId="165" fontId="215" fillId="0" borderId="121" xfId="12422" applyNumberFormat="1" applyFont="1" applyBorder="1"/>
    <xf numFmtId="0" fontId="215" fillId="0" borderId="122" xfId="0" applyFont="1" applyBorder="1"/>
    <xf numFmtId="10" fontId="216" fillId="71" borderId="0" xfId="0" applyNumberFormat="1" applyFont="1" applyFill="1" applyBorder="1"/>
    <xf numFmtId="10" fontId="232" fillId="71" borderId="0" xfId="0" applyNumberFormat="1" applyFont="1" applyFill="1" applyBorder="1"/>
    <xf numFmtId="165" fontId="232" fillId="71" borderId="0" xfId="0" applyNumberFormat="1" applyFont="1" applyFill="1" applyBorder="1"/>
    <xf numFmtId="0" fontId="232" fillId="71" borderId="0" xfId="0" applyFont="1" applyFill="1" applyBorder="1"/>
    <xf numFmtId="168" fontId="216" fillId="71" borderId="0" xfId="0" applyNumberFormat="1" applyFont="1" applyFill="1" applyBorder="1" applyAlignment="1">
      <alignment horizontal="right"/>
    </xf>
    <xf numFmtId="168" fontId="232" fillId="71" borderId="0" xfId="0" applyNumberFormat="1" applyFont="1" applyFill="1" applyBorder="1" applyAlignment="1">
      <alignment horizontal="right"/>
    </xf>
    <xf numFmtId="165" fontId="232" fillId="71" borderId="13" xfId="0" applyNumberFormat="1" applyFont="1" applyFill="1" applyBorder="1" applyAlignment="1">
      <alignment horizontal="right"/>
    </xf>
    <xf numFmtId="165" fontId="215" fillId="0" borderId="60" xfId="12422" applyNumberFormat="1" applyFont="1" applyBorder="1"/>
    <xf numFmtId="0" fontId="253" fillId="0" borderId="13" xfId="0" applyFont="1" applyBorder="1"/>
    <xf numFmtId="0" fontId="217" fillId="0" borderId="60" xfId="0" applyFont="1" applyBorder="1"/>
    <xf numFmtId="0" fontId="217" fillId="0" borderId="10" xfId="0" applyFont="1" applyBorder="1"/>
    <xf numFmtId="10" fontId="216" fillId="71" borderId="45" xfId="0" applyNumberFormat="1" applyFont="1" applyFill="1" applyBorder="1"/>
    <xf numFmtId="10" fontId="232" fillId="71" borderId="45" xfId="0" applyNumberFormat="1" applyFont="1" applyFill="1" applyBorder="1"/>
    <xf numFmtId="165" fontId="232" fillId="71" borderId="45" xfId="0" applyNumberFormat="1" applyFont="1" applyFill="1" applyBorder="1"/>
    <xf numFmtId="0" fontId="232" fillId="71" borderId="45" xfId="0" applyFont="1" applyFill="1" applyBorder="1"/>
    <xf numFmtId="168" fontId="216" fillId="71" borderId="45" xfId="0" applyNumberFormat="1" applyFont="1" applyFill="1" applyBorder="1" applyAlignment="1">
      <alignment horizontal="right"/>
    </xf>
    <xf numFmtId="168" fontId="232" fillId="71" borderId="45" xfId="0" applyNumberFormat="1" applyFont="1" applyFill="1" applyBorder="1" applyAlignment="1">
      <alignment horizontal="right"/>
    </xf>
    <xf numFmtId="165" fontId="232" fillId="71" borderId="92" xfId="0" applyNumberFormat="1" applyFont="1" applyFill="1" applyBorder="1" applyAlignment="1">
      <alignment horizontal="right"/>
    </xf>
    <xf numFmtId="0" fontId="216" fillId="71" borderId="4" xfId="0" applyFont="1" applyFill="1" applyBorder="1" applyAlignment="1">
      <alignment horizontal="left"/>
    </xf>
    <xf numFmtId="0" fontId="215" fillId="71" borderId="5" xfId="0" quotePrefix="1" applyFont="1" applyFill="1" applyBorder="1" applyAlignment="1">
      <alignment horizontal="center"/>
    </xf>
    <xf numFmtId="0" fontId="216" fillId="71" borderId="5" xfId="0" applyFont="1" applyFill="1" applyBorder="1"/>
    <xf numFmtId="169" fontId="249" fillId="71" borderId="5" xfId="0" applyNumberFormat="1" applyFont="1" applyFill="1" applyBorder="1"/>
    <xf numFmtId="165" fontId="249" fillId="71" borderId="5" xfId="0" applyNumberFormat="1" applyFont="1" applyFill="1" applyBorder="1"/>
    <xf numFmtId="169" fontId="216" fillId="71" borderId="5" xfId="0" applyNumberFormat="1" applyFont="1" applyFill="1" applyBorder="1"/>
    <xf numFmtId="10" fontId="216" fillId="71" borderId="5" xfId="0" applyNumberFormat="1" applyFont="1" applyFill="1" applyBorder="1"/>
    <xf numFmtId="0" fontId="232" fillId="71" borderId="5" xfId="0" applyFont="1" applyFill="1" applyBorder="1"/>
    <xf numFmtId="165" fontId="237" fillId="71" borderId="35" xfId="0" applyNumberFormat="1" applyFont="1" applyFill="1" applyBorder="1"/>
    <xf numFmtId="168" fontId="216" fillId="71" borderId="5" xfId="0" applyNumberFormat="1" applyFont="1" applyFill="1" applyBorder="1" applyAlignment="1">
      <alignment horizontal="right"/>
    </xf>
    <xf numFmtId="168" fontId="232" fillId="71" borderId="5" xfId="0" applyNumberFormat="1" applyFont="1" applyFill="1" applyBorder="1" applyAlignment="1">
      <alignment horizontal="right"/>
    </xf>
    <xf numFmtId="165" fontId="232" fillId="71" borderId="6" xfId="0" applyNumberFormat="1" applyFont="1" applyFill="1" applyBorder="1" applyAlignment="1">
      <alignment horizontal="right"/>
    </xf>
    <xf numFmtId="165" fontId="232" fillId="71" borderId="5" xfId="0" applyNumberFormat="1" applyFont="1" applyFill="1" applyBorder="1"/>
    <xf numFmtId="0" fontId="216" fillId="0" borderId="0" xfId="0" applyFont="1" applyAlignment="1">
      <alignment horizontal="centerContinuous"/>
    </xf>
    <xf numFmtId="0" fontId="215" fillId="0" borderId="4" xfId="0" applyFont="1" applyBorder="1"/>
    <xf numFmtId="164" fontId="229" fillId="0" borderId="6" xfId="0" applyNumberFormat="1" applyFont="1" applyFill="1" applyBorder="1" applyAlignment="1">
      <alignment horizontal="center"/>
    </xf>
    <xf numFmtId="0" fontId="227" fillId="72" borderId="135" xfId="0" applyFont="1" applyFill="1" applyBorder="1" applyAlignment="1">
      <alignment horizontal="centerContinuous"/>
    </xf>
    <xf numFmtId="0" fontId="227" fillId="72" borderId="137" xfId="0" applyFont="1" applyFill="1" applyBorder="1" applyAlignment="1">
      <alignment horizontal="centerContinuous"/>
    </xf>
    <xf numFmtId="168" fontId="232" fillId="0" borderId="135" xfId="0" applyNumberFormat="1" applyFont="1" applyFill="1" applyBorder="1" applyAlignment="1">
      <alignment horizontal="center"/>
    </xf>
    <xf numFmtId="168" fontId="232" fillId="0" borderId="136" xfId="0" applyNumberFormat="1" applyFont="1" applyFill="1" applyBorder="1" applyAlignment="1">
      <alignment horizontal="center"/>
    </xf>
    <xf numFmtId="168" fontId="232" fillId="0" borderId="137" xfId="0" applyNumberFormat="1" applyFont="1" applyFill="1" applyBorder="1" applyAlignment="1">
      <alignment horizontal="center"/>
    </xf>
    <xf numFmtId="0" fontId="229" fillId="0" borderId="0" xfId="0" applyFont="1" applyFill="1"/>
    <xf numFmtId="14" fontId="228" fillId="0" borderId="0" xfId="0" applyNumberFormat="1" applyFont="1" applyAlignment="1">
      <alignment horizontal="center"/>
    </xf>
    <xf numFmtId="0" fontId="215" fillId="71" borderId="122" xfId="0" applyFont="1" applyFill="1" applyBorder="1"/>
    <xf numFmtId="0" fontId="223" fillId="0" borderId="4" xfId="0" applyFont="1" applyBorder="1" applyAlignment="1">
      <alignment wrapText="1"/>
    </xf>
    <xf numFmtId="0" fontId="215" fillId="0" borderId="5" xfId="0" applyFont="1" applyBorder="1" applyAlignment="1">
      <alignment wrapText="1"/>
    </xf>
    <xf numFmtId="0" fontId="224" fillId="0" borderId="5" xfId="0" applyFont="1" applyBorder="1" applyAlignment="1">
      <alignment wrapText="1"/>
    </xf>
    <xf numFmtId="0" fontId="224" fillId="0" borderId="6" xfId="0" applyFont="1" applyBorder="1" applyAlignment="1">
      <alignment wrapText="1"/>
    </xf>
    <xf numFmtId="0" fontId="224" fillId="0" borderId="0" xfId="0" applyFont="1" applyBorder="1" applyAlignment="1">
      <alignment wrapText="1"/>
    </xf>
    <xf numFmtId="0" fontId="215" fillId="0" borderId="0" xfId="0" applyFont="1" applyAlignment="1">
      <alignment horizontal="center" wrapText="1"/>
    </xf>
    <xf numFmtId="0" fontId="215" fillId="0" borderId="5" xfId="0" applyFont="1" applyBorder="1"/>
    <xf numFmtId="0" fontId="228" fillId="0" borderId="6" xfId="0" applyFont="1" applyFill="1" applyBorder="1" applyAlignment="1">
      <alignment horizontal="right"/>
    </xf>
    <xf numFmtId="0" fontId="215" fillId="0" borderId="135" xfId="0" applyFont="1" applyBorder="1"/>
    <xf numFmtId="0" fontId="215" fillId="0" borderId="136" xfId="0" applyFont="1" applyBorder="1"/>
    <xf numFmtId="0" fontId="228" fillId="0" borderId="136" xfId="0" applyFont="1" applyBorder="1"/>
    <xf numFmtId="164" fontId="215" fillId="0" borderId="6" xfId="0" applyNumberFormat="1" applyFont="1" applyBorder="1" applyAlignment="1">
      <alignment horizontal="right"/>
    </xf>
    <xf numFmtId="0" fontId="227" fillId="72" borderId="16" xfId="0" applyFont="1" applyFill="1" applyBorder="1" applyAlignment="1">
      <alignment wrapText="1"/>
    </xf>
    <xf numFmtId="0" fontId="227" fillId="72" borderId="4" xfId="0" applyFont="1" applyFill="1" applyBorder="1" applyAlignment="1">
      <alignment horizontal="right" wrapText="1"/>
    </xf>
    <xf numFmtId="0" fontId="227" fillId="72" borderId="6" xfId="0" applyFont="1" applyFill="1" applyBorder="1" applyAlignment="1">
      <alignment horizontal="right" wrapText="1"/>
    </xf>
    <xf numFmtId="0" fontId="247" fillId="28" borderId="4" xfId="0" applyFont="1" applyFill="1" applyBorder="1" applyAlignment="1">
      <alignment horizontal="center" wrapText="1"/>
    </xf>
    <xf numFmtId="0" fontId="247" fillId="28" borderId="5" xfId="0" applyFont="1" applyFill="1" applyBorder="1" applyAlignment="1">
      <alignment horizontal="center" wrapText="1"/>
    </xf>
    <xf numFmtId="0" fontId="247" fillId="28" borderId="6" xfId="0" applyFont="1" applyFill="1" applyBorder="1" applyAlignment="1">
      <alignment horizontal="center" wrapText="1"/>
    </xf>
    <xf numFmtId="164" fontId="233" fillId="0" borderId="0" xfId="0" applyNumberFormat="1" applyFont="1"/>
    <xf numFmtId="168" fontId="233" fillId="0" borderId="0" xfId="0" applyNumberFormat="1" applyFont="1" applyFill="1"/>
    <xf numFmtId="168" fontId="215" fillId="29" borderId="0" xfId="0" applyNumberFormat="1" applyFont="1" applyFill="1"/>
    <xf numFmtId="0" fontId="216" fillId="71" borderId="7" xfId="0" applyFont="1" applyFill="1" applyBorder="1"/>
    <xf numFmtId="0" fontId="215" fillId="71" borderId="8" xfId="0" applyFont="1" applyFill="1" applyBorder="1"/>
    <xf numFmtId="0" fontId="215" fillId="71" borderId="9" xfId="0" applyFont="1" applyFill="1" applyBorder="1"/>
    <xf numFmtId="169" fontId="215" fillId="71" borderId="0" xfId="0" applyNumberFormat="1" applyFont="1" applyFill="1" applyBorder="1"/>
    <xf numFmtId="10" fontId="215" fillId="71" borderId="13" xfId="0" applyNumberFormat="1" applyFont="1" applyFill="1" applyBorder="1" applyAlignment="1">
      <alignment horizontal="right"/>
    </xf>
    <xf numFmtId="10" fontId="215" fillId="0" borderId="0" xfId="12422" applyNumberFormat="1" applyFont="1"/>
    <xf numFmtId="10" fontId="215" fillId="71" borderId="13" xfId="0" applyNumberFormat="1" applyFont="1" applyFill="1" applyBorder="1"/>
    <xf numFmtId="0" fontId="216" fillId="71" borderId="3" xfId="0" applyFont="1" applyFill="1" applyBorder="1"/>
    <xf numFmtId="10" fontId="216" fillId="71" borderId="11" xfId="0" applyNumberFormat="1" applyFont="1" applyFill="1" applyBorder="1" applyAlignment="1">
      <alignment horizontal="right"/>
    </xf>
    <xf numFmtId="0" fontId="233" fillId="0" borderId="0" xfId="11807" applyFont="1" applyFill="1"/>
    <xf numFmtId="0" fontId="217" fillId="0" borderId="0" xfId="11807" applyFont="1" applyFill="1"/>
    <xf numFmtId="0" fontId="240" fillId="86" borderId="118" xfId="20303" applyNumberFormat="1" applyFont="1" applyFill="1" applyBorder="1" applyAlignment="1">
      <alignment horizontal="center" wrapText="1"/>
    </xf>
    <xf numFmtId="0" fontId="240" fillId="86" borderId="119" xfId="20303" applyNumberFormat="1" applyFont="1" applyFill="1" applyBorder="1" applyAlignment="1">
      <alignment horizontal="left" wrapText="1"/>
    </xf>
    <xf numFmtId="0" fontId="240" fillId="86" borderId="125" xfId="20303" applyNumberFormat="1" applyFont="1" applyFill="1" applyBorder="1" applyAlignment="1">
      <alignment horizontal="left" wrapText="1"/>
    </xf>
    <xf numFmtId="0" fontId="240" fillId="86" borderId="119" xfId="20303" applyNumberFormat="1" applyFont="1" applyFill="1" applyBorder="1" applyAlignment="1">
      <alignment horizontal="center" wrapText="1"/>
    </xf>
    <xf numFmtId="0" fontId="240" fillId="86" borderId="125" xfId="20303" applyNumberFormat="1" applyFont="1" applyFill="1" applyBorder="1" applyAlignment="1">
      <alignment horizontal="center" wrapText="1"/>
    </xf>
    <xf numFmtId="0" fontId="240" fillId="86" borderId="120" xfId="20303" applyNumberFormat="1" applyFont="1" applyFill="1" applyBorder="1" applyAlignment="1">
      <alignment horizontal="center" wrapText="1"/>
    </xf>
    <xf numFmtId="0" fontId="240" fillId="0" borderId="0" xfId="20303" applyNumberFormat="1" applyFont="1" applyFill="1" applyBorder="1" applyAlignment="1">
      <alignment horizontal="center" wrapText="1"/>
    </xf>
    <xf numFmtId="0" fontId="240" fillId="0" borderId="0" xfId="20303" applyNumberFormat="1" applyFont="1" applyFill="1" applyBorder="1" applyAlignment="1">
      <alignment horizontal="left" wrapText="1"/>
    </xf>
    <xf numFmtId="0" fontId="240" fillId="0" borderId="0" xfId="20303" applyNumberFormat="1" applyFont="1" applyFill="1" applyBorder="1" applyAlignment="1">
      <alignment horizontal="right" wrapText="1"/>
    </xf>
    <xf numFmtId="0" fontId="254" fillId="0" borderId="0" xfId="11846" applyFont="1" applyFill="1" applyBorder="1" applyAlignment="1"/>
    <xf numFmtId="164" fontId="215" fillId="0" borderId="0" xfId="11807" applyNumberFormat="1" applyFont="1" applyBorder="1" applyAlignment="1">
      <alignment horizontal="center" wrapText="1"/>
    </xf>
    <xf numFmtId="0" fontId="233" fillId="0" borderId="0" xfId="11846" applyFont="1" applyFill="1" applyBorder="1" applyAlignment="1">
      <alignment horizontal="left"/>
    </xf>
    <xf numFmtId="0" fontId="233" fillId="0" borderId="0" xfId="11846" applyFont="1" applyFill="1" applyBorder="1" applyAlignment="1">
      <alignment horizontal="left" wrapText="1" indent="1"/>
    </xf>
    <xf numFmtId="0" fontId="233" fillId="0" borderId="0" xfId="11846" applyFont="1" applyFill="1" applyBorder="1" applyAlignment="1">
      <alignment horizontal="left" indent="1"/>
    </xf>
    <xf numFmtId="310" fontId="233" fillId="0" borderId="0" xfId="11846" applyNumberFormat="1" applyFont="1" applyFill="1" applyBorder="1" applyAlignment="1">
      <alignment horizontal="right"/>
    </xf>
    <xf numFmtId="165" fontId="233" fillId="0" borderId="0" xfId="20384" applyNumberFormat="1" applyFont="1" applyFill="1" applyBorder="1" applyAlignment="1">
      <alignment horizontal="right"/>
    </xf>
    <xf numFmtId="0" fontId="215" fillId="87" borderId="0" xfId="0" applyFont="1" applyFill="1" applyAlignment="1">
      <alignment vertical="top"/>
    </xf>
    <xf numFmtId="0" fontId="215" fillId="88" borderId="0" xfId="0" applyFont="1" applyFill="1" applyAlignment="1">
      <alignment vertical="top"/>
    </xf>
    <xf numFmtId="164" fontId="241" fillId="0" borderId="0" xfId="11807" applyNumberFormat="1" applyFont="1" applyBorder="1" applyAlignment="1">
      <alignment horizontal="center" wrapText="1"/>
    </xf>
    <xf numFmtId="0" fontId="255" fillId="87" borderId="0" xfId="20385" applyFont="1" applyFill="1" applyAlignment="1">
      <alignment vertical="top"/>
    </xf>
    <xf numFmtId="164" fontId="241" fillId="0" borderId="0" xfId="11807" applyNumberFormat="1" applyFont="1" applyBorder="1" applyAlignment="1">
      <alignment horizontal="left"/>
    </xf>
    <xf numFmtId="0" fontId="233" fillId="0" borderId="0" xfId="11807" applyFont="1" applyFill="1" applyAlignment="1">
      <alignment horizontal="left"/>
    </xf>
    <xf numFmtId="0" fontId="215" fillId="71" borderId="126" xfId="0" applyFont="1" applyFill="1" applyBorder="1"/>
    <xf numFmtId="167" fontId="216" fillId="71" borderId="122" xfId="12427" applyNumberFormat="1" applyFont="1" applyFill="1" applyBorder="1"/>
    <xf numFmtId="167" fontId="216" fillId="71" borderId="126" xfId="12427" applyNumberFormat="1" applyFont="1" applyFill="1" applyBorder="1"/>
    <xf numFmtId="234" fontId="216" fillId="0" borderId="0" xfId="0" applyNumberFormat="1" applyFont="1" applyFill="1" applyBorder="1"/>
    <xf numFmtId="165" fontId="216" fillId="0" borderId="0" xfId="0" applyNumberFormat="1" applyFont="1" applyFill="1" applyBorder="1"/>
    <xf numFmtId="0" fontId="233" fillId="0" borderId="0" xfId="11807" applyFont="1" applyFill="1" applyBorder="1"/>
    <xf numFmtId="167" fontId="216" fillId="71" borderId="0" xfId="12427" applyNumberFormat="1" applyFont="1" applyFill="1" applyBorder="1"/>
    <xf numFmtId="10" fontId="215" fillId="71" borderId="45" xfId="0" applyNumberFormat="1" applyFont="1" applyFill="1" applyBorder="1"/>
    <xf numFmtId="167" fontId="216" fillId="71" borderId="45" xfId="12427" applyNumberFormat="1" applyFont="1" applyFill="1" applyBorder="1"/>
    <xf numFmtId="0" fontId="216" fillId="0" borderId="0" xfId="20386" applyFont="1" applyBorder="1" applyAlignment="1">
      <alignment vertical="top"/>
    </xf>
    <xf numFmtId="0" fontId="215" fillId="0" borderId="0" xfId="20386" applyFont="1"/>
    <xf numFmtId="0" fontId="215" fillId="0" borderId="0" xfId="20386" applyFont="1" applyAlignment="1">
      <alignment horizontal="right" vertical="top"/>
    </xf>
    <xf numFmtId="0" fontId="215" fillId="0" borderId="0" xfId="20386" applyFont="1" applyAlignment="1">
      <alignment horizontal="right"/>
    </xf>
    <xf numFmtId="0" fontId="232" fillId="0" borderId="121" xfId="20386" applyFont="1" applyBorder="1"/>
    <xf numFmtId="0" fontId="232" fillId="0" borderId="123" xfId="20386" applyFont="1" applyBorder="1"/>
    <xf numFmtId="14" fontId="215" fillId="0" borderId="0" xfId="20386" applyNumberFormat="1" applyFont="1" applyFill="1" applyBorder="1" applyAlignment="1">
      <alignment horizontal="center"/>
    </xf>
    <xf numFmtId="0" fontId="215" fillId="0" borderId="0" xfId="20386" applyFont="1" applyBorder="1" applyAlignment="1">
      <alignment horizontal="left"/>
    </xf>
    <xf numFmtId="248" fontId="215" fillId="0" borderId="0" xfId="20387" applyNumberFormat="1" applyFont="1" applyBorder="1" applyAlignment="1">
      <alignment horizontal="right"/>
    </xf>
    <xf numFmtId="43" fontId="217" fillId="0" borderId="0" xfId="12427" applyFont="1"/>
    <xf numFmtId="43" fontId="232" fillId="0" borderId="10" xfId="20386" applyNumberFormat="1" applyFont="1" applyBorder="1"/>
    <xf numFmtId="164" fontId="232" fillId="0" borderId="92" xfId="20386" applyNumberFormat="1" applyFont="1" applyBorder="1"/>
    <xf numFmtId="43" fontId="217" fillId="0" borderId="74" xfId="20386" applyNumberFormat="1" applyFont="1" applyBorder="1"/>
    <xf numFmtId="0" fontId="217" fillId="0" borderId="0" xfId="20386" applyFont="1"/>
    <xf numFmtId="0" fontId="215" fillId="74" borderId="0" xfId="20386" applyFont="1" applyFill="1" applyAlignment="1">
      <alignment horizontal="left"/>
    </xf>
    <xf numFmtId="0" fontId="215" fillId="74" borderId="0" xfId="20386" applyFont="1" applyFill="1" applyBorder="1" applyAlignment="1">
      <alignment horizontal="left"/>
    </xf>
    <xf numFmtId="0" fontId="215" fillId="74" borderId="0" xfId="20386" applyFont="1" applyFill="1" applyAlignment="1">
      <alignment horizontal="right" vertical="top"/>
    </xf>
    <xf numFmtId="0" fontId="215" fillId="0" borderId="0" xfId="20386" applyFont="1" applyAlignment="1">
      <alignment horizontal="left"/>
    </xf>
    <xf numFmtId="358" fontId="215" fillId="0" borderId="0" xfId="20386" applyNumberFormat="1" applyFont="1" applyAlignment="1">
      <alignment horizontal="right" vertical="top"/>
    </xf>
    <xf numFmtId="42" fontId="215" fillId="0" borderId="0" xfId="20386" applyNumberFormat="1" applyFont="1" applyAlignment="1">
      <alignment horizontal="right" vertical="top"/>
    </xf>
    <xf numFmtId="0" fontId="217" fillId="0" borderId="0" xfId="20386" applyFont="1" applyAlignment="1">
      <alignment horizontal="right"/>
    </xf>
    <xf numFmtId="0" fontId="215" fillId="0" borderId="0" xfId="20395" applyFont="1"/>
    <xf numFmtId="0" fontId="227" fillId="72" borderId="145" xfId="0" applyFont="1" applyFill="1" applyBorder="1" applyAlignment="1">
      <alignment horizontal="left"/>
    </xf>
    <xf numFmtId="0" fontId="227" fillId="72" borderId="146" xfId="0" applyFont="1" applyFill="1" applyBorder="1" applyAlignment="1">
      <alignment horizontal="center"/>
    </xf>
    <xf numFmtId="0" fontId="227" fillId="72" borderId="147" xfId="0" applyFont="1" applyFill="1" applyBorder="1" applyAlignment="1">
      <alignment horizontal="center"/>
    </xf>
    <xf numFmtId="248" fontId="215" fillId="0" borderId="0" xfId="20396" applyNumberFormat="1" applyFont="1" applyBorder="1" applyAlignment="1">
      <alignment horizontal="right"/>
    </xf>
    <xf numFmtId="0" fontId="240" fillId="89" borderId="0" xfId="20395" applyFont="1" applyFill="1" applyBorder="1"/>
    <xf numFmtId="0" fontId="215" fillId="0" borderId="0" xfId="20395" applyFont="1" applyBorder="1" applyAlignment="1">
      <alignment horizontal="center" wrapText="1"/>
    </xf>
    <xf numFmtId="0" fontId="216" fillId="90" borderId="148" xfId="20395" applyFont="1" applyFill="1" applyBorder="1" applyAlignment="1">
      <alignment horizontal="center" wrapText="1"/>
    </xf>
    <xf numFmtId="0" fontId="216" fillId="90" borderId="149" xfId="20395" applyFont="1" applyFill="1" applyBorder="1" applyAlignment="1">
      <alignment horizontal="center" wrapText="1"/>
    </xf>
    <xf numFmtId="0" fontId="216" fillId="90" borderId="0" xfId="20395" applyFont="1" applyFill="1" applyBorder="1" applyAlignment="1">
      <alignment horizontal="center" wrapText="1"/>
    </xf>
    <xf numFmtId="0" fontId="216" fillId="90" borderId="127" xfId="20395" applyFont="1" applyFill="1" applyBorder="1" applyAlignment="1">
      <alignment horizontal="left" wrapText="1"/>
    </xf>
    <xf numFmtId="0" fontId="216" fillId="90" borderId="45" xfId="20395" applyFont="1" applyFill="1" applyBorder="1" applyAlignment="1">
      <alignment horizontal="center" wrapText="1"/>
    </xf>
    <xf numFmtId="0" fontId="216" fillId="90" borderId="45" xfId="20395" applyFont="1" applyFill="1" applyBorder="1" applyAlignment="1">
      <alignment horizontal="right" wrapText="1"/>
    </xf>
    <xf numFmtId="248" fontId="216" fillId="0" borderId="0" xfId="20396" applyNumberFormat="1" applyFont="1" applyBorder="1" applyAlignment="1">
      <alignment horizontal="right"/>
    </xf>
    <xf numFmtId="0" fontId="216" fillId="0" borderId="0" xfId="20395" applyFont="1" applyBorder="1" applyAlignment="1">
      <alignment horizontal="center" wrapText="1"/>
    </xf>
    <xf numFmtId="0" fontId="215" fillId="0" borderId="0" xfId="20395" applyFont="1" applyAlignment="1">
      <alignment horizontal="center" wrapText="1"/>
    </xf>
    <xf numFmtId="0" fontId="216" fillId="0" borderId="0" xfId="20395" applyFont="1" applyFill="1" applyBorder="1" applyAlignment="1">
      <alignment horizontal="center" wrapText="1"/>
    </xf>
    <xf numFmtId="0" fontId="216" fillId="91" borderId="0" xfId="20395" applyFont="1" applyFill="1" applyBorder="1" applyAlignment="1">
      <alignment horizontal="center" wrapText="1"/>
    </xf>
    <xf numFmtId="0" fontId="216" fillId="0" borderId="0" xfId="20395" applyFont="1" applyAlignment="1">
      <alignment horizontal="center" wrapText="1"/>
    </xf>
    <xf numFmtId="0" fontId="216" fillId="0" borderId="0" xfId="20395" applyFont="1" applyFill="1" applyBorder="1" applyAlignment="1">
      <alignment horizontal="left" wrapText="1"/>
    </xf>
    <xf numFmtId="0" fontId="216" fillId="0" borderId="0" xfId="20395" applyFont="1" applyFill="1" applyBorder="1" applyAlignment="1">
      <alignment horizontal="left"/>
    </xf>
    <xf numFmtId="167" fontId="215" fillId="0" borderId="0" xfId="12427" applyNumberFormat="1" applyFont="1" applyFill="1" applyBorder="1" applyAlignment="1">
      <alignment horizontal="center" wrapText="1"/>
    </xf>
    <xf numFmtId="0" fontId="215" fillId="0" borderId="0" xfId="20395" applyFont="1" applyFill="1" applyBorder="1"/>
    <xf numFmtId="0" fontId="222" fillId="0" borderId="0" xfId="20397" applyFont="1" applyBorder="1" applyAlignment="1">
      <alignment horizontal="center"/>
    </xf>
    <xf numFmtId="0" fontId="215" fillId="0" borderId="0" xfId="20397" applyFont="1" applyFill="1" applyBorder="1" applyAlignment="1">
      <alignment horizontal="center"/>
    </xf>
    <xf numFmtId="0" fontId="222" fillId="0" borderId="0" xfId="20397" applyFont="1" applyFill="1" applyBorder="1" applyAlignment="1">
      <alignment horizontal="center"/>
    </xf>
    <xf numFmtId="164" fontId="215" fillId="0" borderId="0" xfId="20395" applyNumberFormat="1" applyFont="1" applyFill="1" applyBorder="1" applyAlignment="1">
      <alignment horizontal="center"/>
    </xf>
    <xf numFmtId="243" fontId="215" fillId="0" borderId="0" xfId="0" applyNumberFormat="1" applyFont="1" applyFill="1" applyAlignment="1">
      <alignment horizontal="right"/>
    </xf>
    <xf numFmtId="248" fontId="215" fillId="0" borderId="0" xfId="20396" applyNumberFormat="1" applyFont="1" applyFill="1" applyBorder="1" applyAlignment="1">
      <alignment horizontal="right"/>
    </xf>
    <xf numFmtId="167" fontId="215" fillId="0" borderId="0" xfId="12427" applyNumberFormat="1" applyFont="1" applyFill="1" applyBorder="1" applyAlignment="1">
      <alignment horizontal="right" wrapText="1"/>
    </xf>
    <xf numFmtId="248" fontId="233" fillId="0" borderId="0" xfId="20396" applyNumberFormat="1" applyFont="1" applyFill="1" applyBorder="1" applyAlignment="1">
      <alignment horizontal="right"/>
    </xf>
    <xf numFmtId="43" fontId="215" fillId="74" borderId="0" xfId="20396" applyNumberFormat="1" applyFont="1" applyFill="1" applyBorder="1" applyAlignment="1">
      <alignment horizontal="right"/>
    </xf>
    <xf numFmtId="165" fontId="215" fillId="74" borderId="0" xfId="20396" applyNumberFormat="1" applyFont="1" applyFill="1" applyBorder="1" applyAlignment="1">
      <alignment horizontal="right"/>
    </xf>
    <xf numFmtId="248" fontId="215" fillId="0" borderId="0" xfId="20395" applyNumberFormat="1" applyFont="1"/>
    <xf numFmtId="0" fontId="215" fillId="0" borderId="0" xfId="20395" applyFont="1" applyAlignment="1">
      <alignment horizontal="left"/>
    </xf>
    <xf numFmtId="248" fontId="215" fillId="0" borderId="0" xfId="20395" applyNumberFormat="1" applyFont="1" applyAlignment="1">
      <alignment horizontal="center" wrapText="1"/>
    </xf>
    <xf numFmtId="248" fontId="233" fillId="0" borderId="0" xfId="20395" applyNumberFormat="1" applyFont="1" applyAlignment="1">
      <alignment horizontal="center" wrapText="1"/>
    </xf>
    <xf numFmtId="248" fontId="215" fillId="0" borderId="0" xfId="12427" applyNumberFormat="1" applyFont="1" applyAlignment="1">
      <alignment horizontal="center"/>
    </xf>
    <xf numFmtId="248" fontId="233" fillId="0" borderId="0" xfId="12427" applyNumberFormat="1" applyFont="1" applyAlignment="1">
      <alignment horizontal="right"/>
    </xf>
    <xf numFmtId="248" fontId="215" fillId="0" borderId="0" xfId="20395" applyNumberFormat="1" applyFont="1" applyAlignment="1">
      <alignment horizontal="right" wrapText="1"/>
    </xf>
    <xf numFmtId="248" fontId="233" fillId="74" borderId="0" xfId="20396" applyNumberFormat="1" applyFont="1" applyFill="1" applyBorder="1" applyAlignment="1">
      <alignment horizontal="right"/>
    </xf>
    <xf numFmtId="0" fontId="215" fillId="0" borderId="0" xfId="20395" applyFont="1" applyFill="1" applyAlignment="1">
      <alignment horizontal="center" wrapText="1"/>
    </xf>
    <xf numFmtId="243" fontId="215" fillId="0" borderId="0" xfId="20396" applyNumberFormat="1" applyFont="1" applyFill="1" applyBorder="1" applyAlignment="1">
      <alignment horizontal="right"/>
    </xf>
    <xf numFmtId="248" fontId="215" fillId="74" borderId="0" xfId="20395" applyNumberFormat="1" applyFont="1" applyFill="1"/>
    <xf numFmtId="248" fontId="215" fillId="0" borderId="0" xfId="12427" applyNumberFormat="1" applyFont="1" applyAlignment="1">
      <alignment horizontal="right"/>
    </xf>
    <xf numFmtId="0" fontId="215" fillId="74" borderId="0" xfId="20395" applyFont="1" applyFill="1" applyAlignment="1">
      <alignment horizontal="center" wrapText="1"/>
    </xf>
    <xf numFmtId="0" fontId="222" fillId="74" borderId="0" xfId="20397" applyFont="1" applyFill="1" applyBorder="1" applyAlignment="1">
      <alignment horizontal="center"/>
    </xf>
    <xf numFmtId="248" fontId="215" fillId="87" borderId="0" xfId="20395" applyNumberFormat="1" applyFont="1" applyFill="1"/>
    <xf numFmtId="0" fontId="215" fillId="87" borderId="0" xfId="20395" applyFont="1" applyFill="1"/>
    <xf numFmtId="248" fontId="233" fillId="87" borderId="0" xfId="20396" applyNumberFormat="1" applyFont="1" applyFill="1" applyBorder="1" applyAlignment="1">
      <alignment horizontal="right"/>
    </xf>
    <xf numFmtId="234" fontId="215" fillId="87" borderId="0" xfId="20397" applyNumberFormat="1" applyFont="1" applyFill="1" applyBorder="1" applyAlignment="1">
      <alignment horizontal="right"/>
    </xf>
    <xf numFmtId="14" fontId="215" fillId="87" borderId="0" xfId="20395" applyNumberFormat="1" applyFont="1" applyFill="1" applyAlignment="1">
      <alignment horizontal="left"/>
    </xf>
    <xf numFmtId="248" fontId="215" fillId="87" borderId="0" xfId="20396" applyNumberFormat="1" applyFont="1" applyFill="1" applyAlignment="1">
      <alignment horizontal="center" wrapText="1"/>
    </xf>
    <xf numFmtId="243" fontId="215" fillId="0" borderId="0" xfId="20396" applyNumberFormat="1" applyFont="1" applyFill="1" applyBorder="1" applyAlignment="1"/>
    <xf numFmtId="248" fontId="215" fillId="0" borderId="0" xfId="20396" applyNumberFormat="1" applyFont="1" applyFill="1" applyBorder="1" applyAlignment="1">
      <alignment horizontal="center"/>
    </xf>
    <xf numFmtId="0" fontId="216" fillId="71" borderId="148" xfId="11807" applyFont="1" applyFill="1" applyBorder="1"/>
    <xf numFmtId="0" fontId="215" fillId="71" borderId="149" xfId="11807" applyFont="1" applyFill="1" applyBorder="1"/>
    <xf numFmtId="167" fontId="216" fillId="71" borderId="149" xfId="12427" applyNumberFormat="1" applyFont="1" applyFill="1" applyBorder="1"/>
    <xf numFmtId="167" fontId="216" fillId="71" borderId="150" xfId="12427" applyNumberFormat="1" applyFont="1" applyFill="1" applyBorder="1"/>
    <xf numFmtId="243" fontId="215" fillId="0" borderId="151" xfId="0" applyNumberFormat="1" applyFont="1" applyFill="1" applyBorder="1" applyAlignment="1">
      <alignment horizontal="right"/>
    </xf>
    <xf numFmtId="0" fontId="216" fillId="71" borderId="60" xfId="11807" applyFont="1" applyFill="1" applyBorder="1"/>
    <xf numFmtId="0" fontId="215" fillId="71" borderId="0" xfId="11807" applyFont="1" applyFill="1" applyBorder="1"/>
    <xf numFmtId="167" fontId="216" fillId="71" borderId="13" xfId="12427" applyNumberFormat="1" applyFont="1" applyFill="1" applyBorder="1"/>
    <xf numFmtId="243" fontId="215" fillId="0" borderId="50" xfId="0" applyNumberFormat="1" applyFont="1" applyFill="1" applyBorder="1" applyAlignment="1">
      <alignment horizontal="right"/>
    </xf>
    <xf numFmtId="0" fontId="216" fillId="71" borderId="127" xfId="11807" applyFont="1" applyFill="1" applyBorder="1"/>
    <xf numFmtId="0" fontId="215" fillId="71" borderId="45" xfId="11807" applyFont="1" applyFill="1" applyBorder="1"/>
    <xf numFmtId="167" fontId="216" fillId="71" borderId="92" xfId="12427" applyNumberFormat="1" applyFont="1" applyFill="1" applyBorder="1"/>
    <xf numFmtId="243" fontId="215" fillId="0" borderId="128" xfId="0" applyNumberFormat="1" applyFont="1" applyFill="1" applyBorder="1" applyAlignment="1">
      <alignment horizontal="right"/>
    </xf>
    <xf numFmtId="0" fontId="216" fillId="0" borderId="0" xfId="20395" applyFont="1" applyFill="1" applyBorder="1"/>
    <xf numFmtId="248" fontId="233" fillId="0" borderId="0" xfId="20401" applyNumberFormat="1" applyFont="1" applyAlignment="1">
      <alignment horizontal="center" wrapText="1"/>
    </xf>
    <xf numFmtId="0" fontId="215" fillId="87" borderId="0" xfId="20401" applyFont="1" applyFill="1"/>
    <xf numFmtId="248" fontId="215" fillId="0" borderId="0" xfId="20401" applyNumberFormat="1" applyFont="1" applyAlignment="1">
      <alignment horizontal="right" wrapText="1"/>
    </xf>
    <xf numFmtId="0" fontId="215" fillId="0" borderId="0" xfId="20401" applyFont="1" applyFill="1" applyAlignment="1">
      <alignment horizontal="center" wrapText="1"/>
    </xf>
    <xf numFmtId="0" fontId="215" fillId="0" borderId="0" xfId="20401" applyFont="1" applyFill="1" applyBorder="1"/>
    <xf numFmtId="0" fontId="222" fillId="0" borderId="0" xfId="20402" applyFont="1" applyFill="1" applyBorder="1" applyAlignment="1">
      <alignment horizontal="center"/>
    </xf>
    <xf numFmtId="0" fontId="215" fillId="0" borderId="0" xfId="20402" applyFont="1" applyFill="1" applyBorder="1" applyAlignment="1">
      <alignment horizontal="center"/>
    </xf>
    <xf numFmtId="248" fontId="215" fillId="0" borderId="0" xfId="20403" applyNumberFormat="1" applyFont="1" applyFill="1" applyBorder="1" applyAlignment="1">
      <alignment horizontal="right"/>
    </xf>
    <xf numFmtId="248" fontId="215" fillId="0" borderId="0" xfId="20401" applyNumberFormat="1" applyFont="1"/>
    <xf numFmtId="0" fontId="215" fillId="0" borderId="0" xfId="20401" applyFont="1" applyAlignment="1">
      <alignment horizontal="left"/>
    </xf>
    <xf numFmtId="248" fontId="215" fillId="0" borderId="0" xfId="20401" applyNumberFormat="1" applyFont="1" applyAlignment="1">
      <alignment horizontal="center" wrapText="1"/>
    </xf>
    <xf numFmtId="248" fontId="233" fillId="74" borderId="0" xfId="20403" applyNumberFormat="1" applyFont="1" applyFill="1" applyBorder="1" applyAlignment="1">
      <alignment horizontal="right"/>
    </xf>
    <xf numFmtId="0" fontId="215" fillId="0" borderId="0" xfId="20401" applyFont="1"/>
    <xf numFmtId="0" fontId="215" fillId="0" borderId="0" xfId="20395" applyFont="1" applyFill="1"/>
    <xf numFmtId="0" fontId="215" fillId="0" borderId="0" xfId="20395" quotePrefix="1" applyFont="1" applyFill="1" applyAlignment="1">
      <alignment horizontal="right" wrapText="1"/>
    </xf>
    <xf numFmtId="0" fontId="215" fillId="0" borderId="0" xfId="20395" applyFont="1" applyFill="1" applyBorder="1" applyAlignment="1">
      <alignment horizontal="left" vertical="center" wrapText="1"/>
    </xf>
    <xf numFmtId="0" fontId="215" fillId="0" borderId="0" xfId="20395" applyFont="1" applyBorder="1"/>
    <xf numFmtId="0" fontId="215" fillId="87" borderId="0" xfId="20395" applyFont="1" applyFill="1" applyBorder="1"/>
    <xf numFmtId="43" fontId="215" fillId="0" borderId="0" xfId="20396" applyNumberFormat="1" applyFont="1" applyFill="1" applyBorder="1" applyAlignment="1">
      <alignment horizontal="right"/>
    </xf>
    <xf numFmtId="165" fontId="215" fillId="0" borderId="0" xfId="20396" applyNumberFormat="1" applyFont="1" applyFill="1" applyBorder="1" applyAlignment="1">
      <alignment horizontal="right"/>
    </xf>
    <xf numFmtId="0" fontId="215" fillId="0" borderId="0" xfId="20395" applyFont="1" applyFill="1" applyAlignment="1">
      <alignment horizontal="left"/>
    </xf>
    <xf numFmtId="0" fontId="230" fillId="0" borderId="0" xfId="20395" applyFont="1" applyAlignment="1">
      <alignment horizontal="left"/>
    </xf>
    <xf numFmtId="248" fontId="215" fillId="0" borderId="0" xfId="20395" applyNumberFormat="1" applyFont="1" applyFill="1"/>
    <xf numFmtId="248" fontId="215" fillId="0" borderId="0" xfId="20395" applyNumberFormat="1" applyFont="1" applyFill="1" applyAlignment="1">
      <alignment horizontal="center" wrapText="1"/>
    </xf>
    <xf numFmtId="248" fontId="215" fillId="87" borderId="0" xfId="20396" applyNumberFormat="1" applyFont="1" applyFill="1" applyBorder="1" applyAlignment="1">
      <alignment horizontal="center"/>
    </xf>
    <xf numFmtId="0" fontId="215" fillId="0" borderId="0" xfId="20395" applyFont="1" applyFill="1" applyBorder="1" applyAlignment="1">
      <alignment horizontal="right"/>
    </xf>
    <xf numFmtId="0" fontId="215" fillId="0" borderId="0" xfId="20395" applyFont="1" applyBorder="1" applyAlignment="1">
      <alignment horizontal="right"/>
    </xf>
    <xf numFmtId="243" fontId="215" fillId="0" borderId="151" xfId="16218" applyNumberFormat="1" applyFont="1" applyBorder="1" applyAlignment="1">
      <alignment horizontal="right"/>
    </xf>
    <xf numFmtId="243" fontId="215" fillId="0" borderId="50" xfId="20396" applyNumberFormat="1" applyFont="1" applyBorder="1" applyAlignment="1">
      <alignment horizontal="right"/>
    </xf>
    <xf numFmtId="243" fontId="215" fillId="0" borderId="128" xfId="16218" applyNumberFormat="1" applyFont="1" applyBorder="1" applyAlignment="1">
      <alignment horizontal="right"/>
    </xf>
    <xf numFmtId="0" fontId="216" fillId="0" borderId="0" xfId="20395" applyFont="1" applyBorder="1"/>
    <xf numFmtId="0" fontId="215" fillId="0" borderId="0" xfId="20395" applyFont="1" applyAlignment="1">
      <alignment horizontal="right"/>
    </xf>
    <xf numFmtId="0" fontId="215" fillId="0" borderId="0" xfId="20395" applyFont="1" applyAlignment="1">
      <alignment vertical="top" wrapText="1"/>
    </xf>
    <xf numFmtId="0" fontId="216" fillId="0" borderId="131" xfId="20386" applyFont="1" applyBorder="1" applyAlignment="1">
      <alignment horizontal="center"/>
    </xf>
    <xf numFmtId="43" fontId="217" fillId="0" borderId="0" xfId="20386" applyNumberFormat="1" applyFont="1"/>
    <xf numFmtId="164" fontId="216" fillId="0" borderId="74" xfId="20386" applyNumberFormat="1" applyFont="1" applyBorder="1" applyAlignment="1">
      <alignment horizontal="center"/>
    </xf>
    <xf numFmtId="0" fontId="215" fillId="0" borderId="0" xfId="20386" applyFont="1" applyFill="1"/>
    <xf numFmtId="43" fontId="225" fillId="74" borderId="0" xfId="11155" applyFont="1" applyFill="1" applyBorder="1" applyAlignment="1"/>
    <xf numFmtId="248" fontId="215" fillId="0" borderId="0" xfId="20387" applyNumberFormat="1" applyFont="1" applyFill="1" applyBorder="1" applyAlignment="1">
      <alignment horizontal="right"/>
    </xf>
    <xf numFmtId="0" fontId="227" fillId="72" borderId="129" xfId="0" applyFont="1" applyFill="1" applyBorder="1" applyAlignment="1">
      <alignment horizontal="center"/>
    </xf>
    <xf numFmtId="0" fontId="227" fillId="72" borderId="130" xfId="0" applyFont="1" applyFill="1" applyBorder="1" applyAlignment="1">
      <alignment horizontal="center"/>
    </xf>
    <xf numFmtId="248" fontId="215" fillId="0" borderId="0" xfId="20398" applyNumberFormat="1" applyFont="1" applyBorder="1" applyAlignment="1">
      <alignment horizontal="right"/>
    </xf>
    <xf numFmtId="0" fontId="215" fillId="0" borderId="0" xfId="20395" applyFont="1" applyFill="1" applyBorder="1" applyAlignment="1">
      <alignment horizontal="center" wrapText="1"/>
    </xf>
    <xf numFmtId="0" fontId="216" fillId="0" borderId="75" xfId="20395" applyFont="1" applyFill="1" applyBorder="1" applyAlignment="1">
      <alignment horizontal="center" wrapText="1"/>
    </xf>
    <xf numFmtId="0" fontId="216" fillId="0" borderId="129" xfId="20395" applyFont="1" applyFill="1" applyBorder="1" applyAlignment="1">
      <alignment horizontal="center" wrapText="1"/>
    </xf>
    <xf numFmtId="0" fontId="216" fillId="0" borderId="129" xfId="20395" applyFont="1" applyFill="1" applyBorder="1" applyAlignment="1">
      <alignment wrapText="1"/>
    </xf>
    <xf numFmtId="0" fontId="227" fillId="0" borderId="129" xfId="0" applyFont="1" applyFill="1" applyBorder="1" applyAlignment="1">
      <alignment horizontal="center"/>
    </xf>
    <xf numFmtId="0" fontId="216" fillId="0" borderId="130" xfId="20395" applyFont="1" applyFill="1" applyBorder="1" applyAlignment="1">
      <alignment horizontal="center" wrapText="1"/>
    </xf>
    <xf numFmtId="0" fontId="216" fillId="0" borderId="129" xfId="20395" applyFont="1" applyFill="1" applyBorder="1" applyAlignment="1">
      <alignment horizontal="centerContinuous" vertical="center" wrapText="1"/>
    </xf>
    <xf numFmtId="0" fontId="216" fillId="0" borderId="130" xfId="20395" applyFont="1" applyFill="1" applyBorder="1" applyAlignment="1">
      <alignment horizontal="centerContinuous" vertical="center" wrapText="1"/>
    </xf>
    <xf numFmtId="248" fontId="215" fillId="0" borderId="0" xfId="20398" applyNumberFormat="1" applyFont="1" applyFill="1" applyBorder="1" applyAlignment="1">
      <alignment horizontal="right"/>
    </xf>
    <xf numFmtId="0" fontId="240" fillId="0" borderId="0" xfId="20395" applyFont="1" applyFill="1" applyBorder="1"/>
    <xf numFmtId="0" fontId="216" fillId="90" borderId="60" xfId="20395" applyFont="1" applyFill="1" applyBorder="1" applyAlignment="1">
      <alignment horizontal="center" wrapText="1"/>
    </xf>
    <xf numFmtId="0" fontId="216" fillId="90" borderId="132" xfId="20395" applyFont="1" applyFill="1" applyBorder="1" applyAlignment="1">
      <alignment horizontal="center" wrapText="1"/>
    </xf>
    <xf numFmtId="0" fontId="216" fillId="90" borderId="133" xfId="20395" applyFont="1" applyFill="1" applyBorder="1" applyAlignment="1">
      <alignment horizontal="center" wrapText="1"/>
    </xf>
    <xf numFmtId="0" fontId="216" fillId="90" borderId="13" xfId="20395" applyFont="1" applyFill="1" applyBorder="1" applyAlignment="1">
      <alignment horizontal="center" wrapText="1"/>
    </xf>
    <xf numFmtId="0" fontId="216" fillId="90" borderId="92" xfId="20395" applyFont="1" applyFill="1" applyBorder="1" applyAlignment="1">
      <alignment horizontal="center" wrapText="1"/>
    </xf>
    <xf numFmtId="0" fontId="216" fillId="0" borderId="132" xfId="20395" applyFont="1" applyFill="1" applyBorder="1" applyAlignment="1">
      <alignment horizontal="center" wrapText="1"/>
    </xf>
    <xf numFmtId="0" fontId="216" fillId="91" borderId="0" xfId="20395" applyFont="1" applyFill="1" applyBorder="1" applyAlignment="1">
      <alignment wrapText="1"/>
    </xf>
    <xf numFmtId="243" fontId="215" fillId="0" borderId="0" xfId="20399" applyNumberFormat="1" applyFont="1" applyBorder="1" applyAlignment="1">
      <alignment horizontal="right"/>
    </xf>
    <xf numFmtId="243" fontId="215" fillId="0" borderId="0" xfId="20398" applyNumberFormat="1" applyFont="1" applyBorder="1" applyAlignment="1">
      <alignment horizontal="right"/>
    </xf>
    <xf numFmtId="248" fontId="215" fillId="0" borderId="0" xfId="12427" applyNumberFormat="1" applyFont="1" applyBorder="1" applyAlignment="1">
      <alignment horizontal="right"/>
    </xf>
    <xf numFmtId="248" fontId="233" fillId="0" borderId="0" xfId="12427" applyNumberFormat="1" applyFont="1" applyFill="1" applyBorder="1" applyAlignment="1">
      <alignment horizontal="right"/>
    </xf>
    <xf numFmtId="14" fontId="215" fillId="0" borderId="0" xfId="20395" applyNumberFormat="1" applyFont="1" applyAlignment="1">
      <alignment horizontal="left"/>
    </xf>
    <xf numFmtId="248" fontId="215" fillId="0" borderId="0" xfId="12427" applyNumberFormat="1" applyFont="1" applyFill="1" applyAlignment="1">
      <alignment horizontal="center" wrapText="1"/>
    </xf>
    <xf numFmtId="248" fontId="233" fillId="0" borderId="0" xfId="12427" applyNumberFormat="1" applyFont="1" applyFill="1" applyAlignment="1">
      <alignment horizontal="center" wrapText="1"/>
    </xf>
    <xf numFmtId="248" fontId="215" fillId="0" borderId="0" xfId="12427" applyNumberFormat="1" applyFont="1" applyFill="1" applyAlignment="1">
      <alignment horizontal="right" wrapText="1"/>
    </xf>
    <xf numFmtId="248" fontId="215" fillId="0" borderId="0" xfId="12427" applyNumberFormat="1" applyFont="1" applyFill="1" applyBorder="1" applyAlignment="1">
      <alignment horizontal="right"/>
    </xf>
    <xf numFmtId="164" fontId="215" fillId="0" borderId="0" xfId="20395" applyNumberFormat="1" applyFont="1" applyBorder="1" applyAlignment="1">
      <alignment horizontal="center"/>
    </xf>
    <xf numFmtId="248" fontId="215" fillId="0" borderId="0" xfId="12427" applyNumberFormat="1" applyFont="1"/>
    <xf numFmtId="243" fontId="215" fillId="0" borderId="0" xfId="20398" applyNumberFormat="1" applyFont="1" applyFill="1" applyBorder="1" applyAlignment="1">
      <alignment horizontal="right"/>
    </xf>
    <xf numFmtId="14" fontId="215" fillId="0" borderId="0" xfId="20395" applyNumberFormat="1" applyFont="1" applyFill="1" applyAlignment="1">
      <alignment horizontal="left"/>
    </xf>
    <xf numFmtId="0" fontId="215" fillId="0" borderId="45" xfId="20395" applyFont="1" applyBorder="1"/>
    <xf numFmtId="0" fontId="215" fillId="0" borderId="45" xfId="20395" applyFont="1" applyBorder="1" applyAlignment="1">
      <alignment horizontal="right"/>
    </xf>
    <xf numFmtId="248" fontId="233" fillId="0" borderId="45" xfId="20398" applyNumberFormat="1" applyFont="1" applyFill="1" applyBorder="1" applyAlignment="1">
      <alignment horizontal="right"/>
    </xf>
    <xf numFmtId="234" fontId="215" fillId="0" borderId="0" xfId="0" applyNumberFormat="1" applyFont="1" applyBorder="1" applyAlignment="1">
      <alignment horizontal="right"/>
    </xf>
    <xf numFmtId="0" fontId="216" fillId="71" borderId="134" xfId="20395" applyFont="1" applyFill="1" applyBorder="1"/>
    <xf numFmtId="0" fontId="216" fillId="71" borderId="132" xfId="20395" applyFont="1" applyFill="1" applyBorder="1"/>
    <xf numFmtId="0" fontId="216" fillId="71" borderId="132" xfId="20395" applyFont="1" applyFill="1" applyBorder="1" applyAlignment="1">
      <alignment horizontal="right"/>
    </xf>
    <xf numFmtId="248" fontId="216" fillId="71" borderId="132" xfId="12427" applyNumberFormat="1" applyFont="1" applyFill="1" applyBorder="1" applyAlignment="1">
      <alignment horizontal="right"/>
    </xf>
    <xf numFmtId="248" fontId="216" fillId="71" borderId="133" xfId="12427" applyNumberFormat="1" applyFont="1" applyFill="1" applyBorder="1" applyAlignment="1">
      <alignment horizontal="right"/>
    </xf>
    <xf numFmtId="248" fontId="216" fillId="0" borderId="132" xfId="12427" applyNumberFormat="1" applyFont="1" applyBorder="1" applyAlignment="1">
      <alignment horizontal="right"/>
    </xf>
    <xf numFmtId="234" fontId="216" fillId="0" borderId="132" xfId="0" applyNumberFormat="1" applyFont="1" applyBorder="1" applyAlignment="1">
      <alignment horizontal="right"/>
    </xf>
    <xf numFmtId="234" fontId="216" fillId="0" borderId="133" xfId="0" applyNumberFormat="1" applyFont="1" applyBorder="1" applyAlignment="1">
      <alignment horizontal="right"/>
    </xf>
    <xf numFmtId="0" fontId="216" fillId="71" borderId="60" xfId="20395" applyFont="1" applyFill="1" applyBorder="1"/>
    <xf numFmtId="0" fontId="216" fillId="71" borderId="0" xfId="20395" applyFont="1" applyFill="1" applyBorder="1"/>
    <xf numFmtId="0" fontId="216" fillId="71" borderId="0" xfId="20395" applyFont="1" applyFill="1" applyBorder="1" applyAlignment="1">
      <alignment horizontal="right"/>
    </xf>
    <xf numFmtId="248" fontId="216" fillId="71" borderId="0" xfId="12427" applyNumberFormat="1" applyFont="1" applyFill="1" applyBorder="1" applyAlignment="1">
      <alignment horizontal="right"/>
    </xf>
    <xf numFmtId="248" fontId="216" fillId="71" borderId="13" xfId="12427" applyNumberFormat="1" applyFont="1" applyFill="1" applyBorder="1" applyAlignment="1">
      <alignment horizontal="right"/>
    </xf>
    <xf numFmtId="248" fontId="216" fillId="0" borderId="0" xfId="12427" applyNumberFormat="1" applyFont="1" applyBorder="1" applyAlignment="1">
      <alignment horizontal="right"/>
    </xf>
    <xf numFmtId="234" fontId="216" fillId="0" borderId="0" xfId="0" applyNumberFormat="1" applyFont="1" applyBorder="1" applyAlignment="1">
      <alignment horizontal="right"/>
    </xf>
    <xf numFmtId="234" fontId="216" fillId="0" borderId="13" xfId="0" applyNumberFormat="1" applyFont="1" applyBorder="1" applyAlignment="1">
      <alignment horizontal="right"/>
    </xf>
    <xf numFmtId="0" fontId="216" fillId="71" borderId="127" xfId="20395" applyFont="1" applyFill="1" applyBorder="1"/>
    <xf numFmtId="0" fontId="216" fillId="71" borderId="45" xfId="20395" applyFont="1" applyFill="1" applyBorder="1"/>
    <xf numFmtId="0" fontId="216" fillId="71" borderId="45" xfId="20395" applyFont="1" applyFill="1" applyBorder="1" applyAlignment="1">
      <alignment horizontal="right"/>
    </xf>
    <xf numFmtId="248" fontId="216" fillId="71" borderId="45" xfId="12427" applyNumberFormat="1" applyFont="1" applyFill="1" applyBorder="1" applyAlignment="1">
      <alignment horizontal="right"/>
    </xf>
    <xf numFmtId="248" fontId="216" fillId="71" borderId="92" xfId="12427" applyNumberFormat="1" applyFont="1" applyFill="1" applyBorder="1" applyAlignment="1">
      <alignment horizontal="right"/>
    </xf>
    <xf numFmtId="248" fontId="216" fillId="0" borderId="45" xfId="12427" applyNumberFormat="1" applyFont="1" applyBorder="1" applyAlignment="1">
      <alignment horizontal="right"/>
    </xf>
    <xf numFmtId="234" fontId="216" fillId="0" borderId="45" xfId="0" applyNumberFormat="1" applyFont="1" applyBorder="1" applyAlignment="1">
      <alignment horizontal="right"/>
    </xf>
    <xf numFmtId="234" fontId="216" fillId="0" borderId="92" xfId="0" applyNumberFormat="1" applyFont="1" applyBorder="1" applyAlignment="1">
      <alignment horizontal="right"/>
    </xf>
    <xf numFmtId="0" fontId="215" fillId="0" borderId="132" xfId="20395" applyFont="1" applyBorder="1"/>
    <xf numFmtId="0" fontId="215" fillId="0" borderId="132" xfId="20395" applyFont="1" applyBorder="1" applyAlignment="1">
      <alignment horizontal="right"/>
    </xf>
    <xf numFmtId="0" fontId="216" fillId="90" borderId="134" xfId="20395" applyFont="1" applyFill="1" applyBorder="1" applyAlignment="1">
      <alignment horizontal="center" wrapText="1"/>
    </xf>
    <xf numFmtId="248" fontId="216" fillId="0" borderId="0" xfId="20395" applyNumberFormat="1" applyFont="1" applyFill="1" applyBorder="1" applyAlignment="1">
      <alignment horizontal="center" wrapText="1"/>
    </xf>
    <xf numFmtId="243" fontId="215" fillId="0" borderId="0" xfId="0" applyNumberFormat="1" applyFont="1" applyFill="1" applyAlignment="1"/>
    <xf numFmtId="248" fontId="215" fillId="0" borderId="0" xfId="12427" applyNumberFormat="1" applyFont="1" applyFill="1" applyBorder="1" applyAlignment="1">
      <alignment horizontal="center"/>
    </xf>
    <xf numFmtId="248" fontId="215" fillId="74" borderId="0" xfId="12427" applyNumberFormat="1" applyFont="1" applyFill="1" applyBorder="1" applyAlignment="1">
      <alignment horizontal="right"/>
    </xf>
    <xf numFmtId="164" fontId="215" fillId="74" borderId="0" xfId="20395" applyNumberFormat="1" applyFont="1" applyFill="1" applyAlignment="1">
      <alignment horizontal="left"/>
    </xf>
    <xf numFmtId="248" fontId="233" fillId="0" borderId="0" xfId="12427" applyNumberFormat="1" applyFont="1" applyAlignment="1">
      <alignment horizontal="center" wrapText="1"/>
    </xf>
    <xf numFmtId="0" fontId="215" fillId="0" borderId="0" xfId="20395" applyFont="1" applyFill="1" applyBorder="1" applyAlignment="1">
      <alignment wrapText="1"/>
    </xf>
    <xf numFmtId="0" fontId="216" fillId="71" borderId="134" xfId="11807" applyFont="1" applyFill="1" applyBorder="1"/>
    <xf numFmtId="0" fontId="215" fillId="71" borderId="132" xfId="11807" applyFont="1" applyFill="1" applyBorder="1"/>
    <xf numFmtId="167" fontId="216" fillId="71" borderId="132" xfId="12427" applyNumberFormat="1" applyFont="1" applyFill="1" applyBorder="1"/>
    <xf numFmtId="167" fontId="216" fillId="71" borderId="133" xfId="12427" applyNumberFormat="1" applyFont="1" applyFill="1" applyBorder="1"/>
    <xf numFmtId="243" fontId="215" fillId="0" borderId="131" xfId="0" applyNumberFormat="1" applyFont="1" applyFill="1" applyBorder="1" applyAlignment="1">
      <alignment horizontal="right"/>
    </xf>
    <xf numFmtId="243" fontId="215" fillId="0" borderId="131" xfId="16218" applyNumberFormat="1" applyFont="1" applyBorder="1" applyAlignment="1">
      <alignment horizontal="right"/>
    </xf>
    <xf numFmtId="248" fontId="216" fillId="71" borderId="132" xfId="12427" applyNumberFormat="1" applyFont="1" applyFill="1" applyBorder="1"/>
    <xf numFmtId="248" fontId="216" fillId="71" borderId="133" xfId="12427" applyNumberFormat="1" applyFont="1" applyFill="1" applyBorder="1"/>
    <xf numFmtId="248" fontId="216" fillId="0" borderId="139" xfId="12427" applyNumberFormat="1" applyFont="1" applyBorder="1" applyAlignment="1">
      <alignment horizontal="right"/>
    </xf>
    <xf numFmtId="248" fontId="216" fillId="71" borderId="0" xfId="12427" applyNumberFormat="1" applyFont="1" applyFill="1" applyBorder="1"/>
    <xf numFmtId="248" fontId="216" fillId="71" borderId="13" xfId="12427" applyNumberFormat="1" applyFont="1" applyFill="1" applyBorder="1"/>
    <xf numFmtId="248" fontId="216" fillId="0" borderId="50" xfId="12427" applyNumberFormat="1" applyFont="1" applyBorder="1" applyAlignment="1">
      <alignment horizontal="right"/>
    </xf>
    <xf numFmtId="248" fontId="216" fillId="71" borderId="45" xfId="12427" applyNumberFormat="1" applyFont="1" applyFill="1" applyBorder="1"/>
    <xf numFmtId="248" fontId="216" fillId="71" borderId="92" xfId="12427" applyNumberFormat="1" applyFont="1" applyFill="1" applyBorder="1"/>
    <xf numFmtId="248" fontId="216" fillId="0" borderId="128" xfId="12427" applyNumberFormat="1" applyFont="1" applyBorder="1" applyAlignment="1">
      <alignment horizontal="right"/>
    </xf>
    <xf numFmtId="0" fontId="215" fillId="0" borderId="0" xfId="20386" applyFont="1" applyBorder="1"/>
    <xf numFmtId="0" fontId="215" fillId="0" borderId="0" xfId="20386" applyFont="1" applyBorder="1" applyAlignment="1">
      <alignment horizontal="right"/>
    </xf>
    <xf numFmtId="0" fontId="215" fillId="0" borderId="122" xfId="20386" applyFont="1" applyBorder="1" applyAlignment="1">
      <alignment horizontal="right"/>
    </xf>
    <xf numFmtId="0" fontId="216" fillId="71" borderId="95" xfId="0" applyFont="1" applyFill="1" applyBorder="1"/>
    <xf numFmtId="165" fontId="216" fillId="71" borderId="45" xfId="12422" applyNumberFormat="1" applyFont="1" applyFill="1" applyBorder="1"/>
    <xf numFmtId="41" fontId="215" fillId="0" borderId="0" xfId="0" applyNumberFormat="1" applyFont="1"/>
    <xf numFmtId="169" fontId="228" fillId="74" borderId="0" xfId="0" applyNumberFormat="1" applyFont="1" applyFill="1"/>
    <xf numFmtId="165" fontId="216" fillId="0" borderId="0" xfId="0" applyNumberFormat="1" applyFont="1"/>
    <xf numFmtId="43" fontId="233" fillId="0" borderId="0" xfId="0" applyNumberFormat="1" applyFont="1" applyFill="1" applyAlignment="1">
      <alignment horizontal="center"/>
    </xf>
    <xf numFmtId="43" fontId="215" fillId="0" borderId="0" xfId="0" applyNumberFormat="1" applyFont="1" applyBorder="1"/>
    <xf numFmtId="165" fontId="215" fillId="0" borderId="0" xfId="12422" applyNumberFormat="1" applyFont="1" applyBorder="1"/>
    <xf numFmtId="0" fontId="215" fillId="0" borderId="90" xfId="0" applyFont="1" applyBorder="1"/>
    <xf numFmtId="14" fontId="215" fillId="0" borderId="91" xfId="0" applyNumberFormat="1" applyFont="1" applyBorder="1" applyAlignment="1">
      <alignment horizontal="right"/>
    </xf>
    <xf numFmtId="0" fontId="222" fillId="0" borderId="92" xfId="0" applyFont="1" applyBorder="1" applyAlignment="1">
      <alignment horizontal="right"/>
    </xf>
    <xf numFmtId="14" fontId="227" fillId="72" borderId="94" xfId="0" applyNumberFormat="1" applyFont="1" applyFill="1" applyBorder="1" applyAlignment="1">
      <alignment horizontal="centerContinuous"/>
    </xf>
    <xf numFmtId="0" fontId="227" fillId="72" borderId="95" xfId="0" applyFont="1" applyFill="1" applyBorder="1" applyAlignment="1">
      <alignment horizontal="centerContinuous"/>
    </xf>
    <xf numFmtId="0" fontId="227" fillId="72" borderId="94" xfId="0" applyFont="1" applyFill="1" applyBorder="1" applyAlignment="1">
      <alignment horizontal="centerContinuous"/>
    </xf>
    <xf numFmtId="9" fontId="222" fillId="0" borderId="147" xfId="0" applyNumberFormat="1" applyFont="1" applyBorder="1" applyAlignment="1">
      <alignment horizontal="right"/>
    </xf>
    <xf numFmtId="0" fontId="232" fillId="0" borderId="113" xfId="0" applyFont="1" applyFill="1" applyBorder="1" applyAlignment="1">
      <alignment horizontal="left"/>
    </xf>
    <xf numFmtId="0" fontId="232" fillId="0" borderId="0" xfId="0" applyFont="1" applyFill="1" applyBorder="1" applyAlignment="1">
      <alignment horizontal="left"/>
    </xf>
    <xf numFmtId="0" fontId="232" fillId="0" borderId="114" xfId="0" applyFont="1" applyFill="1" applyBorder="1" applyAlignment="1">
      <alignment horizontal="right" wrapText="1"/>
    </xf>
    <xf numFmtId="0" fontId="216" fillId="0" borderId="76" xfId="0" applyFont="1" applyFill="1" applyBorder="1" applyAlignment="1">
      <alignment horizontal="right" wrapText="1"/>
    </xf>
    <xf numFmtId="0" fontId="216" fillId="0" borderId="63" xfId="0" applyFont="1" applyFill="1" applyBorder="1" applyAlignment="1">
      <alignment horizontal="right" wrapText="1"/>
    </xf>
    <xf numFmtId="0" fontId="215" fillId="0" borderId="50" xfId="0" applyFont="1" applyBorder="1" applyAlignment="1">
      <alignment horizontal="right" wrapText="1"/>
    </xf>
    <xf numFmtId="0" fontId="254" fillId="0" borderId="0" xfId="0" applyFont="1" applyFill="1" applyBorder="1"/>
    <xf numFmtId="0" fontId="223" fillId="0" borderId="0" xfId="0" applyFont="1"/>
    <xf numFmtId="0" fontId="216" fillId="71" borderId="94" xfId="0" applyFont="1" applyFill="1" applyBorder="1"/>
    <xf numFmtId="0" fontId="216" fillId="71" borderId="112" xfId="0" applyFont="1" applyFill="1" applyBorder="1"/>
    <xf numFmtId="169" fontId="216" fillId="71" borderId="95" xfId="0" applyNumberFormat="1" applyFont="1" applyFill="1" applyBorder="1"/>
    <xf numFmtId="165" fontId="216" fillId="71" borderId="95" xfId="12422" applyNumberFormat="1" applyFont="1" applyFill="1" applyBorder="1"/>
    <xf numFmtId="165" fontId="216" fillId="71" borderId="116" xfId="12422" applyNumberFormat="1" applyFont="1" applyFill="1" applyBorder="1"/>
    <xf numFmtId="165" fontId="216" fillId="71" borderId="13" xfId="12422" applyNumberFormat="1" applyFont="1" applyFill="1" applyBorder="1"/>
    <xf numFmtId="164" fontId="228" fillId="0" borderId="0" xfId="0" applyNumberFormat="1" applyFont="1" applyAlignment="1">
      <alignment horizontal="right"/>
    </xf>
    <xf numFmtId="14" fontId="233" fillId="0" borderId="0" xfId="0" applyNumberFormat="1" applyFont="1" applyAlignment="1">
      <alignment horizontal="right"/>
    </xf>
    <xf numFmtId="0" fontId="233" fillId="0" borderId="0" xfId="0" applyFont="1" applyAlignment="1">
      <alignment horizontal="right" wrapText="1"/>
    </xf>
    <xf numFmtId="192" fontId="233" fillId="0" borderId="0" xfId="0" applyNumberFormat="1" applyFont="1" applyAlignment="1">
      <alignment horizontal="right"/>
    </xf>
    <xf numFmtId="192" fontId="215" fillId="0" borderId="0" xfId="0" applyNumberFormat="1" applyFont="1" applyAlignment="1">
      <alignment horizontal="right"/>
    </xf>
    <xf numFmtId="342" fontId="233" fillId="0" borderId="0" xfId="0" applyNumberFormat="1" applyFont="1" applyAlignment="1">
      <alignment horizontal="right"/>
    </xf>
    <xf numFmtId="165" fontId="228" fillId="0" borderId="0" xfId="12422" applyNumberFormat="1" applyFont="1" applyAlignment="1">
      <alignment horizontal="right"/>
    </xf>
    <xf numFmtId="165" fontId="233" fillId="0" borderId="0" xfId="12422" applyNumberFormat="1" applyFont="1" applyAlignment="1">
      <alignment horizontal="right"/>
    </xf>
    <xf numFmtId="0" fontId="241" fillId="0" borderId="0" xfId="0" applyFont="1"/>
    <xf numFmtId="167" fontId="228" fillId="74" borderId="0" xfId="12427" applyNumberFormat="1" applyFont="1" applyFill="1" applyAlignment="1">
      <alignment horizontal="right"/>
    </xf>
    <xf numFmtId="167" fontId="233" fillId="0" borderId="0" xfId="12427" applyNumberFormat="1" applyFont="1" applyAlignment="1">
      <alignment horizontal="right"/>
    </xf>
    <xf numFmtId="9" fontId="233" fillId="0" borderId="0" xfId="12422" applyFont="1" applyAlignment="1">
      <alignment horizontal="right"/>
    </xf>
    <xf numFmtId="243" fontId="233" fillId="0" borderId="0" xfId="20305" applyNumberFormat="1" applyFont="1" applyAlignment="1">
      <alignment horizontal="right"/>
    </xf>
    <xf numFmtId="1" fontId="232" fillId="0" borderId="63" xfId="0" applyNumberFormat="1" applyFont="1" applyFill="1" applyBorder="1" applyAlignment="1">
      <alignment horizontal="right" wrapText="1"/>
    </xf>
    <xf numFmtId="0" fontId="254" fillId="0" borderId="98" xfId="0" applyFont="1" applyFill="1" applyBorder="1" applyAlignment="1">
      <alignment horizontal="centerContinuous"/>
    </xf>
    <xf numFmtId="169" fontId="216" fillId="0" borderId="99" xfId="0" applyNumberFormat="1" applyFont="1" applyFill="1" applyBorder="1" applyAlignment="1">
      <alignment horizontal="centerContinuous"/>
    </xf>
    <xf numFmtId="0" fontId="254" fillId="0" borderId="99" xfId="0" applyFont="1" applyFill="1" applyBorder="1" applyAlignment="1">
      <alignment horizontal="centerContinuous"/>
    </xf>
    <xf numFmtId="169" fontId="216" fillId="0" borderId="100" xfId="0" applyNumberFormat="1" applyFont="1" applyFill="1" applyBorder="1" applyAlignment="1">
      <alignment horizontal="centerContinuous"/>
    </xf>
    <xf numFmtId="0" fontId="233" fillId="0" borderId="0" xfId="0" applyFont="1" applyFill="1" applyBorder="1" applyAlignment="1">
      <alignment horizontal="right"/>
    </xf>
    <xf numFmtId="41" fontId="233" fillId="0" borderId="0" xfId="0" applyNumberFormat="1" applyFont="1" applyFill="1" applyAlignment="1">
      <alignment horizontal="right"/>
    </xf>
    <xf numFmtId="0" fontId="227" fillId="72" borderId="7" xfId="0" applyFont="1" applyFill="1" applyBorder="1" applyAlignment="1">
      <alignment horizontal="left"/>
    </xf>
    <xf numFmtId="0" fontId="227" fillId="72" borderId="8" xfId="0" applyFont="1" applyFill="1" applyBorder="1" applyAlignment="1">
      <alignment horizontal="centerContinuous"/>
    </xf>
    <xf numFmtId="0" fontId="227" fillId="72" borderId="9" xfId="0" applyFont="1" applyFill="1" applyBorder="1" applyAlignment="1">
      <alignment horizontal="right"/>
    </xf>
    <xf numFmtId="0" fontId="216" fillId="0" borderId="35" xfId="0" applyFont="1" applyFill="1" applyBorder="1" applyAlignment="1">
      <alignment horizontal="right"/>
    </xf>
    <xf numFmtId="0" fontId="216" fillId="0" borderId="42" xfId="0" applyFont="1" applyFill="1" applyBorder="1" applyAlignment="1">
      <alignment horizontal="right"/>
    </xf>
    <xf numFmtId="0" fontId="216" fillId="0" borderId="12" xfId="0" applyFont="1" applyBorder="1"/>
    <xf numFmtId="43" fontId="215" fillId="0" borderId="0" xfId="1" applyFont="1" applyBorder="1"/>
    <xf numFmtId="165" fontId="215" fillId="0" borderId="0" xfId="2" applyNumberFormat="1" applyFont="1" applyBorder="1"/>
    <xf numFmtId="165" fontId="215" fillId="0" borderId="13" xfId="2" applyNumberFormat="1" applyFont="1" applyBorder="1"/>
    <xf numFmtId="166" fontId="215" fillId="0" borderId="0" xfId="3" applyNumberFormat="1" applyFont="1" applyBorder="1"/>
    <xf numFmtId="167" fontId="215" fillId="0" borderId="0" xfId="1" applyNumberFormat="1" applyFont="1" applyBorder="1"/>
    <xf numFmtId="165" fontId="215" fillId="0" borderId="13" xfId="2" applyNumberFormat="1" applyFont="1" applyBorder="1" applyAlignment="1">
      <alignment horizontal="right"/>
    </xf>
    <xf numFmtId="165" fontId="215" fillId="0" borderId="3" xfId="2" applyNumberFormat="1" applyFont="1" applyBorder="1"/>
    <xf numFmtId="165" fontId="215" fillId="0" borderId="11" xfId="2" applyNumberFormat="1" applyFont="1" applyBorder="1"/>
    <xf numFmtId="0" fontId="216" fillId="0" borderId="12" xfId="0" applyFont="1" applyBorder="1" applyAlignment="1">
      <alignment horizontal="left" indent="7"/>
    </xf>
    <xf numFmtId="165" fontId="216" fillId="0" borderId="14" xfId="2" applyNumberFormat="1" applyFont="1" applyBorder="1"/>
    <xf numFmtId="0" fontId="216" fillId="0" borderId="0" xfId="0" applyFont="1" applyBorder="1" applyAlignment="1">
      <alignment horizontal="left" indent="7"/>
    </xf>
    <xf numFmtId="165" fontId="216" fillId="0" borderId="15" xfId="2" applyNumberFormat="1" applyFont="1" applyBorder="1"/>
    <xf numFmtId="0" fontId="215" fillId="0" borderId="11" xfId="0" applyFont="1" applyBorder="1"/>
    <xf numFmtId="0" fontId="232" fillId="0" borderId="4" xfId="0" applyFont="1" applyFill="1" applyBorder="1" applyAlignment="1">
      <alignment wrapText="1"/>
    </xf>
    <xf numFmtId="0" fontId="232" fillId="0" borderId="5" xfId="0" applyFont="1" applyFill="1" applyBorder="1" applyAlignment="1">
      <alignment horizontal="center" wrapText="1"/>
    </xf>
    <xf numFmtId="0" fontId="232" fillId="0" borderId="6" xfId="0" applyFont="1" applyFill="1" applyBorder="1" applyAlignment="1">
      <alignment horizontal="center" wrapText="1"/>
    </xf>
    <xf numFmtId="0" fontId="216" fillId="71" borderId="8" xfId="0" applyFont="1" applyFill="1" applyBorder="1"/>
    <xf numFmtId="165" fontId="216" fillId="71" borderId="9" xfId="0" applyNumberFormat="1" applyFont="1" applyFill="1" applyBorder="1"/>
    <xf numFmtId="0" fontId="232" fillId="0" borderId="4" xfId="0" applyFont="1" applyFill="1" applyBorder="1" applyAlignment="1">
      <alignment horizontal="left" wrapText="1"/>
    </xf>
    <xf numFmtId="0" fontId="232" fillId="0" borderId="5" xfId="0" applyFont="1" applyFill="1" applyBorder="1" applyAlignment="1">
      <alignment horizontal="centerContinuous" wrapText="1"/>
    </xf>
    <xf numFmtId="0" fontId="232" fillId="0" borderId="6" xfId="0" applyFont="1" applyFill="1" applyBorder="1" applyAlignment="1">
      <alignment horizontal="centerContinuous" wrapText="1"/>
    </xf>
    <xf numFmtId="43" fontId="220" fillId="68" borderId="56" xfId="11155" quotePrefix="1" applyFont="1" applyFill="1" applyBorder="1" applyAlignment="1">
      <alignment horizontal="left"/>
    </xf>
    <xf numFmtId="43" fontId="220" fillId="68" borderId="56" xfId="11155" quotePrefix="1" applyFont="1" applyFill="1" applyBorder="1" applyAlignment="1">
      <alignment horizontal="center"/>
    </xf>
    <xf numFmtId="43" fontId="218" fillId="68" borderId="56" xfId="11155" quotePrefix="1" applyFont="1" applyFill="1" applyBorder="1" applyAlignment="1">
      <alignment horizontal="center"/>
    </xf>
    <xf numFmtId="43" fontId="218" fillId="0" borderId="55" xfId="11155" applyFont="1" applyFill="1" applyBorder="1" applyAlignment="1"/>
    <xf numFmtId="43" fontId="218" fillId="0" borderId="56" xfId="11155" applyFont="1" applyFill="1" applyBorder="1" applyAlignment="1">
      <alignment horizontal="right"/>
    </xf>
    <xf numFmtId="43" fontId="218" fillId="74" borderId="56" xfId="11155" applyFont="1" applyFill="1" applyBorder="1" applyAlignment="1"/>
    <xf numFmtId="0" fontId="235" fillId="0" borderId="0" xfId="12421" applyFont="1"/>
    <xf numFmtId="0" fontId="216" fillId="69" borderId="55" xfId="12421" applyFont="1" applyFill="1" applyBorder="1"/>
    <xf numFmtId="0" fontId="215" fillId="69" borderId="55" xfId="12421" applyFont="1" applyFill="1" applyBorder="1" applyAlignment="1">
      <alignment horizontal="center"/>
    </xf>
    <xf numFmtId="0" fontId="216" fillId="69" borderId="0" xfId="12421" applyFont="1" applyFill="1" applyBorder="1"/>
    <xf numFmtId="0" fontId="216" fillId="69" borderId="56" xfId="12421" applyFont="1" applyFill="1" applyBorder="1"/>
    <xf numFmtId="0" fontId="238" fillId="69" borderId="0" xfId="12421" applyFont="1" applyFill="1" applyBorder="1" applyAlignment="1">
      <alignment horizontal="center"/>
    </xf>
    <xf numFmtId="0" fontId="215" fillId="69" borderId="56" xfId="12421" applyFont="1" applyFill="1" applyBorder="1" applyAlignment="1">
      <alignment horizontal="center"/>
    </xf>
    <xf numFmtId="0" fontId="256" fillId="69" borderId="56" xfId="12421" applyFont="1" applyFill="1" applyBorder="1" applyAlignment="1">
      <alignment horizontal="center"/>
    </xf>
    <xf numFmtId="0" fontId="256" fillId="69" borderId="55" xfId="12421" applyFont="1" applyFill="1" applyBorder="1" applyAlignment="1">
      <alignment horizontal="center"/>
    </xf>
    <xf numFmtId="0" fontId="257" fillId="0" borderId="0" xfId="12421" applyFont="1" applyBorder="1" applyAlignment="1">
      <alignment horizontal="center"/>
    </xf>
    <xf numFmtId="43" fontId="258" fillId="68" borderId="55" xfId="11155" applyFont="1" applyFill="1" applyBorder="1" applyAlignment="1"/>
    <xf numFmtId="43" fontId="258" fillId="68" borderId="55" xfId="11155" applyFont="1" applyFill="1" applyBorder="1" applyAlignment="1">
      <alignment horizontal="center"/>
    </xf>
    <xf numFmtId="43" fontId="258" fillId="68" borderId="56" xfId="11155" applyFont="1" applyFill="1" applyBorder="1" applyAlignment="1"/>
    <xf numFmtId="43" fontId="258" fillId="68" borderId="56" xfId="11155" applyFont="1" applyFill="1" applyBorder="1" applyAlignment="1">
      <alignment horizontal="center"/>
    </xf>
    <xf numFmtId="0" fontId="227" fillId="72" borderId="58" xfId="0" applyFont="1" applyFill="1" applyBorder="1" applyAlignment="1">
      <alignment horizontal="center"/>
    </xf>
    <xf numFmtId="0" fontId="227" fillId="72" borderId="59" xfId="0" applyFont="1" applyFill="1" applyBorder="1" applyAlignment="1">
      <alignment horizontal="center"/>
    </xf>
    <xf numFmtId="0" fontId="259" fillId="0" borderId="0" xfId="0" applyFont="1"/>
    <xf numFmtId="0" fontId="260" fillId="0" borderId="0" xfId="0" applyFont="1"/>
    <xf numFmtId="0" fontId="0" fillId="92" borderId="0" xfId="0" applyFill="1" applyBorder="1"/>
    <xf numFmtId="0" fontId="0" fillId="92" borderId="0" xfId="0" applyFill="1"/>
    <xf numFmtId="0" fontId="17" fillId="0" borderId="0" xfId="0" applyFont="1"/>
    <xf numFmtId="0" fontId="17" fillId="0" borderId="167" xfId="0" applyFont="1" applyBorder="1"/>
    <xf numFmtId="219" fontId="100" fillId="0" borderId="167" xfId="0" applyNumberFormat="1" applyFont="1" applyFill="1" applyBorder="1"/>
    <xf numFmtId="0" fontId="17" fillId="0" borderId="168" xfId="0" applyFont="1" applyBorder="1"/>
    <xf numFmtId="219" fontId="100" fillId="0" borderId="168" xfId="0" applyNumberFormat="1" applyFont="1" applyFill="1" applyBorder="1"/>
    <xf numFmtId="0" fontId="17" fillId="0" borderId="169" xfId="0" applyFont="1" applyBorder="1"/>
    <xf numFmtId="0" fontId="0" fillId="0" borderId="169" xfId="0" applyFont="1" applyBorder="1"/>
    <xf numFmtId="243" fontId="0" fillId="0" borderId="170" xfId="0" applyNumberFormat="1" applyBorder="1" applyAlignment="1">
      <alignment horizontal="right"/>
    </xf>
    <xf numFmtId="0" fontId="0" fillId="0" borderId="171" xfId="0" applyFont="1" applyBorder="1"/>
    <xf numFmtId="243" fontId="0" fillId="0" borderId="171" xfId="0" applyNumberFormat="1" applyBorder="1" applyAlignment="1">
      <alignment horizontal="right"/>
    </xf>
    <xf numFmtId="0" fontId="0" fillId="0" borderId="0" xfId="0" applyFont="1" applyBorder="1"/>
    <xf numFmtId="243" fontId="0" fillId="0" borderId="0" xfId="0" applyNumberFormat="1" applyBorder="1" applyAlignment="1">
      <alignment horizontal="right"/>
    </xf>
    <xf numFmtId="0" fontId="41" fillId="0" borderId="161" xfId="0" applyFont="1" applyBorder="1" applyAlignment="1">
      <alignment horizontal="center" wrapText="1"/>
    </xf>
    <xf numFmtId="0" fontId="41" fillId="93" borderId="174" xfId="0" applyFont="1" applyFill="1" applyBorder="1" applyAlignment="1">
      <alignment horizontal="center" wrapText="1"/>
    </xf>
    <xf numFmtId="0" fontId="41" fillId="93" borderId="32" xfId="0" applyFont="1" applyFill="1" applyBorder="1" applyAlignment="1">
      <alignment horizontal="center" wrapText="1"/>
    </xf>
    <xf numFmtId="0" fontId="41" fillId="93" borderId="127" xfId="0" applyFont="1" applyFill="1" applyBorder="1" applyAlignment="1">
      <alignment horizontal="center" wrapText="1"/>
    </xf>
    <xf numFmtId="0" fontId="41" fillId="92" borderId="32" xfId="0" applyFont="1" applyFill="1" applyBorder="1" applyAlignment="1">
      <alignment horizontal="center" wrapText="1"/>
    </xf>
    <xf numFmtId="0" fontId="41" fillId="94" borderId="45" xfId="0" applyFont="1" applyFill="1" applyBorder="1" applyAlignment="1">
      <alignment horizontal="center" wrapText="1"/>
    </xf>
    <xf numFmtId="0" fontId="41" fillId="94" borderId="174" xfId="0" applyFont="1" applyFill="1" applyBorder="1" applyAlignment="1">
      <alignment horizontal="center" wrapText="1"/>
    </xf>
    <xf numFmtId="0" fontId="41" fillId="92" borderId="92" xfId="0" applyFont="1" applyFill="1" applyBorder="1" applyAlignment="1">
      <alignment horizontal="center" wrapText="1"/>
    </xf>
    <xf numFmtId="0" fontId="41" fillId="95" borderId="32" xfId="0" applyFont="1" applyFill="1" applyBorder="1" applyAlignment="1">
      <alignment horizontal="center" wrapText="1"/>
    </xf>
    <xf numFmtId="0" fontId="41" fillId="95" borderId="175" xfId="0" applyFont="1" applyFill="1" applyBorder="1" applyAlignment="1">
      <alignment horizontal="center" wrapText="1"/>
    </xf>
    <xf numFmtId="0" fontId="17" fillId="0" borderId="161" xfId="0" applyFont="1" applyBorder="1" applyAlignment="1">
      <alignment vertical="top" wrapText="1"/>
    </xf>
    <xf numFmtId="3" fontId="106" fillId="96" borderId="176" xfId="0" applyNumberFormat="1" applyFont="1" applyFill="1" applyBorder="1" applyAlignment="1">
      <alignment vertical="top" wrapText="1"/>
    </xf>
    <xf numFmtId="1" fontId="106" fillId="96" borderId="16" xfId="0" applyNumberFormat="1" applyFont="1" applyFill="1" applyBorder="1" applyAlignment="1">
      <alignment vertical="top" wrapText="1"/>
    </xf>
    <xf numFmtId="3" fontId="106" fillId="96" borderId="16" xfId="0" applyNumberFormat="1" applyFont="1" applyFill="1" applyBorder="1" applyAlignment="1">
      <alignment vertical="top" wrapText="1"/>
    </xf>
    <xf numFmtId="3" fontId="106" fillId="96" borderId="127" xfId="0" applyNumberFormat="1" applyFont="1" applyFill="1" applyBorder="1" applyAlignment="1">
      <alignment vertical="top" wrapText="1"/>
    </xf>
    <xf numFmtId="3" fontId="106" fillId="92" borderId="16" xfId="0" applyNumberFormat="1" applyFont="1" applyFill="1" applyBorder="1" applyAlignment="1">
      <alignment vertical="top" wrapText="1"/>
    </xf>
    <xf numFmtId="219" fontId="106" fillId="96" borderId="163" xfId="0" applyNumberFormat="1" applyFont="1" applyFill="1" applyBorder="1" applyAlignment="1">
      <alignment vertical="top" wrapText="1"/>
    </xf>
    <xf numFmtId="3" fontId="0" fillId="96" borderId="16" xfId="0" applyNumberFormat="1" applyFill="1" applyBorder="1"/>
    <xf numFmtId="3" fontId="0" fillId="92" borderId="16" xfId="0" applyNumberFormat="1" applyFill="1" applyBorder="1"/>
    <xf numFmtId="10" fontId="0" fillId="96" borderId="177" xfId="0" applyNumberFormat="1" applyFill="1" applyBorder="1"/>
    <xf numFmtId="0" fontId="17" fillId="97" borderId="161" xfId="0" applyFont="1" applyFill="1" applyBorder="1" applyAlignment="1">
      <alignment vertical="top" wrapText="1"/>
    </xf>
    <xf numFmtId="3" fontId="106" fillId="97" borderId="176" xfId="0" applyNumberFormat="1" applyFont="1" applyFill="1" applyBorder="1" applyAlignment="1">
      <alignment vertical="top" wrapText="1"/>
    </xf>
    <xf numFmtId="1" fontId="106" fillId="97" borderId="16" xfId="0" applyNumberFormat="1" applyFont="1" applyFill="1" applyBorder="1" applyAlignment="1">
      <alignment vertical="top" wrapText="1"/>
    </xf>
    <xf numFmtId="3" fontId="106" fillId="97" borderId="16" xfId="0" applyNumberFormat="1" applyFont="1" applyFill="1" applyBorder="1" applyAlignment="1">
      <alignment vertical="top" wrapText="1"/>
    </xf>
    <xf numFmtId="3" fontId="17" fillId="97" borderId="161" xfId="0" applyNumberFormat="1" applyFont="1" applyFill="1" applyBorder="1"/>
    <xf numFmtId="219" fontId="0" fillId="97" borderId="163" xfId="0" applyNumberFormat="1" applyFill="1" applyBorder="1" applyAlignment="1">
      <alignment horizontal="right" vertical="top" wrapText="1"/>
    </xf>
    <xf numFmtId="3" fontId="0" fillId="97" borderId="16" xfId="0" applyNumberFormat="1" applyFill="1" applyBorder="1"/>
    <xf numFmtId="3" fontId="0" fillId="97" borderId="16" xfId="12053" applyNumberFormat="1" applyFont="1" applyFill="1" applyBorder="1"/>
    <xf numFmtId="10" fontId="0" fillId="97" borderId="177" xfId="0" applyNumberFormat="1" applyFill="1" applyBorder="1"/>
    <xf numFmtId="0" fontId="0" fillId="0" borderId="0" xfId="0" applyFill="1"/>
    <xf numFmtId="0" fontId="17" fillId="92" borderId="161" xfId="0" applyFont="1" applyFill="1" applyBorder="1" applyAlignment="1">
      <alignment vertical="top" wrapText="1"/>
    </xf>
    <xf numFmtId="3" fontId="106" fillId="92" borderId="178" xfId="0" applyNumberFormat="1" applyFont="1" applyFill="1" applyBorder="1" applyAlignment="1">
      <alignment vertical="top" wrapText="1"/>
    </xf>
    <xf numFmtId="1" fontId="106" fillId="92" borderId="0" xfId="0" applyNumberFormat="1" applyFont="1" applyFill="1" applyBorder="1" applyAlignment="1">
      <alignment vertical="top" wrapText="1"/>
    </xf>
    <xf numFmtId="3" fontId="106" fillId="92" borderId="127" xfId="0" applyNumberFormat="1" applyFont="1" applyFill="1" applyBorder="1" applyAlignment="1">
      <alignment vertical="top" wrapText="1"/>
    </xf>
    <xf numFmtId="10" fontId="0" fillId="92" borderId="0" xfId="0" applyNumberFormat="1" applyFill="1" applyBorder="1" applyAlignment="1">
      <alignment horizontal="right" vertical="top" wrapText="1"/>
    </xf>
    <xf numFmtId="0" fontId="0" fillId="92" borderId="16" xfId="0" applyFill="1" applyBorder="1"/>
    <xf numFmtId="10" fontId="0" fillId="92" borderId="179" xfId="0" applyNumberFormat="1" applyFill="1" applyBorder="1"/>
    <xf numFmtId="219" fontId="0" fillId="96" borderId="162" xfId="0" applyNumberFormat="1" applyFill="1" applyBorder="1" applyAlignment="1">
      <alignment horizontal="right" vertical="top" wrapText="1"/>
    </xf>
    <xf numFmtId="1" fontId="0" fillId="96" borderId="16" xfId="0" applyNumberFormat="1" applyFill="1" applyBorder="1"/>
    <xf numFmtId="1" fontId="0" fillId="92" borderId="16" xfId="0" applyNumberFormat="1" applyFill="1" applyBorder="1"/>
    <xf numFmtId="3" fontId="106" fillId="97" borderId="127" xfId="0" applyNumberFormat="1" applyFont="1" applyFill="1" applyBorder="1" applyAlignment="1">
      <alignment vertical="top" wrapText="1"/>
    </xf>
    <xf numFmtId="219" fontId="0" fillId="97" borderId="162" xfId="0" applyNumberFormat="1" applyFill="1" applyBorder="1" applyAlignment="1">
      <alignment horizontal="right" vertical="top" wrapText="1"/>
    </xf>
    <xf numFmtId="1" fontId="106" fillId="92" borderId="178" xfId="0" applyNumberFormat="1" applyFont="1" applyFill="1" applyBorder="1" applyAlignment="1">
      <alignment vertical="top" wrapText="1"/>
    </xf>
    <xf numFmtId="3" fontId="106" fillId="92" borderId="0" xfId="0" applyNumberFormat="1" applyFont="1" applyFill="1" applyBorder="1" applyAlignment="1">
      <alignment vertical="top" wrapText="1"/>
    </xf>
    <xf numFmtId="219" fontId="0" fillId="92" borderId="0" xfId="0" applyNumberFormat="1" applyFill="1" applyBorder="1" applyAlignment="1">
      <alignment horizontal="right" vertical="top" wrapText="1"/>
    </xf>
    <xf numFmtId="1" fontId="106" fillId="96" borderId="176" xfId="0" applyNumberFormat="1" applyFont="1" applyFill="1" applyBorder="1" applyAlignment="1">
      <alignment vertical="top" wrapText="1"/>
    </xf>
    <xf numFmtId="1" fontId="17" fillId="96" borderId="176" xfId="0" applyNumberFormat="1" applyFont="1" applyFill="1" applyBorder="1" applyAlignment="1">
      <alignment vertical="top" wrapText="1"/>
    </xf>
    <xf numFmtId="3" fontId="17" fillId="96" borderId="16" xfId="0" applyNumberFormat="1" applyFont="1" applyFill="1" applyBorder="1" applyAlignment="1">
      <alignment vertical="top" wrapText="1"/>
    </xf>
    <xf numFmtId="3" fontId="17" fillId="92" borderId="16" xfId="0" applyNumberFormat="1" applyFont="1" applyFill="1" applyBorder="1"/>
    <xf numFmtId="3" fontId="17" fillId="97" borderId="16" xfId="0" applyNumberFormat="1" applyFont="1" applyFill="1" applyBorder="1"/>
    <xf numFmtId="0" fontId="0" fillId="0" borderId="180" xfId="0" applyBorder="1"/>
    <xf numFmtId="3" fontId="0" fillId="0" borderId="0" xfId="0" applyNumberFormat="1" applyBorder="1"/>
    <xf numFmtId="0" fontId="0" fillId="0" borderId="0" xfId="0" applyBorder="1"/>
    <xf numFmtId="219" fontId="0" fillId="0" borderId="0" xfId="0" applyNumberFormat="1" applyBorder="1"/>
    <xf numFmtId="10" fontId="0" fillId="0" borderId="179" xfId="0" applyNumberFormat="1" applyBorder="1"/>
    <xf numFmtId="1" fontId="17" fillId="97" borderId="176" xfId="0" applyNumberFormat="1" applyFont="1" applyFill="1" applyBorder="1" applyAlignment="1">
      <alignment vertical="top" wrapText="1"/>
    </xf>
    <xf numFmtId="3" fontId="17" fillId="97" borderId="16" xfId="0" applyNumberFormat="1" applyFont="1" applyFill="1" applyBorder="1" applyAlignment="1">
      <alignment vertical="top" wrapText="1"/>
    </xf>
    <xf numFmtId="0" fontId="17" fillId="0" borderId="161" xfId="0" applyFont="1" applyFill="1" applyBorder="1" applyAlignment="1">
      <alignment vertical="top" wrapText="1"/>
    </xf>
    <xf numFmtId="1" fontId="17" fillId="0" borderId="181" xfId="0" applyNumberFormat="1" applyFont="1" applyFill="1" applyBorder="1" applyAlignment="1">
      <alignment vertical="top" wrapText="1"/>
    </xf>
    <xf numFmtId="3" fontId="17" fillId="0" borderId="0" xfId="0" applyNumberFormat="1" applyFont="1" applyFill="1" applyBorder="1" applyAlignment="1">
      <alignment vertical="top" wrapText="1"/>
    </xf>
    <xf numFmtId="10" fontId="0" fillId="0" borderId="0" xfId="0" applyNumberFormat="1" applyFill="1" applyBorder="1" applyAlignment="1">
      <alignment horizontal="right" vertical="top" wrapText="1"/>
    </xf>
    <xf numFmtId="10" fontId="0" fillId="92" borderId="16" xfId="0" applyNumberFormat="1" applyFill="1" applyBorder="1" applyAlignment="1">
      <alignment horizontal="right" vertical="top" wrapText="1"/>
    </xf>
    <xf numFmtId="219" fontId="0" fillId="0" borderId="0" xfId="0" applyNumberFormat="1" applyFill="1" applyBorder="1" applyAlignment="1">
      <alignment horizontal="right" vertical="top" wrapText="1"/>
    </xf>
    <xf numFmtId="3" fontId="17" fillId="0" borderId="0" xfId="0" applyNumberFormat="1" applyFont="1" applyBorder="1"/>
    <xf numFmtId="1" fontId="17" fillId="96" borderId="16" xfId="0" applyNumberFormat="1" applyFont="1" applyFill="1" applyBorder="1" applyAlignment="1">
      <alignment vertical="top" wrapText="1"/>
    </xf>
    <xf numFmtId="219" fontId="0" fillId="96" borderId="16" xfId="0" applyNumberFormat="1" applyFill="1" applyBorder="1" applyAlignment="1">
      <alignment horizontal="right" vertical="top" wrapText="1"/>
    </xf>
    <xf numFmtId="3" fontId="0" fillId="92" borderId="16" xfId="12053" applyNumberFormat="1" applyFont="1" applyFill="1" applyBorder="1"/>
    <xf numFmtId="1" fontId="17" fillId="92" borderId="178" xfId="0" applyNumberFormat="1" applyFont="1" applyFill="1" applyBorder="1" applyAlignment="1">
      <alignment vertical="top" wrapText="1"/>
    </xf>
    <xf numFmtId="3" fontId="17" fillId="92" borderId="0" xfId="0" applyNumberFormat="1" applyFont="1" applyFill="1" applyBorder="1" applyAlignment="1">
      <alignment vertical="top" wrapText="1"/>
    </xf>
    <xf numFmtId="0" fontId="17" fillId="92" borderId="0" xfId="0" applyFont="1" applyFill="1" applyBorder="1"/>
    <xf numFmtId="0" fontId="17" fillId="92" borderId="16" xfId="0" applyFont="1" applyFill="1" applyBorder="1"/>
    <xf numFmtId="3" fontId="0" fillId="97" borderId="161" xfId="12053" applyNumberFormat="1" applyFont="1" applyFill="1" applyBorder="1"/>
    <xf numFmtId="0" fontId="17" fillId="97" borderId="16" xfId="0" applyFont="1" applyFill="1" applyBorder="1"/>
    <xf numFmtId="0" fontId="17" fillId="0" borderId="0" xfId="0" applyFont="1" applyBorder="1"/>
    <xf numFmtId="0" fontId="0" fillId="0" borderId="18" xfId="0" applyBorder="1"/>
    <xf numFmtId="0" fontId="0" fillId="92" borderId="18" xfId="0" applyFill="1" applyBorder="1"/>
    <xf numFmtId="10" fontId="0" fillId="0" borderId="182" xfId="0" applyNumberFormat="1" applyBorder="1"/>
    <xf numFmtId="0" fontId="41" fillId="0" borderId="172" xfId="0" applyFont="1" applyFill="1" applyBorder="1" applyAlignment="1">
      <alignment vertical="top" wrapText="1"/>
    </xf>
    <xf numFmtId="3" fontId="41" fillId="96" borderId="183" xfId="0" applyNumberFormat="1" applyFont="1" applyFill="1" applyBorder="1" applyAlignment="1">
      <alignment vertical="top" wrapText="1"/>
    </xf>
    <xf numFmtId="3" fontId="41" fillId="96" borderId="184" xfId="0" applyNumberFormat="1" applyFont="1" applyFill="1" applyBorder="1" applyAlignment="1">
      <alignment vertical="top" wrapText="1"/>
    </xf>
    <xf numFmtId="3" fontId="41" fillId="96" borderId="185" xfId="0" applyNumberFormat="1" applyFont="1" applyFill="1" applyBorder="1" applyAlignment="1">
      <alignment vertical="top" wrapText="1"/>
    </xf>
    <xf numFmtId="3" fontId="41" fillId="92" borderId="16" xfId="0" applyNumberFormat="1" applyFont="1" applyFill="1" applyBorder="1" applyAlignment="1">
      <alignment vertical="top" wrapText="1"/>
    </xf>
    <xf numFmtId="219" fontId="41" fillId="96" borderId="186" xfId="0" applyNumberFormat="1" applyFont="1" applyFill="1" applyBorder="1" applyAlignment="1">
      <alignment vertical="top" wrapText="1"/>
    </xf>
    <xf numFmtId="3" fontId="41" fillId="92" borderId="184" xfId="0" applyNumberFormat="1" applyFont="1" applyFill="1" applyBorder="1" applyAlignment="1">
      <alignment vertical="top" wrapText="1"/>
    </xf>
    <xf numFmtId="10" fontId="41" fillId="96" borderId="173" xfId="0" applyNumberFormat="1" applyFont="1" applyFill="1" applyBorder="1"/>
    <xf numFmtId="0" fontId="41" fillId="0" borderId="0" xfId="0" applyFont="1" applyFill="1" applyBorder="1" applyAlignment="1">
      <alignment vertical="top" wrapText="1"/>
    </xf>
    <xf numFmtId="3" fontId="41" fillId="0" borderId="0" xfId="0" applyNumberFormat="1" applyFont="1" applyFill="1" applyBorder="1" applyAlignment="1">
      <alignment vertical="top" wrapText="1"/>
    </xf>
    <xf numFmtId="10" fontId="41" fillId="0" borderId="0" xfId="0" applyNumberFormat="1" applyFont="1" applyFill="1" applyBorder="1" applyAlignment="1">
      <alignment horizontal="center" vertical="top" wrapText="1"/>
    </xf>
    <xf numFmtId="10" fontId="41" fillId="92" borderId="0" xfId="0" applyNumberFormat="1" applyFont="1" applyFill="1" applyBorder="1" applyAlignment="1">
      <alignment horizontal="center" vertical="top" wrapText="1"/>
    </xf>
    <xf numFmtId="0" fontId="17" fillId="0" borderId="0" xfId="0" applyFont="1" applyFill="1"/>
    <xf numFmtId="0" fontId="17" fillId="92" borderId="0" xfId="0" applyFont="1" applyFill="1"/>
    <xf numFmtId="3" fontId="41" fillId="0" borderId="0" xfId="0" applyNumberFormat="1" applyFont="1" applyFill="1" applyBorder="1" applyAlignment="1">
      <alignment horizontal="center" vertical="top" wrapText="1"/>
    </xf>
    <xf numFmtId="0" fontId="0" fillId="0" borderId="0" xfId="0" applyFill="1" applyBorder="1"/>
    <xf numFmtId="43" fontId="261" fillId="0" borderId="0" xfId="20268" applyFont="1" applyFill="1" applyBorder="1"/>
    <xf numFmtId="0" fontId="261" fillId="0" borderId="0" xfId="0" applyFont="1"/>
    <xf numFmtId="0" fontId="261" fillId="92" borderId="0" xfId="0" applyFont="1" applyFill="1" applyBorder="1"/>
    <xf numFmtId="0" fontId="0" fillId="0" borderId="0" xfId="0" applyFill="1" applyBorder="1" applyAlignment="1">
      <alignment horizontal="center"/>
    </xf>
    <xf numFmtId="0" fontId="17" fillId="0" borderId="0" xfId="0" applyFont="1" applyFill="1" applyBorder="1" applyAlignment="1">
      <alignment horizontal="left" wrapText="1"/>
    </xf>
    <xf numFmtId="219" fontId="0" fillId="0" borderId="0" xfId="0" applyNumberFormat="1" applyFill="1" applyBorder="1"/>
    <xf numFmtId="0" fontId="0" fillId="0" borderId="0" xfId="0" applyAlignment="1">
      <alignment vertical="top" wrapText="1"/>
    </xf>
    <xf numFmtId="0" fontId="0" fillId="92" borderId="0" xfId="0" applyFill="1" applyAlignment="1">
      <alignment vertical="top" wrapText="1"/>
    </xf>
    <xf numFmtId="0" fontId="17" fillId="0" borderId="0" xfId="0" applyFont="1" applyFill="1" applyBorder="1" applyAlignment="1">
      <alignment horizontal="right"/>
    </xf>
    <xf numFmtId="0" fontId="67" fillId="0" borderId="0" xfId="0" applyFont="1" applyFill="1" applyBorder="1" applyAlignment="1">
      <alignment horizontal="right"/>
    </xf>
    <xf numFmtId="0" fontId="41" fillId="0" borderId="0" xfId="0" applyFont="1" applyAlignment="1">
      <alignment horizontal="right"/>
    </xf>
    <xf numFmtId="3" fontId="0" fillId="0" borderId="187" xfId="0" applyNumberFormat="1" applyBorder="1"/>
    <xf numFmtId="243" fontId="0" fillId="74" borderId="187" xfId="0" applyNumberFormat="1" applyFill="1" applyBorder="1" applyAlignment="1">
      <alignment horizontal="right"/>
    </xf>
    <xf numFmtId="0" fontId="147" fillId="0" borderId="0" xfId="0" applyFont="1"/>
    <xf numFmtId="0" fontId="0" fillId="0" borderId="183" xfId="0" applyBorder="1"/>
    <xf numFmtId="0" fontId="0" fillId="0" borderId="184" xfId="0" applyBorder="1"/>
    <xf numFmtId="0" fontId="0" fillId="0" borderId="190" xfId="0" applyBorder="1"/>
    <xf numFmtId="0" fontId="0" fillId="0" borderId="174" xfId="0" applyBorder="1"/>
    <xf numFmtId="0" fontId="0" fillId="0" borderId="32" xfId="0" applyBorder="1"/>
    <xf numFmtId="243" fontId="0" fillId="0" borderId="32" xfId="0" applyNumberFormat="1" applyBorder="1"/>
    <xf numFmtId="15" fontId="0" fillId="0" borderId="32" xfId="0" applyNumberFormat="1" applyBorder="1"/>
    <xf numFmtId="0" fontId="0" fillId="0" borderId="175" xfId="0" applyBorder="1"/>
    <xf numFmtId="0" fontId="0" fillId="0" borderId="176" xfId="0" applyBorder="1"/>
    <xf numFmtId="0" fontId="0" fillId="0" borderId="16" xfId="0" applyBorder="1"/>
    <xf numFmtId="243" fontId="0" fillId="0" borderId="16" xfId="0" applyNumberFormat="1" applyBorder="1"/>
    <xf numFmtId="15" fontId="0" fillId="0" borderId="16" xfId="0" applyNumberFormat="1" applyBorder="1"/>
    <xf numFmtId="1" fontId="0" fillId="0" borderId="16" xfId="0" applyNumberFormat="1" applyBorder="1"/>
    <xf numFmtId="15" fontId="0" fillId="0" borderId="177" xfId="0" applyNumberFormat="1" applyBorder="1"/>
    <xf numFmtId="0" fontId="0" fillId="0" borderId="177" xfId="0" applyBorder="1"/>
    <xf numFmtId="0" fontId="0" fillId="0" borderId="191" xfId="0" applyBorder="1"/>
    <xf numFmtId="0" fontId="0" fillId="0" borderId="192" xfId="0" applyBorder="1"/>
    <xf numFmtId="243" fontId="0" fillId="0" borderId="192" xfId="0" applyNumberFormat="1" applyBorder="1"/>
    <xf numFmtId="15" fontId="0" fillId="0" borderId="192" xfId="0" applyNumberFormat="1" applyBorder="1"/>
    <xf numFmtId="0" fontId="0" fillId="0" borderId="193" xfId="0" applyBorder="1"/>
    <xf numFmtId="43" fontId="0" fillId="0" borderId="0" xfId="12427" applyFont="1"/>
    <xf numFmtId="0" fontId="227" fillId="72" borderId="163" xfId="0" applyFont="1" applyFill="1" applyBorder="1" applyAlignment="1">
      <alignment horizontal="right" wrapText="1"/>
    </xf>
    <xf numFmtId="0" fontId="227" fillId="72" borderId="162" xfId="0" applyFont="1" applyFill="1" applyBorder="1" applyAlignment="1">
      <alignment horizontal="right" wrapText="1"/>
    </xf>
    <xf numFmtId="0" fontId="265" fillId="91" borderId="161" xfId="0" applyFont="1" applyFill="1" applyBorder="1"/>
    <xf numFmtId="0" fontId="0" fillId="91" borderId="162" xfId="0" applyFill="1" applyBorder="1"/>
    <xf numFmtId="0" fontId="0" fillId="91" borderId="163" xfId="0" applyFill="1" applyBorder="1"/>
    <xf numFmtId="0" fontId="264" fillId="0" borderId="0" xfId="0" applyFont="1"/>
    <xf numFmtId="243" fontId="0" fillId="0" borderId="0" xfId="0" applyNumberFormat="1"/>
    <xf numFmtId="41" fontId="0" fillId="0" borderId="0" xfId="0" applyNumberFormat="1"/>
    <xf numFmtId="0" fontId="216" fillId="0" borderId="151" xfId="0" applyFont="1" applyBorder="1"/>
    <xf numFmtId="0" fontId="216" fillId="0" borderId="50" xfId="0" applyFont="1" applyBorder="1"/>
    <xf numFmtId="42" fontId="17" fillId="0" borderId="0" xfId="0" applyNumberFormat="1" applyFont="1" applyFill="1"/>
    <xf numFmtId="167" fontId="222" fillId="0" borderId="0" xfId="12427" applyNumberFormat="1" applyFont="1" applyAlignment="1">
      <alignment horizontal="right"/>
    </xf>
    <xf numFmtId="49" fontId="266" fillId="0" borderId="0" xfId="20404" applyNumberFormat="1" applyFont="1" applyAlignment="1">
      <alignment horizontal="center"/>
    </xf>
    <xf numFmtId="49" fontId="266" fillId="0" borderId="41" xfId="20404" applyNumberFormat="1" applyFont="1" applyBorder="1" applyAlignment="1">
      <alignment horizontal="center"/>
    </xf>
    <xf numFmtId="0" fontId="1" fillId="0" borderId="0" xfId="20404"/>
    <xf numFmtId="49" fontId="266" fillId="0" borderId="0" xfId="20404" applyNumberFormat="1" applyFont="1"/>
    <xf numFmtId="0" fontId="267" fillId="0" borderId="0" xfId="20404" applyNumberFormat="1" applyFont="1"/>
    <xf numFmtId="0" fontId="267" fillId="0" borderId="18" xfId="20404" applyNumberFormat="1" applyFont="1" applyBorder="1"/>
    <xf numFmtId="0" fontId="267" fillId="0" borderId="0" xfId="20404" applyNumberFormat="1" applyFont="1" applyBorder="1"/>
    <xf numFmtId="0" fontId="267" fillId="0" borderId="97" xfId="20404" applyNumberFormat="1" applyFont="1" applyBorder="1"/>
    <xf numFmtId="0" fontId="267" fillId="0" borderId="40" xfId="20404" applyNumberFormat="1" applyFont="1" applyBorder="1"/>
    <xf numFmtId="0" fontId="266" fillId="0" borderId="194" xfId="20404" applyNumberFormat="1" applyFont="1" applyBorder="1"/>
    <xf numFmtId="0" fontId="266" fillId="0" borderId="0" xfId="20404" applyNumberFormat="1" applyFont="1"/>
    <xf numFmtId="0" fontId="1" fillId="0" borderId="0" xfId="20404" applyNumberFormat="1"/>
    <xf numFmtId="0" fontId="1" fillId="0" borderId="0" xfId="20404" applyAlignment="1">
      <alignment horizontal="center"/>
    </xf>
    <xf numFmtId="0" fontId="266" fillId="0" borderId="0" xfId="20404" applyFont="1"/>
    <xf numFmtId="4" fontId="267" fillId="0" borderId="0" xfId="20404" applyNumberFormat="1" applyFont="1" applyBorder="1"/>
    <xf numFmtId="4" fontId="267" fillId="0" borderId="97" xfId="20404" applyNumberFormat="1" applyFont="1" applyBorder="1"/>
    <xf numFmtId="4" fontId="267" fillId="0" borderId="0" xfId="20404" applyNumberFormat="1" applyFont="1"/>
    <xf numFmtId="4" fontId="267" fillId="0" borderId="18" xfId="20404" applyNumberFormat="1" applyFont="1" applyBorder="1"/>
    <xf numFmtId="4" fontId="267" fillId="0" borderId="40" xfId="20404" applyNumberFormat="1" applyFont="1" applyBorder="1"/>
    <xf numFmtId="4" fontId="267" fillId="0" borderId="162" xfId="20404" applyNumberFormat="1" applyFont="1" applyBorder="1"/>
    <xf numFmtId="0" fontId="266" fillId="0" borderId="162" xfId="20404" applyNumberFormat="1" applyFont="1" applyBorder="1"/>
    <xf numFmtId="0" fontId="266" fillId="0" borderId="14" xfId="20404" applyNumberFormat="1" applyFont="1" applyBorder="1"/>
    <xf numFmtId="4" fontId="266" fillId="0" borderId="194" xfId="20404" applyNumberFormat="1" applyFont="1" applyBorder="1"/>
    <xf numFmtId="4" fontId="266" fillId="0" borderId="14" xfId="20404" applyNumberFormat="1" applyFont="1" applyBorder="1"/>
    <xf numFmtId="4" fontId="266" fillId="0" borderId="162" xfId="20404" applyNumberFormat="1" applyFont="1" applyBorder="1"/>
    <xf numFmtId="4" fontId="1" fillId="0" borderId="0" xfId="20404" applyNumberFormat="1"/>
    <xf numFmtId="4" fontId="267" fillId="0" borderId="195" xfId="20404" applyNumberFormat="1" applyFont="1" applyBorder="1"/>
    <xf numFmtId="4" fontId="267" fillId="0" borderId="95" xfId="20404" applyNumberFormat="1" applyFont="1" applyBorder="1"/>
    <xf numFmtId="2" fontId="267" fillId="0" borderId="0" xfId="20404" applyNumberFormat="1" applyFont="1" applyBorder="1"/>
    <xf numFmtId="2" fontId="267" fillId="0" borderId="95" xfId="20404" applyNumberFormat="1" applyFont="1" applyBorder="1"/>
    <xf numFmtId="0" fontId="36" fillId="0" borderId="0" xfId="0" applyFont="1" applyBorder="1" applyAlignment="1">
      <alignment horizontal="left"/>
    </xf>
    <xf numFmtId="0" fontId="29" fillId="0" borderId="0" xfId="0" applyFont="1"/>
    <xf numFmtId="0" fontId="29" fillId="0" borderId="0" xfId="0" applyFont="1" applyAlignment="1">
      <alignment horizontal="center"/>
    </xf>
    <xf numFmtId="0" fontId="269" fillId="0" borderId="0" xfId="0" applyFont="1" applyFill="1" applyBorder="1" applyAlignment="1">
      <alignment horizontal="left" indent="1"/>
    </xf>
    <xf numFmtId="219" fontId="270" fillId="0" borderId="0" xfId="0" applyNumberFormat="1" applyFont="1" applyFill="1" applyBorder="1"/>
    <xf numFmtId="219" fontId="270" fillId="0" borderId="0" xfId="0" applyNumberFormat="1" applyFont="1" applyFill="1" applyBorder="1" applyAlignment="1">
      <alignment horizontal="right"/>
    </xf>
    <xf numFmtId="0" fontId="29" fillId="0" borderId="0" xfId="0" applyFont="1" applyFill="1" applyAlignment="1">
      <alignment horizontal="center"/>
    </xf>
    <xf numFmtId="0" fontId="29" fillId="0" borderId="0" xfId="0" applyFont="1" applyFill="1"/>
    <xf numFmtId="0" fontId="29" fillId="99" borderId="0" xfId="0" applyFont="1" applyFill="1"/>
    <xf numFmtId="0" fontId="29" fillId="0" borderId="0" xfId="0" applyFont="1" applyBorder="1" applyAlignment="1">
      <alignment horizontal="center"/>
    </xf>
    <xf numFmtId="0" fontId="36" fillId="75" borderId="0" xfId="0" applyFont="1" applyFill="1" applyBorder="1"/>
    <xf numFmtId="0" fontId="36" fillId="0" borderId="0" xfId="0" applyFont="1" applyFill="1" applyBorder="1"/>
    <xf numFmtId="0" fontId="29" fillId="75" borderId="0" xfId="0" applyFont="1" applyFill="1"/>
    <xf numFmtId="0" fontId="36" fillId="0" borderId="45" xfId="0" applyFont="1" applyFill="1" applyBorder="1"/>
    <xf numFmtId="0" fontId="36" fillId="0" borderId="45" xfId="0" applyFont="1" applyFill="1" applyBorder="1" applyAlignment="1">
      <alignment horizontal="center"/>
    </xf>
    <xf numFmtId="0" fontId="29" fillId="0" borderId="45" xfId="0" applyFont="1" applyBorder="1"/>
    <xf numFmtId="0" fontId="29" fillId="75" borderId="45" xfId="0" applyFont="1" applyFill="1" applyBorder="1"/>
    <xf numFmtId="0" fontId="29" fillId="0" borderId="0" xfId="0" applyFont="1" applyBorder="1" applyAlignment="1">
      <alignment horizontal="left" indent="1"/>
    </xf>
    <xf numFmtId="219" fontId="29" fillId="0" borderId="0" xfId="0" applyNumberFormat="1" applyFont="1" applyBorder="1"/>
    <xf numFmtId="219" fontId="29" fillId="75" borderId="0" xfId="0" applyNumberFormat="1" applyFont="1" applyFill="1"/>
    <xf numFmtId="219" fontId="29" fillId="0" borderId="0" xfId="0" applyNumberFormat="1" applyFont="1"/>
    <xf numFmtId="0" fontId="36" fillId="0" borderId="0" xfId="0" applyFont="1" applyFill="1" applyBorder="1" applyAlignment="1">
      <alignment horizontal="left"/>
    </xf>
    <xf numFmtId="10" fontId="270" fillId="0" borderId="0" xfId="0" applyNumberFormat="1" applyFont="1" applyBorder="1" applyAlignment="1">
      <alignment horizontal="left" indent="1"/>
    </xf>
    <xf numFmtId="219" fontId="29" fillId="75" borderId="0" xfId="0" applyNumberFormat="1" applyFont="1" applyFill="1" applyBorder="1"/>
    <xf numFmtId="0" fontId="29" fillId="0" borderId="0" xfId="0" applyFont="1" applyBorder="1"/>
    <xf numFmtId="219" fontId="29" fillId="0" borderId="0" xfId="0" applyNumberFormat="1" applyFont="1" applyBorder="1" applyAlignment="1"/>
    <xf numFmtId="0" fontId="29" fillId="0" borderId="0" xfId="0" applyFont="1" applyAlignment="1">
      <alignment horizontal="left" indent="1"/>
    </xf>
    <xf numFmtId="0" fontId="36" fillId="0" borderId="0" xfId="0" applyFont="1"/>
    <xf numFmtId="0" fontId="36" fillId="0" borderId="0" xfId="0" applyFont="1" applyBorder="1"/>
    <xf numFmtId="219" fontId="36" fillId="0" borderId="0" xfId="0" applyNumberFormat="1" applyFont="1" applyBorder="1"/>
    <xf numFmtId="0" fontId="36" fillId="0" borderId="0" xfId="0" applyFont="1" applyFill="1" applyBorder="1" applyAlignment="1">
      <alignment horizontal="left" indent="1"/>
    </xf>
    <xf numFmtId="219" fontId="29" fillId="0" borderId="0" xfId="0" applyNumberFormat="1" applyFont="1" applyFill="1" applyBorder="1"/>
    <xf numFmtId="0" fontId="36" fillId="0" borderId="0" xfId="0" applyFont="1" applyBorder="1" applyAlignment="1">
      <alignment horizontal="left" indent="1"/>
    </xf>
    <xf numFmtId="219" fontId="36" fillId="75" borderId="0" xfId="0" applyNumberFormat="1" applyFont="1" applyFill="1"/>
    <xf numFmtId="0" fontId="168" fillId="0" borderId="0" xfId="0" applyFont="1" applyFill="1" applyBorder="1"/>
    <xf numFmtId="6" fontId="168" fillId="0" borderId="0" xfId="0" applyNumberFormat="1" applyFont="1" applyFill="1" applyBorder="1"/>
    <xf numFmtId="6" fontId="168" fillId="75" borderId="0" xfId="0" applyNumberFormat="1" applyFont="1" applyFill="1" applyBorder="1"/>
    <xf numFmtId="0" fontId="36" fillId="75" borderId="162" xfId="0" applyFont="1" applyFill="1" applyBorder="1"/>
    <xf numFmtId="0" fontId="29" fillId="0" borderId="162" xfId="0" applyNumberFormat="1" applyFont="1" applyBorder="1"/>
    <xf numFmtId="6" fontId="270" fillId="0" borderId="162" xfId="0" applyNumberFormat="1" applyFont="1" applyBorder="1"/>
    <xf numFmtId="0" fontId="29" fillId="0" borderId="162" xfId="0" applyFont="1" applyBorder="1"/>
    <xf numFmtId="6" fontId="36" fillId="0" borderId="162" xfId="0" applyNumberFormat="1" applyFont="1" applyBorder="1"/>
    <xf numFmtId="38" fontId="36" fillId="75" borderId="162" xfId="0" applyNumberFormat="1" applyFont="1" applyFill="1" applyBorder="1"/>
    <xf numFmtId="6" fontId="29" fillId="0" borderId="0" xfId="0" applyNumberFormat="1" applyFont="1"/>
    <xf numFmtId="0" fontId="36" fillId="75" borderId="0" xfId="0" applyFont="1" applyFill="1"/>
    <xf numFmtId="0" fontId="29" fillId="0" borderId="0" xfId="0" applyFont="1" applyAlignment="1">
      <alignment horizontal="left"/>
    </xf>
    <xf numFmtId="0" fontId="270" fillId="0" borderId="0" xfId="0" applyNumberFormat="1" applyFont="1"/>
    <xf numFmtId="0" fontId="270" fillId="0" borderId="0" xfId="0" applyFont="1"/>
    <xf numFmtId="219" fontId="271" fillId="74" borderId="0" xfId="0" applyNumberFormat="1" applyFont="1" applyFill="1"/>
    <xf numFmtId="219" fontId="29" fillId="0" borderId="0" xfId="0" applyNumberFormat="1" applyFont="1" applyFill="1"/>
    <xf numFmtId="219" fontId="271" fillId="0" borderId="0" xfId="0" applyNumberFormat="1" applyFont="1" applyFill="1"/>
    <xf numFmtId="243" fontId="29" fillId="0" borderId="0" xfId="0" applyNumberFormat="1" applyFont="1"/>
    <xf numFmtId="0" fontId="36" fillId="75" borderId="0" xfId="0" applyFont="1" applyFill="1" applyAlignment="1">
      <alignment horizontal="left"/>
    </xf>
    <xf numFmtId="219" fontId="29" fillId="0" borderId="0" xfId="0" applyNumberFormat="1" applyFont="1" applyAlignment="1">
      <alignment horizontal="left" indent="1"/>
    </xf>
    <xf numFmtId="6" fontId="270" fillId="0" borderId="0" xfId="0" applyNumberFormat="1" applyFont="1" applyBorder="1"/>
    <xf numFmtId="0" fontId="29" fillId="0" borderId="45" xfId="0" applyFont="1" applyBorder="1" applyAlignment="1">
      <alignment horizontal="left" indent="1"/>
    </xf>
    <xf numFmtId="9" fontId="270" fillId="0" borderId="45" xfId="0" applyNumberFormat="1" applyFont="1" applyBorder="1"/>
    <xf numFmtId="219" fontId="29" fillId="0" borderId="45" xfId="0" applyNumberFormat="1" applyFont="1" applyBorder="1"/>
    <xf numFmtId="9" fontId="29" fillId="0" borderId="0" xfId="0" applyNumberFormat="1" applyFont="1"/>
    <xf numFmtId="219" fontId="29" fillId="0" borderId="0" xfId="0" quotePrefix="1" applyNumberFormat="1" applyFont="1"/>
    <xf numFmtId="0" fontId="29" fillId="0" borderId="60" xfId="0" applyFont="1" applyBorder="1" applyAlignment="1">
      <alignment horizontal="left" indent="1"/>
    </xf>
    <xf numFmtId="219" fontId="270" fillId="0" borderId="0" xfId="0" applyNumberFormat="1" applyFont="1"/>
    <xf numFmtId="0" fontId="29" fillId="0" borderId="0" xfId="0" applyFont="1" applyBorder="1" applyAlignment="1">
      <alignment horizontal="left"/>
    </xf>
    <xf numFmtId="169" fontId="232" fillId="0" borderId="0" xfId="0" applyNumberFormat="1" applyFont="1" applyBorder="1"/>
    <xf numFmtId="0" fontId="215" fillId="0" borderId="0" xfId="0" quotePrefix="1" applyFont="1" applyFill="1" applyAlignment="1">
      <alignment horizontal="left"/>
    </xf>
    <xf numFmtId="243" fontId="222" fillId="0" borderId="65" xfId="0" applyNumberFormat="1" applyFont="1" applyBorder="1"/>
    <xf numFmtId="0" fontId="215" fillId="0" borderId="0" xfId="0" applyFont="1" applyAlignment="1">
      <alignment horizontal="left" vertical="top"/>
    </xf>
    <xf numFmtId="8" fontId="215" fillId="0" borderId="0" xfId="0" applyNumberFormat="1" applyFont="1" applyAlignment="1">
      <alignment vertical="top"/>
    </xf>
    <xf numFmtId="0" fontId="221" fillId="0" borderId="0" xfId="0" applyFont="1" applyAlignment="1">
      <alignment vertical="top"/>
    </xf>
    <xf numFmtId="0" fontId="221" fillId="0" borderId="0" xfId="0" applyFont="1" applyAlignment="1">
      <alignment horizontal="left" vertical="top"/>
    </xf>
    <xf numFmtId="243" fontId="222" fillId="0" borderId="0" xfId="0" applyNumberFormat="1" applyFont="1" applyAlignment="1">
      <alignment vertical="top"/>
    </xf>
    <xf numFmtId="234" fontId="233" fillId="0" borderId="0" xfId="0" applyNumberFormat="1" applyFont="1" applyAlignment="1">
      <alignment horizontal="right" vertical="top"/>
    </xf>
    <xf numFmtId="0" fontId="227" fillId="72" borderId="162" xfId="0" applyFont="1" applyFill="1" applyBorder="1"/>
    <xf numFmtId="0" fontId="240" fillId="72" borderId="162" xfId="0" applyFont="1" applyFill="1" applyBorder="1" applyAlignment="1">
      <alignment horizontal="center" wrapText="1"/>
    </xf>
    <xf numFmtId="8" fontId="229" fillId="0" borderId="0" xfId="0" applyNumberFormat="1" applyFont="1" applyFill="1"/>
    <xf numFmtId="358" fontId="215" fillId="0" borderId="0" xfId="0" applyNumberFormat="1" applyFont="1" applyBorder="1"/>
    <xf numFmtId="0" fontId="240" fillId="72" borderId="0" xfId="0" applyFont="1" applyFill="1" applyBorder="1" applyAlignment="1">
      <alignment horizontal="center" wrapText="1"/>
    </xf>
    <xf numFmtId="243" fontId="215" fillId="0" borderId="0" xfId="12422" applyNumberFormat="1" applyFont="1" applyBorder="1"/>
    <xf numFmtId="0" fontId="217" fillId="0" borderId="16" xfId="0" applyFont="1" applyBorder="1"/>
    <xf numFmtId="8" fontId="215" fillId="0" borderId="0" xfId="0" applyNumberFormat="1" applyFont="1" applyFill="1" applyAlignment="1">
      <alignment horizontal="right"/>
    </xf>
    <xf numFmtId="0" fontId="227" fillId="72" borderId="161" xfId="0" applyFont="1" applyFill="1" applyBorder="1" applyAlignment="1">
      <alignment horizontal="centerContinuous"/>
    </xf>
    <xf numFmtId="0" fontId="227" fillId="72" borderId="163" xfId="0" applyFont="1" applyFill="1" applyBorder="1" applyAlignment="1">
      <alignment horizontal="centerContinuous"/>
    </xf>
    <xf numFmtId="1" fontId="232" fillId="0" borderId="161" xfId="0" applyNumberFormat="1" applyFont="1" applyFill="1" applyBorder="1" applyAlignment="1">
      <alignment horizontal="right"/>
    </xf>
    <xf numFmtId="1" fontId="232" fillId="0" borderId="163" xfId="0" applyNumberFormat="1" applyFont="1" applyFill="1" applyBorder="1" applyAlignment="1">
      <alignment horizontal="right"/>
    </xf>
    <xf numFmtId="1" fontId="232" fillId="0" borderId="162" xfId="0" applyNumberFormat="1" applyFont="1" applyFill="1" applyBorder="1" applyAlignment="1">
      <alignment horizontal="right"/>
    </xf>
    <xf numFmtId="0" fontId="227" fillId="72" borderId="161" xfId="0" applyFont="1" applyFill="1" applyBorder="1"/>
    <xf numFmtId="43" fontId="240" fillId="86" borderId="162" xfId="0" applyNumberFormat="1" applyFont="1" applyFill="1" applyBorder="1"/>
    <xf numFmtId="0" fontId="240" fillId="72" borderId="161" xfId="0" applyFont="1" applyFill="1" applyBorder="1" applyAlignment="1">
      <alignment horizontal="center" wrapText="1"/>
    </xf>
    <xf numFmtId="43" fontId="258" fillId="0" borderId="0" xfId="11155" applyFont="1" applyFill="1" applyBorder="1" applyAlignment="1"/>
    <xf numFmtId="0" fontId="227" fillId="72" borderId="196" xfId="0" applyFont="1" applyFill="1" applyBorder="1" applyAlignment="1">
      <alignment horizontal="center"/>
    </xf>
    <xf numFmtId="165" fontId="228" fillId="0" borderId="0" xfId="0" applyNumberFormat="1" applyFont="1" applyFill="1" applyAlignment="1">
      <alignment horizontal="right"/>
    </xf>
    <xf numFmtId="9" fontId="215" fillId="0" borderId="0" xfId="0" applyNumberFormat="1" applyFont="1"/>
    <xf numFmtId="0" fontId="227" fillId="0" borderId="0" xfId="0" applyFont="1" applyFill="1" applyBorder="1" applyAlignment="1">
      <alignment horizontal="right"/>
    </xf>
    <xf numFmtId="0" fontId="227" fillId="72" borderId="196" xfId="0" applyFont="1" applyFill="1" applyBorder="1" applyAlignment="1">
      <alignment horizontal="right" vertical="center" wrapText="1"/>
    </xf>
    <xf numFmtId="169" fontId="228" fillId="0" borderId="0" xfId="0" applyNumberFormat="1" applyFont="1" applyFill="1"/>
    <xf numFmtId="167" fontId="228" fillId="0" borderId="0" xfId="12427" applyNumberFormat="1" applyFont="1" applyFill="1" applyAlignment="1">
      <alignment horizontal="right"/>
    </xf>
    <xf numFmtId="169" fontId="215" fillId="0" borderId="0" xfId="0" quotePrefix="1" applyNumberFormat="1" applyFont="1" applyAlignment="1">
      <alignment horizontal="center"/>
    </xf>
    <xf numFmtId="0" fontId="216" fillId="0" borderId="199" xfId="0" applyFont="1" applyBorder="1" applyAlignment="1">
      <alignment horizontal="left"/>
    </xf>
    <xf numFmtId="0" fontId="216" fillId="0" borderId="199" xfId="0" applyFont="1" applyBorder="1"/>
    <xf numFmtId="167" fontId="232" fillId="0" borderId="199" xfId="12427" applyNumberFormat="1" applyFont="1" applyFill="1" applyBorder="1" applyAlignment="1">
      <alignment horizontal="right"/>
    </xf>
    <xf numFmtId="0" fontId="216" fillId="0" borderId="0" xfId="0" applyFont="1" applyBorder="1" applyAlignment="1">
      <alignment horizontal="left"/>
    </xf>
    <xf numFmtId="167" fontId="232" fillId="0" borderId="0" xfId="12427" applyNumberFormat="1" applyFont="1" applyFill="1" applyBorder="1" applyAlignment="1">
      <alignment horizontal="right"/>
    </xf>
    <xf numFmtId="0" fontId="232" fillId="0" borderId="0" xfId="0" quotePrefix="1" applyFont="1" applyAlignment="1">
      <alignment wrapText="1"/>
    </xf>
    <xf numFmtId="165" fontId="215" fillId="0" borderId="0" xfId="0" applyNumberFormat="1" applyFont="1" applyFill="1"/>
    <xf numFmtId="167" fontId="233" fillId="0" borderId="0" xfId="12427" applyNumberFormat="1" applyFont="1" applyFill="1" applyAlignment="1">
      <alignment horizontal="right"/>
    </xf>
    <xf numFmtId="167" fontId="216" fillId="0" borderId="0" xfId="12427" applyNumberFormat="1" applyFont="1" applyFill="1" applyBorder="1" applyAlignment="1">
      <alignment horizontal="center"/>
    </xf>
    <xf numFmtId="167" fontId="216" fillId="0" borderId="0" xfId="12427" applyNumberFormat="1" applyFont="1" applyBorder="1" applyAlignment="1">
      <alignment horizontal="center"/>
    </xf>
    <xf numFmtId="0" fontId="216" fillId="0" borderId="199" xfId="0" applyFont="1" applyBorder="1" applyAlignment="1">
      <alignment wrapText="1"/>
    </xf>
    <xf numFmtId="0" fontId="215" fillId="0" borderId="199" xfId="0" applyFont="1" applyBorder="1" applyAlignment="1">
      <alignment horizontal="center"/>
    </xf>
    <xf numFmtId="167" fontId="216" fillId="0" borderId="199" xfId="12427" applyNumberFormat="1" applyFont="1" applyBorder="1" applyAlignment="1">
      <alignment horizontal="center"/>
    </xf>
    <xf numFmtId="167" fontId="216" fillId="0" borderId="199" xfId="0" applyNumberFormat="1" applyFont="1" applyBorder="1"/>
    <xf numFmtId="167" fontId="216" fillId="0" borderId="0" xfId="0" applyNumberFormat="1" applyFont="1" applyBorder="1"/>
    <xf numFmtId="0" fontId="221" fillId="0" borderId="0" xfId="0" applyFont="1" applyAlignment="1">
      <alignment horizontal="center"/>
    </xf>
    <xf numFmtId="0" fontId="215" fillId="0" borderId="0" xfId="0" applyFont="1" applyFill="1" applyAlignment="1">
      <alignment horizontal="center"/>
    </xf>
    <xf numFmtId="243" fontId="228" fillId="74" borderId="0" xfId="12427" applyNumberFormat="1" applyFont="1" applyFill="1" applyAlignment="1">
      <alignment horizontal="right"/>
    </xf>
    <xf numFmtId="169" fontId="233" fillId="0" borderId="0" xfId="0" applyNumberFormat="1" applyFont="1" applyFill="1" applyBorder="1"/>
    <xf numFmtId="169" fontId="233" fillId="0" borderId="0" xfId="0" applyNumberFormat="1" applyFont="1" applyFill="1" applyBorder="1" applyAlignment="1">
      <alignment horizontal="center"/>
    </xf>
    <xf numFmtId="243" fontId="215" fillId="0" borderId="0" xfId="0" applyNumberFormat="1" applyFont="1"/>
    <xf numFmtId="167" fontId="215" fillId="0" borderId="0" xfId="12427" applyNumberFormat="1" applyFont="1" applyBorder="1" applyAlignment="1">
      <alignment horizontal="center"/>
    </xf>
    <xf numFmtId="167" fontId="215" fillId="0" borderId="0" xfId="12427" quotePrefix="1" applyNumberFormat="1" applyFont="1" applyFill="1" applyBorder="1" applyAlignment="1">
      <alignment horizontal="center"/>
    </xf>
    <xf numFmtId="0" fontId="215" fillId="0" borderId="0" xfId="0" applyFont="1" applyAlignment="1">
      <alignment horizontal="left" vertical="top" indent="1"/>
    </xf>
    <xf numFmtId="165" fontId="233" fillId="0" borderId="0" xfId="0" applyNumberFormat="1" applyFont="1" applyFill="1" applyBorder="1" applyAlignment="1">
      <alignment horizontal="right"/>
    </xf>
    <xf numFmtId="0" fontId="215" fillId="0" borderId="199" xfId="0" applyFont="1" applyBorder="1"/>
    <xf numFmtId="243" fontId="216" fillId="0" borderId="199" xfId="20305" applyNumberFormat="1" applyFont="1" applyBorder="1" applyAlignment="1">
      <alignment horizontal="right"/>
    </xf>
    <xf numFmtId="243" fontId="216" fillId="0" borderId="0" xfId="20305" applyNumberFormat="1" applyFont="1" applyFill="1" applyBorder="1" applyAlignment="1">
      <alignment horizontal="right"/>
    </xf>
    <xf numFmtId="0" fontId="216" fillId="71" borderId="197" xfId="0" applyFont="1" applyFill="1" applyBorder="1"/>
    <xf numFmtId="0" fontId="216" fillId="71" borderId="200" xfId="0" applyFont="1" applyFill="1" applyBorder="1"/>
    <xf numFmtId="243" fontId="216" fillId="71" borderId="198" xfId="0" applyNumberFormat="1" applyFont="1" applyFill="1" applyBorder="1"/>
    <xf numFmtId="243" fontId="216" fillId="0" borderId="0" xfId="0" applyNumberFormat="1" applyFont="1" applyFill="1" applyBorder="1"/>
    <xf numFmtId="169" fontId="215" fillId="0" borderId="0" xfId="0" quotePrefix="1" applyNumberFormat="1" applyFont="1"/>
    <xf numFmtId="243" fontId="228" fillId="0" borderId="0" xfId="0" applyNumberFormat="1" applyFont="1"/>
    <xf numFmtId="0" fontId="215" fillId="0" borderId="0" xfId="0" applyFont="1" applyAlignment="1">
      <alignment horizontal="justify" vertical="top" wrapText="1"/>
    </xf>
    <xf numFmtId="164" fontId="224" fillId="0" borderId="0" xfId="0" applyNumberFormat="1" applyFont="1" applyFill="1" applyAlignment="1">
      <alignment horizontal="right"/>
    </xf>
    <xf numFmtId="0" fontId="233" fillId="0" borderId="0" xfId="0" quotePrefix="1" applyFont="1" applyFill="1" applyAlignment="1">
      <alignment horizontal="left" vertical="top" wrapText="1"/>
    </xf>
    <xf numFmtId="0" fontId="149" fillId="0" borderId="164" xfId="0" applyFont="1" applyBorder="1"/>
    <xf numFmtId="14" fontId="149" fillId="0" borderId="165" xfId="0" applyNumberFormat="1" applyFont="1" applyBorder="1" applyAlignment="1">
      <alignment horizontal="right"/>
    </xf>
    <xf numFmtId="0" fontId="149" fillId="0" borderId="127" xfId="0" applyFont="1" applyBorder="1"/>
    <xf numFmtId="0" fontId="192" fillId="0" borderId="0" xfId="0" applyFont="1"/>
    <xf numFmtId="0" fontId="155" fillId="72" borderId="197" xfId="0" applyFont="1" applyFill="1" applyBorder="1" applyAlignment="1">
      <alignment horizontal="center"/>
    </xf>
    <xf numFmtId="0" fontId="155" fillId="72" borderId="200" xfId="0" applyFont="1" applyFill="1" applyBorder="1" applyAlignment="1">
      <alignment horizontal="center"/>
    </xf>
    <xf numFmtId="0" fontId="155" fillId="72" borderId="198" xfId="0" applyFont="1" applyFill="1" applyBorder="1" applyAlignment="1">
      <alignment horizontal="center"/>
    </xf>
    <xf numFmtId="0" fontId="155" fillId="72" borderId="0" xfId="0" applyFont="1" applyFill="1" applyBorder="1" applyAlignment="1">
      <alignment horizontal="center" vertical="top"/>
    </xf>
    <xf numFmtId="0" fontId="155" fillId="72" borderId="152" xfId="0" applyFont="1" applyFill="1" applyBorder="1" applyAlignment="1">
      <alignment horizontal="center"/>
    </xf>
    <xf numFmtId="0" fontId="151" fillId="0" borderId="197" xfId="0" applyFont="1" applyFill="1" applyBorder="1" applyAlignment="1">
      <alignment horizontal="center" wrapText="1"/>
    </xf>
    <xf numFmtId="0" fontId="151" fillId="0" borderId="200" xfId="0" applyFont="1" applyFill="1" applyBorder="1" applyAlignment="1">
      <alignment horizontal="center" wrapText="1"/>
    </xf>
    <xf numFmtId="0" fontId="151" fillId="0" borderId="198" xfId="0" applyFont="1" applyFill="1" applyBorder="1" applyAlignment="1">
      <alignment horizontal="center" wrapText="1"/>
    </xf>
    <xf numFmtId="0" fontId="151" fillId="0" borderId="127" xfId="0" applyFont="1" applyFill="1" applyBorder="1" applyAlignment="1">
      <alignment horizontal="center" wrapText="1"/>
    </xf>
    <xf numFmtId="164" fontId="272" fillId="0" borderId="0" xfId="0" applyNumberFormat="1" applyFont="1" applyAlignment="1">
      <alignment horizontal="center" vertical="top" wrapText="1"/>
    </xf>
    <xf numFmtId="0" fontId="272" fillId="0" borderId="0" xfId="0" applyFont="1" applyAlignment="1">
      <alignment vertical="top" wrapText="1"/>
    </xf>
    <xf numFmtId="165" fontId="272" fillId="0" borderId="0" xfId="0" applyNumberFormat="1" applyFont="1" applyAlignment="1">
      <alignment horizontal="center" vertical="top" wrapText="1"/>
    </xf>
    <xf numFmtId="0" fontId="272" fillId="0" borderId="0" xfId="0" applyFont="1" applyAlignment="1">
      <alignment horizontal="center" vertical="top" wrapText="1"/>
    </xf>
    <xf numFmtId="169" fontId="272" fillId="0" borderId="0" xfId="0" applyNumberFormat="1" applyFont="1" applyAlignment="1">
      <alignment horizontal="right" vertical="top"/>
    </xf>
    <xf numFmtId="234" fontId="272" fillId="0" borderId="0" xfId="0" applyNumberFormat="1" applyFont="1" applyAlignment="1">
      <alignment horizontal="right" vertical="top"/>
    </xf>
    <xf numFmtId="165" fontId="272" fillId="0" borderId="0" xfId="0" applyNumberFormat="1" applyFont="1" applyAlignment="1">
      <alignment vertical="top" wrapText="1"/>
    </xf>
    <xf numFmtId="234" fontId="149" fillId="0" borderId="0" xfId="0" applyNumberFormat="1" applyFont="1" applyFill="1" applyAlignment="1">
      <alignment horizontal="right" vertical="top"/>
    </xf>
    <xf numFmtId="0" fontId="150" fillId="71" borderId="164" xfId="0" applyFont="1" applyFill="1" applyBorder="1"/>
    <xf numFmtId="0" fontId="149" fillId="71" borderId="199" xfId="0" applyFont="1" applyFill="1" applyBorder="1"/>
    <xf numFmtId="169" fontId="150" fillId="71" borderId="199" xfId="0" applyNumberFormat="1" applyFont="1" applyFill="1" applyBorder="1"/>
    <xf numFmtId="0" fontId="149" fillId="71" borderId="165" xfId="0" applyFont="1" applyFill="1" applyBorder="1"/>
    <xf numFmtId="234" fontId="150" fillId="71" borderId="199" xfId="0" applyNumberFormat="1" applyFont="1" applyFill="1" applyBorder="1"/>
    <xf numFmtId="165" fontId="150" fillId="71" borderId="199" xfId="0" applyNumberFormat="1" applyFont="1" applyFill="1" applyBorder="1"/>
    <xf numFmtId="165" fontId="150" fillId="71" borderId="165" xfId="0" applyNumberFormat="1" applyFont="1" applyFill="1" applyBorder="1"/>
    <xf numFmtId="0" fontId="150" fillId="71" borderId="60" xfId="0" applyFont="1" applyFill="1" applyBorder="1"/>
    <xf numFmtId="0" fontId="150" fillId="71" borderId="127" xfId="0" applyFont="1" applyFill="1" applyBorder="1"/>
    <xf numFmtId="165" fontId="150" fillId="71" borderId="92" xfId="0" applyNumberFormat="1" applyFont="1" applyFill="1" applyBorder="1"/>
    <xf numFmtId="0" fontId="215" fillId="0" borderId="0" xfId="0" applyNumberFormat="1" applyFont="1" applyAlignment="1">
      <alignment horizontal="right"/>
    </xf>
    <xf numFmtId="10" fontId="233" fillId="0" borderId="0" xfId="0" applyNumberFormat="1" applyFont="1" applyFill="1" applyAlignment="1">
      <alignment horizontal="right"/>
    </xf>
    <xf numFmtId="0" fontId="229" fillId="0" borderId="0" xfId="0" applyFont="1" applyAlignment="1">
      <alignment horizontal="right"/>
    </xf>
    <xf numFmtId="169" fontId="242" fillId="0" borderId="0" xfId="0" applyNumberFormat="1" applyFont="1" applyAlignment="1">
      <alignment horizontal="right"/>
    </xf>
    <xf numFmtId="0" fontId="216" fillId="0" borderId="197" xfId="0" applyFont="1" applyBorder="1" applyAlignment="1">
      <alignment horizontal="centerContinuous"/>
    </xf>
    <xf numFmtId="0" fontId="215" fillId="0" borderId="200" xfId="0" applyFont="1" applyBorder="1" applyAlignment="1">
      <alignment horizontal="centerContinuous"/>
    </xf>
    <xf numFmtId="0" fontId="216" fillId="0" borderId="198" xfId="0" applyFont="1" applyBorder="1" applyAlignment="1">
      <alignment horizontal="centerContinuous"/>
    </xf>
    <xf numFmtId="0" fontId="216" fillId="91" borderId="0" xfId="20395" applyFont="1" applyFill="1" applyBorder="1" applyAlignment="1">
      <alignment horizontal="center" wrapText="1"/>
    </xf>
    <xf numFmtId="0" fontId="216" fillId="90" borderId="0" xfId="20395" applyFont="1" applyFill="1" applyBorder="1" applyAlignment="1">
      <alignment horizontal="center" wrapText="1"/>
    </xf>
    <xf numFmtId="0" fontId="216" fillId="90" borderId="149" xfId="20395" applyFont="1" applyFill="1" applyBorder="1" applyAlignment="1">
      <alignment horizontal="center" wrapText="1"/>
    </xf>
    <xf numFmtId="0" fontId="216" fillId="90" borderId="45" xfId="20395" applyFont="1" applyFill="1" applyBorder="1" applyAlignment="1">
      <alignment horizontal="center" wrapText="1"/>
    </xf>
    <xf numFmtId="0" fontId="216" fillId="90" borderId="45" xfId="20395" applyFont="1" applyFill="1" applyBorder="1" applyAlignment="1">
      <alignment horizontal="right" wrapText="1"/>
    </xf>
    <xf numFmtId="0" fontId="216" fillId="0" borderId="0" xfId="20395" applyFont="1" applyBorder="1" applyAlignment="1">
      <alignment horizontal="center" wrapText="1"/>
    </xf>
    <xf numFmtId="0" fontId="216" fillId="0" borderId="199" xfId="0" applyFont="1" applyBorder="1" applyAlignment="1">
      <alignment horizontal="left" indent="1"/>
    </xf>
    <xf numFmtId="0" fontId="216" fillId="0" borderId="199" xfId="0" applyFont="1" applyBorder="1" applyAlignment="1">
      <alignment horizontal="center"/>
    </xf>
    <xf numFmtId="7" fontId="215" fillId="0" borderId="0" xfId="12427" applyNumberFormat="1" applyFont="1" applyBorder="1" applyAlignment="1">
      <alignment horizontal="right"/>
    </xf>
    <xf numFmtId="0" fontId="273" fillId="0" borderId="0" xfId="11823" applyFont="1" applyFill="1"/>
    <xf numFmtId="0" fontId="215" fillId="0" borderId="0" xfId="11807" applyFont="1" applyFill="1"/>
    <xf numFmtId="0" fontId="215" fillId="0" borderId="0" xfId="11807" applyFont="1" applyFill="1" applyBorder="1"/>
    <xf numFmtId="43" fontId="258" fillId="68" borderId="0" xfId="11155" applyFont="1" applyFill="1" applyBorder="1" applyAlignment="1"/>
    <xf numFmtId="0" fontId="215" fillId="0" borderId="0" xfId="11807" applyFont="1"/>
    <xf numFmtId="0" fontId="215" fillId="0" borderId="0" xfId="20406" applyFont="1" applyFill="1" applyBorder="1"/>
    <xf numFmtId="0" fontId="216" fillId="0" borderId="0" xfId="11807" applyFont="1" applyAlignment="1"/>
    <xf numFmtId="0" fontId="227" fillId="72" borderId="197" xfId="0" applyFont="1" applyFill="1" applyBorder="1" applyAlignment="1">
      <alignment horizontal="centerContinuous"/>
    </xf>
    <xf numFmtId="0" fontId="227" fillId="72" borderId="200" xfId="0" applyFont="1" applyFill="1" applyBorder="1" applyAlignment="1">
      <alignment horizontal="centerContinuous"/>
    </xf>
    <xf numFmtId="0" fontId="227" fillId="72" borderId="198" xfId="0" applyFont="1" applyFill="1" applyBorder="1" applyAlignment="1">
      <alignment horizontal="centerContinuous"/>
    </xf>
    <xf numFmtId="0" fontId="216" fillId="0" borderId="0" xfId="11807" applyFont="1" applyFill="1" applyBorder="1" applyAlignment="1">
      <alignment horizontal="center"/>
    </xf>
    <xf numFmtId="0" fontId="227" fillId="72" borderId="164" xfId="0" applyFont="1" applyFill="1" applyBorder="1" applyAlignment="1">
      <alignment horizontal="centerContinuous"/>
    </xf>
    <xf numFmtId="0" fontId="227" fillId="72" borderId="199" xfId="0" applyFont="1" applyFill="1" applyBorder="1" applyAlignment="1">
      <alignment horizontal="centerContinuous"/>
    </xf>
    <xf numFmtId="0" fontId="227" fillId="72" borderId="165" xfId="0" applyFont="1" applyFill="1" applyBorder="1" applyAlignment="1">
      <alignment horizontal="centerContinuous" wrapText="1"/>
    </xf>
    <xf numFmtId="0" fontId="216" fillId="0" borderId="0" xfId="11807" applyFont="1" applyBorder="1" applyAlignment="1">
      <alignment horizontal="center"/>
    </xf>
    <xf numFmtId="0" fontId="227" fillId="72" borderId="164" xfId="0" applyFont="1" applyFill="1" applyBorder="1" applyAlignment="1">
      <alignment horizontal="right"/>
    </xf>
    <xf numFmtId="0" fontId="216" fillId="0" borderId="0" xfId="11807" applyFont="1"/>
    <xf numFmtId="0" fontId="216" fillId="0" borderId="0" xfId="11807" applyFont="1" applyFill="1" applyBorder="1"/>
    <xf numFmtId="43" fontId="215" fillId="0" borderId="60" xfId="20268" applyFont="1" applyBorder="1"/>
    <xf numFmtId="43" fontId="215" fillId="0" borderId="0" xfId="20268" applyFont="1" applyBorder="1"/>
    <xf numFmtId="0" fontId="215" fillId="0" borderId="13" xfId="11807" applyFont="1" applyFill="1" applyBorder="1" applyAlignment="1">
      <alignment horizontal="center"/>
    </xf>
    <xf numFmtId="0" fontId="222" fillId="0" borderId="197" xfId="20407" applyFont="1" applyBorder="1"/>
    <xf numFmtId="0" fontId="222" fillId="0" borderId="200" xfId="20407" applyFont="1" applyBorder="1"/>
    <xf numFmtId="165" fontId="222" fillId="0" borderId="200" xfId="12053" applyNumberFormat="1" applyFont="1" applyBorder="1"/>
    <xf numFmtId="0" fontId="215" fillId="0" borderId="200" xfId="11807" applyFont="1" applyBorder="1"/>
    <xf numFmtId="43" fontId="216" fillId="0" borderId="198" xfId="20268" applyFont="1" applyFill="1" applyBorder="1" applyAlignment="1">
      <alignment horizontal="right"/>
    </xf>
    <xf numFmtId="0" fontId="222" fillId="0" borderId="164" xfId="20407" applyFont="1" applyBorder="1"/>
    <xf numFmtId="0" fontId="222" fillId="0" borderId="199" xfId="20407" applyFont="1" applyBorder="1"/>
    <xf numFmtId="165" fontId="222" fillId="0" borderId="164" xfId="12053" applyNumberFormat="1" applyFont="1" applyBorder="1"/>
    <xf numFmtId="0" fontId="215" fillId="0" borderId="199" xfId="11807" applyFont="1" applyBorder="1"/>
    <xf numFmtId="43" fontId="216" fillId="0" borderId="165" xfId="20268" applyFont="1" applyFill="1" applyBorder="1" applyAlignment="1">
      <alignment horizontal="right"/>
    </xf>
    <xf numFmtId="43" fontId="215" fillId="0" borderId="13" xfId="11807" applyNumberFormat="1" applyFont="1" applyFill="1" applyBorder="1" applyAlignment="1">
      <alignment horizontal="center"/>
    </xf>
    <xf numFmtId="165" fontId="222" fillId="0" borderId="60" xfId="12053" applyNumberFormat="1" applyFont="1" applyBorder="1"/>
    <xf numFmtId="165" fontId="222" fillId="0" borderId="0" xfId="12053" applyNumberFormat="1" applyFont="1" applyBorder="1"/>
    <xf numFmtId="0" fontId="215" fillId="0" borderId="0" xfId="11807" applyFont="1" applyBorder="1"/>
    <xf numFmtId="0" fontId="215" fillId="0" borderId="13" xfId="11807" applyFont="1" applyBorder="1"/>
    <xf numFmtId="165" fontId="222" fillId="0" borderId="199" xfId="12053" applyNumberFormat="1" applyFont="1" applyBorder="1"/>
    <xf numFmtId="0" fontId="215" fillId="0" borderId="165" xfId="11807" applyFont="1" applyBorder="1"/>
    <xf numFmtId="0" fontId="215" fillId="0" borderId="0" xfId="11807" applyFont="1" applyBorder="1" applyAlignment="1">
      <alignment horizontal="right"/>
    </xf>
    <xf numFmtId="0" fontId="215" fillId="0" borderId="13" xfId="11807" applyFont="1" applyBorder="1" applyAlignment="1">
      <alignment horizontal="right"/>
    </xf>
    <xf numFmtId="165" fontId="222" fillId="0" borderId="127" xfId="12053" applyNumberFormat="1" applyFont="1" applyBorder="1"/>
    <xf numFmtId="165" fontId="222" fillId="0" borderId="45" xfId="12053" applyNumberFormat="1" applyFont="1" applyBorder="1"/>
    <xf numFmtId="165" fontId="215" fillId="100" borderId="45" xfId="11807" applyNumberFormat="1" applyFont="1" applyFill="1" applyBorder="1" applyAlignment="1">
      <alignment horizontal="right"/>
    </xf>
    <xf numFmtId="234" fontId="216" fillId="0" borderId="152" xfId="20268" applyNumberFormat="1" applyFont="1" applyFill="1" applyBorder="1" applyAlignment="1">
      <alignment horizontal="right"/>
    </xf>
    <xf numFmtId="165" fontId="215" fillId="100" borderId="0" xfId="11807" applyNumberFormat="1" applyFont="1" applyFill="1" applyBorder="1" applyAlignment="1">
      <alignment horizontal="right"/>
    </xf>
    <xf numFmtId="0" fontId="215" fillId="0" borderId="13" xfId="11807" applyFont="1" applyFill="1" applyBorder="1"/>
    <xf numFmtId="165" fontId="215" fillId="0" borderId="199" xfId="11807" applyNumberFormat="1" applyFont="1" applyBorder="1" applyAlignment="1">
      <alignment horizontal="right"/>
    </xf>
    <xf numFmtId="165" fontId="215" fillId="0" borderId="165" xfId="11807" applyNumberFormat="1" applyFont="1" applyBorder="1" applyAlignment="1">
      <alignment horizontal="right"/>
    </xf>
    <xf numFmtId="165" fontId="215" fillId="0" borderId="45" xfId="11807" applyNumberFormat="1" applyFont="1" applyBorder="1" applyAlignment="1">
      <alignment horizontal="right"/>
    </xf>
    <xf numFmtId="165" fontId="215" fillId="100" borderId="199" xfId="11807" applyNumberFormat="1" applyFont="1" applyFill="1" applyBorder="1" applyAlignment="1">
      <alignment horizontal="right"/>
    </xf>
    <xf numFmtId="234" fontId="216" fillId="0" borderId="165" xfId="20268" applyNumberFormat="1" applyFont="1" applyFill="1" applyBorder="1" applyAlignment="1">
      <alignment horizontal="right"/>
    </xf>
    <xf numFmtId="0" fontId="215" fillId="0" borderId="0" xfId="11807" applyFont="1" applyFill="1" applyBorder="1" applyAlignment="1">
      <alignment horizontal="right"/>
    </xf>
    <xf numFmtId="0" fontId="215" fillId="0" borderId="13" xfId="11807" applyFont="1" applyFill="1" applyBorder="1" applyAlignment="1">
      <alignment horizontal="right"/>
    </xf>
    <xf numFmtId="43" fontId="215" fillId="0" borderId="127" xfId="20268" applyFont="1" applyBorder="1"/>
    <xf numFmtId="43" fontId="215" fillId="0" borderId="45" xfId="20268" applyFont="1" applyBorder="1"/>
    <xf numFmtId="43" fontId="215" fillId="0" borderId="92" xfId="11807" applyNumberFormat="1" applyFont="1" applyFill="1" applyBorder="1" applyAlignment="1">
      <alignment horizontal="center"/>
    </xf>
    <xf numFmtId="165" fontId="215" fillId="100" borderId="45" xfId="11807" applyNumberFormat="1" applyFont="1" applyFill="1" applyBorder="1"/>
    <xf numFmtId="165" fontId="216" fillId="0" borderId="197" xfId="12053" applyNumberFormat="1" applyFont="1" applyBorder="1"/>
    <xf numFmtId="165" fontId="216" fillId="0" borderId="200" xfId="12053" applyNumberFormat="1" applyFont="1" applyBorder="1"/>
    <xf numFmtId="165" fontId="216" fillId="0" borderId="198" xfId="12053" applyNumberFormat="1" applyFont="1" applyBorder="1"/>
    <xf numFmtId="165" fontId="216" fillId="0" borderId="152" xfId="12053" applyNumberFormat="1" applyFont="1" applyBorder="1"/>
    <xf numFmtId="43" fontId="215" fillId="0" borderId="0" xfId="20268" applyFont="1"/>
    <xf numFmtId="165" fontId="215" fillId="0" borderId="0" xfId="12053" applyNumberFormat="1" applyFont="1"/>
    <xf numFmtId="0" fontId="216" fillId="0" borderId="197" xfId="11807" applyFont="1" applyBorder="1"/>
    <xf numFmtId="43" fontId="215" fillId="0" borderId="200" xfId="20268" applyFont="1" applyBorder="1"/>
    <xf numFmtId="0" fontId="215" fillId="0" borderId="200" xfId="11807" applyFont="1" applyFill="1" applyBorder="1"/>
    <xf numFmtId="165" fontId="215" fillId="0" borderId="200" xfId="12053" applyNumberFormat="1" applyFont="1" applyBorder="1"/>
    <xf numFmtId="2" fontId="216" fillId="0" borderId="200" xfId="11807" applyNumberFormat="1" applyFont="1" applyBorder="1"/>
    <xf numFmtId="0" fontId="215" fillId="0" borderId="0" xfId="11807" quotePrefix="1" applyFont="1" applyFill="1" applyBorder="1"/>
    <xf numFmtId="43" fontId="230" fillId="0" borderId="0" xfId="20268" applyFont="1" applyAlignment="1"/>
    <xf numFmtId="165" fontId="217" fillId="0" borderId="199" xfId="0" applyNumberFormat="1" applyFont="1" applyBorder="1"/>
    <xf numFmtId="0" fontId="227" fillId="72" borderId="0" xfId="0" applyFont="1" applyFill="1" applyBorder="1" applyAlignment="1">
      <alignment horizontal="center"/>
    </xf>
    <xf numFmtId="0" fontId="215" fillId="0" borderId="0" xfId="0" applyFont="1" applyBorder="1" applyAlignment="1">
      <alignment wrapText="1"/>
    </xf>
    <xf numFmtId="10" fontId="228" fillId="0" borderId="0" xfId="0" applyNumberFormat="1" applyFont="1" applyBorder="1" applyAlignment="1">
      <alignment horizontal="center" wrapText="1"/>
    </xf>
    <xf numFmtId="10" fontId="222" fillId="0" borderId="0" xfId="0" applyNumberFormat="1" applyFont="1" applyBorder="1" applyAlignment="1">
      <alignment wrapText="1"/>
    </xf>
    <xf numFmtId="0" fontId="216" fillId="0" borderId="0" xfId="0" applyFont="1" applyBorder="1" applyAlignment="1"/>
    <xf numFmtId="165" fontId="231" fillId="0" borderId="0" xfId="12422" applyNumberFormat="1" applyFont="1" applyBorder="1"/>
    <xf numFmtId="0" fontId="240" fillId="72" borderId="200" xfId="0" applyFont="1" applyFill="1" applyBorder="1" applyAlignment="1">
      <alignment horizontal="center" wrapText="1"/>
    </xf>
    <xf numFmtId="0" fontId="217" fillId="0" borderId="152" xfId="0" applyFont="1" applyBorder="1"/>
    <xf numFmtId="0" fontId="240" fillId="72" borderId="198" xfId="0" applyFont="1" applyFill="1" applyBorder="1" applyAlignment="1">
      <alignment horizontal="center" wrapText="1"/>
    </xf>
    <xf numFmtId="358" fontId="215" fillId="0" borderId="0" xfId="0" applyNumberFormat="1" applyFont="1" applyFill="1" applyBorder="1"/>
    <xf numFmtId="0" fontId="240" fillId="0" borderId="0" xfId="0" applyFont="1" applyFill="1" applyBorder="1" applyAlignment="1">
      <alignment horizontal="center" wrapText="1"/>
    </xf>
    <xf numFmtId="0" fontId="215" fillId="0" borderId="0" xfId="0" applyNumberFormat="1" applyFont="1" applyFill="1" applyBorder="1"/>
    <xf numFmtId="165" fontId="215" fillId="0" borderId="0" xfId="12422" applyNumberFormat="1" applyFont="1" applyFill="1" applyBorder="1"/>
    <xf numFmtId="243" fontId="215" fillId="0" borderId="0" xfId="12422" applyNumberFormat="1" applyFont="1" applyFill="1" applyBorder="1"/>
    <xf numFmtId="0" fontId="227" fillId="72" borderId="200" xfId="0" applyFont="1" applyFill="1" applyBorder="1"/>
    <xf numFmtId="0" fontId="227" fillId="72" borderId="45" xfId="0" applyFont="1" applyFill="1" applyBorder="1" applyAlignment="1">
      <alignment horizontal="right" wrapText="1"/>
    </xf>
    <xf numFmtId="43" fontId="218" fillId="0" borderId="0" xfId="11155" applyFont="1" applyFill="1" applyBorder="1" applyAlignment="1">
      <alignment horizontal="right"/>
    </xf>
    <xf numFmtId="0" fontId="227" fillId="0" borderId="0" xfId="0" applyFont="1" applyFill="1" applyBorder="1"/>
    <xf numFmtId="0" fontId="227" fillId="0" borderId="0" xfId="0" applyFont="1" applyFill="1" applyBorder="1" applyAlignment="1">
      <alignment horizontal="right" wrapText="1"/>
    </xf>
    <xf numFmtId="8" fontId="229" fillId="0" borderId="0" xfId="0" applyNumberFormat="1" applyFont="1" applyFill="1" applyBorder="1"/>
    <xf numFmtId="358" fontId="216" fillId="0" borderId="0" xfId="0" applyNumberFormat="1" applyFont="1" applyFill="1" applyBorder="1"/>
    <xf numFmtId="169" fontId="215" fillId="0" borderId="0" xfId="0" applyNumberFormat="1" applyFont="1" applyFill="1" applyBorder="1" applyAlignment="1">
      <alignment horizontal="right"/>
    </xf>
    <xf numFmtId="169" fontId="215" fillId="0" borderId="0" xfId="0" applyNumberFormat="1" applyFont="1" applyFill="1" applyBorder="1"/>
    <xf numFmtId="0" fontId="241" fillId="0" borderId="0" xfId="0" applyFont="1" applyFill="1" applyBorder="1" applyAlignment="1">
      <alignment horizontal="center"/>
    </xf>
    <xf numFmtId="358" fontId="215" fillId="0" borderId="0" xfId="12427" applyNumberFormat="1" applyFont="1" applyFill="1" applyBorder="1"/>
    <xf numFmtId="358" fontId="216" fillId="0" borderId="0" xfId="12427" applyNumberFormat="1" applyFont="1" applyFill="1" applyBorder="1"/>
    <xf numFmtId="14" fontId="153" fillId="68" borderId="55" xfId="11155" applyNumberFormat="1" applyFont="1" applyFill="1" applyBorder="1" applyAlignment="1"/>
    <xf numFmtId="0" fontId="155" fillId="72" borderId="165" xfId="0" applyFont="1" applyFill="1" applyBorder="1" applyAlignment="1">
      <alignment horizontal="center"/>
    </xf>
    <xf numFmtId="0" fontId="151" fillId="0" borderId="92" xfId="0" applyFont="1" applyFill="1" applyBorder="1" applyAlignment="1">
      <alignment horizontal="center" wrapText="1"/>
    </xf>
    <xf numFmtId="10" fontId="272" fillId="0" borderId="0" xfId="0" applyNumberFormat="1" applyFont="1" applyAlignment="1">
      <alignment vertical="top" wrapText="1"/>
    </xf>
    <xf numFmtId="169" fontId="272" fillId="0" borderId="0" xfId="0" applyNumberFormat="1" applyFont="1" applyAlignment="1">
      <alignment horizontal="right" vertical="top" wrapText="1"/>
    </xf>
    <xf numFmtId="4" fontId="272" fillId="0" borderId="0" xfId="0" applyNumberFormat="1" applyFont="1" applyAlignment="1">
      <alignment horizontal="center" vertical="top" wrapText="1"/>
    </xf>
    <xf numFmtId="4" fontId="149" fillId="0" borderId="0" xfId="0" applyNumberFormat="1" applyFont="1" applyAlignment="1">
      <alignment vertical="top" wrapText="1"/>
    </xf>
    <xf numFmtId="10" fontId="149" fillId="0" borderId="0" xfId="0" applyNumberFormat="1" applyFont="1" applyAlignment="1">
      <alignment horizontal="right" vertical="top"/>
    </xf>
    <xf numFmtId="4" fontId="149" fillId="0" borderId="0" xfId="0" applyNumberFormat="1" applyFont="1"/>
    <xf numFmtId="10" fontId="149" fillId="0" borderId="0" xfId="0" applyNumberFormat="1" applyFont="1"/>
    <xf numFmtId="10" fontId="149" fillId="71" borderId="199" xfId="0" applyNumberFormat="1" applyFont="1" applyFill="1" applyBorder="1"/>
    <xf numFmtId="4" fontId="149" fillId="71" borderId="0" xfId="0" applyNumberFormat="1" applyFont="1" applyFill="1" applyBorder="1"/>
    <xf numFmtId="10" fontId="149" fillId="71" borderId="0" xfId="0" applyNumberFormat="1" applyFont="1" applyFill="1" applyBorder="1"/>
    <xf numFmtId="0" fontId="216" fillId="0" borderId="0" xfId="0" applyFont="1" applyFill="1" applyBorder="1" applyAlignment="1">
      <alignment wrapText="1"/>
    </xf>
    <xf numFmtId="0" fontId="216" fillId="0" borderId="0" xfId="16382" applyFont="1" applyFill="1" applyAlignment="1">
      <alignment horizontal="left" vertical="top"/>
    </xf>
    <xf numFmtId="0" fontId="240" fillId="72" borderId="201" xfId="16382" applyFont="1" applyFill="1" applyBorder="1" applyAlignment="1">
      <alignment vertical="top"/>
    </xf>
    <xf numFmtId="0" fontId="240" fillId="72" borderId="202" xfId="16382" applyFont="1" applyFill="1" applyBorder="1" applyAlignment="1">
      <alignment wrapText="1"/>
    </xf>
    <xf numFmtId="0" fontId="215" fillId="0" borderId="0" xfId="16382" applyFont="1" applyAlignment="1">
      <alignment wrapText="1"/>
    </xf>
    <xf numFmtId="0" fontId="215" fillId="0" borderId="0" xfId="16382" applyFont="1" applyFill="1" applyBorder="1" applyAlignment="1">
      <alignment wrapText="1"/>
    </xf>
    <xf numFmtId="0" fontId="216" fillId="0" borderId="0" xfId="16382" applyFont="1" applyFill="1" applyAlignment="1">
      <alignment horizontal="centerContinuous"/>
    </xf>
    <xf numFmtId="0" fontId="216" fillId="0" borderId="0" xfId="16382" applyFont="1" applyBorder="1"/>
    <xf numFmtId="168" fontId="216" fillId="0" borderId="0" xfId="16382" applyNumberFormat="1" applyFont="1" applyFill="1" applyBorder="1" applyAlignment="1">
      <alignment horizontal="right" wrapText="1"/>
    </xf>
    <xf numFmtId="0" fontId="215" fillId="0" borderId="0" xfId="16382" applyFont="1"/>
    <xf numFmtId="0" fontId="215" fillId="0" borderId="0" xfId="16382" applyFont="1" applyFill="1" applyBorder="1"/>
    <xf numFmtId="0" fontId="215" fillId="0" borderId="0" xfId="16382" applyFont="1" applyBorder="1"/>
    <xf numFmtId="165" fontId="233" fillId="0" borderId="0" xfId="2" applyNumberFormat="1" applyFont="1" applyFill="1" applyBorder="1"/>
    <xf numFmtId="165" fontId="233" fillId="0" borderId="0" xfId="2" applyNumberFormat="1" applyFont="1" applyFill="1"/>
    <xf numFmtId="165" fontId="215" fillId="0" borderId="0" xfId="2" applyNumberFormat="1" applyFont="1"/>
    <xf numFmtId="168" fontId="215" fillId="0" borderId="0" xfId="16382" applyNumberFormat="1" applyFont="1"/>
    <xf numFmtId="168" fontId="215" fillId="0" borderId="0" xfId="16382" applyNumberFormat="1" applyFont="1" applyFill="1"/>
    <xf numFmtId="168" fontId="215" fillId="0" borderId="0" xfId="16382" applyNumberFormat="1" applyFont="1" applyFill="1" applyBorder="1"/>
    <xf numFmtId="165" fontId="240" fillId="72" borderId="201" xfId="2" applyNumberFormat="1" applyFont="1" applyFill="1" applyBorder="1" applyAlignment="1">
      <alignment horizontal="center" vertical="top"/>
    </xf>
    <xf numFmtId="0" fontId="240" fillId="72" borderId="207" xfId="16382" applyFont="1" applyFill="1" applyBorder="1" applyAlignment="1">
      <alignment vertical="top"/>
    </xf>
    <xf numFmtId="165" fontId="240" fillId="72" borderId="207" xfId="2" applyNumberFormat="1" applyFont="1" applyFill="1" applyBorder="1" applyAlignment="1">
      <alignment vertical="top"/>
    </xf>
    <xf numFmtId="164" fontId="233" fillId="0" borderId="0" xfId="2" applyNumberFormat="1" applyFont="1" applyFill="1" applyAlignment="1">
      <alignment horizontal="center" vertical="top" wrapText="1"/>
    </xf>
    <xf numFmtId="0" fontId="215" fillId="0" borderId="0" xfId="16382" applyFont="1" applyFill="1" applyBorder="1" applyAlignment="1">
      <alignment vertical="top"/>
    </xf>
    <xf numFmtId="165" fontId="240" fillId="0" borderId="0" xfId="2" applyNumberFormat="1" applyFont="1" applyFill="1" applyBorder="1" applyAlignment="1">
      <alignment vertical="top"/>
    </xf>
    <xf numFmtId="165" fontId="240" fillId="0" borderId="0" xfId="2" applyNumberFormat="1" applyFont="1" applyFill="1" applyBorder="1" applyAlignment="1">
      <alignment horizontal="right" vertical="top" wrapText="1"/>
    </xf>
    <xf numFmtId="165" fontId="240" fillId="72" borderId="207" xfId="2" applyNumberFormat="1" applyFont="1" applyFill="1" applyBorder="1" applyAlignment="1">
      <alignment horizontal="left" vertical="top"/>
    </xf>
    <xf numFmtId="165" fontId="233" fillId="0" borderId="0" xfId="2" applyNumberFormat="1" applyFont="1" applyFill="1" applyBorder="1" applyAlignment="1">
      <alignment horizontal="justify" vertical="top" wrapText="1"/>
    </xf>
    <xf numFmtId="0" fontId="227" fillId="101" borderId="203" xfId="16382" applyFont="1" applyFill="1" applyBorder="1" applyAlignment="1">
      <alignment horizontal="centerContinuous" wrapText="1"/>
    </xf>
    <xf numFmtId="0" fontId="227" fillId="101" borderId="207" xfId="16382" applyFont="1" applyFill="1" applyBorder="1" applyAlignment="1">
      <alignment horizontal="centerContinuous"/>
    </xf>
    <xf numFmtId="0" fontId="227" fillId="0" borderId="0" xfId="16382" applyFont="1" applyFill="1" applyBorder="1" applyAlignment="1">
      <alignment horizontal="right" wrapText="1"/>
    </xf>
    <xf numFmtId="0" fontId="216" fillId="0" borderId="0" xfId="16382" applyFont="1" applyFill="1" applyBorder="1" applyAlignment="1">
      <alignment horizontal="centerContinuous"/>
    </xf>
    <xf numFmtId="165" fontId="222" fillId="0" borderId="0" xfId="16382" applyNumberFormat="1" applyFont="1" applyFill="1" applyBorder="1" applyAlignment="1">
      <alignment wrapText="1"/>
    </xf>
    <xf numFmtId="0" fontId="216" fillId="0" borderId="208" xfId="16382" applyFont="1" applyBorder="1"/>
    <xf numFmtId="168" fontId="216" fillId="0" borderId="208" xfId="16382" applyNumberFormat="1" applyFont="1" applyFill="1" applyBorder="1" applyAlignment="1">
      <alignment horizontal="right" wrapText="1"/>
    </xf>
    <xf numFmtId="0" fontId="215" fillId="0" borderId="208" xfId="16382" applyFont="1" applyBorder="1"/>
    <xf numFmtId="0" fontId="215" fillId="0" borderId="40" xfId="16382" applyFont="1" applyBorder="1"/>
    <xf numFmtId="0" fontId="216" fillId="0" borderId="40" xfId="16382" applyFont="1" applyBorder="1"/>
    <xf numFmtId="165" fontId="215" fillId="0" borderId="40" xfId="2" applyNumberFormat="1" applyFont="1" applyBorder="1"/>
    <xf numFmtId="165" fontId="240" fillId="72" borderId="202" xfId="2" applyNumberFormat="1" applyFont="1" applyFill="1" applyBorder="1" applyAlignment="1">
      <alignment horizontal="right" wrapText="1"/>
    </xf>
    <xf numFmtId="165" fontId="240" fillId="72" borderId="207" xfId="2" applyNumberFormat="1" applyFont="1" applyFill="1" applyBorder="1" applyAlignment="1">
      <alignment horizontal="left" wrapText="1"/>
    </xf>
    <xf numFmtId="165" fontId="233" fillId="0" borderId="0" xfId="2" applyNumberFormat="1" applyFont="1" applyFill="1" applyBorder="1" applyAlignment="1">
      <alignment horizontal="right" vertical="top" wrapText="1"/>
    </xf>
    <xf numFmtId="9" fontId="216" fillId="0" borderId="0" xfId="0" applyNumberFormat="1" applyFont="1" applyFill="1" applyBorder="1"/>
    <xf numFmtId="0" fontId="216" fillId="71" borderId="204" xfId="0" applyFont="1" applyFill="1" applyBorder="1"/>
    <xf numFmtId="0" fontId="216" fillId="71" borderId="205" xfId="0" applyFont="1" applyFill="1" applyBorder="1"/>
    <xf numFmtId="0" fontId="215" fillId="71" borderId="205" xfId="0" applyFont="1" applyFill="1" applyBorder="1"/>
    <xf numFmtId="0" fontId="215" fillId="71" borderId="205" xfId="0" quotePrefix="1" applyFont="1" applyFill="1" applyBorder="1"/>
    <xf numFmtId="165" fontId="231" fillId="71" borderId="206" xfId="0" applyNumberFormat="1" applyFont="1" applyFill="1" applyBorder="1"/>
    <xf numFmtId="0" fontId="216" fillId="71" borderId="127" xfId="0" applyFont="1" applyFill="1" applyBorder="1"/>
    <xf numFmtId="0" fontId="215" fillId="0" borderId="0" xfId="0" quotePrefix="1" applyFont="1" applyFill="1"/>
    <xf numFmtId="0" fontId="215" fillId="0" borderId="0" xfId="16382" applyFont="1" applyFill="1" applyBorder="1" applyAlignment="1">
      <alignment vertical="top" wrapText="1"/>
    </xf>
    <xf numFmtId="169" fontId="222" fillId="0" borderId="0" xfId="0" applyNumberFormat="1" applyFont="1" applyBorder="1"/>
    <xf numFmtId="0" fontId="215" fillId="0" borderId="0" xfId="20386" applyFont="1" applyFill="1" applyAlignment="1">
      <alignment horizontal="left"/>
    </xf>
    <xf numFmtId="0" fontId="215" fillId="0" borderId="0" xfId="20386" applyFont="1" applyFill="1" applyBorder="1" applyAlignment="1">
      <alignment horizontal="left"/>
    </xf>
    <xf numFmtId="0" fontId="215" fillId="0" borderId="0" xfId="20386" applyFont="1" applyFill="1" applyAlignment="1">
      <alignment horizontal="right" vertical="top"/>
    </xf>
    <xf numFmtId="0" fontId="216" fillId="0" borderId="0" xfId="0" applyFont="1" applyFill="1" applyAlignment="1">
      <alignment horizontal="center"/>
    </xf>
    <xf numFmtId="0" fontId="216" fillId="0" borderId="152" xfId="0" applyFont="1" applyBorder="1"/>
    <xf numFmtId="0" fontId="216" fillId="0" borderId="152" xfId="0" applyFont="1" applyBorder="1" applyAlignment="1"/>
    <xf numFmtId="0" fontId="215" fillId="0" borderId="0" xfId="0" applyFont="1" applyAlignment="1"/>
    <xf numFmtId="8" fontId="222" fillId="0" borderId="0" xfId="0" applyNumberFormat="1" applyFont="1"/>
    <xf numFmtId="169" fontId="224" fillId="0" borderId="0" xfId="0" applyNumberFormat="1" applyFont="1" applyFill="1"/>
    <xf numFmtId="0" fontId="227" fillId="72" borderId="127" xfId="0" applyFont="1" applyFill="1" applyBorder="1" applyAlignment="1">
      <alignment horizontal="right" wrapText="1"/>
    </xf>
    <xf numFmtId="0" fontId="232" fillId="0" borderId="197" xfId="0" applyFont="1" applyFill="1" applyBorder="1" applyAlignment="1">
      <alignment horizontal="centerContinuous"/>
    </xf>
    <xf numFmtId="0" fontId="232" fillId="0" borderId="207" xfId="0" applyFont="1" applyFill="1" applyBorder="1" applyAlignment="1">
      <alignment horizontal="centerContinuous"/>
    </xf>
    <xf numFmtId="0" fontId="227" fillId="72" borderId="198" xfId="0" applyFont="1" applyFill="1" applyBorder="1"/>
    <xf numFmtId="0" fontId="227" fillId="72" borderId="92" xfId="0" applyFont="1" applyFill="1" applyBorder="1" applyAlignment="1">
      <alignment horizontal="right" wrapText="1"/>
    </xf>
    <xf numFmtId="0" fontId="240" fillId="72" borderId="207" xfId="0" applyFont="1" applyFill="1" applyBorder="1" applyAlignment="1">
      <alignment horizontal="center" wrapText="1"/>
    </xf>
    <xf numFmtId="0" fontId="232" fillId="0" borderId="198" xfId="0" applyFont="1" applyFill="1" applyBorder="1" applyAlignment="1">
      <alignment horizontal="centerContinuous"/>
    </xf>
    <xf numFmtId="243" fontId="228" fillId="0" borderId="0" xfId="0" applyNumberFormat="1" applyFont="1" applyAlignment="1">
      <alignment horizontal="right"/>
    </xf>
    <xf numFmtId="272" fontId="222" fillId="0" borderId="0" xfId="0" applyNumberFormat="1" applyFont="1" applyAlignment="1">
      <alignment horizontal="right"/>
    </xf>
    <xf numFmtId="272" fontId="228" fillId="0" borderId="0" xfId="0" applyNumberFormat="1" applyFont="1" applyAlignment="1">
      <alignment horizontal="right"/>
    </xf>
    <xf numFmtId="164" fontId="222" fillId="0" borderId="0" xfId="0" applyNumberFormat="1" applyFont="1" applyAlignment="1">
      <alignment horizontal="right"/>
    </xf>
    <xf numFmtId="243" fontId="222" fillId="0" borderId="0" xfId="0" applyNumberFormat="1" applyFont="1" applyAlignment="1">
      <alignment horizontal="right"/>
    </xf>
    <xf numFmtId="0" fontId="222" fillId="0" borderId="0" xfId="0" applyFont="1" applyAlignment="1">
      <alignment horizontal="right"/>
    </xf>
    <xf numFmtId="164" fontId="228" fillId="73" borderId="0" xfId="0" applyNumberFormat="1" applyFont="1" applyFill="1" applyAlignment="1">
      <alignment horizontal="right"/>
    </xf>
    <xf numFmtId="191" fontId="228" fillId="0" borderId="0" xfId="0" applyNumberFormat="1" applyFont="1" applyFill="1" applyAlignment="1">
      <alignment horizontal="right"/>
    </xf>
    <xf numFmtId="191" fontId="222" fillId="0" borderId="0" xfId="0" applyNumberFormat="1" applyFont="1" applyFill="1" applyAlignment="1">
      <alignment horizontal="right"/>
    </xf>
    <xf numFmtId="191" fontId="233" fillId="0" borderId="0" xfId="0" applyNumberFormat="1" applyFont="1" applyFill="1" applyAlignment="1">
      <alignment horizontal="right"/>
    </xf>
    <xf numFmtId="192" fontId="215" fillId="0" borderId="0" xfId="0" applyNumberFormat="1" applyFont="1" applyFill="1" applyAlignment="1">
      <alignment horizontal="right"/>
    </xf>
    <xf numFmtId="164" fontId="228" fillId="0" borderId="0" xfId="0" applyNumberFormat="1" applyFont="1" applyFill="1" applyAlignment="1">
      <alignment horizontal="right"/>
    </xf>
    <xf numFmtId="14" fontId="233" fillId="0" borderId="0" xfId="0" applyNumberFormat="1" applyFont="1" applyFill="1" applyAlignment="1">
      <alignment horizontal="right"/>
    </xf>
    <xf numFmtId="165" fontId="228" fillId="0" borderId="0" xfId="12422" applyNumberFormat="1" applyFont="1" applyFill="1" applyAlignment="1">
      <alignment horizontal="right"/>
    </xf>
    <xf numFmtId="165" fontId="222" fillId="0" borderId="0" xfId="12422" applyNumberFormat="1" applyFont="1" applyFill="1" applyAlignment="1">
      <alignment horizontal="right"/>
    </xf>
    <xf numFmtId="165" fontId="233" fillId="0" borderId="0" xfId="12422" applyNumberFormat="1" applyFont="1" applyFill="1" applyAlignment="1">
      <alignment horizontal="right"/>
    </xf>
    <xf numFmtId="165" fontId="228" fillId="73" borderId="0" xfId="12422" applyNumberFormat="1" applyFont="1" applyFill="1" applyAlignment="1">
      <alignment horizontal="right"/>
    </xf>
    <xf numFmtId="167" fontId="228" fillId="73" borderId="0" xfId="12427" applyNumberFormat="1" applyFont="1" applyFill="1" applyAlignment="1">
      <alignment horizontal="right"/>
    </xf>
    <xf numFmtId="0" fontId="233" fillId="73" borderId="0" xfId="0" applyFont="1" applyFill="1" applyAlignment="1">
      <alignment horizontal="right"/>
    </xf>
    <xf numFmtId="234" fontId="228" fillId="73" borderId="0" xfId="12427" applyNumberFormat="1" applyFont="1" applyFill="1" applyAlignment="1">
      <alignment horizontal="right"/>
    </xf>
    <xf numFmtId="234" fontId="233" fillId="73" borderId="0" xfId="12427" applyNumberFormat="1" applyFont="1" applyFill="1" applyAlignment="1">
      <alignment horizontal="right"/>
    </xf>
    <xf numFmtId="234" fontId="228" fillId="0" borderId="0" xfId="12427" applyNumberFormat="1" applyFont="1" applyFill="1" applyAlignment="1">
      <alignment horizontal="right"/>
    </xf>
    <xf numFmtId="165" fontId="233" fillId="73" borderId="0" xfId="12422" applyNumberFormat="1" applyFont="1" applyFill="1" applyAlignment="1">
      <alignment horizontal="right"/>
    </xf>
    <xf numFmtId="167" fontId="215" fillId="0" borderId="0" xfId="12427" applyNumberFormat="1" applyFont="1" applyFill="1" applyAlignment="1">
      <alignment horizontal="right"/>
    </xf>
    <xf numFmtId="0" fontId="241" fillId="0" borderId="0" xfId="0" applyFont="1" applyFill="1"/>
    <xf numFmtId="243" fontId="228" fillId="0" borderId="0" xfId="20305" applyNumberFormat="1" applyFont="1" applyFill="1" applyAlignment="1">
      <alignment horizontal="right"/>
    </xf>
    <xf numFmtId="9" fontId="215" fillId="0" borderId="0" xfId="12422" applyFont="1" applyFill="1" applyAlignment="1">
      <alignment horizontal="right"/>
    </xf>
    <xf numFmtId="165" fontId="215" fillId="0" borderId="0" xfId="12422" applyNumberFormat="1" applyFont="1" applyFill="1" applyAlignment="1">
      <alignment horizontal="right"/>
    </xf>
    <xf numFmtId="0" fontId="215" fillId="73" borderId="0" xfId="0" applyFont="1" applyFill="1" applyAlignment="1">
      <alignment horizontal="right"/>
    </xf>
    <xf numFmtId="0" fontId="222" fillId="74" borderId="0" xfId="0" applyFont="1" applyFill="1" applyAlignment="1">
      <alignment horizontal="right" wrapText="1"/>
    </xf>
    <xf numFmtId="0" fontId="221" fillId="0" borderId="0" xfId="0" applyFont="1" applyAlignment="1">
      <alignment horizontal="left"/>
    </xf>
    <xf numFmtId="167" fontId="216" fillId="0" borderId="199" xfId="12427" applyNumberFormat="1" applyFont="1" applyFill="1" applyBorder="1" applyAlignment="1">
      <alignment horizontal="center"/>
    </xf>
    <xf numFmtId="243" fontId="228" fillId="0" borderId="152" xfId="0" applyNumberFormat="1" applyFont="1" applyBorder="1"/>
    <xf numFmtId="0" fontId="215" fillId="0" borderId="0" xfId="0" applyFont="1" applyFill="1" applyAlignment="1">
      <alignment horizontal="right" vertical="top" wrapText="1"/>
    </xf>
    <xf numFmtId="0" fontId="216" fillId="71" borderId="207" xfId="0" applyFont="1" applyFill="1" applyBorder="1"/>
    <xf numFmtId="165" fontId="232" fillId="71" borderId="198" xfId="12422" applyNumberFormat="1" applyFont="1" applyFill="1" applyBorder="1"/>
    <xf numFmtId="0" fontId="227" fillId="72" borderId="197" xfId="0" applyFont="1" applyFill="1" applyBorder="1" applyAlignment="1">
      <alignment horizontal="left"/>
    </xf>
    <xf numFmtId="0" fontId="227" fillId="72" borderId="207" xfId="0" applyFont="1" applyFill="1" applyBorder="1" applyAlignment="1">
      <alignment horizontal="centerContinuous"/>
    </xf>
    <xf numFmtId="0" fontId="227" fillId="72" borderId="198" xfId="0" applyFont="1" applyFill="1" applyBorder="1" applyAlignment="1">
      <alignment horizontal="right" wrapText="1"/>
    </xf>
    <xf numFmtId="243" fontId="222" fillId="0" borderId="0" xfId="20305" applyNumberFormat="1" applyFont="1" applyFill="1" applyAlignment="1">
      <alignment horizontal="right"/>
    </xf>
    <xf numFmtId="167" fontId="222" fillId="0" borderId="0" xfId="12427" applyNumberFormat="1" applyFont="1" applyFill="1" applyAlignment="1">
      <alignment horizontal="right"/>
    </xf>
    <xf numFmtId="272" fontId="228" fillId="0" borderId="16" xfId="0" applyNumberFormat="1" applyFont="1" applyBorder="1"/>
    <xf numFmtId="234" fontId="222" fillId="0" borderId="198" xfId="0" applyNumberFormat="1" applyFont="1" applyFill="1" applyBorder="1" applyAlignment="1">
      <alignment horizontal="right"/>
    </xf>
    <xf numFmtId="234" fontId="228" fillId="0" borderId="0" xfId="0" applyNumberFormat="1" applyFont="1" applyFill="1"/>
    <xf numFmtId="0" fontId="215" fillId="0" borderId="207" xfId="0" applyFont="1" applyBorder="1"/>
    <xf numFmtId="0" fontId="215" fillId="0" borderId="207" xfId="0" applyFont="1" applyFill="1" applyBorder="1"/>
    <xf numFmtId="0" fontId="216" fillId="0" borderId="201" xfId="0" applyFont="1" applyFill="1" applyBorder="1"/>
    <xf numFmtId="165" fontId="232" fillId="0" borderId="202" xfId="12422" applyNumberFormat="1" applyFont="1" applyFill="1" applyBorder="1"/>
    <xf numFmtId="165" fontId="228" fillId="74" borderId="0" xfId="0" applyNumberFormat="1" applyFont="1" applyFill="1" applyAlignment="1">
      <alignment horizontal="right"/>
    </xf>
    <xf numFmtId="234" fontId="245" fillId="0" borderId="0" xfId="0" applyNumberFormat="1" applyFont="1" applyAlignment="1">
      <alignment horizontal="right" vertical="top"/>
    </xf>
    <xf numFmtId="167" fontId="41" fillId="0" borderId="0" xfId="12427" applyNumberFormat="1" applyFont="1" applyFill="1" applyBorder="1" applyAlignment="1">
      <alignment horizontal="center" vertical="top" wrapText="1"/>
    </xf>
    <xf numFmtId="266" fontId="215" fillId="0" borderId="0" xfId="0" applyNumberFormat="1" applyFont="1"/>
    <xf numFmtId="0" fontId="215" fillId="0" borderId="163" xfId="0" quotePrefix="1" applyFont="1" applyFill="1" applyBorder="1" applyAlignment="1">
      <alignment horizontal="right"/>
    </xf>
    <xf numFmtId="167" fontId="216" fillId="0" borderId="203" xfId="12427" applyNumberFormat="1" applyFont="1" applyBorder="1" applyAlignment="1">
      <alignment horizontal="center"/>
    </xf>
    <xf numFmtId="165" fontId="216" fillId="0" borderId="205" xfId="12422" applyNumberFormat="1" applyFont="1" applyBorder="1"/>
    <xf numFmtId="9" fontId="215" fillId="0" borderId="0" xfId="11807" applyNumberFormat="1" applyFont="1" applyFill="1" applyBorder="1"/>
    <xf numFmtId="234" fontId="215" fillId="0" borderId="0" xfId="11807" applyNumberFormat="1" applyFont="1" applyFill="1" applyBorder="1"/>
    <xf numFmtId="2" fontId="215" fillId="0" borderId="0" xfId="11807" applyNumberFormat="1" applyFont="1" applyFill="1" applyBorder="1"/>
    <xf numFmtId="43" fontId="216" fillId="0" borderId="0" xfId="20268" applyFont="1" applyAlignment="1">
      <alignment horizontal="right" wrapText="1"/>
    </xf>
    <xf numFmtId="165" fontId="216" fillId="0" borderId="0" xfId="12053" applyNumberFormat="1" applyFont="1" applyBorder="1"/>
    <xf numFmtId="0" fontId="215" fillId="0" borderId="204" xfId="11807" applyFont="1" applyBorder="1"/>
    <xf numFmtId="43" fontId="216" fillId="0" borderId="205" xfId="20268" applyFont="1" applyBorder="1" applyAlignment="1">
      <alignment horizontal="right" wrapText="1"/>
    </xf>
    <xf numFmtId="43" fontId="216" fillId="0" borderId="206" xfId="20268" applyFont="1" applyBorder="1" applyAlignment="1">
      <alignment horizontal="right"/>
    </xf>
    <xf numFmtId="0" fontId="215" fillId="0" borderId="60" xfId="11807" applyFont="1" applyBorder="1"/>
    <xf numFmtId="43" fontId="215" fillId="0" borderId="13" xfId="20268" applyFont="1" applyBorder="1"/>
    <xf numFmtId="234" fontId="233" fillId="0" borderId="13" xfId="0" applyNumberFormat="1" applyFont="1" applyFill="1" applyBorder="1" applyAlignment="1">
      <alignment horizontal="right"/>
    </xf>
    <xf numFmtId="165" fontId="215" fillId="0" borderId="45" xfId="12422" applyNumberFormat="1" applyFont="1" applyBorder="1"/>
    <xf numFmtId="234" fontId="232" fillId="0" borderId="92" xfId="0" applyNumberFormat="1" applyFont="1" applyFill="1" applyBorder="1" applyAlignment="1">
      <alignment horizontal="right"/>
    </xf>
    <xf numFmtId="0" fontId="233" fillId="0" borderId="0" xfId="0" quotePrefix="1" applyFont="1" applyFill="1" applyAlignment="1">
      <alignment horizontal="justify" vertical="top" wrapText="1"/>
    </xf>
    <xf numFmtId="165" fontId="216" fillId="0" borderId="0" xfId="12422" applyNumberFormat="1" applyFont="1"/>
    <xf numFmtId="169" fontId="222" fillId="0" borderId="0" xfId="0" applyNumberFormat="1" applyFont="1" applyFill="1" applyBorder="1"/>
    <xf numFmtId="167" fontId="233" fillId="0" borderId="206" xfId="12427" applyNumberFormat="1" applyFont="1" applyBorder="1"/>
    <xf numFmtId="169" fontId="215" fillId="0" borderId="206" xfId="0" applyNumberFormat="1" applyFont="1" applyBorder="1"/>
    <xf numFmtId="0" fontId="216" fillId="0" borderId="127" xfId="11807" applyFont="1" applyBorder="1"/>
    <xf numFmtId="8" fontId="228" fillId="0" borderId="151" xfId="0" applyNumberFormat="1" applyFont="1" applyBorder="1"/>
    <xf numFmtId="8" fontId="228" fillId="0" borderId="32" xfId="0" applyNumberFormat="1" applyFont="1" applyBorder="1"/>
    <xf numFmtId="166" fontId="215" fillId="0" borderId="0" xfId="12427" applyNumberFormat="1" applyFont="1"/>
    <xf numFmtId="0" fontId="216" fillId="0" borderId="204" xfId="0" applyFont="1" applyBorder="1"/>
    <xf numFmtId="0" fontId="216" fillId="0" borderId="205" xfId="0" applyFont="1" applyBorder="1"/>
    <xf numFmtId="0" fontId="215" fillId="0" borderId="206" xfId="0" applyFont="1" applyBorder="1"/>
    <xf numFmtId="0" fontId="216" fillId="0" borderId="45" xfId="0" applyFont="1" applyBorder="1" applyAlignment="1">
      <alignment horizontal="right"/>
    </xf>
    <xf numFmtId="8" fontId="234" fillId="0" borderId="92" xfId="0" applyNumberFormat="1" applyFont="1" applyBorder="1"/>
    <xf numFmtId="0" fontId="215" fillId="0" borderId="0" xfId="0" applyFont="1" applyAlignment="1">
      <alignment horizontal="justify" vertical="top" wrapText="1"/>
    </xf>
    <xf numFmtId="165" fontId="215" fillId="102" borderId="0" xfId="0" applyNumberFormat="1" applyFont="1" applyFill="1" applyAlignment="1">
      <alignment horizontal="right"/>
    </xf>
    <xf numFmtId="165" fontId="215" fillId="73" borderId="0" xfId="0" applyNumberFormat="1" applyFont="1" applyFill="1" applyAlignment="1">
      <alignment horizontal="right"/>
    </xf>
    <xf numFmtId="0" fontId="215" fillId="0" borderId="0" xfId="0" applyFont="1" applyAlignment="1">
      <alignment vertical="top" wrapText="1"/>
    </xf>
    <xf numFmtId="169" fontId="215" fillId="0" borderId="0" xfId="0" applyNumberFormat="1" applyFont="1" applyAlignment="1">
      <alignment vertical="top"/>
    </xf>
    <xf numFmtId="234" fontId="215" fillId="0" borderId="0" xfId="0" applyNumberFormat="1" applyFont="1" applyAlignment="1">
      <alignment horizontal="right" vertical="top"/>
    </xf>
    <xf numFmtId="0" fontId="227" fillId="72" borderId="75" xfId="0" applyFont="1" applyFill="1" applyBorder="1" applyAlignment="1">
      <alignment horizontal="centerContinuous" wrapText="1"/>
    </xf>
    <xf numFmtId="0" fontId="215" fillId="0" borderId="35" xfId="0" quotePrefix="1" applyFont="1" applyFill="1" applyBorder="1" applyAlignment="1">
      <alignment horizontal="right"/>
    </xf>
    <xf numFmtId="165" fontId="215" fillId="0" borderId="0" xfId="12422" applyNumberFormat="1" applyFont="1" applyAlignment="1">
      <alignment horizontal="center"/>
    </xf>
    <xf numFmtId="0" fontId="227" fillId="72" borderId="209" xfId="0" applyFont="1" applyFill="1" applyBorder="1" applyAlignment="1">
      <alignment horizontal="centerContinuous"/>
    </xf>
    <xf numFmtId="1" fontId="232" fillId="0" borderId="209" xfId="0" applyNumberFormat="1" applyFont="1" applyFill="1" applyBorder="1" applyAlignment="1">
      <alignment horizontal="right"/>
    </xf>
    <xf numFmtId="0" fontId="216" fillId="0" borderId="209" xfId="0" applyFont="1" applyFill="1" applyBorder="1"/>
    <xf numFmtId="0" fontId="232" fillId="0" borderId="209" xfId="0" applyFont="1" applyFill="1" applyBorder="1"/>
    <xf numFmtId="0" fontId="215" fillId="0" borderId="209" xfId="0" applyFont="1" applyFill="1" applyBorder="1"/>
    <xf numFmtId="0" fontId="215" fillId="0" borderId="0" xfId="0" quotePrefix="1" applyFont="1" applyFill="1" applyAlignment="1">
      <alignment horizontal="justify" vertical="top"/>
    </xf>
    <xf numFmtId="0" fontId="215" fillId="0" borderId="0" xfId="0" quotePrefix="1" applyFont="1" applyFill="1" applyAlignment="1">
      <alignment horizontal="justify" vertical="top" wrapText="1"/>
    </xf>
    <xf numFmtId="0" fontId="215" fillId="0" borderId="0" xfId="0" applyFont="1" applyAlignment="1">
      <alignment horizontal="justify" vertical="top"/>
    </xf>
    <xf numFmtId="0" fontId="233" fillId="0" borderId="0" xfId="0" quotePrefix="1" applyFont="1" applyFill="1" applyAlignment="1">
      <alignment horizontal="justify" vertical="top" wrapText="1"/>
    </xf>
    <xf numFmtId="0" fontId="215" fillId="0" borderId="0" xfId="0" quotePrefix="1" applyFont="1" applyAlignment="1">
      <alignment horizontal="justify" vertical="top" wrapText="1"/>
    </xf>
    <xf numFmtId="0" fontId="215" fillId="0" borderId="0" xfId="0" applyFont="1" applyFill="1" applyAlignment="1">
      <alignment horizontal="justify" vertical="top" wrapText="1"/>
    </xf>
    <xf numFmtId="0" fontId="215" fillId="0" borderId="0" xfId="0" applyFont="1" applyAlignment="1">
      <alignment horizontal="left" vertical="top" wrapText="1"/>
    </xf>
    <xf numFmtId="0" fontId="215" fillId="0" borderId="0" xfId="0" quotePrefix="1" applyFont="1" applyAlignment="1">
      <alignment vertical="top" wrapText="1"/>
    </xf>
    <xf numFmtId="0" fontId="36" fillId="0" borderId="0" xfId="0" applyFont="1" applyFill="1" applyBorder="1" applyAlignment="1">
      <alignment horizontal="center"/>
    </xf>
    <xf numFmtId="0" fontId="29" fillId="0" borderId="0" xfId="0" applyFont="1" applyFill="1" applyAlignment="1">
      <alignment horizontal="center"/>
    </xf>
    <xf numFmtId="0" fontId="36" fillId="73" borderId="172" xfId="0" applyFont="1" applyFill="1" applyBorder="1" applyAlignment="1">
      <alignment horizontal="center"/>
    </xf>
    <xf numFmtId="0" fontId="36" fillId="73" borderId="173" xfId="0" applyFont="1" applyFill="1" applyBorder="1" applyAlignment="1">
      <alignment horizontal="center"/>
    </xf>
    <xf numFmtId="0" fontId="36" fillId="73" borderId="97" xfId="0" applyFont="1" applyFill="1" applyBorder="1" applyAlignment="1">
      <alignment horizontal="center"/>
    </xf>
    <xf numFmtId="0" fontId="29" fillId="73" borderId="97" xfId="0" applyFont="1" applyFill="1" applyBorder="1" applyAlignment="1">
      <alignment horizontal="center"/>
    </xf>
    <xf numFmtId="0" fontId="29" fillId="0" borderId="97" xfId="0" applyFont="1" applyBorder="1" applyAlignment="1">
      <alignment horizontal="center"/>
    </xf>
    <xf numFmtId="0" fontId="29" fillId="0" borderId="173" xfId="0" applyFont="1" applyBorder="1" applyAlignment="1">
      <alignment horizontal="center"/>
    </xf>
    <xf numFmtId="0" fontId="262" fillId="0" borderId="0" xfId="0" applyFont="1" applyFill="1" applyBorder="1" applyAlignment="1">
      <alignment horizontal="center"/>
    </xf>
    <xf numFmtId="0" fontId="0" fillId="0" borderId="0" xfId="0" applyFill="1" applyBorder="1" applyAlignment="1">
      <alignment horizontal="center"/>
    </xf>
    <xf numFmtId="0" fontId="0" fillId="0" borderId="18" xfId="0" applyBorder="1" applyAlignment="1">
      <alignment horizontal="center"/>
    </xf>
    <xf numFmtId="0" fontId="17" fillId="0" borderId="18" xfId="0" applyFont="1" applyBorder="1" applyAlignment="1">
      <alignment horizontal="center"/>
    </xf>
    <xf numFmtId="0" fontId="41" fillId="92" borderId="172" xfId="0" applyFont="1" applyFill="1" applyBorder="1" applyAlignment="1">
      <alignment horizontal="center"/>
    </xf>
    <xf numFmtId="0" fontId="41" fillId="92" borderId="97" xfId="0" applyFont="1" applyFill="1" applyBorder="1" applyAlignment="1">
      <alignment horizontal="center"/>
    </xf>
    <xf numFmtId="0" fontId="41" fillId="92" borderId="173" xfId="0" applyFont="1" applyFill="1" applyBorder="1" applyAlignment="1">
      <alignment horizontal="center"/>
    </xf>
    <xf numFmtId="3" fontId="41" fillId="0" borderId="0" xfId="0" applyNumberFormat="1" applyFont="1" applyFill="1" applyBorder="1" applyAlignment="1">
      <alignment horizontal="right" vertical="top" wrapText="1"/>
    </xf>
    <xf numFmtId="0" fontId="263" fillId="94" borderId="188" xfId="0" applyFont="1" applyFill="1" applyBorder="1" applyAlignment="1">
      <alignment horizontal="center"/>
    </xf>
    <xf numFmtId="0" fontId="263" fillId="94" borderId="40" xfId="0" applyFont="1" applyFill="1" applyBorder="1" applyAlignment="1">
      <alignment horizontal="center"/>
    </xf>
    <xf numFmtId="0" fontId="263" fillId="94" borderId="189" xfId="0" applyFont="1" applyFill="1" applyBorder="1" applyAlignment="1">
      <alignment horizontal="center"/>
    </xf>
    <xf numFmtId="0" fontId="263" fillId="98" borderId="188" xfId="0" applyFont="1" applyFill="1" applyBorder="1" applyAlignment="1">
      <alignment horizontal="center"/>
    </xf>
    <xf numFmtId="0" fontId="263" fillId="98" borderId="40" xfId="0" applyFont="1" applyFill="1" applyBorder="1" applyAlignment="1">
      <alignment horizontal="center"/>
    </xf>
    <xf numFmtId="0" fontId="263" fillId="98" borderId="189" xfId="0" applyFont="1" applyFill="1" applyBorder="1" applyAlignment="1">
      <alignment horizontal="center"/>
    </xf>
    <xf numFmtId="0" fontId="216" fillId="91" borderId="0" xfId="20395" applyFont="1" applyFill="1" applyBorder="1" applyAlignment="1">
      <alignment horizontal="center" wrapText="1"/>
    </xf>
    <xf numFmtId="0" fontId="216" fillId="90" borderId="0" xfId="20395" applyFont="1" applyFill="1" applyBorder="1" applyAlignment="1">
      <alignment horizontal="center" wrapText="1"/>
    </xf>
    <xf numFmtId="0" fontId="216" fillId="90" borderId="149" xfId="20395" applyFont="1" applyFill="1" applyBorder="1" applyAlignment="1">
      <alignment horizontal="center" wrapText="1"/>
    </xf>
    <xf numFmtId="0" fontId="216" fillId="90" borderId="45" xfId="20395" applyFont="1" applyFill="1" applyBorder="1" applyAlignment="1">
      <alignment horizontal="center" wrapText="1"/>
    </xf>
    <xf numFmtId="0" fontId="216" fillId="90" borderId="149" xfId="20395" applyFont="1" applyFill="1" applyBorder="1" applyAlignment="1">
      <alignment horizontal="right" wrapText="1"/>
    </xf>
    <xf numFmtId="0" fontId="216" fillId="90" borderId="45" xfId="20395" applyFont="1" applyFill="1" applyBorder="1" applyAlignment="1">
      <alignment horizontal="right" wrapText="1"/>
    </xf>
    <xf numFmtId="0" fontId="216" fillId="90" borderId="150" xfId="20395" applyFont="1" applyFill="1" applyBorder="1" applyAlignment="1">
      <alignment horizontal="right" wrapText="1"/>
    </xf>
    <xf numFmtId="0" fontId="216" fillId="90" borderId="92" xfId="20395" applyFont="1" applyFill="1" applyBorder="1" applyAlignment="1">
      <alignment horizontal="right" wrapText="1"/>
    </xf>
    <xf numFmtId="165" fontId="240" fillId="72" borderId="207" xfId="2" applyNumberFormat="1" applyFont="1" applyFill="1" applyBorder="1" applyAlignment="1">
      <alignment horizontal="left" vertical="top"/>
    </xf>
    <xf numFmtId="165" fontId="233" fillId="0" borderId="0" xfId="2" applyNumberFormat="1" applyFont="1" applyFill="1" applyBorder="1" applyAlignment="1">
      <alignment horizontal="justify" vertical="top" wrapText="1"/>
    </xf>
    <xf numFmtId="0" fontId="215" fillId="0" borderId="0" xfId="0" applyFont="1" applyAlignment="1">
      <alignment horizontal="justify" vertical="top" wrapText="1"/>
    </xf>
    <xf numFmtId="0" fontId="215" fillId="0" borderId="0" xfId="0" quotePrefix="1" applyFont="1" applyFill="1" applyAlignment="1">
      <alignment horizontal="left" wrapText="1"/>
    </xf>
    <xf numFmtId="0" fontId="216" fillId="90" borderId="166" xfId="20395" applyFont="1" applyFill="1" applyBorder="1" applyAlignment="1">
      <alignment horizontal="right" wrapText="1"/>
    </xf>
    <xf numFmtId="0" fontId="216" fillId="90" borderId="166" xfId="20395" applyFont="1" applyFill="1" applyBorder="1" applyAlignment="1">
      <alignment horizontal="center" wrapText="1"/>
    </xf>
    <xf numFmtId="0" fontId="216" fillId="0" borderId="0" xfId="20395" applyFont="1" applyBorder="1" applyAlignment="1">
      <alignment horizontal="center" wrapText="1"/>
    </xf>
    <xf numFmtId="0" fontId="216" fillId="90" borderId="165" xfId="20395" applyFont="1" applyFill="1" applyBorder="1" applyAlignment="1">
      <alignment horizontal="right" wrapText="1"/>
    </xf>
    <xf numFmtId="0" fontId="216" fillId="90" borderId="132" xfId="20395" applyFont="1" applyFill="1" applyBorder="1" applyAlignment="1">
      <alignment horizontal="right" wrapText="1"/>
    </xf>
    <xf numFmtId="0" fontId="216" fillId="90" borderId="144" xfId="20395" applyFont="1" applyFill="1" applyBorder="1" applyAlignment="1">
      <alignment horizontal="center" wrapText="1"/>
    </xf>
    <xf numFmtId="0" fontId="216" fillId="90" borderId="144" xfId="20395" applyFont="1" applyFill="1" applyBorder="1" applyAlignment="1">
      <alignment horizontal="right" wrapText="1"/>
    </xf>
    <xf numFmtId="0" fontId="216" fillId="90" borderId="142" xfId="20395" applyFont="1" applyFill="1" applyBorder="1" applyAlignment="1">
      <alignment horizontal="right" wrapText="1"/>
    </xf>
    <xf numFmtId="0" fontId="227" fillId="72" borderId="75" xfId="0" applyFont="1" applyFill="1" applyBorder="1" applyAlignment="1">
      <alignment horizontal="center" wrapText="1"/>
    </xf>
    <xf numFmtId="0" fontId="227" fillId="72" borderId="76" xfId="0" applyFont="1" applyFill="1" applyBorder="1" applyAlignment="1">
      <alignment horizontal="center" wrapText="1"/>
    </xf>
    <xf numFmtId="0" fontId="227" fillId="72" borderId="63" xfId="0" applyFont="1" applyFill="1" applyBorder="1" applyAlignment="1">
      <alignment horizontal="center" wrapText="1"/>
    </xf>
    <xf numFmtId="0" fontId="215" fillId="0" borderId="0" xfId="0" quotePrefix="1" applyFont="1" applyAlignment="1">
      <alignment vertical="top"/>
    </xf>
    <xf numFmtId="0" fontId="215" fillId="0" borderId="0" xfId="0" quotePrefix="1" applyFont="1" applyFill="1" applyAlignment="1">
      <alignment horizontal="right" vertical="top"/>
    </xf>
  </cellXfs>
  <cellStyles count="20408">
    <cellStyle name="-" xfId="4" xr:uid="{00000000-0005-0000-0000-000000000000}"/>
    <cellStyle name="------------------" xfId="5" xr:uid="{00000000-0005-0000-0000-000001000000}"/>
    <cellStyle name=" 1" xfId="6" xr:uid="{00000000-0005-0000-0000-000002000000}"/>
    <cellStyle name=" 1 2" xfId="7" xr:uid="{00000000-0005-0000-0000-000003000000}"/>
    <cellStyle name=" 1 3" xfId="8" xr:uid="{00000000-0005-0000-0000-000004000000}"/>
    <cellStyle name=" 1_Volatility" xfId="9" xr:uid="{00000000-0005-0000-0000-000005000000}"/>
    <cellStyle name=" 10" xfId="10" xr:uid="{00000000-0005-0000-0000-000006000000}"/>
    <cellStyle name=" 11" xfId="11" xr:uid="{00000000-0005-0000-0000-000007000000}"/>
    <cellStyle name=" 12" xfId="12" xr:uid="{00000000-0005-0000-0000-000008000000}"/>
    <cellStyle name=" 13" xfId="13" xr:uid="{00000000-0005-0000-0000-000009000000}"/>
    <cellStyle name=" 14" xfId="14" xr:uid="{00000000-0005-0000-0000-00000A000000}"/>
    <cellStyle name=" 15" xfId="15" xr:uid="{00000000-0005-0000-0000-00000B000000}"/>
    <cellStyle name=" 16" xfId="16" xr:uid="{00000000-0005-0000-0000-00000C000000}"/>
    <cellStyle name=" 17" xfId="17" xr:uid="{00000000-0005-0000-0000-00000D000000}"/>
    <cellStyle name=" 18" xfId="18" xr:uid="{00000000-0005-0000-0000-00000E000000}"/>
    <cellStyle name=" 19" xfId="19" xr:uid="{00000000-0005-0000-0000-00000F000000}"/>
    <cellStyle name=" 2" xfId="20" xr:uid="{00000000-0005-0000-0000-000010000000}"/>
    <cellStyle name=" 20" xfId="21" xr:uid="{00000000-0005-0000-0000-000011000000}"/>
    <cellStyle name=" 21" xfId="22" xr:uid="{00000000-0005-0000-0000-000012000000}"/>
    <cellStyle name=" 22" xfId="23" xr:uid="{00000000-0005-0000-0000-000013000000}"/>
    <cellStyle name=" 23" xfId="24" xr:uid="{00000000-0005-0000-0000-000014000000}"/>
    <cellStyle name=" 24" xfId="25" xr:uid="{00000000-0005-0000-0000-000015000000}"/>
    <cellStyle name=" 25" xfId="26" xr:uid="{00000000-0005-0000-0000-000016000000}"/>
    <cellStyle name=" 26" xfId="27" xr:uid="{00000000-0005-0000-0000-000017000000}"/>
    <cellStyle name=" 27" xfId="28" xr:uid="{00000000-0005-0000-0000-000018000000}"/>
    <cellStyle name=" 28" xfId="29" xr:uid="{00000000-0005-0000-0000-000019000000}"/>
    <cellStyle name=" 29" xfId="30" xr:uid="{00000000-0005-0000-0000-00001A000000}"/>
    <cellStyle name=" 3" xfId="31" xr:uid="{00000000-0005-0000-0000-00001B000000}"/>
    <cellStyle name=" 30" xfId="32" xr:uid="{00000000-0005-0000-0000-00001C000000}"/>
    <cellStyle name=" 31" xfId="33" xr:uid="{00000000-0005-0000-0000-00001D000000}"/>
    <cellStyle name=" 32" xfId="34" xr:uid="{00000000-0005-0000-0000-00001E000000}"/>
    <cellStyle name=" 33" xfId="35" xr:uid="{00000000-0005-0000-0000-00001F000000}"/>
    <cellStyle name=" 34" xfId="36" xr:uid="{00000000-0005-0000-0000-000020000000}"/>
    <cellStyle name=" 35" xfId="37" xr:uid="{00000000-0005-0000-0000-000021000000}"/>
    <cellStyle name=" 36" xfId="38" xr:uid="{00000000-0005-0000-0000-000022000000}"/>
    <cellStyle name=" 37" xfId="39" xr:uid="{00000000-0005-0000-0000-000023000000}"/>
    <cellStyle name=" 38" xfId="40" xr:uid="{00000000-0005-0000-0000-000024000000}"/>
    <cellStyle name=" 39" xfId="41" xr:uid="{00000000-0005-0000-0000-000025000000}"/>
    <cellStyle name=" 4" xfId="42" xr:uid="{00000000-0005-0000-0000-000026000000}"/>
    <cellStyle name=" 40" xfId="43" xr:uid="{00000000-0005-0000-0000-000027000000}"/>
    <cellStyle name=" 41" xfId="44" xr:uid="{00000000-0005-0000-0000-000028000000}"/>
    <cellStyle name=" 42" xfId="45" xr:uid="{00000000-0005-0000-0000-000029000000}"/>
    <cellStyle name=" 43" xfId="46" xr:uid="{00000000-0005-0000-0000-00002A000000}"/>
    <cellStyle name=" 44" xfId="47" xr:uid="{00000000-0005-0000-0000-00002B000000}"/>
    <cellStyle name=" 45" xfId="48" xr:uid="{00000000-0005-0000-0000-00002C000000}"/>
    <cellStyle name=" 46" xfId="49" xr:uid="{00000000-0005-0000-0000-00002D000000}"/>
    <cellStyle name=" 47" xfId="50" xr:uid="{00000000-0005-0000-0000-00002E000000}"/>
    <cellStyle name=" 48" xfId="51" xr:uid="{00000000-0005-0000-0000-00002F000000}"/>
    <cellStyle name=" 49" xfId="52" xr:uid="{00000000-0005-0000-0000-000030000000}"/>
    <cellStyle name=" 5" xfId="53" xr:uid="{00000000-0005-0000-0000-000031000000}"/>
    <cellStyle name=" 50" xfId="54" xr:uid="{00000000-0005-0000-0000-000032000000}"/>
    <cellStyle name=" 51" xfId="55" xr:uid="{00000000-0005-0000-0000-000033000000}"/>
    <cellStyle name=" 52" xfId="56" xr:uid="{00000000-0005-0000-0000-000034000000}"/>
    <cellStyle name=" 53" xfId="57" xr:uid="{00000000-0005-0000-0000-000035000000}"/>
    <cellStyle name=" 54" xfId="58" xr:uid="{00000000-0005-0000-0000-000036000000}"/>
    <cellStyle name=" 55" xfId="59" xr:uid="{00000000-0005-0000-0000-000037000000}"/>
    <cellStyle name=" 56" xfId="60" xr:uid="{00000000-0005-0000-0000-000038000000}"/>
    <cellStyle name=" 57" xfId="61" xr:uid="{00000000-0005-0000-0000-000039000000}"/>
    <cellStyle name=" 58" xfId="62" xr:uid="{00000000-0005-0000-0000-00003A000000}"/>
    <cellStyle name=" 59" xfId="63" xr:uid="{00000000-0005-0000-0000-00003B000000}"/>
    <cellStyle name=" 6" xfId="64" xr:uid="{00000000-0005-0000-0000-00003C000000}"/>
    <cellStyle name=" 60" xfId="65" xr:uid="{00000000-0005-0000-0000-00003D000000}"/>
    <cellStyle name=" 61" xfId="66" xr:uid="{00000000-0005-0000-0000-00003E000000}"/>
    <cellStyle name=" 62" xfId="67" xr:uid="{00000000-0005-0000-0000-00003F000000}"/>
    <cellStyle name=" 63" xfId="68" xr:uid="{00000000-0005-0000-0000-000040000000}"/>
    <cellStyle name=" 64" xfId="69" xr:uid="{00000000-0005-0000-0000-000041000000}"/>
    <cellStyle name=" 65" xfId="70" xr:uid="{00000000-0005-0000-0000-000042000000}"/>
    <cellStyle name=" 66" xfId="71" xr:uid="{00000000-0005-0000-0000-000043000000}"/>
    <cellStyle name=" 67" xfId="72" xr:uid="{00000000-0005-0000-0000-000044000000}"/>
    <cellStyle name=" 68" xfId="73" xr:uid="{00000000-0005-0000-0000-000045000000}"/>
    <cellStyle name=" 69" xfId="74" xr:uid="{00000000-0005-0000-0000-000046000000}"/>
    <cellStyle name=" 7" xfId="75" xr:uid="{00000000-0005-0000-0000-000047000000}"/>
    <cellStyle name=" 70" xfId="76" xr:uid="{00000000-0005-0000-0000-000048000000}"/>
    <cellStyle name=" 8" xfId="77" xr:uid="{00000000-0005-0000-0000-000049000000}"/>
    <cellStyle name=" 9" xfId="78" xr:uid="{00000000-0005-0000-0000-00004A000000}"/>
    <cellStyle name="_x000a_386grabber=M" xfId="79" xr:uid="{00000000-0005-0000-0000-00004B000000}"/>
    <cellStyle name="_x000a_386grabber=M 2" xfId="80" xr:uid="{00000000-0005-0000-0000-00004C000000}"/>
    <cellStyle name="_x0007__x000b_" xfId="81" xr:uid="{00000000-0005-0000-0000-00004D000000}"/>
    <cellStyle name=" ✀ⰀఀĀ" xfId="82" xr:uid="{00000000-0005-0000-0000-00004E000000}"/>
    <cellStyle name="&quot;X&quot; MEN" xfId="83" xr:uid="{00000000-0005-0000-0000-00004F000000}"/>
    <cellStyle name="&quot;X&quot; MEN 2" xfId="84" xr:uid="{00000000-0005-0000-0000-000050000000}"/>
    <cellStyle name="&quot;X&quot; MEN 2 2" xfId="85" xr:uid="{00000000-0005-0000-0000-000051000000}"/>
    <cellStyle name="&quot;X&quot; MEN 3" xfId="86" xr:uid="{00000000-0005-0000-0000-000052000000}"/>
    <cellStyle name="&quot;X&quot; MEN 4" xfId="87" xr:uid="{00000000-0005-0000-0000-000053000000}"/>
    <cellStyle name="&quot;X&quot; MEN 5" xfId="88" xr:uid="{00000000-0005-0000-0000-000054000000}"/>
    <cellStyle name="#" xfId="89" xr:uid="{00000000-0005-0000-0000-000055000000}"/>
    <cellStyle name="#-" xfId="90" xr:uid="{00000000-0005-0000-0000-000056000000}"/>
    <cellStyle name="#,##0" xfId="91" xr:uid="{00000000-0005-0000-0000-000057000000}"/>
    <cellStyle name="#,##0 3 spaces" xfId="16220" xr:uid="{00000000-0005-0000-0000-000058000000}"/>
    <cellStyle name="#_Latam Comps_12.20.07" xfId="92" xr:uid="{00000000-0005-0000-0000-000059000000}"/>
    <cellStyle name="#_Latam Comps_12.20.07_Medley_Financial_Model_v5" xfId="93" xr:uid="{00000000-0005-0000-0000-00005A000000}"/>
    <cellStyle name="#_Latam Comps_2.5.08_HC" xfId="94" xr:uid="{00000000-0005-0000-0000-00005B000000}"/>
    <cellStyle name="#_Latam Comps_2.5.08_HC_Medley_Financial_Model_v5" xfId="95" xr:uid="{00000000-0005-0000-0000-00005C000000}"/>
    <cellStyle name="#_Modelo Puerto 2007 Management Case DB 14-11 (DB) v20" xfId="96" xr:uid="{00000000-0005-0000-0000-00005D000000}"/>
    <cellStyle name="$" xfId="97" xr:uid="{00000000-0005-0000-0000-00005E000000}"/>
    <cellStyle name="$-" xfId="98" xr:uid="{00000000-0005-0000-0000-00005F000000}"/>
    <cellStyle name="$ &amp; ¢" xfId="99" xr:uid="{00000000-0005-0000-0000-000060000000}"/>
    <cellStyle name="$ 0 decimal" xfId="16221" xr:uid="{00000000-0005-0000-0000-000061000000}"/>
    <cellStyle name="$ 2" xfId="100" xr:uid="{00000000-0005-0000-0000-000062000000}"/>
    <cellStyle name="$ 2 decimals" xfId="16222" xr:uid="{00000000-0005-0000-0000-000063000000}"/>
    <cellStyle name="$_12.20.04 Analysis v14" xfId="16223" xr:uid="{00000000-0005-0000-0000-000064000000}"/>
    <cellStyle name="$_56 Centra FO 10.4.05" xfId="16224" xr:uid="{00000000-0005-0000-0000-000065000000}"/>
    <cellStyle name="$_ANF Assignment 1.5" xfId="16225" xr:uid="{00000000-0005-0000-0000-000066000000}"/>
    <cellStyle name="$_Cheddars_IPO Model_Final_v7" xfId="16226" xr:uid="{00000000-0005-0000-0000-000067000000}"/>
    <cellStyle name="$_EPL LBO 5.16.05 - Mgmt IPO v6" xfId="16227" xr:uid="{00000000-0005-0000-0000-000068000000}"/>
    <cellStyle name="$_IPO Model_v01.0" xfId="16228" xr:uid="{00000000-0005-0000-0000-000069000000}"/>
    <cellStyle name="$_Model v14 (IPO)" xfId="16229" xr:uid="{00000000-0005-0000-0000-00006A000000}"/>
    <cellStyle name="$_Model v14 (IPO) brooke" xfId="16230" xr:uid="{00000000-0005-0000-0000-00006B000000}"/>
    <cellStyle name="$_Store Buildup v6" xfId="16231" xr:uid="{00000000-0005-0000-0000-00006C000000}"/>
    <cellStyle name="$_YRK_LBO" xfId="16232" xr:uid="{00000000-0005-0000-0000-00006D000000}"/>
    <cellStyle name="$0.0;($0.0)" xfId="101" xr:uid="{00000000-0005-0000-0000-00006E000000}"/>
    <cellStyle name="$0.0;($0.0) 2" xfId="102" xr:uid="{00000000-0005-0000-0000-00006F000000}"/>
    <cellStyle name="$000s1Place" xfId="103" xr:uid="{00000000-0005-0000-0000-000070000000}"/>
    <cellStyle name="$m" xfId="16233" xr:uid="{00000000-0005-0000-0000-000071000000}"/>
    <cellStyle name="$MMs1Place" xfId="104" xr:uid="{00000000-0005-0000-0000-000072000000}"/>
    <cellStyle name="$MMs2Places" xfId="105" xr:uid="{00000000-0005-0000-0000-000073000000}"/>
    <cellStyle name="$q" xfId="16234" xr:uid="{00000000-0005-0000-0000-000074000000}"/>
    <cellStyle name="$q*" xfId="16235" xr:uid="{00000000-0005-0000-0000-000075000000}"/>
    <cellStyle name="$q_AVP" xfId="16236" xr:uid="{00000000-0005-0000-0000-000076000000}"/>
    <cellStyle name="$qA" xfId="16237" xr:uid="{00000000-0005-0000-0000-000077000000}"/>
    <cellStyle name="$qRange" xfId="16238" xr:uid="{00000000-0005-0000-0000-000078000000}"/>
    <cellStyle name="$sign" xfId="16239" xr:uid="{00000000-0005-0000-0000-000079000000}"/>
    <cellStyle name="%" xfId="106" xr:uid="{00000000-0005-0000-0000-00007A000000}"/>
    <cellStyle name="%-" xfId="107" xr:uid="{00000000-0005-0000-0000-00007B000000}"/>
    <cellStyle name="% [2]" xfId="108" xr:uid="{00000000-0005-0000-0000-00007C000000}"/>
    <cellStyle name="% Input" xfId="109" xr:uid="{00000000-0005-0000-0000-00007D000000}"/>
    <cellStyle name="% Input 2" xfId="110" xr:uid="{00000000-0005-0000-0000-00007E000000}"/>
    <cellStyle name="% Presentation" xfId="111" xr:uid="{00000000-0005-0000-0000-00007F000000}"/>
    <cellStyle name="% Presentation 2" xfId="112" xr:uid="{00000000-0005-0000-0000-000080000000}"/>
    <cellStyle name="% Presentation 2 2" xfId="113" xr:uid="{00000000-0005-0000-0000-000081000000}"/>
    <cellStyle name="% Presentation 3" xfId="114" xr:uid="{00000000-0005-0000-0000-000082000000}"/>
    <cellStyle name="% Presentation 4" xfId="115" xr:uid="{00000000-0005-0000-0000-000083000000}"/>
    <cellStyle name="% Presentation 5" xfId="116" xr:uid="{00000000-0005-0000-0000-000084000000}"/>
    <cellStyle name="%.00" xfId="117" xr:uid="{00000000-0005-0000-0000-000085000000}"/>
    <cellStyle name="%_Detailed Cap Table 6 9 08" xfId="16240" xr:uid="{00000000-0005-0000-0000-000086000000}"/>
    <cellStyle name="%_V.C.3 2006 Forecast 4-19-06" xfId="16241" xr:uid="{00000000-0005-0000-0000-000087000000}"/>
    <cellStyle name="%20 - Vurgu1" xfId="16242" xr:uid="{00000000-0005-0000-0000-000088000000}"/>
    <cellStyle name="%20 - Vurgu2" xfId="16243" xr:uid="{00000000-0005-0000-0000-000089000000}"/>
    <cellStyle name="%20 - Vurgu3" xfId="16244" xr:uid="{00000000-0005-0000-0000-00008A000000}"/>
    <cellStyle name="%20 - Vurgu4" xfId="16245" xr:uid="{00000000-0005-0000-0000-00008B000000}"/>
    <cellStyle name="%20 - Vurgu5" xfId="16246" xr:uid="{00000000-0005-0000-0000-00008C000000}"/>
    <cellStyle name="%20 - Vurgu6" xfId="16247" xr:uid="{00000000-0005-0000-0000-00008D000000}"/>
    <cellStyle name="%40 - Vurgu1" xfId="16248" xr:uid="{00000000-0005-0000-0000-00008E000000}"/>
    <cellStyle name="%40 - Vurgu2" xfId="16249" xr:uid="{00000000-0005-0000-0000-00008F000000}"/>
    <cellStyle name="%40 - Vurgu3" xfId="16250" xr:uid="{00000000-0005-0000-0000-000090000000}"/>
    <cellStyle name="%40 - Vurgu4" xfId="16251" xr:uid="{00000000-0005-0000-0000-000091000000}"/>
    <cellStyle name="%40 - Vurgu5" xfId="16252" xr:uid="{00000000-0005-0000-0000-000092000000}"/>
    <cellStyle name="%40 - Vurgu6" xfId="16253" xr:uid="{00000000-0005-0000-0000-000093000000}"/>
    <cellStyle name="%60 - Vurgu1" xfId="16254" xr:uid="{00000000-0005-0000-0000-000094000000}"/>
    <cellStyle name="%60 - Vurgu2" xfId="16255" xr:uid="{00000000-0005-0000-0000-000095000000}"/>
    <cellStyle name="%60 - Vurgu3" xfId="16256" xr:uid="{00000000-0005-0000-0000-000096000000}"/>
    <cellStyle name="%60 - Vurgu4" xfId="16257" xr:uid="{00000000-0005-0000-0000-000097000000}"/>
    <cellStyle name="%60 - Vurgu5" xfId="16258" xr:uid="{00000000-0005-0000-0000-000098000000}"/>
    <cellStyle name="%60 - Vurgu6" xfId="16259" xr:uid="{00000000-0005-0000-0000-000099000000}"/>
    <cellStyle name="&amp;U" xfId="16260" xr:uid="{00000000-0005-0000-0000-00009A000000}"/>
    <cellStyle name=")_מעגלים 12.95" xfId="118" xr:uid="{00000000-0005-0000-0000-00009B000000}"/>
    <cellStyle name=")_מעגלים 12.95 2" xfId="119" xr:uid="{00000000-0005-0000-0000-00009C000000}"/>
    <cellStyle name="******************************************" xfId="120" xr:uid="{00000000-0005-0000-0000-00009D000000}"/>
    <cellStyle name="****************************************** 2" xfId="121" xr:uid="{00000000-0005-0000-0000-00009E000000}"/>
    <cellStyle name="," xfId="16261" xr:uid="{00000000-0005-0000-0000-00009F000000}"/>
    <cellStyle name=";;;" xfId="122" xr:uid="{00000000-0005-0000-0000-0000A0000000}"/>
    <cellStyle name=";;; 2" xfId="123" xr:uid="{00000000-0005-0000-0000-0000A1000000}"/>
    <cellStyle name=";;; 2 2" xfId="124" xr:uid="{00000000-0005-0000-0000-0000A2000000}"/>
    <cellStyle name=";;; 3" xfId="125" xr:uid="{00000000-0005-0000-0000-0000A3000000}"/>
    <cellStyle name=";;; 4" xfId="126" xr:uid="{00000000-0005-0000-0000-0000A4000000}"/>
    <cellStyle name=";;; 5" xfId="127" xr:uid="{00000000-0005-0000-0000-0000A5000000}"/>
    <cellStyle name="?? [0]_??" xfId="16262" xr:uid="{00000000-0005-0000-0000-0000A6000000}"/>
    <cellStyle name="???[0]_RESULTS" xfId="128" xr:uid="{00000000-0005-0000-0000-0000A7000000}"/>
    <cellStyle name="???_RESULTS" xfId="129" xr:uid="{00000000-0005-0000-0000-0000A8000000}"/>
    <cellStyle name="??_?.????" xfId="16263" xr:uid="{00000000-0005-0000-0000-0000A9000000}"/>
    <cellStyle name="\" xfId="16264" xr:uid="{00000000-0005-0000-0000-0000AA000000}"/>
    <cellStyle name="_$accounting" xfId="130" xr:uid="{00000000-0005-0000-0000-0000AB000000}"/>
    <cellStyle name="_$accounting 2" xfId="131" xr:uid="{00000000-0005-0000-0000-0000AC000000}"/>
    <cellStyle name="_%(SignOnly)" xfId="132" xr:uid="{00000000-0005-0000-0000-0000AD000000}"/>
    <cellStyle name="_%(SignOnly)_Model and Valuation - Aros 6 30 08" xfId="16265" xr:uid="{00000000-0005-0000-0000-0000AE000000}"/>
    <cellStyle name="_%(SignSpaceOnly)" xfId="133" xr:uid="{00000000-0005-0000-0000-0000AF000000}"/>
    <cellStyle name="_%(SignSpaceOnly)_Model and Valuation - Aros 6 30 08" xfId="16266" xr:uid="{00000000-0005-0000-0000-0000B0000000}"/>
    <cellStyle name="___æ_Ø_è [0.00]_Affiliate Fcst Inputs" xfId="134" xr:uid="{00000000-0005-0000-0000-0000B1000000}"/>
    <cellStyle name="___æ_Ø_è [0.00]_Affiliate Fcst Inputs 2" xfId="135" xr:uid="{00000000-0005-0000-0000-0000B2000000}"/>
    <cellStyle name="___æ_Ø_è [0.00]_Affiliate Fcst Inputs 2 2" xfId="136" xr:uid="{00000000-0005-0000-0000-0000B3000000}"/>
    <cellStyle name="___æ_Ø_è [0.00]_Affiliate Fcst Inputs 3" xfId="137" xr:uid="{00000000-0005-0000-0000-0000B4000000}"/>
    <cellStyle name="___æ_Ø_è [0.00]_Affiliate Fcst Inputs 4" xfId="138" xr:uid="{00000000-0005-0000-0000-0000B5000000}"/>
    <cellStyle name="___æ_Ø_è [0.00]_Affiliate Fcst Inputs 5" xfId="139" xr:uid="{00000000-0005-0000-0000-0000B6000000}"/>
    <cellStyle name="_~0910772" xfId="16267" xr:uid="{00000000-0005-0000-0000-0000B7000000}"/>
    <cellStyle name="_~1072145" xfId="16268" xr:uid="{00000000-0005-0000-0000-0000B8000000}"/>
    <cellStyle name="_~7037329" xfId="16269" xr:uid="{00000000-0005-0000-0000-0000B9000000}"/>
    <cellStyle name="_03 Seahawk Status Report - 1.08.07" xfId="16270" xr:uid="{00000000-0005-0000-0000-0000BA000000}"/>
    <cellStyle name="_2007 M06 On Hold On Watch Svcs Maint Jun  06-14-07" xfId="16271" xr:uid="{00000000-0005-0000-0000-0000BB000000}"/>
    <cellStyle name="_56 Centra FO 10.4.05" xfId="16272" xr:uid="{00000000-0005-0000-0000-0000BC000000}"/>
    <cellStyle name="_accounting" xfId="140" xr:uid="{00000000-0005-0000-0000-0000BD000000}"/>
    <cellStyle name="_accounting 2" xfId="141" xr:uid="{00000000-0005-0000-0000-0000BE000000}"/>
    <cellStyle name="_APT 141 101603 ver 51" xfId="142" xr:uid="{00000000-0005-0000-0000-0000BF000000}"/>
    <cellStyle name="_Backup for FY2005" xfId="16273" xr:uid="{00000000-0005-0000-0000-0000C0000000}"/>
    <cellStyle name="_Balance Sheet to E&amp;Y - HH &amp; SP" xfId="143" xr:uid="{00000000-0005-0000-0000-0000C1000000}"/>
    <cellStyle name="_Balance Sheet to E&amp;Y - HH &amp; SP_Panasas Cap Table by Investor June and Dec 2008 - updated analysis" xfId="144" xr:uid="{00000000-0005-0000-0000-0000C2000000}"/>
    <cellStyle name="_Base Valuation3.xls Chart 69_4" xfId="16274" xr:uid="{00000000-0005-0000-0000-0000C3000000}"/>
    <cellStyle name="_Base Valuation7-13" xfId="16275" xr:uid="{00000000-0005-0000-0000-0000C4000000}"/>
    <cellStyle name="_Book1" xfId="16276" xr:uid="{00000000-0005-0000-0000-0000C5000000}"/>
    <cellStyle name="-_Cash Flow" xfId="145" xr:uid="{00000000-0005-0000-0000-0000C6000000}"/>
    <cellStyle name="-_Cash Flow_EBITDA template v2" xfId="146" xr:uid="{00000000-0005-0000-0000-0000C7000000}"/>
    <cellStyle name="_Cheddars_IPO valuation v1" xfId="16277" xr:uid="{00000000-0005-0000-0000-0000C8000000}"/>
    <cellStyle name="_Column1" xfId="16278" xr:uid="{00000000-0005-0000-0000-0000C9000000}"/>
    <cellStyle name="_Column2" xfId="16279" xr:uid="{00000000-0005-0000-0000-0000CA000000}"/>
    <cellStyle name="_Column3" xfId="16280" xr:uid="{00000000-0005-0000-0000-0000CB000000}"/>
    <cellStyle name="_Column4" xfId="16281" xr:uid="{00000000-0005-0000-0000-0000CC000000}"/>
    <cellStyle name="_Column5" xfId="16282" xr:uid="{00000000-0005-0000-0000-0000CD000000}"/>
    <cellStyle name="_Column6" xfId="16283" xr:uid="{00000000-0005-0000-0000-0000CE000000}"/>
    <cellStyle name="_Comma" xfId="147" xr:uid="{00000000-0005-0000-0000-0000CF000000}"/>
    <cellStyle name="_Comma__DCF Template" xfId="148" xr:uid="{00000000-0005-0000-0000-0000D0000000}"/>
    <cellStyle name="_Comma_04 Alaska Model 2002-05-31 GS" xfId="149" xr:uid="{00000000-0005-0000-0000-0000D1000000}"/>
    <cellStyle name="_Comma_Control" xfId="150" xr:uid="{00000000-0005-0000-0000-0000D2000000}"/>
    <cellStyle name="_Comma_Dividend Template" xfId="151" xr:uid="{00000000-0005-0000-0000-0000D3000000}"/>
    <cellStyle name="_Comma_Eric CapIQ unlinked v1" xfId="152" xr:uid="{00000000-0005-0000-0000-0000D4000000}"/>
    <cellStyle name="_Comma_H-G Holdings race car v5 (change dep)" xfId="153" xr:uid="{00000000-0005-0000-0000-0000D5000000}"/>
    <cellStyle name="_Comma_lbo_long_model" xfId="154" xr:uid="{00000000-0005-0000-0000-0000D6000000}"/>
    <cellStyle name="_Comma_lbo_long_model 2" xfId="155" xr:uid="{00000000-0005-0000-0000-0000D7000000}"/>
    <cellStyle name="_Comma_Medicis WACC" xfId="156" xr:uid="{00000000-0005-0000-0000-0000D8000000}"/>
    <cellStyle name="_Comma_Meggitt AirDynamics WACC" xfId="157" xr:uid="{00000000-0005-0000-0000-0000D9000000}"/>
    <cellStyle name="_Comma_Pro-Forma Financials" xfId="158" xr:uid="{00000000-0005-0000-0000-0000DA000000}"/>
    <cellStyle name="_Comma_Pro-Forma Spin-off" xfId="159" xr:uid="{00000000-0005-0000-0000-0000DB000000}"/>
    <cellStyle name="_Comma_Revised Basic Modelv2.4" xfId="160" xr:uid="{00000000-0005-0000-0000-0000DC000000}"/>
    <cellStyle name="_Comma_Rider Henning" xfId="161" xr:uid="{00000000-0005-0000-0000-0000DD000000}"/>
    <cellStyle name="_Comma_Updated Model - CapitalIQ6 -04.20.06" xfId="162" xr:uid="{00000000-0005-0000-0000-0000DE000000}"/>
    <cellStyle name="_Comma_WACCv2" xfId="163" xr:uid="{00000000-0005-0000-0000-0000DF000000}"/>
    <cellStyle name="_Copy of Culinary Concepts 9_30_08" xfId="16284" xr:uid="{00000000-0005-0000-0000-0000E0000000}"/>
    <cellStyle name="_Currency" xfId="164" xr:uid="{00000000-0005-0000-0000-0000E1000000}"/>
    <cellStyle name="_Currency__DCF Template" xfId="165" xr:uid="{00000000-0005-0000-0000-0000E2000000}"/>
    <cellStyle name="_Currency_04 Alaska Model 2002-05-31 GS" xfId="166" xr:uid="{00000000-0005-0000-0000-0000E3000000}"/>
    <cellStyle name="_Currency_12.20.04 Analysis v14" xfId="16285" xr:uid="{00000000-0005-0000-0000-0000E4000000}"/>
    <cellStyle name="_Currency_BASF" xfId="167" xr:uid="{00000000-0005-0000-0000-0000E5000000}"/>
    <cellStyle name="_Currency_Book1" xfId="168" xr:uid="{00000000-0005-0000-0000-0000E6000000}"/>
    <cellStyle name="_Currency_Book3" xfId="169" xr:uid="{00000000-0005-0000-0000-0000E7000000}"/>
    <cellStyle name="_Currency_com_sel_bro_Eagle" xfId="170" xr:uid="{00000000-0005-0000-0000-0000E8000000}"/>
    <cellStyle name="_Currency_Control" xfId="171" xr:uid="{00000000-0005-0000-0000-0000E9000000}"/>
    <cellStyle name="_Currency_Dividend Template" xfId="172" xr:uid="{00000000-0005-0000-0000-0000EA000000}"/>
    <cellStyle name="_Currency_Eagle Financial Model" xfId="173" xr:uid="{00000000-0005-0000-0000-0000EB000000}"/>
    <cellStyle name="_Currency_Eagle-NewCastle Model 20Mar2001" xfId="174" xr:uid="{00000000-0005-0000-0000-0000EC000000}"/>
    <cellStyle name="_Currency_Eric CapIQ unlinked v1" xfId="175" xr:uid="{00000000-0005-0000-0000-0000ED000000}"/>
    <cellStyle name="_Currency_H-G Holdings race car v5 (change dep)" xfId="176" xr:uid="{00000000-0005-0000-0000-0000EE000000}"/>
    <cellStyle name="_Currency_Hokuriku Financials" xfId="177" xr:uid="{00000000-0005-0000-0000-0000EF000000}"/>
    <cellStyle name="_Currency_Indicative Valuation Summary" xfId="178" xr:uid="{00000000-0005-0000-0000-0000F0000000}"/>
    <cellStyle name="_Currency_Indicative Valuation Summary DCF Valuation" xfId="179" xr:uid="{00000000-0005-0000-0000-0000F1000000}"/>
    <cellStyle name="_Currency_INTU Comps v2" xfId="16286" xr:uid="{00000000-0005-0000-0000-0000F2000000}"/>
    <cellStyle name="_Currency_lbo_long_model" xfId="180" xr:uid="{00000000-0005-0000-0000-0000F3000000}"/>
    <cellStyle name="_Currency_lbo_long_model 2" xfId="181" xr:uid="{00000000-0005-0000-0000-0000F4000000}"/>
    <cellStyle name="_Currency_Medicis WACC" xfId="182" xr:uid="{00000000-0005-0000-0000-0000F5000000}"/>
    <cellStyle name="_Currency_Meggitt AirDynamics WACC" xfId="183" xr:uid="{00000000-0005-0000-0000-0000F6000000}"/>
    <cellStyle name="_Currency_Model 2000-09-04" xfId="184" xr:uid="{00000000-0005-0000-0000-0000F7000000}"/>
    <cellStyle name="_Currency_NK104 US Output" xfId="185" xr:uid="{00000000-0005-0000-0000-0000F8000000}"/>
    <cellStyle name="_Currency_Preliminary Valuation Summary of Seahawk" xfId="186" xr:uid="{00000000-0005-0000-0000-0000F9000000}"/>
    <cellStyle name="_Currency_Preliminary Valuation Summary of Seahawk b" xfId="187" xr:uid="{00000000-0005-0000-0000-0000FA000000}"/>
    <cellStyle name="_Currency_Pro-Forma Financials" xfId="188" xr:uid="{00000000-0005-0000-0000-0000FB000000}"/>
    <cellStyle name="_Currency_Pro-Forma Spin-off" xfId="189" xr:uid="{00000000-0005-0000-0000-0000FC000000}"/>
    <cellStyle name="_Currency_Proposed Cost Structure" xfId="190" xr:uid="{00000000-0005-0000-0000-0000FD000000}"/>
    <cellStyle name="_Currency_Revised Basic Modelv2.4" xfId="191" xr:uid="{00000000-0005-0000-0000-0000FE000000}"/>
    <cellStyle name="_Currency_Rider Henning" xfId="192" xr:uid="{00000000-0005-0000-0000-0000FF000000}"/>
    <cellStyle name="_Currency_Scaled Synergies Analysis - Mathematical Illustration - Gem as Target" xfId="193" xr:uid="{00000000-0005-0000-0000-000000010000}"/>
    <cellStyle name="_Currency_Scaled Synergies Analysis - Mathematical Illustration - Gem as Target_Value_Sharing" xfId="194" xr:uid="{00000000-0005-0000-0000-000001010000}"/>
    <cellStyle name="_Currency_Updated Model - CapitalIQ6 -04.20.06" xfId="195" xr:uid="{00000000-0005-0000-0000-000002010000}"/>
    <cellStyle name="_Currency_Valuation Overview" xfId="196" xr:uid="{00000000-0005-0000-0000-000003010000}"/>
    <cellStyle name="_Currency_valuation summary for ASP" xfId="197" xr:uid="{00000000-0005-0000-0000-000004010000}"/>
    <cellStyle name="_Currency_WACCv2" xfId="198" xr:uid="{00000000-0005-0000-0000-000005010000}"/>
    <cellStyle name="_CurrencySpace" xfId="199" xr:uid="{00000000-0005-0000-0000-000006010000}"/>
    <cellStyle name="_CurrencySpace__DCF Template" xfId="200" xr:uid="{00000000-0005-0000-0000-000007010000}"/>
    <cellStyle name="_CurrencySpace_04 Alaska Model 2002-05-31 GS" xfId="201" xr:uid="{00000000-0005-0000-0000-000008010000}"/>
    <cellStyle name="_CurrencySpace_Control" xfId="202" xr:uid="{00000000-0005-0000-0000-000009010000}"/>
    <cellStyle name="_CurrencySpace_Dividend Template" xfId="203" xr:uid="{00000000-0005-0000-0000-00000A010000}"/>
    <cellStyle name="_CurrencySpace_Eric CapIQ unlinked v1" xfId="204" xr:uid="{00000000-0005-0000-0000-00000B010000}"/>
    <cellStyle name="_CurrencySpace_H-G Holdings race car v5 (change dep)" xfId="205" xr:uid="{00000000-0005-0000-0000-00000C010000}"/>
    <cellStyle name="_CurrencySpace_IPO Model_v01.0" xfId="16287" xr:uid="{00000000-0005-0000-0000-00000D010000}"/>
    <cellStyle name="_CurrencySpace_lbo_long_model" xfId="206" xr:uid="{00000000-0005-0000-0000-00000E010000}"/>
    <cellStyle name="_CurrencySpace_lbo_long_model 2" xfId="207" xr:uid="{00000000-0005-0000-0000-00000F010000}"/>
    <cellStyle name="_CurrencySpace_MA Kinko's Model v5.5" xfId="16288" xr:uid="{00000000-0005-0000-0000-000010010000}"/>
    <cellStyle name="_CurrencySpace_Medicis WACC" xfId="208" xr:uid="{00000000-0005-0000-0000-000011010000}"/>
    <cellStyle name="_CurrencySpace_Meggitt AirDynamics WACC" xfId="209" xr:uid="{00000000-0005-0000-0000-000012010000}"/>
    <cellStyle name="_CurrencySpace_Pro-Forma Financials" xfId="210" xr:uid="{00000000-0005-0000-0000-000013010000}"/>
    <cellStyle name="_CurrencySpace_Pro-Forma Spin-off" xfId="211" xr:uid="{00000000-0005-0000-0000-000014010000}"/>
    <cellStyle name="_CurrencySpace_Revised Basic Modelv2.4" xfId="212" xr:uid="{00000000-0005-0000-0000-000015010000}"/>
    <cellStyle name="_CurrencySpace_Rider Henning" xfId="213" xr:uid="{00000000-0005-0000-0000-000016010000}"/>
    <cellStyle name="_CurrencySpace_RUBY DCF Model v42" xfId="16289" xr:uid="{00000000-0005-0000-0000-000017010000}"/>
    <cellStyle name="_CurrencySpace_RUBY merger v64" xfId="16290" xr:uid="{00000000-0005-0000-0000-000018010000}"/>
    <cellStyle name="_CurrencySpace_Updated Model - CapitalIQ6 -04.20.06" xfId="214" xr:uid="{00000000-0005-0000-0000-000019010000}"/>
    <cellStyle name="_CurrencySpace_valuation" xfId="16291" xr:uid="{00000000-0005-0000-0000-00001A010000}"/>
    <cellStyle name="_CurrencySpace_WACCv2" xfId="215" xr:uid="{00000000-0005-0000-0000-00001B010000}"/>
    <cellStyle name="_Data" xfId="16292" xr:uid="{00000000-0005-0000-0000-00001C010000}"/>
    <cellStyle name="_date" xfId="216" xr:uid="{00000000-0005-0000-0000-00001D010000}"/>
    <cellStyle name="_date 2" xfId="217" xr:uid="{00000000-0005-0000-0000-00001E010000}"/>
    <cellStyle name="_DCF (G2)" xfId="218" xr:uid="{00000000-0005-0000-0000-00001F010000}"/>
    <cellStyle name="_DCF (G2) 2" xfId="219" xr:uid="{00000000-0005-0000-0000-000020010000}"/>
    <cellStyle name="_DCF (G2) 3" xfId="220" xr:uid="{00000000-0005-0000-0000-000021010000}"/>
    <cellStyle name="_DTAs 2007 Post-Acq 3-19-08" xfId="221" xr:uid="{00000000-0005-0000-0000-000022010000}"/>
    <cellStyle name="_Epsilon IPO Model NEW v3" xfId="16293" xr:uid="{00000000-0005-0000-0000-000023010000}"/>
    <cellStyle name="_Epsilon Model 3.21.05 v.4" xfId="16294" xr:uid="{00000000-0005-0000-0000-000024010000}"/>
    <cellStyle name="_Epsilon Model 3.21.05 v.4_1" xfId="16295" xr:uid="{00000000-0005-0000-0000-000025010000}"/>
    <cellStyle name="_Epsilon Model 3.21.05 v.4_2" xfId="16296" xr:uid="{00000000-0005-0000-0000-000026010000}"/>
    <cellStyle name="_Epsilon Model 3.21.05 v.4_3" xfId="16297" xr:uid="{00000000-0005-0000-0000-000027010000}"/>
    <cellStyle name="_Epsilon Model 3.30.05 v7" xfId="16298" xr:uid="{00000000-0005-0000-0000-000028010000}"/>
    <cellStyle name="_Epsilon Model 3.30.05 v7_1" xfId="16299" xr:uid="{00000000-0005-0000-0000-000029010000}"/>
    <cellStyle name="_Epsilon Model 3.30.05 v7_2" xfId="16300" xr:uid="{00000000-0005-0000-0000-00002A010000}"/>
    <cellStyle name="_Epsilon Model 3.30.05 v7_3" xfId="16301" xr:uid="{00000000-0005-0000-0000-00002B010000}"/>
    <cellStyle name="_Epsilon Model 3.30.05 v7_4" xfId="16302" xr:uid="{00000000-0005-0000-0000-00002C010000}"/>
    <cellStyle name="_Euro" xfId="222" xr:uid="{00000000-0005-0000-0000-00002D010000}"/>
    <cellStyle name="_Euro 2" xfId="223" xr:uid="{00000000-0005-0000-0000-00002E010000}"/>
    <cellStyle name="_Euro 2 2" xfId="224" xr:uid="{00000000-0005-0000-0000-00002F010000}"/>
    <cellStyle name="_Euro 3" xfId="225" xr:uid="{00000000-0005-0000-0000-000030010000}"/>
    <cellStyle name="_Euro 4" xfId="226" xr:uid="{00000000-0005-0000-0000-000031010000}"/>
    <cellStyle name="_Euro 5" xfId="227" xr:uid="{00000000-0005-0000-0000-000032010000}"/>
    <cellStyle name="_Euro_Cable_Industry Overview5" xfId="228" xr:uid="{00000000-0005-0000-0000-000033010000}"/>
    <cellStyle name="_Euro_Cable_Industry Overview5 2" xfId="229" xr:uid="{00000000-0005-0000-0000-000034010000}"/>
    <cellStyle name="_Euro_Cable_Industry Overview5 2 2" xfId="230" xr:uid="{00000000-0005-0000-0000-000035010000}"/>
    <cellStyle name="_Euro_Cable_Industry Overview5 3" xfId="231" xr:uid="{00000000-0005-0000-0000-000036010000}"/>
    <cellStyle name="_Euro_Cable_Industry Overview5 4" xfId="232" xr:uid="{00000000-0005-0000-0000-000037010000}"/>
    <cellStyle name="_Euro_Cable_Industry Overview5 5" xfId="233" xr:uid="{00000000-0005-0000-0000-000038010000}"/>
    <cellStyle name="_Euro_Gelco Model" xfId="234" xr:uid="{00000000-0005-0000-0000-000039010000}"/>
    <cellStyle name="_Euro_Model and Valuation - Aros 6 30 08" xfId="16303" xr:uid="{00000000-0005-0000-0000-00003A010000}"/>
    <cellStyle name="_Euro_Summary" xfId="235" xr:uid="{00000000-0005-0000-0000-00003B010000}"/>
    <cellStyle name="_G2 Comps v4" xfId="236" xr:uid="{00000000-0005-0000-0000-00003C010000}"/>
    <cellStyle name="_GBP" xfId="237" xr:uid="{00000000-0005-0000-0000-00003D010000}"/>
    <cellStyle name="_GBP 2" xfId="238" xr:uid="{00000000-0005-0000-0000-00003E010000}"/>
    <cellStyle name="_Header" xfId="16304" xr:uid="{00000000-0005-0000-0000-00003F010000}"/>
    <cellStyle name="_HeaderBlue" xfId="239" xr:uid="{00000000-0005-0000-0000-000040010000}"/>
    <cellStyle name="_Heading" xfId="240" xr:uid="{00000000-0005-0000-0000-000041010000}"/>
    <cellStyle name="_Heading 2" xfId="241" xr:uid="{00000000-0005-0000-0000-000042010000}"/>
    <cellStyle name="_Heading_lbo_long_model" xfId="242" xr:uid="{00000000-0005-0000-0000-000043010000}"/>
    <cellStyle name="_Heading_lbo_long_model 2" xfId="243" xr:uid="{00000000-0005-0000-0000-000044010000}"/>
    <cellStyle name="_Heading_lbo_long_model 2 2" xfId="244" xr:uid="{00000000-0005-0000-0000-000045010000}"/>
    <cellStyle name="_Heading_lbo_long_model 3" xfId="245" xr:uid="{00000000-0005-0000-0000-000046010000}"/>
    <cellStyle name="_Heading_lbo_long_model 4" xfId="246" xr:uid="{00000000-0005-0000-0000-000047010000}"/>
    <cellStyle name="_Heading_lbo_long_model 5" xfId="247" xr:uid="{00000000-0005-0000-0000-000048010000}"/>
    <cellStyle name="_Heading_lbo_long_model_Anaphore 12 31 2008 Draft Analysis 02 19 2009" xfId="248" xr:uid="{00000000-0005-0000-0000-000049010000}"/>
    <cellStyle name="_Heading_lbo_long_model_Anaphore 12 31 2008 Draft Analysis 02 20 2009 - DM REVISED" xfId="249" xr:uid="{00000000-0005-0000-0000-00004A010000}"/>
    <cellStyle name="_Heading_lbo_long_model_Book2" xfId="250" xr:uid="{00000000-0005-0000-0000-00004B010000}"/>
    <cellStyle name="_Heading_lbo_long_model_Book2 2" xfId="251" xr:uid="{00000000-0005-0000-0000-00004C010000}"/>
    <cellStyle name="_Heading_lbo_long_model_Boston Power VD 01 31 2008 Model 02 26 2008" xfId="252" xr:uid="{00000000-0005-0000-0000-00004D010000}"/>
    <cellStyle name="_Heading_lbo_long_model_Boston Power VD 01 31 2008 Model 02 26 2008 2" xfId="253" xr:uid="{00000000-0005-0000-0000-00004E010000}"/>
    <cellStyle name="_Heading_lbo_long_model_Boston Power VD 01 31 2008 Model 02 26 2008 2 2" xfId="254" xr:uid="{00000000-0005-0000-0000-00004F010000}"/>
    <cellStyle name="_Heading_lbo_long_model_Boston Power VD 01 31 2008 Model 02 26 2008 3" xfId="255" xr:uid="{00000000-0005-0000-0000-000050010000}"/>
    <cellStyle name="_Heading_lbo_long_model_Boston Power VD 01 31 2008 Model 02 26 2008 4" xfId="256" xr:uid="{00000000-0005-0000-0000-000051010000}"/>
    <cellStyle name="_Heading_lbo_long_model_Boston Power VD 01 31 2008 Model 02 26 2008 5" xfId="257" xr:uid="{00000000-0005-0000-0000-000052010000}"/>
    <cellStyle name="_Heading_lbo_long_model_Boston Power VD 01 31 2008 Model 02 26 2008_CompanyABC Valuation Draft Model 04 21 2009" xfId="258" xr:uid="{00000000-0005-0000-0000-000053010000}"/>
    <cellStyle name="_Heading_lbo_long_model_Boston Power VD 01 31 2008 Model 02 26 2008_CompanyABC Valuation Draft Model 04 21 2009 2" xfId="259" xr:uid="{00000000-0005-0000-0000-000054010000}"/>
    <cellStyle name="_Heading_lbo_long_model_Boston Power VD 01 31 2008 Model 02 26 2008_DB" xfId="260" xr:uid="{00000000-0005-0000-0000-000055010000}"/>
    <cellStyle name="_Heading_lbo_long_model_Boston Power VD 01 31 2008 Model 02 26 2008_DB 2" xfId="261" xr:uid="{00000000-0005-0000-0000-000056010000}"/>
    <cellStyle name="_Heading_lbo_long_model_Boston Power VD 01 31 2008 Model 02 26 2008_DB 2 2" xfId="262" xr:uid="{00000000-0005-0000-0000-000057010000}"/>
    <cellStyle name="_Heading_lbo_long_model_Boston Power VD 01 31 2008 Model 02 26 2008_FAS 157 Model Template 04 26 2009" xfId="263" xr:uid="{00000000-0005-0000-0000-000058010000}"/>
    <cellStyle name="_Heading_lbo_long_model_Boston Power VD 01 31 2008 Model 02 26 2008_FAS 157 Model Template 04 26 2009 2" xfId="264" xr:uid="{00000000-0005-0000-0000-000059010000}"/>
    <cellStyle name="_Heading_lbo_long_model_Boston Power VD 01 31 2008 Model 02 26 2008_Miragen VD 05 31 2008 Model 05 22 2009" xfId="265" xr:uid="{00000000-0005-0000-0000-00005A010000}"/>
    <cellStyle name="_Heading_lbo_long_model_Cap Table Inputs" xfId="266" xr:uid="{00000000-0005-0000-0000-00005B010000}"/>
    <cellStyle name="_Heading_lbo_long_model_Cap Table Inputs 2" xfId="267" xr:uid="{00000000-0005-0000-0000-00005C010000}"/>
    <cellStyle name="_Heading_lbo_long_model_Cap Table Inputs 2 2" xfId="268" xr:uid="{00000000-0005-0000-0000-00005D010000}"/>
    <cellStyle name="_Heading_lbo_long_model_Cap Table Inputs 3" xfId="269" xr:uid="{00000000-0005-0000-0000-00005E010000}"/>
    <cellStyle name="_Heading_lbo_long_model_Cap Table Inputs 4" xfId="270" xr:uid="{00000000-0005-0000-0000-00005F010000}"/>
    <cellStyle name="_Heading_lbo_long_model_Cap Table Inputs 5" xfId="271" xr:uid="{00000000-0005-0000-0000-000060010000}"/>
    <cellStyle name="_Heading_lbo_long_model_Cap Table Inputs_CompanyABC Valuation Draft Model 04 21 2009" xfId="272" xr:uid="{00000000-0005-0000-0000-000061010000}"/>
    <cellStyle name="_Heading_lbo_long_model_Cap Table Inputs_CompanyABC Valuation Draft Model 04 21 2009 2" xfId="273" xr:uid="{00000000-0005-0000-0000-000062010000}"/>
    <cellStyle name="_Heading_lbo_long_model_Cap Table Inputs_DB" xfId="274" xr:uid="{00000000-0005-0000-0000-000063010000}"/>
    <cellStyle name="_Heading_lbo_long_model_Cap Table Inputs_DB 2" xfId="275" xr:uid="{00000000-0005-0000-0000-000064010000}"/>
    <cellStyle name="_Heading_lbo_long_model_Cap Table Inputs_DB 2 2" xfId="276" xr:uid="{00000000-0005-0000-0000-000065010000}"/>
    <cellStyle name="_Heading_lbo_long_model_Cap Table Inputs_FAS 157 Model Template 04 26 2009" xfId="277" xr:uid="{00000000-0005-0000-0000-000066010000}"/>
    <cellStyle name="_Heading_lbo_long_model_Cap Table Inputs_FAS 157 Model Template 04 26 2009 2" xfId="278" xr:uid="{00000000-0005-0000-0000-000067010000}"/>
    <cellStyle name="_Heading_lbo_long_model_Cap Table Inputs_Miragen VD 05 31 2008 Model 05 22 2009" xfId="279" xr:uid="{00000000-0005-0000-0000-000068010000}"/>
    <cellStyle name="_Heading_lbo_long_model_CardioSolutions 05 31 2007 Final Model 09 27 2007" xfId="280" xr:uid="{00000000-0005-0000-0000-000069010000}"/>
    <cellStyle name="_Heading_lbo_long_model_CardioSolutions 05 31 2007 Final Model 09 27 2007 2" xfId="281" xr:uid="{00000000-0005-0000-0000-00006A010000}"/>
    <cellStyle name="_Heading_lbo_long_model_CardioSolutions 05 31 2007 Final Model 09 27 2007 2 2" xfId="282" xr:uid="{00000000-0005-0000-0000-00006B010000}"/>
    <cellStyle name="_Heading_lbo_long_model_CardioSolutions 05 31 2007 Final Model 09 27 2007 3" xfId="283" xr:uid="{00000000-0005-0000-0000-00006C010000}"/>
    <cellStyle name="_Heading_lbo_long_model_CardioSolutions 05 31 2007 Final Model 09 27 2007 4" xfId="284" xr:uid="{00000000-0005-0000-0000-00006D010000}"/>
    <cellStyle name="_Heading_lbo_long_model_CardioSolutions 05 31 2007 Final Model 09 27 2007 5" xfId="285" xr:uid="{00000000-0005-0000-0000-00006E010000}"/>
    <cellStyle name="_Heading_lbo_long_model_CardioSolutions 05 31 2007 Final Model 09 27 2007_CompanyABC Valuation Draft Model 04 21 2009" xfId="286" xr:uid="{00000000-0005-0000-0000-00006F010000}"/>
    <cellStyle name="_Heading_lbo_long_model_CardioSolutions 05 31 2007 Final Model 09 27 2007_CompanyABC Valuation Draft Model 04 21 2009 2" xfId="287" xr:uid="{00000000-0005-0000-0000-000070010000}"/>
    <cellStyle name="_Heading_lbo_long_model_CardioSolutions 05 31 2007 Final Model 09 27 2007_DB" xfId="288" xr:uid="{00000000-0005-0000-0000-000071010000}"/>
    <cellStyle name="_Heading_lbo_long_model_CardioSolutions 05 31 2007 Final Model 09 27 2007_DB 2" xfId="289" xr:uid="{00000000-0005-0000-0000-000072010000}"/>
    <cellStyle name="_Heading_lbo_long_model_CardioSolutions 05 31 2007 Final Model 09 27 2007_DB 2 2" xfId="290" xr:uid="{00000000-0005-0000-0000-000073010000}"/>
    <cellStyle name="_Heading_lbo_long_model_CardioSolutions 05 31 2007 Final Model 09 27 2007_FAS 157 Model Template 04 26 2009" xfId="291" xr:uid="{00000000-0005-0000-0000-000074010000}"/>
    <cellStyle name="_Heading_lbo_long_model_CardioSolutions 05 31 2007 Final Model 09 27 2007_FAS 157 Model Template 04 26 2009 2" xfId="292" xr:uid="{00000000-0005-0000-0000-000075010000}"/>
    <cellStyle name="_Heading_lbo_long_model_CardioSolutions 05 31 2007 Final Model 09 27 2007_Miragen VD 05 31 2008 Model 05 22 2009" xfId="293" xr:uid="{00000000-0005-0000-0000-000076010000}"/>
    <cellStyle name="_Heading_lbo_long_model_CardioSolutions VD 05 31 08 Draft Model 07 15 2008" xfId="294" xr:uid="{00000000-0005-0000-0000-000077010000}"/>
    <cellStyle name="_Heading_lbo_long_model_CardioSolutions VD 05 31 08 Draft Model 07 15 2008 2" xfId="295" xr:uid="{00000000-0005-0000-0000-000078010000}"/>
    <cellStyle name="_Heading_lbo_long_model_CardioSolutions VD 05 31 08 Draft Model 08 06 08-u" xfId="296" xr:uid="{00000000-0005-0000-0000-000079010000}"/>
    <cellStyle name="_Heading_lbo_long_model_CardioSolutions VD 05 31 08 Draft Model 08 06 08-u 2" xfId="297" xr:uid="{00000000-0005-0000-0000-00007A010000}"/>
    <cellStyle name="_Heading_lbo_long_model_CompanyABC Valuation Draft Model 04 21 2009" xfId="298" xr:uid="{00000000-0005-0000-0000-00007B010000}"/>
    <cellStyle name="_Heading_lbo_long_model_CompanyABC Valuation Draft Model 04 21 2009 2" xfId="299" xr:uid="{00000000-0005-0000-0000-00007C010000}"/>
    <cellStyle name="_Heading_lbo_long_model_CompanyABC Valuation Model Draft 07 07 2008" xfId="300" xr:uid="{00000000-0005-0000-0000-00007D010000}"/>
    <cellStyle name="_Heading_lbo_long_model_CompanyABC Valuation Model Draft 07 07 2008 2" xfId="301" xr:uid="{00000000-0005-0000-0000-00007E010000}"/>
    <cellStyle name="_Heading_lbo_long_model_CompanyABC Valuation Model Draft 08 07 2008" xfId="302" xr:uid="{00000000-0005-0000-0000-00007F010000}"/>
    <cellStyle name="_Heading_lbo_long_model_CompanyABC Valuation Model Draft 08 07 2008 2" xfId="303" xr:uid="{00000000-0005-0000-0000-000080010000}"/>
    <cellStyle name="_Heading_lbo_long_model_CompanyABC Valuation Model Draft 08 25 2008" xfId="304" xr:uid="{00000000-0005-0000-0000-000081010000}"/>
    <cellStyle name="_Heading_lbo_long_model_CompanyABC Valuation Model Draft 08 25 2008 2" xfId="305" xr:uid="{00000000-0005-0000-0000-000082010000}"/>
    <cellStyle name="_Heading_lbo_long_model_CompanyABC Valuation Model Draft 09 25 2008-Team Liquidity" xfId="306" xr:uid="{00000000-0005-0000-0000-000083010000}"/>
    <cellStyle name="_Heading_lbo_long_model_CompanyABC Valuation Model Draft 09 25 2008-Team Liquidity 2" xfId="307" xr:uid="{00000000-0005-0000-0000-000084010000}"/>
    <cellStyle name="_Heading_lbo_long_model_CompanyABC Valuation Model Draft 10 01 2008" xfId="308" xr:uid="{00000000-0005-0000-0000-000085010000}"/>
    <cellStyle name="_Heading_lbo_long_model_CompanyABC Valuation Model Draft 10 01 2008 2" xfId="309" xr:uid="{00000000-0005-0000-0000-000086010000}"/>
    <cellStyle name="_Heading_lbo_long_model_CompanyABC Valuation Model Draft 10 27 2008" xfId="310" xr:uid="{00000000-0005-0000-0000-000087010000}"/>
    <cellStyle name="_Heading_lbo_long_model_CompanyABC Valuation Model Draft 10 27 2008 2" xfId="311" xr:uid="{00000000-0005-0000-0000-000088010000}"/>
    <cellStyle name="_Heading_lbo_long_model_DB" xfId="312" xr:uid="{00000000-0005-0000-0000-000089010000}"/>
    <cellStyle name="_Heading_lbo_long_model_DB 2" xfId="313" xr:uid="{00000000-0005-0000-0000-00008A010000}"/>
    <cellStyle name="_Heading_lbo_long_model_EXAMPLE model C-5" xfId="314" xr:uid="{00000000-0005-0000-0000-00008B010000}"/>
    <cellStyle name="_Heading_lbo_long_model_EXAMPLE model C-5 2" xfId="315" xr:uid="{00000000-0005-0000-0000-00008C010000}"/>
    <cellStyle name="_Heading_lbo_long_model_FAS 157 Model Template 04 26 2009" xfId="316" xr:uid="{00000000-0005-0000-0000-00008D010000}"/>
    <cellStyle name="_Heading_lbo_long_model_FAS 157 Model Template 04 26 2009 2" xfId="317" xr:uid="{00000000-0005-0000-0000-00008E010000}"/>
    <cellStyle name="_Heading_lbo_long_model_Great Call VD 09 30 08 Draft Model 11 20 08" xfId="318" xr:uid="{00000000-0005-0000-0000-00008F010000}"/>
    <cellStyle name="_Heading_lbo_long_model_Great Call VD 09 30 08 Draft Model 11 20 08 2" xfId="319" xr:uid="{00000000-0005-0000-0000-000090010000}"/>
    <cellStyle name="_Heading_lbo_long_model_Intermedia, Inc. VD 05 31 08 Draft Model 07 16 2008" xfId="320" xr:uid="{00000000-0005-0000-0000-000091010000}"/>
    <cellStyle name="_Heading_lbo_long_model_Intermedia, Inc. VD 05 31 08 Draft Model 07 16 2008 2" xfId="321" xr:uid="{00000000-0005-0000-0000-000092010000}"/>
    <cellStyle name="_Heading_lbo_long_model_Island Data Corporatin VD 06 30 08 Projections and Comparables 08 11 2008" xfId="322" xr:uid="{00000000-0005-0000-0000-000093010000}"/>
    <cellStyle name="_Heading_lbo_long_model_Island Data Corporatin VD 06 30 08 Projections and Comparables 08 11 2008 2" xfId="323" xr:uid="{00000000-0005-0000-0000-000094010000}"/>
    <cellStyle name="_Heading_lbo_long_model_Jentro Tech VD 03 31 2008 Model 04 10 2008" xfId="324" xr:uid="{00000000-0005-0000-0000-000095010000}"/>
    <cellStyle name="_Heading_lbo_long_model_Jentro Tech VD 03 31 2008 Model 04 10 2008 2" xfId="325" xr:uid="{00000000-0005-0000-0000-000096010000}"/>
    <cellStyle name="_Heading_lbo_long_model_Kythera Biopharmaceuticals VD 05 16 08 Draft Analysis 07 01 08" xfId="326" xr:uid="{00000000-0005-0000-0000-000097010000}"/>
    <cellStyle name="_Heading_lbo_long_model_Kythera Biopharmaceuticals VD 05 16 08 Draft Analysis 07 01 08 2" xfId="327" xr:uid="{00000000-0005-0000-0000-000098010000}"/>
    <cellStyle name="_Heading_lbo_long_model_Kythera Biopharmaceuticals VD 05 16 08 Final Model 07 20 08" xfId="328" xr:uid="{00000000-0005-0000-0000-000099010000}"/>
    <cellStyle name="_Heading_lbo_long_model_Kythera Biopharmaceuticals VD 05 16 08 Final Model 07 20 08 2" xfId="329" xr:uid="{00000000-0005-0000-0000-00009A010000}"/>
    <cellStyle name="_Heading_lbo_long_model_Kythera Biopharmaceuticals, Inc. VD 5 16 2008 Draft 5 24 2008" xfId="330" xr:uid="{00000000-0005-0000-0000-00009B010000}"/>
    <cellStyle name="_Heading_lbo_long_model_Kythera Biopharmaceuticals, Inc. VD 5 16 2008 Draft 5 24 2008 2" xfId="331" xr:uid="{00000000-0005-0000-0000-00009C010000}"/>
    <cellStyle name="_Heading_lbo_long_model_Miragen VD 05 31 2008 Model 05 22 2009" xfId="332" xr:uid="{00000000-0005-0000-0000-00009D010000}"/>
    <cellStyle name="_Heading_lbo_long_model_Notes" xfId="333" xr:uid="{00000000-0005-0000-0000-00009E010000}"/>
    <cellStyle name="_Heading_lbo_long_model_Notes 2" xfId="334" xr:uid="{00000000-0005-0000-0000-00009F010000}"/>
    <cellStyle name="_Heading_lbo_long_model_OMT VD 10 15 2008 Draft Analysis 12 17 2008.xls" xfId="335" xr:uid="{00000000-0005-0000-0000-0000A0010000}"/>
    <cellStyle name="_Heading_lbo_long_model_PubComps IPO -C-7" xfId="336" xr:uid="{00000000-0005-0000-0000-0000A1010000}"/>
    <cellStyle name="_Heading_lbo_long_model_PubComps IPO -C-7 2" xfId="337" xr:uid="{00000000-0005-0000-0000-0000A2010000}"/>
    <cellStyle name="_Heading_lbo_long_model_Tmax Soft VD 07 31 2008 Draft Model 08 20 2008" xfId="338" xr:uid="{00000000-0005-0000-0000-0000A3010000}"/>
    <cellStyle name="_Heading_lbo_long_model_Tmax Soft VD 07 31 2008 Draft Model 08 20 2008 2" xfId="339" xr:uid="{00000000-0005-0000-0000-0000A4010000}"/>
    <cellStyle name="_Heading_lbo_long_model_WACC -E-2" xfId="340" xr:uid="{00000000-0005-0000-0000-0000A5010000}"/>
    <cellStyle name="_Heading_lbo_long_model_WACC -E-2 2" xfId="341" xr:uid="{00000000-0005-0000-0000-0000A6010000}"/>
    <cellStyle name="_Heading_lbo_long_model_Xmos Limited VD 05 13 2008  Model 06 04 08" xfId="342" xr:uid="{00000000-0005-0000-0000-0000A7010000}"/>
    <cellStyle name="_Heading_lbo_long_model_Xmos Limited VD 05 13 2008  Model 06 04 08 2" xfId="343" xr:uid="{00000000-0005-0000-0000-0000A8010000}"/>
    <cellStyle name="_Heading_prestemp" xfId="344" xr:uid="{00000000-0005-0000-0000-0000A9010000}"/>
    <cellStyle name="_Heading_prestemp 2" xfId="345" xr:uid="{00000000-0005-0000-0000-0000AA010000}"/>
    <cellStyle name="_Heading_prestemp 2 2" xfId="346" xr:uid="{00000000-0005-0000-0000-0000AB010000}"/>
    <cellStyle name="_Heading_prestemp 3" xfId="347" xr:uid="{00000000-0005-0000-0000-0000AC010000}"/>
    <cellStyle name="_Heading_prestemp 4" xfId="348" xr:uid="{00000000-0005-0000-0000-0000AD010000}"/>
    <cellStyle name="_Heading_prestemp 5" xfId="349" xr:uid="{00000000-0005-0000-0000-0000AE010000}"/>
    <cellStyle name="_Heading_prestemp_Anaphore 12 31 2008 Draft Analysis 02 19 2009" xfId="350" xr:uid="{00000000-0005-0000-0000-0000AF010000}"/>
    <cellStyle name="_Heading_prestemp_Anaphore 12 31 2008 Draft Analysis 02 20 2009 - DM REVISED" xfId="351" xr:uid="{00000000-0005-0000-0000-0000B0010000}"/>
    <cellStyle name="_Heading_prestemp_Book2" xfId="352" xr:uid="{00000000-0005-0000-0000-0000B1010000}"/>
    <cellStyle name="_Heading_prestemp_Book2 2" xfId="353" xr:uid="{00000000-0005-0000-0000-0000B2010000}"/>
    <cellStyle name="_Heading_prestemp_Boston Power VD 01 31 2008 Model 02 26 2008" xfId="354" xr:uid="{00000000-0005-0000-0000-0000B3010000}"/>
    <cellStyle name="_Heading_prestemp_Boston Power VD 01 31 2008 Model 02 26 2008 2" xfId="355" xr:uid="{00000000-0005-0000-0000-0000B4010000}"/>
    <cellStyle name="_Heading_prestemp_Boston Power VD 01 31 2008 Model 02 26 2008 2 2" xfId="356" xr:uid="{00000000-0005-0000-0000-0000B5010000}"/>
    <cellStyle name="_Heading_prestemp_Boston Power VD 01 31 2008 Model 02 26 2008 3" xfId="357" xr:uid="{00000000-0005-0000-0000-0000B6010000}"/>
    <cellStyle name="_Heading_prestemp_Boston Power VD 01 31 2008 Model 02 26 2008 4" xfId="358" xr:uid="{00000000-0005-0000-0000-0000B7010000}"/>
    <cellStyle name="_Heading_prestemp_Boston Power VD 01 31 2008 Model 02 26 2008 5" xfId="359" xr:uid="{00000000-0005-0000-0000-0000B8010000}"/>
    <cellStyle name="_Heading_prestemp_Boston Power VD 01 31 2008 Model 02 26 2008_CompanyABC Valuation Draft Model 04 21 2009" xfId="360" xr:uid="{00000000-0005-0000-0000-0000B9010000}"/>
    <cellStyle name="_Heading_prestemp_Boston Power VD 01 31 2008 Model 02 26 2008_CompanyABC Valuation Draft Model 04 21 2009 2" xfId="361" xr:uid="{00000000-0005-0000-0000-0000BA010000}"/>
    <cellStyle name="_Heading_prestemp_Boston Power VD 01 31 2008 Model 02 26 2008_DB" xfId="362" xr:uid="{00000000-0005-0000-0000-0000BB010000}"/>
    <cellStyle name="_Heading_prestemp_Boston Power VD 01 31 2008 Model 02 26 2008_DB 2" xfId="363" xr:uid="{00000000-0005-0000-0000-0000BC010000}"/>
    <cellStyle name="_Heading_prestemp_Boston Power VD 01 31 2008 Model 02 26 2008_DB 2 2" xfId="364" xr:uid="{00000000-0005-0000-0000-0000BD010000}"/>
    <cellStyle name="_Heading_prestemp_Boston Power VD 01 31 2008 Model 02 26 2008_FAS 157 Model Template 04 26 2009" xfId="365" xr:uid="{00000000-0005-0000-0000-0000BE010000}"/>
    <cellStyle name="_Heading_prestemp_Boston Power VD 01 31 2008 Model 02 26 2008_FAS 157 Model Template 04 26 2009 2" xfId="366" xr:uid="{00000000-0005-0000-0000-0000BF010000}"/>
    <cellStyle name="_Heading_prestemp_Boston Power VD 01 31 2008 Model 02 26 2008_Miragen VD 05 31 2008 Model 05 22 2009" xfId="367" xr:uid="{00000000-0005-0000-0000-0000C0010000}"/>
    <cellStyle name="_Heading_prestemp_Cap Table Inputs" xfId="368" xr:uid="{00000000-0005-0000-0000-0000C1010000}"/>
    <cellStyle name="_Heading_prestemp_Cap Table Inputs 2" xfId="369" xr:uid="{00000000-0005-0000-0000-0000C2010000}"/>
    <cellStyle name="_Heading_prestemp_Cap Table Inputs 2 2" xfId="370" xr:uid="{00000000-0005-0000-0000-0000C3010000}"/>
    <cellStyle name="_Heading_prestemp_Cap Table Inputs 3" xfId="371" xr:uid="{00000000-0005-0000-0000-0000C4010000}"/>
    <cellStyle name="_Heading_prestemp_Cap Table Inputs 4" xfId="372" xr:uid="{00000000-0005-0000-0000-0000C5010000}"/>
    <cellStyle name="_Heading_prestemp_Cap Table Inputs 5" xfId="373" xr:uid="{00000000-0005-0000-0000-0000C6010000}"/>
    <cellStyle name="_Heading_prestemp_Cap Table Inputs_CompanyABC Valuation Draft Model 04 21 2009" xfId="374" xr:uid="{00000000-0005-0000-0000-0000C7010000}"/>
    <cellStyle name="_Heading_prestemp_Cap Table Inputs_CompanyABC Valuation Draft Model 04 21 2009 2" xfId="375" xr:uid="{00000000-0005-0000-0000-0000C8010000}"/>
    <cellStyle name="_Heading_prestemp_Cap Table Inputs_DB" xfId="376" xr:uid="{00000000-0005-0000-0000-0000C9010000}"/>
    <cellStyle name="_Heading_prestemp_Cap Table Inputs_DB 2" xfId="377" xr:uid="{00000000-0005-0000-0000-0000CA010000}"/>
    <cellStyle name="_Heading_prestemp_Cap Table Inputs_DB 2 2" xfId="378" xr:uid="{00000000-0005-0000-0000-0000CB010000}"/>
    <cellStyle name="_Heading_prestemp_Cap Table Inputs_FAS 157 Model Template 04 26 2009" xfId="379" xr:uid="{00000000-0005-0000-0000-0000CC010000}"/>
    <cellStyle name="_Heading_prestemp_Cap Table Inputs_FAS 157 Model Template 04 26 2009 2" xfId="380" xr:uid="{00000000-0005-0000-0000-0000CD010000}"/>
    <cellStyle name="_Heading_prestemp_Cap Table Inputs_Miragen VD 05 31 2008 Model 05 22 2009" xfId="381" xr:uid="{00000000-0005-0000-0000-0000CE010000}"/>
    <cellStyle name="_Heading_prestemp_CardioSolutions 05 31 2007 Final Model 09 27 2007" xfId="382" xr:uid="{00000000-0005-0000-0000-0000CF010000}"/>
    <cellStyle name="_Heading_prestemp_CardioSolutions 05 31 2007 Final Model 09 27 2007 2" xfId="383" xr:uid="{00000000-0005-0000-0000-0000D0010000}"/>
    <cellStyle name="_Heading_prestemp_CardioSolutions 05 31 2007 Final Model 09 27 2007 2 2" xfId="384" xr:uid="{00000000-0005-0000-0000-0000D1010000}"/>
    <cellStyle name="_Heading_prestemp_CardioSolutions 05 31 2007 Final Model 09 27 2007 3" xfId="385" xr:uid="{00000000-0005-0000-0000-0000D2010000}"/>
    <cellStyle name="_Heading_prestemp_CardioSolutions 05 31 2007 Final Model 09 27 2007 4" xfId="386" xr:uid="{00000000-0005-0000-0000-0000D3010000}"/>
    <cellStyle name="_Heading_prestemp_CardioSolutions 05 31 2007 Final Model 09 27 2007 5" xfId="387" xr:uid="{00000000-0005-0000-0000-0000D4010000}"/>
    <cellStyle name="_Heading_prestemp_CardioSolutions 05 31 2007 Final Model 09 27 2007_CompanyABC Valuation Draft Model 04 21 2009" xfId="388" xr:uid="{00000000-0005-0000-0000-0000D5010000}"/>
    <cellStyle name="_Heading_prestemp_CardioSolutions 05 31 2007 Final Model 09 27 2007_CompanyABC Valuation Draft Model 04 21 2009 2" xfId="389" xr:uid="{00000000-0005-0000-0000-0000D6010000}"/>
    <cellStyle name="_Heading_prestemp_CardioSolutions 05 31 2007 Final Model 09 27 2007_DB" xfId="390" xr:uid="{00000000-0005-0000-0000-0000D7010000}"/>
    <cellStyle name="_Heading_prestemp_CardioSolutions 05 31 2007 Final Model 09 27 2007_DB 2" xfId="391" xr:uid="{00000000-0005-0000-0000-0000D8010000}"/>
    <cellStyle name="_Heading_prestemp_CardioSolutions 05 31 2007 Final Model 09 27 2007_DB 2 2" xfId="392" xr:uid="{00000000-0005-0000-0000-0000D9010000}"/>
    <cellStyle name="_Heading_prestemp_CardioSolutions 05 31 2007 Final Model 09 27 2007_FAS 157 Model Template 04 26 2009" xfId="393" xr:uid="{00000000-0005-0000-0000-0000DA010000}"/>
    <cellStyle name="_Heading_prestemp_CardioSolutions 05 31 2007 Final Model 09 27 2007_FAS 157 Model Template 04 26 2009 2" xfId="394" xr:uid="{00000000-0005-0000-0000-0000DB010000}"/>
    <cellStyle name="_Heading_prestemp_CardioSolutions 05 31 2007 Final Model 09 27 2007_Miragen VD 05 31 2008 Model 05 22 2009" xfId="395" xr:uid="{00000000-0005-0000-0000-0000DC010000}"/>
    <cellStyle name="_Heading_prestemp_CardioSolutions VD 05 31 08 Draft Model 07 15 2008" xfId="396" xr:uid="{00000000-0005-0000-0000-0000DD010000}"/>
    <cellStyle name="_Heading_prestemp_CardioSolutions VD 05 31 08 Draft Model 07 15 2008 2" xfId="397" xr:uid="{00000000-0005-0000-0000-0000DE010000}"/>
    <cellStyle name="_Heading_prestemp_CardioSolutions VD 05 31 08 Draft Model 08 06 08-u" xfId="398" xr:uid="{00000000-0005-0000-0000-0000DF010000}"/>
    <cellStyle name="_Heading_prestemp_CardioSolutions VD 05 31 08 Draft Model 08 06 08-u 2" xfId="399" xr:uid="{00000000-0005-0000-0000-0000E0010000}"/>
    <cellStyle name="_Heading_prestemp_CompanyABC Valuation Draft Model 04 21 2009" xfId="400" xr:uid="{00000000-0005-0000-0000-0000E1010000}"/>
    <cellStyle name="_Heading_prestemp_CompanyABC Valuation Draft Model 04 21 2009 2" xfId="401" xr:uid="{00000000-0005-0000-0000-0000E2010000}"/>
    <cellStyle name="_Heading_prestemp_CompanyABC Valuation Model Draft 07 07 2008" xfId="402" xr:uid="{00000000-0005-0000-0000-0000E3010000}"/>
    <cellStyle name="_Heading_prestemp_CompanyABC Valuation Model Draft 07 07 2008 2" xfId="403" xr:uid="{00000000-0005-0000-0000-0000E4010000}"/>
    <cellStyle name="_Heading_prestemp_CompanyABC Valuation Model Draft 08 07 2008" xfId="404" xr:uid="{00000000-0005-0000-0000-0000E5010000}"/>
    <cellStyle name="_Heading_prestemp_CompanyABC Valuation Model Draft 08 07 2008 2" xfId="405" xr:uid="{00000000-0005-0000-0000-0000E6010000}"/>
    <cellStyle name="_Heading_prestemp_CompanyABC Valuation Model Draft 08 25 2008" xfId="406" xr:uid="{00000000-0005-0000-0000-0000E7010000}"/>
    <cellStyle name="_Heading_prestemp_CompanyABC Valuation Model Draft 08 25 2008 2" xfId="407" xr:uid="{00000000-0005-0000-0000-0000E8010000}"/>
    <cellStyle name="_Heading_prestemp_CompanyABC Valuation Model Draft 09 25 2008-Team Liquidity" xfId="408" xr:uid="{00000000-0005-0000-0000-0000E9010000}"/>
    <cellStyle name="_Heading_prestemp_CompanyABC Valuation Model Draft 09 25 2008-Team Liquidity 2" xfId="409" xr:uid="{00000000-0005-0000-0000-0000EA010000}"/>
    <cellStyle name="_Heading_prestemp_CompanyABC Valuation Model Draft 10 01 2008" xfId="410" xr:uid="{00000000-0005-0000-0000-0000EB010000}"/>
    <cellStyle name="_Heading_prestemp_CompanyABC Valuation Model Draft 10 01 2008 2" xfId="411" xr:uid="{00000000-0005-0000-0000-0000EC010000}"/>
    <cellStyle name="_Heading_prestemp_CompanyABC Valuation Model Draft 10 27 2008" xfId="412" xr:uid="{00000000-0005-0000-0000-0000ED010000}"/>
    <cellStyle name="_Heading_prestemp_CompanyABC Valuation Model Draft 10 27 2008 2" xfId="413" xr:uid="{00000000-0005-0000-0000-0000EE010000}"/>
    <cellStyle name="_Heading_prestemp_Cyrela - Goldzstein - Financial Model - v1" xfId="414" xr:uid="{00000000-0005-0000-0000-0000EF010000}"/>
    <cellStyle name="_Heading_prestemp_Cyrela - Goldzstein - Financial Model - v5" xfId="415" xr:uid="{00000000-0005-0000-0000-0000F0010000}"/>
    <cellStyle name="_Heading_prestemp_DB" xfId="416" xr:uid="{00000000-0005-0000-0000-0000F1010000}"/>
    <cellStyle name="_Heading_prestemp_DB 2" xfId="417" xr:uid="{00000000-0005-0000-0000-0000F2010000}"/>
    <cellStyle name="_Heading_prestemp_EXAMPLE model C-5" xfId="418" xr:uid="{00000000-0005-0000-0000-0000F3010000}"/>
    <cellStyle name="_Heading_prestemp_EXAMPLE model C-5 2" xfId="419" xr:uid="{00000000-0005-0000-0000-0000F4010000}"/>
    <cellStyle name="_Heading_prestemp_FAS 157 Model Template 04 26 2009" xfId="420" xr:uid="{00000000-0005-0000-0000-0000F5010000}"/>
    <cellStyle name="_Heading_prestemp_FAS 157 Model Template 04 26 2009 2" xfId="421" xr:uid="{00000000-0005-0000-0000-0000F6010000}"/>
    <cellStyle name="_Heading_prestemp_Gas Natural - Financial Model - April 18 2008 - v1" xfId="422" xr:uid="{00000000-0005-0000-0000-0000F7010000}"/>
    <cellStyle name="_Heading_prestemp_Gas Natural - Financial Model - April 18 2008 - v2" xfId="423" xr:uid="{00000000-0005-0000-0000-0000F8010000}"/>
    <cellStyle name="_Heading_prestemp_Gas Natural - Financial Model - May 20, 2009" xfId="424" xr:uid="{00000000-0005-0000-0000-0000F9010000}"/>
    <cellStyle name="_Heading_prestemp_Goldzstein Cyrela - Financial Model - v7" xfId="425" xr:uid="{00000000-0005-0000-0000-0000FA010000}"/>
    <cellStyle name="_Heading_prestemp_Great Call VD 09 30 08 Draft Model 11 20 08" xfId="426" xr:uid="{00000000-0005-0000-0000-0000FB010000}"/>
    <cellStyle name="_Heading_prestemp_Great Call VD 09 30 08 Draft Model 11 20 08 2" xfId="427" xr:uid="{00000000-0005-0000-0000-0000FC010000}"/>
    <cellStyle name="_Heading_prestemp_Grupo Ibmec - Financial Model - v2" xfId="428" xr:uid="{00000000-0005-0000-0000-0000FD010000}"/>
    <cellStyle name="_Heading_prestemp_Grupo Ibmec - Financial Model - v5" xfId="429" xr:uid="{00000000-0005-0000-0000-0000FE010000}"/>
    <cellStyle name="_Heading_prestemp_Independencia - Financial Model - Dec 02 2008 - v3" xfId="430" xr:uid="{00000000-0005-0000-0000-0000FF010000}"/>
    <cellStyle name="_Heading_prestemp_Independencia - Financial Model - Nov 24 2008" xfId="431" xr:uid="{00000000-0005-0000-0000-000000020000}"/>
    <cellStyle name="_Heading_prestemp_Intermedia, Inc. VD 05 31 08 Draft Model 07 16 2008" xfId="432" xr:uid="{00000000-0005-0000-0000-000001020000}"/>
    <cellStyle name="_Heading_prestemp_Intermedia, Inc. VD 05 31 08 Draft Model 07 16 2008 2" xfId="433" xr:uid="{00000000-0005-0000-0000-000002020000}"/>
    <cellStyle name="_Heading_prestemp_Island Data Corporatin VD 06 30 08 Projections and Comparables 08 11 2008" xfId="434" xr:uid="{00000000-0005-0000-0000-000003020000}"/>
    <cellStyle name="_Heading_prestemp_Island Data Corporatin VD 06 30 08 Projections and Comparables 08 11 2008 2" xfId="435" xr:uid="{00000000-0005-0000-0000-000004020000}"/>
    <cellStyle name="_Heading_prestemp_Jentro Tech VD 03 31 2008 Model 04 10 2008" xfId="436" xr:uid="{00000000-0005-0000-0000-000005020000}"/>
    <cellStyle name="_Heading_prestemp_Jentro Tech VD 03 31 2008 Model 04 10 2008 2" xfId="437" xr:uid="{00000000-0005-0000-0000-000006020000}"/>
    <cellStyle name="_Heading_prestemp_Kythera Biopharmaceuticals VD 05 16 08 Draft Analysis 07 01 08" xfId="438" xr:uid="{00000000-0005-0000-0000-000007020000}"/>
    <cellStyle name="_Heading_prestemp_Kythera Biopharmaceuticals VD 05 16 08 Draft Analysis 07 01 08 2" xfId="439" xr:uid="{00000000-0005-0000-0000-000008020000}"/>
    <cellStyle name="_Heading_prestemp_Kythera Biopharmaceuticals VD 05 16 08 Final Model 07 20 08" xfId="440" xr:uid="{00000000-0005-0000-0000-000009020000}"/>
    <cellStyle name="_Heading_prestemp_Kythera Biopharmaceuticals VD 05 16 08 Final Model 07 20 08 2" xfId="441" xr:uid="{00000000-0005-0000-0000-00000A020000}"/>
    <cellStyle name="_Heading_prestemp_Kythera Biopharmaceuticals, Inc. VD 5 16 2008 Draft 5 24 2008" xfId="442" xr:uid="{00000000-0005-0000-0000-00000B020000}"/>
    <cellStyle name="_Heading_prestemp_Kythera Biopharmaceuticals, Inc. VD 5 16 2008 Draft 5 24 2008 2" xfId="443" xr:uid="{00000000-0005-0000-0000-00000C020000}"/>
    <cellStyle name="_Heading_prestemp_Medley_Financial_Model_v5" xfId="444" xr:uid="{00000000-0005-0000-0000-00000D020000}"/>
    <cellStyle name="_Heading_prestemp_Medley_Financial_Model_v5_Ubiquiti Ownership Table" xfId="445" xr:uid="{00000000-0005-0000-0000-00000E020000}"/>
    <cellStyle name="_Heading_prestemp_Miragen VD 05 31 2008 Model 05 22 2009" xfId="446" xr:uid="{00000000-0005-0000-0000-00000F020000}"/>
    <cellStyle name="_Heading_prestemp_Notes" xfId="447" xr:uid="{00000000-0005-0000-0000-000010020000}"/>
    <cellStyle name="_Heading_prestemp_Notes 2" xfId="448" xr:uid="{00000000-0005-0000-0000-000011020000}"/>
    <cellStyle name="_Heading_prestemp_OMT VD 10 15 2008 Draft Analysis 12 17 2008.xls" xfId="449" xr:uid="{00000000-0005-0000-0000-000012020000}"/>
    <cellStyle name="_Heading_prestemp_Project Emet - Forecasts" xfId="450" xr:uid="{00000000-0005-0000-0000-000013020000}"/>
    <cellStyle name="_Heading_prestemp_PubComps IPO -C-7" xfId="451" xr:uid="{00000000-0005-0000-0000-000014020000}"/>
    <cellStyle name="_Heading_prestemp_PubComps IPO -C-7 2" xfId="452" xr:uid="{00000000-0005-0000-0000-000015020000}"/>
    <cellStyle name="_Heading_prestemp_Rumo_Financial_Model_05jun2009_v1" xfId="453" xr:uid="{00000000-0005-0000-0000-000016020000}"/>
    <cellStyle name="_Heading_prestemp_Rumo_Financial_Model_05jun2009_v4" xfId="454" xr:uid="{00000000-0005-0000-0000-000017020000}"/>
    <cellStyle name="_Heading_prestemp_Rumo_Financial_Model_05jun2009_v5" xfId="455" xr:uid="{00000000-0005-0000-0000-000018020000}"/>
    <cellStyle name="_Heading_prestemp_Rumo_Financial_Model_05jun2009_v6" xfId="456" xr:uid="{00000000-0005-0000-0000-000019020000}"/>
    <cellStyle name="_Heading_prestemp_SCPC_Financial_Model_10jun2009_v2" xfId="457" xr:uid="{00000000-0005-0000-0000-00001A020000}"/>
    <cellStyle name="_Heading_prestemp_SCPC_Financial_Model_17jun2009_v5" xfId="458" xr:uid="{00000000-0005-0000-0000-00001B020000}"/>
    <cellStyle name="_Heading_prestemp_Tmax Soft VD 07 31 2008 Draft Model 08 20 2008" xfId="459" xr:uid="{00000000-0005-0000-0000-00001C020000}"/>
    <cellStyle name="_Heading_prestemp_Tmax Soft VD 07 31 2008 Draft Model 08 20 2008 2" xfId="460" xr:uid="{00000000-0005-0000-0000-00001D020000}"/>
    <cellStyle name="_Heading_prestemp_WACC -E-2" xfId="461" xr:uid="{00000000-0005-0000-0000-00001E020000}"/>
    <cellStyle name="_Heading_prestemp_WACC -E-2 2" xfId="462" xr:uid="{00000000-0005-0000-0000-00001F020000}"/>
    <cellStyle name="_Heading_prestemp_Xmos Limited VD 05 13 2008  Model 06 04 08" xfId="463" xr:uid="{00000000-0005-0000-0000-000020020000}"/>
    <cellStyle name="_Heading_prestemp_Xmos Limited VD 05 13 2008  Model 06 04 08 2" xfId="464" xr:uid="{00000000-0005-0000-0000-000021020000}"/>
    <cellStyle name="_Headline" xfId="16305" xr:uid="{00000000-0005-0000-0000-000022020000}"/>
    <cellStyle name="_Hea_x0010_line" xfId="16306" xr:uid="{00000000-0005-0000-0000-000023020000}"/>
    <cellStyle name="_Highlight" xfId="465" xr:uid="{00000000-0005-0000-0000-000024020000}"/>
    <cellStyle name="_Highlight 2" xfId="466" xr:uid="{00000000-0005-0000-0000-000025020000}"/>
    <cellStyle name="_IPO Val 08.01.05 v1.1" xfId="16307" xr:uid="{00000000-0005-0000-0000-000026020000}"/>
    <cellStyle name="_laroux_2000 Reforecast Summary 6-00" xfId="16308" xr:uid="{00000000-0005-0000-0000-000027020000}"/>
    <cellStyle name="_laroux_April 2000 Review_Property Disclosure 2000 Reforecast 8-00" xfId="16309" xr:uid="{00000000-0005-0000-0000-000028020000}"/>
    <cellStyle name="_LIBOR" xfId="467" xr:uid="{00000000-0005-0000-0000-000029020000}"/>
    <cellStyle name="_LIBOR 2" xfId="468" xr:uid="{00000000-0005-0000-0000-00002A020000}"/>
    <cellStyle name="_LIBOR_IRR Model" xfId="469" xr:uid="{00000000-0005-0000-0000-00002B020000}"/>
    <cellStyle name="_LIBOR_IRR Model 2" xfId="470" xr:uid="{00000000-0005-0000-0000-00002C020000}"/>
    <cellStyle name="_LIBOR_Mesa_Irr Grid" xfId="471" xr:uid="{00000000-0005-0000-0000-00002D020000}"/>
    <cellStyle name="_LIBOR_Mesa_Irr Grid 2" xfId="472" xr:uid="{00000000-0005-0000-0000-00002E020000}"/>
    <cellStyle name="_Luxury Goods Comps latest" xfId="473" xr:uid="{00000000-0005-0000-0000-00002F020000}"/>
    <cellStyle name="_Luxury Goods Comps latest_Medley_Financial_Model_v5" xfId="474" xr:uid="{00000000-0005-0000-0000-000030020000}"/>
    <cellStyle name="_Luxury Goods Comps latest_Medley_Financial_Model_v5_Ubiquiti Ownership Table" xfId="475" xr:uid="{00000000-0005-0000-0000-000031020000}"/>
    <cellStyle name="_MemoHead" xfId="476" xr:uid="{00000000-0005-0000-0000-000032020000}"/>
    <cellStyle name="_MemoHead 2" xfId="477" xr:uid="{00000000-0005-0000-0000-000033020000}"/>
    <cellStyle name="_MemoSubHead" xfId="478" xr:uid="{00000000-0005-0000-0000-000034020000}"/>
    <cellStyle name="_MemoSubHead 2" xfId="479" xr:uid="{00000000-0005-0000-0000-000035020000}"/>
    <cellStyle name="-_Merger Overview Paste-ins" xfId="480" xr:uid="{00000000-0005-0000-0000-000036020000}"/>
    <cellStyle name="-_Merger Overview Paste-ins_EBITDA template v2" xfId="481" xr:uid="{00000000-0005-0000-0000-000037020000}"/>
    <cellStyle name="-_Merger Overview Paste-ins_Ranpak Model (10-27-05) v1.1" xfId="482" xr:uid="{00000000-0005-0000-0000-000038020000}"/>
    <cellStyle name="-_Merger Overview Paste-ins_Ranpak Model (10-27-05) v1.1_EBITDA template v2" xfId="483" xr:uid="{00000000-0005-0000-0000-000039020000}"/>
    <cellStyle name="_Model and Valuation - Aros 6 30 08" xfId="16310" xr:uid="{00000000-0005-0000-0000-00003A020000}"/>
    <cellStyle name="_Modelo Puerto 2007 Management Case DB 14-11 (DB) v20" xfId="484" xr:uid="{00000000-0005-0000-0000-00003B020000}"/>
    <cellStyle name="_Modelo Puerto 2007 Management Case DB 14-11 (DB) v20_Medley_Financial_Model_v5" xfId="485" xr:uid="{00000000-0005-0000-0000-00003C020000}"/>
    <cellStyle name="_Multiple" xfId="486" xr:uid="{00000000-0005-0000-0000-00003D020000}"/>
    <cellStyle name="_Multiple__DCF Template" xfId="487" xr:uid="{00000000-0005-0000-0000-00003E020000}"/>
    <cellStyle name="_Multiple_04 Alaska Model 2002-05-31 GS" xfId="488" xr:uid="{00000000-0005-0000-0000-00003F020000}"/>
    <cellStyle name="_Multiple_Cable_Industry Overview5" xfId="489" xr:uid="{00000000-0005-0000-0000-000040020000}"/>
    <cellStyle name="_Multiple_Control" xfId="490" xr:uid="{00000000-0005-0000-0000-000041020000}"/>
    <cellStyle name="_Multiple_Dividend Template" xfId="491" xr:uid="{00000000-0005-0000-0000-000042020000}"/>
    <cellStyle name="_Multiple_Eric CapIQ unlinked v1" xfId="492" xr:uid="{00000000-0005-0000-0000-000043020000}"/>
    <cellStyle name="_Multiple_Gelco Model" xfId="493" xr:uid="{00000000-0005-0000-0000-000044020000}"/>
    <cellStyle name="_Multiple_H-G Holdings race car v5 (change dep)" xfId="494" xr:uid="{00000000-0005-0000-0000-000045020000}"/>
    <cellStyle name="_Multiple_INTU Comps v2" xfId="16311" xr:uid="{00000000-0005-0000-0000-000046020000}"/>
    <cellStyle name="_Multiple_lbo_long_model" xfId="495" xr:uid="{00000000-0005-0000-0000-000047020000}"/>
    <cellStyle name="_Multiple_lbo_long_model 2" xfId="496" xr:uid="{00000000-0005-0000-0000-000048020000}"/>
    <cellStyle name="_Multiple_Medicis WACC" xfId="497" xr:uid="{00000000-0005-0000-0000-000049020000}"/>
    <cellStyle name="_Multiple_Meggitt AirDynamics WACC" xfId="498" xr:uid="{00000000-0005-0000-0000-00004A020000}"/>
    <cellStyle name="_Multiple_Pro-Forma Financials" xfId="499" xr:uid="{00000000-0005-0000-0000-00004B020000}"/>
    <cellStyle name="_Multiple_Pro-Forma Spin-off" xfId="500" xr:uid="{00000000-0005-0000-0000-00004C020000}"/>
    <cellStyle name="_Multiple_Revised Basic Modelv2.4" xfId="501" xr:uid="{00000000-0005-0000-0000-00004D020000}"/>
    <cellStyle name="_Multiple_Rider Henning" xfId="502" xr:uid="{00000000-0005-0000-0000-00004E020000}"/>
    <cellStyle name="_Multiple_Summary" xfId="503" xr:uid="{00000000-0005-0000-0000-00004F020000}"/>
    <cellStyle name="_Multiple_Updated Model - CapitalIQ6 -04.20.06" xfId="504" xr:uid="{00000000-0005-0000-0000-000050020000}"/>
    <cellStyle name="_Multiple_WACCv2" xfId="505" xr:uid="{00000000-0005-0000-0000-000051020000}"/>
    <cellStyle name="_Multiple_Yield Tables" xfId="506" xr:uid="{00000000-0005-0000-0000-000052020000}"/>
    <cellStyle name="_MultipleSpace" xfId="507" xr:uid="{00000000-0005-0000-0000-000053020000}"/>
    <cellStyle name="_MultipleSpace__DCF Template" xfId="508" xr:uid="{00000000-0005-0000-0000-000054020000}"/>
    <cellStyle name="_MultipleSpace_04 Alaska Model 2002-05-31 GS" xfId="509" xr:uid="{00000000-0005-0000-0000-000055020000}"/>
    <cellStyle name="_MultipleSpace_Control" xfId="510" xr:uid="{00000000-0005-0000-0000-000056020000}"/>
    <cellStyle name="_MultipleSpace_Dividend Template" xfId="511" xr:uid="{00000000-0005-0000-0000-000057020000}"/>
    <cellStyle name="_MultipleSpace_EPL LBO 5.16.05 - Mgmt IPO v6" xfId="16312" xr:uid="{00000000-0005-0000-0000-000058020000}"/>
    <cellStyle name="_MultipleSpace_Epsilon IPO Model NEW v3" xfId="16313" xr:uid="{00000000-0005-0000-0000-000059020000}"/>
    <cellStyle name="_MultipleSpace_Epsilon Model 3.30.05 v7" xfId="16314" xr:uid="{00000000-0005-0000-0000-00005A020000}"/>
    <cellStyle name="_MultipleSpace_Eric CapIQ unlinked v1" xfId="512" xr:uid="{00000000-0005-0000-0000-00005B020000}"/>
    <cellStyle name="_MultipleSpace_H-G Holdings race car v5 (change dep)" xfId="513" xr:uid="{00000000-0005-0000-0000-00005C020000}"/>
    <cellStyle name="_MultipleSpace_Hist_Rev1" xfId="16315" xr:uid="{00000000-0005-0000-0000-00005D020000}"/>
    <cellStyle name="_MultipleSpace_lbo_long_model" xfId="514" xr:uid="{00000000-0005-0000-0000-00005E020000}"/>
    <cellStyle name="_MultipleSpace_lbo_long_model 2" xfId="515" xr:uid="{00000000-0005-0000-0000-00005F020000}"/>
    <cellStyle name="_MultipleSpace_Medicis WACC" xfId="516" xr:uid="{00000000-0005-0000-0000-000060020000}"/>
    <cellStyle name="_MultipleSpace_Meggitt AirDynamics WACC" xfId="517" xr:uid="{00000000-0005-0000-0000-000061020000}"/>
    <cellStyle name="_MultipleSpace_Pro-Forma Financials" xfId="518" xr:uid="{00000000-0005-0000-0000-000062020000}"/>
    <cellStyle name="_MultipleSpace_Pro-Forma Spin-off" xfId="519" xr:uid="{00000000-0005-0000-0000-000063020000}"/>
    <cellStyle name="_MultipleSpace_Revised Basic Modelv2.4" xfId="520" xr:uid="{00000000-0005-0000-0000-000064020000}"/>
    <cellStyle name="_MultipleSpace_Rider Henning" xfId="521" xr:uid="{00000000-0005-0000-0000-000065020000}"/>
    <cellStyle name="_MultipleSpace_RJB Long LBO LTM" xfId="16316" xr:uid="{00000000-0005-0000-0000-000066020000}"/>
    <cellStyle name="_MultipleSpace_Updated Model - CapitalIQ6 -04.20.06" xfId="522" xr:uid="{00000000-0005-0000-0000-000067020000}"/>
    <cellStyle name="_MultipleSpace_WACCv2" xfId="523" xr:uid="{00000000-0005-0000-0000-000068020000}"/>
    <cellStyle name="_Nomos WACC" xfId="524" xr:uid="{00000000-0005-0000-0000-000069020000}"/>
    <cellStyle name="_Percent" xfId="525" xr:uid="{00000000-0005-0000-0000-00006A020000}"/>
    <cellStyle name="_Percent_Control" xfId="526" xr:uid="{00000000-0005-0000-0000-00006B020000}"/>
    <cellStyle name="_Percent_Rider Henning" xfId="527" xr:uid="{00000000-0005-0000-0000-00006C020000}"/>
    <cellStyle name="_PercentReal" xfId="528" xr:uid="{00000000-0005-0000-0000-00006D020000}"/>
    <cellStyle name="_PercentReal 2" xfId="529" xr:uid="{00000000-0005-0000-0000-00006E020000}"/>
    <cellStyle name="_PercentReal_Gelco Model" xfId="530" xr:uid="{00000000-0005-0000-0000-00006F020000}"/>
    <cellStyle name="_PercentReal_Gelco Model 2" xfId="531" xr:uid="{00000000-0005-0000-0000-000070020000}"/>
    <cellStyle name="_PercentReal_Gelco Overview_3-11-04" xfId="532" xr:uid="{00000000-0005-0000-0000-000071020000}"/>
    <cellStyle name="_PercentReal_Gelco Overview_3-11-04 2" xfId="533" xr:uid="{00000000-0005-0000-0000-000072020000}"/>
    <cellStyle name="_PercentReal_Indicative Term Sheet" xfId="534" xr:uid="{00000000-0005-0000-0000-000073020000}"/>
    <cellStyle name="_PercentReal_Indicative Term Sheet 2" xfId="535" xr:uid="{00000000-0005-0000-0000-000074020000}"/>
    <cellStyle name="_PercentReal_IRR Summary" xfId="536" xr:uid="{00000000-0005-0000-0000-000075020000}"/>
    <cellStyle name="_PercentReal_IRR Summary 2" xfId="537" xr:uid="{00000000-0005-0000-0000-000076020000}"/>
    <cellStyle name="_PercentReal_PADD" xfId="538" xr:uid="{00000000-0005-0000-0000-000077020000}"/>
    <cellStyle name="_PercentReal_PADD 2" xfId="539" xr:uid="{00000000-0005-0000-0000-000078020000}"/>
    <cellStyle name="_PercentSpace" xfId="540" xr:uid="{00000000-0005-0000-0000-000079020000}"/>
    <cellStyle name="_PercentSpace_Control" xfId="541" xr:uid="{00000000-0005-0000-0000-00007A020000}"/>
    <cellStyle name="_PercentSpace_Rider Henning" xfId="542" xr:uid="{00000000-0005-0000-0000-00007B020000}"/>
    <cellStyle name="_PMR_Val_v3" xfId="16317" xr:uid="{00000000-0005-0000-0000-00007C020000}"/>
    <cellStyle name="_PMR_Val_v4" xfId="16318" xr:uid="{00000000-0005-0000-0000-00007D020000}"/>
    <cellStyle name="_Projection IS  BS 2007-2010" xfId="543" xr:uid="{00000000-0005-0000-0000-00007E020000}"/>
    <cellStyle name="_Public Equity Analysis - v1" xfId="544" xr:uid="{00000000-0005-0000-0000-00007F020000}"/>
    <cellStyle name="_Public Equity Analysis - v1_Medley_Financial_Model_v5" xfId="545" xr:uid="{00000000-0005-0000-0000-000080020000}"/>
    <cellStyle name="_Pulpo 01.30.07 v.2" xfId="16319" xr:uid="{00000000-0005-0000-0000-000081020000}"/>
    <cellStyle name="_RangeColumns" xfId="546" xr:uid="{00000000-0005-0000-0000-000082020000}"/>
    <cellStyle name="_RangeColumns_East Coast Bulk Caustic 2+10" xfId="547" xr:uid="{00000000-0005-0000-0000-000083020000}"/>
    <cellStyle name="_RangeColumns_East Coast Bulk Caustic 2+10 2" xfId="12431" xr:uid="{00000000-0005-0000-0000-000084020000}"/>
    <cellStyle name="_RangeColumns_East Profit  Loss 1Q Review" xfId="548" xr:uid="{00000000-0005-0000-0000-000085020000}"/>
    <cellStyle name="_RangeColumns_East Profit  Loss 1Q Review 2" xfId="12432" xr:uid="{00000000-0005-0000-0000-000086020000}"/>
    <cellStyle name="_RangeData" xfId="549" xr:uid="{00000000-0005-0000-0000-000087020000}"/>
    <cellStyle name="_RangeData 2" xfId="12433" xr:uid="{00000000-0005-0000-0000-000088020000}"/>
    <cellStyle name="_RangeData_East Coast Bulk Caustic 2+10" xfId="550" xr:uid="{00000000-0005-0000-0000-000089020000}"/>
    <cellStyle name="_RangeData_East Coast Bulk Caustic 2+10 2" xfId="12434" xr:uid="{00000000-0005-0000-0000-00008A020000}"/>
    <cellStyle name="_RangeData_East Profit  Loss 1Q Review" xfId="551" xr:uid="{00000000-0005-0000-0000-00008B020000}"/>
    <cellStyle name="_RangeData_East Profit  Loss 1Q Review 2" xfId="12435" xr:uid="{00000000-0005-0000-0000-00008C020000}"/>
    <cellStyle name="_RangeProperties" xfId="552" xr:uid="{00000000-0005-0000-0000-00008D020000}"/>
    <cellStyle name="_RangeProperties 2" xfId="12436" xr:uid="{00000000-0005-0000-0000-00008E020000}"/>
    <cellStyle name="_RangePropertiesColumns" xfId="553" xr:uid="{00000000-0005-0000-0000-00008F020000}"/>
    <cellStyle name="_RangePropertiesColumns 2" xfId="12437" xr:uid="{00000000-0005-0000-0000-000090020000}"/>
    <cellStyle name="_RangeRows" xfId="554" xr:uid="{00000000-0005-0000-0000-000091020000}"/>
    <cellStyle name="_RangeRows_East Coast Bulk Caustic 2+10" xfId="555" xr:uid="{00000000-0005-0000-0000-000092020000}"/>
    <cellStyle name="_RangeRows_East Coast Bulk Caustic 2+10 2" xfId="12438" xr:uid="{00000000-0005-0000-0000-000093020000}"/>
    <cellStyle name="_RangeRows_East Profit  Loss 1Q Review" xfId="556" xr:uid="{00000000-0005-0000-0000-000094020000}"/>
    <cellStyle name="_RangeRows_East Profit  Loss 1Q Review 2" xfId="12439" xr:uid="{00000000-0005-0000-0000-000095020000}"/>
    <cellStyle name="_RangeSlicer" xfId="557" xr:uid="{00000000-0005-0000-0000-000096020000}"/>
    <cellStyle name="_Revised BP 2007-2010" xfId="558" xr:uid="{00000000-0005-0000-0000-000097020000}"/>
    <cellStyle name="_Roster with Salary and Bonus v2" xfId="16320" xr:uid="{00000000-0005-0000-0000-000098020000}"/>
    <cellStyle name="_Store Buildup v6" xfId="16321" xr:uid="{00000000-0005-0000-0000-000099020000}"/>
    <cellStyle name="_Store Buildup v6_1" xfId="16322" xr:uid="{00000000-0005-0000-0000-00009A020000}"/>
    <cellStyle name="_Store Buildup v6_2" xfId="16323" xr:uid="{00000000-0005-0000-0000-00009B020000}"/>
    <cellStyle name="_Store Buildup v6_3" xfId="16324" xr:uid="{00000000-0005-0000-0000-00009C020000}"/>
    <cellStyle name="_Store Buildup v6_4" xfId="16325" xr:uid="{00000000-0005-0000-0000-00009D020000}"/>
    <cellStyle name="_SubHeading" xfId="559" xr:uid="{00000000-0005-0000-0000-00009E020000}"/>
    <cellStyle name="_SubHeading 2" xfId="560" xr:uid="{00000000-0005-0000-0000-00009F020000}"/>
    <cellStyle name="_SubHeading_lbo_long_model" xfId="561" xr:uid="{00000000-0005-0000-0000-0000A0020000}"/>
    <cellStyle name="_SubHeading_lbo_long_model 2" xfId="562" xr:uid="{00000000-0005-0000-0000-0000A1020000}"/>
    <cellStyle name="_SubHeading_lbo_long_model 2 2" xfId="563" xr:uid="{00000000-0005-0000-0000-0000A2020000}"/>
    <cellStyle name="_SubHeading_lbo_long_model 3" xfId="564" xr:uid="{00000000-0005-0000-0000-0000A3020000}"/>
    <cellStyle name="_SubHeading_lbo_long_model 4" xfId="565" xr:uid="{00000000-0005-0000-0000-0000A4020000}"/>
    <cellStyle name="_SubHeading_lbo_long_model 5" xfId="566" xr:uid="{00000000-0005-0000-0000-0000A5020000}"/>
    <cellStyle name="_SubHeading_lbo_long_model_Anaphore 12 31 2008 Draft Analysis 02 19 2009" xfId="567" xr:uid="{00000000-0005-0000-0000-0000A6020000}"/>
    <cellStyle name="_SubHeading_lbo_long_model_Anaphore 12 31 2008 Draft Analysis 02 20 2009 - DM REVISED" xfId="568" xr:uid="{00000000-0005-0000-0000-0000A7020000}"/>
    <cellStyle name="_SubHeading_lbo_long_model_Book2" xfId="569" xr:uid="{00000000-0005-0000-0000-0000A8020000}"/>
    <cellStyle name="_SubHeading_lbo_long_model_Book2 2" xfId="570" xr:uid="{00000000-0005-0000-0000-0000A9020000}"/>
    <cellStyle name="_SubHeading_lbo_long_model_Boston Power VD 01 31 2008 Model 02 26 2008" xfId="571" xr:uid="{00000000-0005-0000-0000-0000AA020000}"/>
    <cellStyle name="_SubHeading_lbo_long_model_Boston Power VD 01 31 2008 Model 02 26 2008 2" xfId="572" xr:uid="{00000000-0005-0000-0000-0000AB020000}"/>
    <cellStyle name="_SubHeading_lbo_long_model_Boston Power VD 01 31 2008 Model 02 26 2008 2 2" xfId="573" xr:uid="{00000000-0005-0000-0000-0000AC020000}"/>
    <cellStyle name="_SubHeading_lbo_long_model_Boston Power VD 01 31 2008 Model 02 26 2008 3" xfId="574" xr:uid="{00000000-0005-0000-0000-0000AD020000}"/>
    <cellStyle name="_SubHeading_lbo_long_model_Boston Power VD 01 31 2008 Model 02 26 2008 4" xfId="575" xr:uid="{00000000-0005-0000-0000-0000AE020000}"/>
    <cellStyle name="_SubHeading_lbo_long_model_Boston Power VD 01 31 2008 Model 02 26 2008 5" xfId="576" xr:uid="{00000000-0005-0000-0000-0000AF020000}"/>
    <cellStyle name="_SubHeading_lbo_long_model_Boston Power VD 01 31 2008 Model 02 26 2008_CompanyABC Valuation Draft Model 04 21 2009" xfId="577" xr:uid="{00000000-0005-0000-0000-0000B0020000}"/>
    <cellStyle name="_SubHeading_lbo_long_model_Boston Power VD 01 31 2008 Model 02 26 2008_CompanyABC Valuation Draft Model 04 21 2009 2" xfId="578" xr:uid="{00000000-0005-0000-0000-0000B1020000}"/>
    <cellStyle name="_SubHeading_lbo_long_model_Boston Power VD 01 31 2008 Model 02 26 2008_DB" xfId="579" xr:uid="{00000000-0005-0000-0000-0000B2020000}"/>
    <cellStyle name="_SubHeading_lbo_long_model_Boston Power VD 01 31 2008 Model 02 26 2008_DB 2" xfId="580" xr:uid="{00000000-0005-0000-0000-0000B3020000}"/>
    <cellStyle name="_SubHeading_lbo_long_model_Boston Power VD 01 31 2008 Model 02 26 2008_DB 2 2" xfId="581" xr:uid="{00000000-0005-0000-0000-0000B4020000}"/>
    <cellStyle name="_SubHeading_lbo_long_model_Boston Power VD 01 31 2008 Model 02 26 2008_FAS 157 Model Template 04 26 2009" xfId="582" xr:uid="{00000000-0005-0000-0000-0000B5020000}"/>
    <cellStyle name="_SubHeading_lbo_long_model_Boston Power VD 01 31 2008 Model 02 26 2008_FAS 157 Model Template 04 26 2009 2" xfId="583" xr:uid="{00000000-0005-0000-0000-0000B6020000}"/>
    <cellStyle name="_SubHeading_lbo_long_model_Boston Power VD 01 31 2008 Model 02 26 2008_Miragen VD 05 31 2008 Model 05 22 2009" xfId="584" xr:uid="{00000000-0005-0000-0000-0000B7020000}"/>
    <cellStyle name="_SubHeading_lbo_long_model_Cap Table Inputs" xfId="585" xr:uid="{00000000-0005-0000-0000-0000B8020000}"/>
    <cellStyle name="_SubHeading_lbo_long_model_Cap Table Inputs 2" xfId="586" xr:uid="{00000000-0005-0000-0000-0000B9020000}"/>
    <cellStyle name="_SubHeading_lbo_long_model_Cap Table Inputs 2 2" xfId="587" xr:uid="{00000000-0005-0000-0000-0000BA020000}"/>
    <cellStyle name="_SubHeading_lbo_long_model_Cap Table Inputs 3" xfId="588" xr:uid="{00000000-0005-0000-0000-0000BB020000}"/>
    <cellStyle name="_SubHeading_lbo_long_model_Cap Table Inputs 4" xfId="589" xr:uid="{00000000-0005-0000-0000-0000BC020000}"/>
    <cellStyle name="_SubHeading_lbo_long_model_Cap Table Inputs 5" xfId="590" xr:uid="{00000000-0005-0000-0000-0000BD020000}"/>
    <cellStyle name="_SubHeading_lbo_long_model_Cap Table Inputs_CompanyABC Valuation Draft Model 04 21 2009" xfId="591" xr:uid="{00000000-0005-0000-0000-0000BE020000}"/>
    <cellStyle name="_SubHeading_lbo_long_model_Cap Table Inputs_CompanyABC Valuation Draft Model 04 21 2009 2" xfId="592" xr:uid="{00000000-0005-0000-0000-0000BF020000}"/>
    <cellStyle name="_SubHeading_lbo_long_model_Cap Table Inputs_DB" xfId="593" xr:uid="{00000000-0005-0000-0000-0000C0020000}"/>
    <cellStyle name="_SubHeading_lbo_long_model_Cap Table Inputs_DB 2" xfId="594" xr:uid="{00000000-0005-0000-0000-0000C1020000}"/>
    <cellStyle name="_SubHeading_lbo_long_model_Cap Table Inputs_DB 2 2" xfId="595" xr:uid="{00000000-0005-0000-0000-0000C2020000}"/>
    <cellStyle name="_SubHeading_lbo_long_model_Cap Table Inputs_FAS 157 Model Template 04 26 2009" xfId="596" xr:uid="{00000000-0005-0000-0000-0000C3020000}"/>
    <cellStyle name="_SubHeading_lbo_long_model_Cap Table Inputs_FAS 157 Model Template 04 26 2009 2" xfId="597" xr:uid="{00000000-0005-0000-0000-0000C4020000}"/>
    <cellStyle name="_SubHeading_lbo_long_model_Cap Table Inputs_Miragen VD 05 31 2008 Model 05 22 2009" xfId="598" xr:uid="{00000000-0005-0000-0000-0000C5020000}"/>
    <cellStyle name="_SubHeading_lbo_long_model_CardioSolutions 05 31 2007 Final Model 09 27 2007" xfId="599" xr:uid="{00000000-0005-0000-0000-0000C6020000}"/>
    <cellStyle name="_SubHeading_lbo_long_model_CardioSolutions 05 31 2007 Final Model 09 27 2007 2" xfId="600" xr:uid="{00000000-0005-0000-0000-0000C7020000}"/>
    <cellStyle name="_SubHeading_lbo_long_model_CardioSolutions 05 31 2007 Final Model 09 27 2007 2 2" xfId="601" xr:uid="{00000000-0005-0000-0000-0000C8020000}"/>
    <cellStyle name="_SubHeading_lbo_long_model_CardioSolutions 05 31 2007 Final Model 09 27 2007 3" xfId="602" xr:uid="{00000000-0005-0000-0000-0000C9020000}"/>
    <cellStyle name="_SubHeading_lbo_long_model_CardioSolutions 05 31 2007 Final Model 09 27 2007 4" xfId="603" xr:uid="{00000000-0005-0000-0000-0000CA020000}"/>
    <cellStyle name="_SubHeading_lbo_long_model_CardioSolutions 05 31 2007 Final Model 09 27 2007 5" xfId="604" xr:uid="{00000000-0005-0000-0000-0000CB020000}"/>
    <cellStyle name="_SubHeading_lbo_long_model_CardioSolutions 05 31 2007 Final Model 09 27 2007_CompanyABC Valuation Draft Model 04 21 2009" xfId="605" xr:uid="{00000000-0005-0000-0000-0000CC020000}"/>
    <cellStyle name="_SubHeading_lbo_long_model_CardioSolutions 05 31 2007 Final Model 09 27 2007_CompanyABC Valuation Draft Model 04 21 2009 2" xfId="606" xr:uid="{00000000-0005-0000-0000-0000CD020000}"/>
    <cellStyle name="_SubHeading_lbo_long_model_CardioSolutions 05 31 2007 Final Model 09 27 2007_DB" xfId="607" xr:uid="{00000000-0005-0000-0000-0000CE020000}"/>
    <cellStyle name="_SubHeading_lbo_long_model_CardioSolutions 05 31 2007 Final Model 09 27 2007_DB 2" xfId="608" xr:uid="{00000000-0005-0000-0000-0000CF020000}"/>
    <cellStyle name="_SubHeading_lbo_long_model_CardioSolutions 05 31 2007 Final Model 09 27 2007_DB 2 2" xfId="609" xr:uid="{00000000-0005-0000-0000-0000D0020000}"/>
    <cellStyle name="_SubHeading_lbo_long_model_CardioSolutions 05 31 2007 Final Model 09 27 2007_FAS 157 Model Template 04 26 2009" xfId="610" xr:uid="{00000000-0005-0000-0000-0000D1020000}"/>
    <cellStyle name="_SubHeading_lbo_long_model_CardioSolutions 05 31 2007 Final Model 09 27 2007_FAS 157 Model Template 04 26 2009 2" xfId="611" xr:uid="{00000000-0005-0000-0000-0000D2020000}"/>
    <cellStyle name="_SubHeading_lbo_long_model_CardioSolutions 05 31 2007 Final Model 09 27 2007_Miragen VD 05 31 2008 Model 05 22 2009" xfId="612" xr:uid="{00000000-0005-0000-0000-0000D3020000}"/>
    <cellStyle name="_SubHeading_lbo_long_model_CardioSolutions VD 05 31 08 Draft Model 07 15 2008" xfId="613" xr:uid="{00000000-0005-0000-0000-0000D4020000}"/>
    <cellStyle name="_SubHeading_lbo_long_model_CardioSolutions VD 05 31 08 Draft Model 07 15 2008 2" xfId="614" xr:uid="{00000000-0005-0000-0000-0000D5020000}"/>
    <cellStyle name="_SubHeading_lbo_long_model_CardioSolutions VD 05 31 08 Draft Model 08 06 08-u" xfId="615" xr:uid="{00000000-0005-0000-0000-0000D6020000}"/>
    <cellStyle name="_SubHeading_lbo_long_model_CardioSolutions VD 05 31 08 Draft Model 08 06 08-u 2" xfId="616" xr:uid="{00000000-0005-0000-0000-0000D7020000}"/>
    <cellStyle name="_SubHeading_lbo_long_model_CompanyABC Valuation Draft Model 04 21 2009" xfId="617" xr:uid="{00000000-0005-0000-0000-0000D8020000}"/>
    <cellStyle name="_SubHeading_lbo_long_model_CompanyABC Valuation Draft Model 04 21 2009 2" xfId="618" xr:uid="{00000000-0005-0000-0000-0000D9020000}"/>
    <cellStyle name="_SubHeading_lbo_long_model_CompanyABC Valuation Model Draft 07 07 2008" xfId="619" xr:uid="{00000000-0005-0000-0000-0000DA020000}"/>
    <cellStyle name="_SubHeading_lbo_long_model_CompanyABC Valuation Model Draft 07 07 2008 2" xfId="620" xr:uid="{00000000-0005-0000-0000-0000DB020000}"/>
    <cellStyle name="_SubHeading_lbo_long_model_CompanyABC Valuation Model Draft 08 07 2008" xfId="621" xr:uid="{00000000-0005-0000-0000-0000DC020000}"/>
    <cellStyle name="_SubHeading_lbo_long_model_CompanyABC Valuation Model Draft 08 07 2008 2" xfId="622" xr:uid="{00000000-0005-0000-0000-0000DD020000}"/>
    <cellStyle name="_SubHeading_lbo_long_model_CompanyABC Valuation Model Draft 08 25 2008" xfId="623" xr:uid="{00000000-0005-0000-0000-0000DE020000}"/>
    <cellStyle name="_SubHeading_lbo_long_model_CompanyABC Valuation Model Draft 08 25 2008 2" xfId="624" xr:uid="{00000000-0005-0000-0000-0000DF020000}"/>
    <cellStyle name="_SubHeading_lbo_long_model_CompanyABC Valuation Model Draft 09 25 2008-Team Liquidity" xfId="625" xr:uid="{00000000-0005-0000-0000-0000E0020000}"/>
    <cellStyle name="_SubHeading_lbo_long_model_CompanyABC Valuation Model Draft 09 25 2008-Team Liquidity 2" xfId="626" xr:uid="{00000000-0005-0000-0000-0000E1020000}"/>
    <cellStyle name="_SubHeading_lbo_long_model_CompanyABC Valuation Model Draft 10 01 2008" xfId="627" xr:uid="{00000000-0005-0000-0000-0000E2020000}"/>
    <cellStyle name="_SubHeading_lbo_long_model_CompanyABC Valuation Model Draft 10 01 2008 2" xfId="628" xr:uid="{00000000-0005-0000-0000-0000E3020000}"/>
    <cellStyle name="_SubHeading_lbo_long_model_CompanyABC Valuation Model Draft 10 27 2008" xfId="629" xr:uid="{00000000-0005-0000-0000-0000E4020000}"/>
    <cellStyle name="_SubHeading_lbo_long_model_CompanyABC Valuation Model Draft 10 27 2008 2" xfId="630" xr:uid="{00000000-0005-0000-0000-0000E5020000}"/>
    <cellStyle name="_SubHeading_lbo_long_model_DB" xfId="631" xr:uid="{00000000-0005-0000-0000-0000E6020000}"/>
    <cellStyle name="_SubHeading_lbo_long_model_DB 2" xfId="632" xr:uid="{00000000-0005-0000-0000-0000E7020000}"/>
    <cellStyle name="_SubHeading_lbo_long_model_EXAMPLE model C-5" xfId="633" xr:uid="{00000000-0005-0000-0000-0000E8020000}"/>
    <cellStyle name="_SubHeading_lbo_long_model_EXAMPLE model C-5 2" xfId="634" xr:uid="{00000000-0005-0000-0000-0000E9020000}"/>
    <cellStyle name="_SubHeading_lbo_long_model_FAS 157 Model Template 04 26 2009" xfId="635" xr:uid="{00000000-0005-0000-0000-0000EA020000}"/>
    <cellStyle name="_SubHeading_lbo_long_model_FAS 157 Model Template 04 26 2009 2" xfId="636" xr:uid="{00000000-0005-0000-0000-0000EB020000}"/>
    <cellStyle name="_SubHeading_lbo_long_model_Great Call VD 09 30 08 Draft Model 11 20 08" xfId="637" xr:uid="{00000000-0005-0000-0000-0000EC020000}"/>
    <cellStyle name="_SubHeading_lbo_long_model_Great Call VD 09 30 08 Draft Model 11 20 08 2" xfId="638" xr:uid="{00000000-0005-0000-0000-0000ED020000}"/>
    <cellStyle name="_SubHeading_lbo_long_model_Intermedia, Inc. VD 05 31 08 Draft Model 07 16 2008" xfId="639" xr:uid="{00000000-0005-0000-0000-0000EE020000}"/>
    <cellStyle name="_SubHeading_lbo_long_model_Intermedia, Inc. VD 05 31 08 Draft Model 07 16 2008 2" xfId="640" xr:uid="{00000000-0005-0000-0000-0000EF020000}"/>
    <cellStyle name="_SubHeading_lbo_long_model_Island Data Corporatin VD 06 30 08 Projections and Comparables 08 11 2008" xfId="641" xr:uid="{00000000-0005-0000-0000-0000F0020000}"/>
    <cellStyle name="_SubHeading_lbo_long_model_Island Data Corporatin VD 06 30 08 Projections and Comparables 08 11 2008 2" xfId="642" xr:uid="{00000000-0005-0000-0000-0000F1020000}"/>
    <cellStyle name="_SubHeading_lbo_long_model_Jentro Tech VD 03 31 2008 Model 04 10 2008" xfId="643" xr:uid="{00000000-0005-0000-0000-0000F2020000}"/>
    <cellStyle name="_SubHeading_lbo_long_model_Jentro Tech VD 03 31 2008 Model 04 10 2008 2" xfId="644" xr:uid="{00000000-0005-0000-0000-0000F3020000}"/>
    <cellStyle name="_SubHeading_lbo_long_model_Kythera Biopharmaceuticals VD 05 16 08 Draft Analysis 07 01 08" xfId="645" xr:uid="{00000000-0005-0000-0000-0000F4020000}"/>
    <cellStyle name="_SubHeading_lbo_long_model_Kythera Biopharmaceuticals VD 05 16 08 Draft Analysis 07 01 08 2" xfId="646" xr:uid="{00000000-0005-0000-0000-0000F5020000}"/>
    <cellStyle name="_SubHeading_lbo_long_model_Kythera Biopharmaceuticals VD 05 16 08 Final Model 07 20 08" xfId="647" xr:uid="{00000000-0005-0000-0000-0000F6020000}"/>
    <cellStyle name="_SubHeading_lbo_long_model_Kythera Biopharmaceuticals VD 05 16 08 Final Model 07 20 08 2" xfId="648" xr:uid="{00000000-0005-0000-0000-0000F7020000}"/>
    <cellStyle name="_SubHeading_lbo_long_model_Kythera Biopharmaceuticals, Inc. VD 5 16 2008 Draft 5 24 2008" xfId="649" xr:uid="{00000000-0005-0000-0000-0000F8020000}"/>
    <cellStyle name="_SubHeading_lbo_long_model_Kythera Biopharmaceuticals, Inc. VD 5 16 2008 Draft 5 24 2008 2" xfId="650" xr:uid="{00000000-0005-0000-0000-0000F9020000}"/>
    <cellStyle name="_SubHeading_lbo_long_model_Miragen VD 05 31 2008 Model 05 22 2009" xfId="651" xr:uid="{00000000-0005-0000-0000-0000FA020000}"/>
    <cellStyle name="_SubHeading_lbo_long_model_Notes" xfId="652" xr:uid="{00000000-0005-0000-0000-0000FB020000}"/>
    <cellStyle name="_SubHeading_lbo_long_model_Notes 2" xfId="653" xr:uid="{00000000-0005-0000-0000-0000FC020000}"/>
    <cellStyle name="_SubHeading_lbo_long_model_OMT VD 10 15 2008 Draft Analysis 12 17 2008.xls" xfId="654" xr:uid="{00000000-0005-0000-0000-0000FD020000}"/>
    <cellStyle name="_SubHeading_lbo_long_model_PubComps IPO -C-7" xfId="655" xr:uid="{00000000-0005-0000-0000-0000FE020000}"/>
    <cellStyle name="_SubHeading_lbo_long_model_PubComps IPO -C-7 2" xfId="656" xr:uid="{00000000-0005-0000-0000-0000FF020000}"/>
    <cellStyle name="_SubHeading_lbo_long_model_Tmax Soft VD 07 31 2008 Draft Model 08 20 2008" xfId="657" xr:uid="{00000000-0005-0000-0000-000000030000}"/>
    <cellStyle name="_SubHeading_lbo_long_model_Tmax Soft VD 07 31 2008 Draft Model 08 20 2008 2" xfId="658" xr:uid="{00000000-0005-0000-0000-000001030000}"/>
    <cellStyle name="_SubHeading_lbo_long_model_WACC -E-2" xfId="659" xr:uid="{00000000-0005-0000-0000-000002030000}"/>
    <cellStyle name="_SubHeading_lbo_long_model_WACC -E-2 2" xfId="660" xr:uid="{00000000-0005-0000-0000-000003030000}"/>
    <cellStyle name="_SubHeading_lbo_long_model_Xmos Limited VD 05 13 2008  Model 06 04 08" xfId="661" xr:uid="{00000000-0005-0000-0000-000004030000}"/>
    <cellStyle name="_SubHeading_lbo_long_model_Xmos Limited VD 05 13 2008  Model 06 04 08 2" xfId="662" xr:uid="{00000000-0005-0000-0000-000005030000}"/>
    <cellStyle name="_SubHeading_prestemp" xfId="663" xr:uid="{00000000-0005-0000-0000-000006030000}"/>
    <cellStyle name="_SubHeading_prestemp 2" xfId="664" xr:uid="{00000000-0005-0000-0000-000007030000}"/>
    <cellStyle name="_SubHeading_prestemp 2 2" xfId="665" xr:uid="{00000000-0005-0000-0000-000008030000}"/>
    <cellStyle name="_SubHeading_prestemp 3" xfId="666" xr:uid="{00000000-0005-0000-0000-000009030000}"/>
    <cellStyle name="_SubHeading_prestemp 4" xfId="667" xr:uid="{00000000-0005-0000-0000-00000A030000}"/>
    <cellStyle name="_SubHeading_prestemp 5" xfId="668" xr:uid="{00000000-0005-0000-0000-00000B030000}"/>
    <cellStyle name="_SubHeading_prestemp_1" xfId="669" xr:uid="{00000000-0005-0000-0000-00000C030000}"/>
    <cellStyle name="_SubHeading_prestemp_1_Cyrela - Goldzstein - Financial Model - v1" xfId="670" xr:uid="{00000000-0005-0000-0000-00000D030000}"/>
    <cellStyle name="_SubHeading_prestemp_1_Cyrela - Goldzstein - Financial Model - v5" xfId="671" xr:uid="{00000000-0005-0000-0000-00000E030000}"/>
    <cellStyle name="_SubHeading_prestemp_1_Gas Natural - Financial Model - April 18 2008 - v1" xfId="672" xr:uid="{00000000-0005-0000-0000-00000F030000}"/>
    <cellStyle name="_SubHeading_prestemp_1_Gas Natural - Financial Model - April 18 2008 - v2" xfId="673" xr:uid="{00000000-0005-0000-0000-000010030000}"/>
    <cellStyle name="_SubHeading_prestemp_1_Gas Natural - Financial Model - May 20, 2009" xfId="674" xr:uid="{00000000-0005-0000-0000-000011030000}"/>
    <cellStyle name="_SubHeading_prestemp_1_Goldzstein Cyrela - Financial Model - v7" xfId="675" xr:uid="{00000000-0005-0000-0000-000012030000}"/>
    <cellStyle name="_SubHeading_prestemp_1_Grupo Ibmec - Financial Model - v2" xfId="676" xr:uid="{00000000-0005-0000-0000-000013030000}"/>
    <cellStyle name="_SubHeading_prestemp_1_Grupo Ibmec - Financial Model - v5" xfId="677" xr:uid="{00000000-0005-0000-0000-000014030000}"/>
    <cellStyle name="_SubHeading_prestemp_1_Independencia - Financial Model - Dec 02 2008 - v3" xfId="678" xr:uid="{00000000-0005-0000-0000-000015030000}"/>
    <cellStyle name="_SubHeading_prestemp_1_Independencia - Financial Model - Nov 24 2008" xfId="679" xr:uid="{00000000-0005-0000-0000-000016030000}"/>
    <cellStyle name="_SubHeading_prestemp_1_Medley_Financial_Model_v5" xfId="680" xr:uid="{00000000-0005-0000-0000-000017030000}"/>
    <cellStyle name="_SubHeading_prestemp_1_Medley_Financial_Model_v5_Ubiquiti Ownership Table" xfId="681" xr:uid="{00000000-0005-0000-0000-000018030000}"/>
    <cellStyle name="_SubHeading_prestemp_1_Project Emet - Forecasts" xfId="682" xr:uid="{00000000-0005-0000-0000-000019030000}"/>
    <cellStyle name="_SubHeading_prestemp_1_Rumo_Financial_Model_05jun2009_v1" xfId="683" xr:uid="{00000000-0005-0000-0000-00001A030000}"/>
    <cellStyle name="_SubHeading_prestemp_1_Rumo_Financial_Model_05jun2009_v4" xfId="684" xr:uid="{00000000-0005-0000-0000-00001B030000}"/>
    <cellStyle name="_SubHeading_prestemp_1_Rumo_Financial_Model_05jun2009_v5" xfId="685" xr:uid="{00000000-0005-0000-0000-00001C030000}"/>
    <cellStyle name="_SubHeading_prestemp_1_Rumo_Financial_Model_05jun2009_v6" xfId="686" xr:uid="{00000000-0005-0000-0000-00001D030000}"/>
    <cellStyle name="_SubHeading_prestemp_1_SCPC_Financial_Model_10jun2009_v2" xfId="687" xr:uid="{00000000-0005-0000-0000-00001E030000}"/>
    <cellStyle name="_SubHeading_prestemp_1_SCPC_Financial_Model_17jun2009_v5" xfId="688" xr:uid="{00000000-0005-0000-0000-00001F030000}"/>
    <cellStyle name="_SubHeading_prestemp_Anaphore 12 31 2008 Draft Analysis 02 19 2009" xfId="689" xr:uid="{00000000-0005-0000-0000-000020030000}"/>
    <cellStyle name="_SubHeading_prestemp_Anaphore 12 31 2008 Draft Analysis 02 20 2009 - DM REVISED" xfId="690" xr:uid="{00000000-0005-0000-0000-000021030000}"/>
    <cellStyle name="_SubHeading_prestemp_Book2" xfId="691" xr:uid="{00000000-0005-0000-0000-000022030000}"/>
    <cellStyle name="_SubHeading_prestemp_Book2 2" xfId="692" xr:uid="{00000000-0005-0000-0000-000023030000}"/>
    <cellStyle name="_SubHeading_prestemp_Boston Power VD 01 31 2008 Model 02 26 2008" xfId="693" xr:uid="{00000000-0005-0000-0000-000024030000}"/>
    <cellStyle name="_SubHeading_prestemp_Boston Power VD 01 31 2008 Model 02 26 2008 2" xfId="694" xr:uid="{00000000-0005-0000-0000-000025030000}"/>
    <cellStyle name="_SubHeading_prestemp_Boston Power VD 01 31 2008 Model 02 26 2008 2 2" xfId="695" xr:uid="{00000000-0005-0000-0000-000026030000}"/>
    <cellStyle name="_SubHeading_prestemp_Boston Power VD 01 31 2008 Model 02 26 2008 3" xfId="696" xr:uid="{00000000-0005-0000-0000-000027030000}"/>
    <cellStyle name="_SubHeading_prestemp_Boston Power VD 01 31 2008 Model 02 26 2008 4" xfId="697" xr:uid="{00000000-0005-0000-0000-000028030000}"/>
    <cellStyle name="_SubHeading_prestemp_Boston Power VD 01 31 2008 Model 02 26 2008 5" xfId="698" xr:uid="{00000000-0005-0000-0000-000029030000}"/>
    <cellStyle name="_SubHeading_prestemp_Boston Power VD 01 31 2008 Model 02 26 2008_CompanyABC Valuation Draft Model 04 21 2009" xfId="699" xr:uid="{00000000-0005-0000-0000-00002A030000}"/>
    <cellStyle name="_SubHeading_prestemp_Boston Power VD 01 31 2008 Model 02 26 2008_CompanyABC Valuation Draft Model 04 21 2009 2" xfId="700" xr:uid="{00000000-0005-0000-0000-00002B030000}"/>
    <cellStyle name="_SubHeading_prestemp_Boston Power VD 01 31 2008 Model 02 26 2008_DB" xfId="701" xr:uid="{00000000-0005-0000-0000-00002C030000}"/>
    <cellStyle name="_SubHeading_prestemp_Boston Power VD 01 31 2008 Model 02 26 2008_DB 2" xfId="702" xr:uid="{00000000-0005-0000-0000-00002D030000}"/>
    <cellStyle name="_SubHeading_prestemp_Boston Power VD 01 31 2008 Model 02 26 2008_DB 2 2" xfId="703" xr:uid="{00000000-0005-0000-0000-00002E030000}"/>
    <cellStyle name="_SubHeading_prestemp_Boston Power VD 01 31 2008 Model 02 26 2008_FAS 157 Model Template 04 26 2009" xfId="704" xr:uid="{00000000-0005-0000-0000-00002F030000}"/>
    <cellStyle name="_SubHeading_prestemp_Boston Power VD 01 31 2008 Model 02 26 2008_FAS 157 Model Template 04 26 2009 2" xfId="705" xr:uid="{00000000-0005-0000-0000-000030030000}"/>
    <cellStyle name="_SubHeading_prestemp_Boston Power VD 01 31 2008 Model 02 26 2008_Miragen VD 05 31 2008 Model 05 22 2009" xfId="706" xr:uid="{00000000-0005-0000-0000-000031030000}"/>
    <cellStyle name="_SubHeading_prestemp_Cap Table Inputs" xfId="707" xr:uid="{00000000-0005-0000-0000-000032030000}"/>
    <cellStyle name="_SubHeading_prestemp_Cap Table Inputs 2" xfId="708" xr:uid="{00000000-0005-0000-0000-000033030000}"/>
    <cellStyle name="_SubHeading_prestemp_Cap Table Inputs 2 2" xfId="709" xr:uid="{00000000-0005-0000-0000-000034030000}"/>
    <cellStyle name="_SubHeading_prestemp_Cap Table Inputs 3" xfId="710" xr:uid="{00000000-0005-0000-0000-000035030000}"/>
    <cellStyle name="_SubHeading_prestemp_Cap Table Inputs 4" xfId="711" xr:uid="{00000000-0005-0000-0000-000036030000}"/>
    <cellStyle name="_SubHeading_prestemp_Cap Table Inputs 5" xfId="712" xr:uid="{00000000-0005-0000-0000-000037030000}"/>
    <cellStyle name="_SubHeading_prestemp_Cap Table Inputs_CompanyABC Valuation Draft Model 04 21 2009" xfId="713" xr:uid="{00000000-0005-0000-0000-000038030000}"/>
    <cellStyle name="_SubHeading_prestemp_Cap Table Inputs_CompanyABC Valuation Draft Model 04 21 2009 2" xfId="714" xr:uid="{00000000-0005-0000-0000-000039030000}"/>
    <cellStyle name="_SubHeading_prestemp_Cap Table Inputs_DB" xfId="715" xr:uid="{00000000-0005-0000-0000-00003A030000}"/>
    <cellStyle name="_SubHeading_prestemp_Cap Table Inputs_DB 2" xfId="716" xr:uid="{00000000-0005-0000-0000-00003B030000}"/>
    <cellStyle name="_SubHeading_prestemp_Cap Table Inputs_DB 2 2" xfId="717" xr:uid="{00000000-0005-0000-0000-00003C030000}"/>
    <cellStyle name="_SubHeading_prestemp_Cap Table Inputs_FAS 157 Model Template 04 26 2009" xfId="718" xr:uid="{00000000-0005-0000-0000-00003D030000}"/>
    <cellStyle name="_SubHeading_prestemp_Cap Table Inputs_FAS 157 Model Template 04 26 2009 2" xfId="719" xr:uid="{00000000-0005-0000-0000-00003E030000}"/>
    <cellStyle name="_SubHeading_prestemp_Cap Table Inputs_Miragen VD 05 31 2008 Model 05 22 2009" xfId="720" xr:uid="{00000000-0005-0000-0000-00003F030000}"/>
    <cellStyle name="_SubHeading_prestemp_CardioSolutions 05 31 2007 Final Model 09 27 2007" xfId="721" xr:uid="{00000000-0005-0000-0000-000040030000}"/>
    <cellStyle name="_SubHeading_prestemp_CardioSolutions 05 31 2007 Final Model 09 27 2007 2" xfId="722" xr:uid="{00000000-0005-0000-0000-000041030000}"/>
    <cellStyle name="_SubHeading_prestemp_CardioSolutions 05 31 2007 Final Model 09 27 2007 2 2" xfId="723" xr:uid="{00000000-0005-0000-0000-000042030000}"/>
    <cellStyle name="_SubHeading_prestemp_CardioSolutions 05 31 2007 Final Model 09 27 2007 3" xfId="724" xr:uid="{00000000-0005-0000-0000-000043030000}"/>
    <cellStyle name="_SubHeading_prestemp_CardioSolutions 05 31 2007 Final Model 09 27 2007 4" xfId="725" xr:uid="{00000000-0005-0000-0000-000044030000}"/>
    <cellStyle name="_SubHeading_prestemp_CardioSolutions 05 31 2007 Final Model 09 27 2007 5" xfId="726" xr:uid="{00000000-0005-0000-0000-000045030000}"/>
    <cellStyle name="_SubHeading_prestemp_CardioSolutions 05 31 2007 Final Model 09 27 2007_CompanyABC Valuation Draft Model 04 21 2009" xfId="727" xr:uid="{00000000-0005-0000-0000-000046030000}"/>
    <cellStyle name="_SubHeading_prestemp_CardioSolutions 05 31 2007 Final Model 09 27 2007_CompanyABC Valuation Draft Model 04 21 2009 2" xfId="728" xr:uid="{00000000-0005-0000-0000-000047030000}"/>
    <cellStyle name="_SubHeading_prestemp_CardioSolutions 05 31 2007 Final Model 09 27 2007_DB" xfId="729" xr:uid="{00000000-0005-0000-0000-000048030000}"/>
    <cellStyle name="_SubHeading_prestemp_CardioSolutions 05 31 2007 Final Model 09 27 2007_DB 2" xfId="730" xr:uid="{00000000-0005-0000-0000-000049030000}"/>
    <cellStyle name="_SubHeading_prestemp_CardioSolutions 05 31 2007 Final Model 09 27 2007_DB 2 2" xfId="731" xr:uid="{00000000-0005-0000-0000-00004A030000}"/>
    <cellStyle name="_SubHeading_prestemp_CardioSolutions 05 31 2007 Final Model 09 27 2007_FAS 157 Model Template 04 26 2009" xfId="732" xr:uid="{00000000-0005-0000-0000-00004B030000}"/>
    <cellStyle name="_SubHeading_prestemp_CardioSolutions 05 31 2007 Final Model 09 27 2007_FAS 157 Model Template 04 26 2009 2" xfId="733" xr:uid="{00000000-0005-0000-0000-00004C030000}"/>
    <cellStyle name="_SubHeading_prestemp_CardioSolutions 05 31 2007 Final Model 09 27 2007_Miragen VD 05 31 2008 Model 05 22 2009" xfId="734" xr:uid="{00000000-0005-0000-0000-00004D030000}"/>
    <cellStyle name="_SubHeading_prestemp_CardioSolutions VD 05 31 08 Draft Model 07 15 2008" xfId="735" xr:uid="{00000000-0005-0000-0000-00004E030000}"/>
    <cellStyle name="_SubHeading_prestemp_CardioSolutions VD 05 31 08 Draft Model 07 15 2008 2" xfId="736" xr:uid="{00000000-0005-0000-0000-00004F030000}"/>
    <cellStyle name="_SubHeading_prestemp_CardioSolutions VD 05 31 08 Draft Model 08 06 08-u" xfId="737" xr:uid="{00000000-0005-0000-0000-000050030000}"/>
    <cellStyle name="_SubHeading_prestemp_CardioSolutions VD 05 31 08 Draft Model 08 06 08-u 2" xfId="738" xr:uid="{00000000-0005-0000-0000-000051030000}"/>
    <cellStyle name="_SubHeading_prestemp_CompanyABC Valuation Draft Model 04 21 2009" xfId="739" xr:uid="{00000000-0005-0000-0000-000052030000}"/>
    <cellStyle name="_SubHeading_prestemp_CompanyABC Valuation Draft Model 04 21 2009 2" xfId="740" xr:uid="{00000000-0005-0000-0000-000053030000}"/>
    <cellStyle name="_SubHeading_prestemp_CompanyABC Valuation Model Draft 07 07 2008" xfId="741" xr:uid="{00000000-0005-0000-0000-000054030000}"/>
    <cellStyle name="_SubHeading_prestemp_CompanyABC Valuation Model Draft 07 07 2008 2" xfId="742" xr:uid="{00000000-0005-0000-0000-000055030000}"/>
    <cellStyle name="_SubHeading_prestemp_CompanyABC Valuation Model Draft 08 07 2008" xfId="743" xr:uid="{00000000-0005-0000-0000-000056030000}"/>
    <cellStyle name="_SubHeading_prestemp_CompanyABC Valuation Model Draft 08 07 2008 2" xfId="744" xr:uid="{00000000-0005-0000-0000-000057030000}"/>
    <cellStyle name="_SubHeading_prestemp_CompanyABC Valuation Model Draft 08 25 2008" xfId="745" xr:uid="{00000000-0005-0000-0000-000058030000}"/>
    <cellStyle name="_SubHeading_prestemp_CompanyABC Valuation Model Draft 08 25 2008 2" xfId="746" xr:uid="{00000000-0005-0000-0000-000059030000}"/>
    <cellStyle name="_SubHeading_prestemp_CompanyABC Valuation Model Draft 09 25 2008-Team Liquidity" xfId="747" xr:uid="{00000000-0005-0000-0000-00005A030000}"/>
    <cellStyle name="_SubHeading_prestemp_CompanyABC Valuation Model Draft 09 25 2008-Team Liquidity 2" xfId="748" xr:uid="{00000000-0005-0000-0000-00005B030000}"/>
    <cellStyle name="_SubHeading_prestemp_CompanyABC Valuation Model Draft 10 01 2008" xfId="749" xr:uid="{00000000-0005-0000-0000-00005C030000}"/>
    <cellStyle name="_SubHeading_prestemp_CompanyABC Valuation Model Draft 10 01 2008 2" xfId="750" xr:uid="{00000000-0005-0000-0000-00005D030000}"/>
    <cellStyle name="_SubHeading_prestemp_CompanyABC Valuation Model Draft 10 27 2008" xfId="751" xr:uid="{00000000-0005-0000-0000-00005E030000}"/>
    <cellStyle name="_SubHeading_prestemp_CompanyABC Valuation Model Draft 10 27 2008 2" xfId="752" xr:uid="{00000000-0005-0000-0000-00005F030000}"/>
    <cellStyle name="_SubHeading_prestemp_DB" xfId="753" xr:uid="{00000000-0005-0000-0000-000060030000}"/>
    <cellStyle name="_SubHeading_prestemp_DB 2" xfId="754" xr:uid="{00000000-0005-0000-0000-000061030000}"/>
    <cellStyle name="_SubHeading_prestemp_EXAMPLE model C-5" xfId="755" xr:uid="{00000000-0005-0000-0000-000062030000}"/>
    <cellStyle name="_SubHeading_prestemp_EXAMPLE model C-5 2" xfId="756" xr:uid="{00000000-0005-0000-0000-000063030000}"/>
    <cellStyle name="_SubHeading_prestemp_FAS 157 Model Template 04 26 2009" xfId="757" xr:uid="{00000000-0005-0000-0000-000064030000}"/>
    <cellStyle name="_SubHeading_prestemp_FAS 157 Model Template 04 26 2009 2" xfId="758" xr:uid="{00000000-0005-0000-0000-000065030000}"/>
    <cellStyle name="_SubHeading_prestemp_Great Call VD 09 30 08 Draft Model 11 20 08" xfId="759" xr:uid="{00000000-0005-0000-0000-000066030000}"/>
    <cellStyle name="_SubHeading_prestemp_Great Call VD 09 30 08 Draft Model 11 20 08 2" xfId="760" xr:uid="{00000000-0005-0000-0000-000067030000}"/>
    <cellStyle name="_SubHeading_prestemp_Intermedia, Inc. VD 05 31 08 Draft Model 07 16 2008" xfId="761" xr:uid="{00000000-0005-0000-0000-000068030000}"/>
    <cellStyle name="_SubHeading_prestemp_Intermedia, Inc. VD 05 31 08 Draft Model 07 16 2008 2" xfId="762" xr:uid="{00000000-0005-0000-0000-000069030000}"/>
    <cellStyle name="_SubHeading_prestemp_Island Data Corporatin VD 06 30 08 Projections and Comparables 08 11 2008" xfId="763" xr:uid="{00000000-0005-0000-0000-00006A030000}"/>
    <cellStyle name="_SubHeading_prestemp_Island Data Corporatin VD 06 30 08 Projections and Comparables 08 11 2008 2" xfId="764" xr:uid="{00000000-0005-0000-0000-00006B030000}"/>
    <cellStyle name="_SubHeading_prestemp_Jentro Tech VD 03 31 2008 Model 04 10 2008" xfId="765" xr:uid="{00000000-0005-0000-0000-00006C030000}"/>
    <cellStyle name="_SubHeading_prestemp_Jentro Tech VD 03 31 2008 Model 04 10 2008 2" xfId="766" xr:uid="{00000000-0005-0000-0000-00006D030000}"/>
    <cellStyle name="_SubHeading_prestemp_Kythera Biopharmaceuticals VD 05 16 08 Draft Analysis 07 01 08" xfId="767" xr:uid="{00000000-0005-0000-0000-00006E030000}"/>
    <cellStyle name="_SubHeading_prestemp_Kythera Biopharmaceuticals VD 05 16 08 Draft Analysis 07 01 08 2" xfId="768" xr:uid="{00000000-0005-0000-0000-00006F030000}"/>
    <cellStyle name="_SubHeading_prestemp_Kythera Biopharmaceuticals VD 05 16 08 Final Model 07 20 08" xfId="769" xr:uid="{00000000-0005-0000-0000-000070030000}"/>
    <cellStyle name="_SubHeading_prestemp_Kythera Biopharmaceuticals VD 05 16 08 Final Model 07 20 08 2" xfId="770" xr:uid="{00000000-0005-0000-0000-000071030000}"/>
    <cellStyle name="_SubHeading_prestemp_Kythera Biopharmaceuticals, Inc. VD 5 16 2008 Draft 5 24 2008" xfId="771" xr:uid="{00000000-0005-0000-0000-000072030000}"/>
    <cellStyle name="_SubHeading_prestemp_Kythera Biopharmaceuticals, Inc. VD 5 16 2008 Draft 5 24 2008 2" xfId="772" xr:uid="{00000000-0005-0000-0000-000073030000}"/>
    <cellStyle name="_SubHeading_prestemp_Miragen VD 05 31 2008 Model 05 22 2009" xfId="773" xr:uid="{00000000-0005-0000-0000-000074030000}"/>
    <cellStyle name="_SubHeading_prestemp_Notes" xfId="774" xr:uid="{00000000-0005-0000-0000-000075030000}"/>
    <cellStyle name="_SubHeading_prestemp_Notes 2" xfId="775" xr:uid="{00000000-0005-0000-0000-000076030000}"/>
    <cellStyle name="_SubHeading_prestemp_OMT VD 10 15 2008 Draft Analysis 12 17 2008.xls" xfId="776" xr:uid="{00000000-0005-0000-0000-000077030000}"/>
    <cellStyle name="_SubHeading_prestemp_PubComps IPO -C-7" xfId="777" xr:uid="{00000000-0005-0000-0000-000078030000}"/>
    <cellStyle name="_SubHeading_prestemp_PubComps IPO -C-7 2" xfId="778" xr:uid="{00000000-0005-0000-0000-000079030000}"/>
    <cellStyle name="_SubHeading_prestemp_Tmax Soft VD 07 31 2008 Draft Model 08 20 2008" xfId="779" xr:uid="{00000000-0005-0000-0000-00007A030000}"/>
    <cellStyle name="_SubHeading_prestemp_Tmax Soft VD 07 31 2008 Draft Model 08 20 2008 2" xfId="780" xr:uid="{00000000-0005-0000-0000-00007B030000}"/>
    <cellStyle name="_SubHeading_prestemp_WACC -E-2" xfId="781" xr:uid="{00000000-0005-0000-0000-00007C030000}"/>
    <cellStyle name="_SubHeading_prestemp_WACC -E-2 2" xfId="782" xr:uid="{00000000-0005-0000-0000-00007D030000}"/>
    <cellStyle name="_SubHeading_prestemp_Xmos Limited VD 05 13 2008  Model 06 04 08" xfId="783" xr:uid="{00000000-0005-0000-0000-00007E030000}"/>
    <cellStyle name="_SubHeading_prestemp_Xmos Limited VD 05 13 2008  Model 06 04 08 2" xfId="784" xr:uid="{00000000-0005-0000-0000-00007F030000}"/>
    <cellStyle name="_Table" xfId="785" xr:uid="{00000000-0005-0000-0000-000080030000}"/>
    <cellStyle name="_Table 2" xfId="786" xr:uid="{00000000-0005-0000-0000-000081030000}"/>
    <cellStyle name="_Table__DCF Template" xfId="787" xr:uid="{00000000-0005-0000-0000-000082030000}"/>
    <cellStyle name="_Table__DCF Template 2" xfId="788" xr:uid="{00000000-0005-0000-0000-000083030000}"/>
    <cellStyle name="_Table__DCF Template 2 2" xfId="16388" xr:uid="{00000000-0005-0000-0000-000084030000}"/>
    <cellStyle name="_Table__DCF Template 3" xfId="16387" xr:uid="{00000000-0005-0000-0000-000085030000}"/>
    <cellStyle name="_Table_04 Alaska Model 2002-05-31 GS" xfId="789" xr:uid="{00000000-0005-0000-0000-000086030000}"/>
    <cellStyle name="_Table_04 Alaska Model 2002-05-31 GS 2" xfId="790" xr:uid="{00000000-0005-0000-0000-000087030000}"/>
    <cellStyle name="_Table_04 Alaska Model 2002-05-31 GS 2 2" xfId="16390" xr:uid="{00000000-0005-0000-0000-000088030000}"/>
    <cellStyle name="_Table_04 Alaska Model 2002-05-31 GS 3" xfId="16389" xr:uid="{00000000-0005-0000-0000-000089030000}"/>
    <cellStyle name="_Table_Book3" xfId="791" xr:uid="{00000000-0005-0000-0000-00008A030000}"/>
    <cellStyle name="_Table_Dividend Template" xfId="792" xr:uid="{00000000-0005-0000-0000-00008B030000}"/>
    <cellStyle name="_Table_Pro-Forma Financials" xfId="793" xr:uid="{00000000-0005-0000-0000-00008C030000}"/>
    <cellStyle name="_Table_Pro-Forma Spin-off" xfId="794" xr:uid="{00000000-0005-0000-0000-00008D030000}"/>
    <cellStyle name="_TableHead" xfId="795" xr:uid="{00000000-0005-0000-0000-00008E030000}"/>
    <cellStyle name="_TableHead 2" xfId="796" xr:uid="{00000000-0005-0000-0000-00008F030000}"/>
    <cellStyle name="_TableHead_Cable_Industry Overview5" xfId="797" xr:uid="{00000000-0005-0000-0000-000090030000}"/>
    <cellStyle name="_TableHead_Cable_Industry Overview5 2" xfId="798" xr:uid="{00000000-0005-0000-0000-000091030000}"/>
    <cellStyle name="_TableHead_Gelco Model" xfId="799" xr:uid="{00000000-0005-0000-0000-000092030000}"/>
    <cellStyle name="_TableHead_Gelco Model 2" xfId="800" xr:uid="{00000000-0005-0000-0000-000093030000}"/>
    <cellStyle name="_TableHead_Summary" xfId="801" xr:uid="{00000000-0005-0000-0000-000094030000}"/>
    <cellStyle name="_TableHead_Summary 2" xfId="802" xr:uid="{00000000-0005-0000-0000-000095030000}"/>
    <cellStyle name="_TableHead_Yield Tables" xfId="803" xr:uid="{00000000-0005-0000-0000-000096030000}"/>
    <cellStyle name="_TableHead_Yield Tables 2" xfId="804" xr:uid="{00000000-0005-0000-0000-000097030000}"/>
    <cellStyle name="_TableHeading" xfId="16326" xr:uid="{00000000-0005-0000-0000-000098030000}"/>
    <cellStyle name="_TableRowBorder" xfId="16327" xr:uid="{00000000-0005-0000-0000-000099030000}"/>
    <cellStyle name="_TableRowHead" xfId="805" xr:uid="{00000000-0005-0000-0000-00009A030000}"/>
    <cellStyle name="_TableRowHead 2" xfId="806" xr:uid="{00000000-0005-0000-0000-00009B030000}"/>
    <cellStyle name="_TableRowHead_Gelco Model" xfId="807" xr:uid="{00000000-0005-0000-0000-00009C030000}"/>
    <cellStyle name="_TableRowHead_Gelco Model 2" xfId="808" xr:uid="{00000000-0005-0000-0000-00009D030000}"/>
    <cellStyle name="_TableRowHead_Summary" xfId="809" xr:uid="{00000000-0005-0000-0000-00009E030000}"/>
    <cellStyle name="_TableRowHead_Summary 2" xfId="810" xr:uid="{00000000-0005-0000-0000-00009F030000}"/>
    <cellStyle name="_TableRowHeading" xfId="16328" xr:uid="{00000000-0005-0000-0000-0000A0030000}"/>
    <cellStyle name="_TableSuperHead" xfId="811" xr:uid="{00000000-0005-0000-0000-0000A1030000}"/>
    <cellStyle name="_TableSuperHead 2" xfId="812" xr:uid="{00000000-0005-0000-0000-0000A2030000}"/>
    <cellStyle name="_TableSuperHead__DCF Template" xfId="813" xr:uid="{00000000-0005-0000-0000-0000A3030000}"/>
    <cellStyle name="_TableSuperHead_04 Alaska Model 2002-05-31 GS" xfId="814" xr:uid="{00000000-0005-0000-0000-0000A4030000}"/>
    <cellStyle name="_TableSuperHead_Book3" xfId="815" xr:uid="{00000000-0005-0000-0000-0000A5030000}"/>
    <cellStyle name="_TableSuperHead_Cable_Industry Overview5" xfId="816" xr:uid="{00000000-0005-0000-0000-0000A6030000}"/>
    <cellStyle name="_TableSuperHead_Cable_Industry Overview5 2" xfId="817" xr:uid="{00000000-0005-0000-0000-0000A7030000}"/>
    <cellStyle name="_TableSuperHead_Dividend Template" xfId="818" xr:uid="{00000000-0005-0000-0000-0000A8030000}"/>
    <cellStyle name="_TableSuperHead_Gelco Model" xfId="819" xr:uid="{00000000-0005-0000-0000-0000A9030000}"/>
    <cellStyle name="_TableSuperHead_Gelco Model 2" xfId="820" xr:uid="{00000000-0005-0000-0000-0000AA030000}"/>
    <cellStyle name="_TableSuperHead_Pro-Forma Financials" xfId="821" xr:uid="{00000000-0005-0000-0000-0000AB030000}"/>
    <cellStyle name="_TableSuperHead_Pro-Forma Spin-off" xfId="822" xr:uid="{00000000-0005-0000-0000-0000AC030000}"/>
    <cellStyle name="_TableSuperHead_Summary" xfId="823" xr:uid="{00000000-0005-0000-0000-0000AD030000}"/>
    <cellStyle name="_TableSuperHead_Summary 2" xfId="824" xr:uid="{00000000-0005-0000-0000-0000AE030000}"/>
    <cellStyle name="_TableSuperHead_Yield Tables" xfId="825" xr:uid="{00000000-0005-0000-0000-0000AF030000}"/>
    <cellStyle name="_TableSuperHead_Yield Tables 2" xfId="826" xr:uid="{00000000-0005-0000-0000-0000B0030000}"/>
    <cellStyle name="_TableSuperHeading" xfId="16329" xr:uid="{00000000-0005-0000-0000-0000B1030000}"/>
    <cellStyle name="_TableText" xfId="16330" xr:uid="{00000000-0005-0000-0000-0000B2030000}"/>
    <cellStyle name="_Tax Provision 2-1-07 sent to KPMG" xfId="827" xr:uid="{00000000-0005-0000-0000-0000B3030000}"/>
    <cellStyle name="_TDI1602 Non-Food Retail Historic Transactions 060428" xfId="828" xr:uid="{00000000-0005-0000-0000-0000B4030000}"/>
    <cellStyle name="_TDI1602 Non-Food Retail Historic Transactions 060428_Medley_Financial_Model_v5" xfId="829" xr:uid="{00000000-0005-0000-0000-0000B5030000}"/>
    <cellStyle name="_TDI2246 Chemical Comps 061019" xfId="830" xr:uid="{00000000-0005-0000-0000-0000B6030000}"/>
    <cellStyle name="_TDI2246 Chemical Comps 061019_Medley_Financial_Model_v5" xfId="831" xr:uid="{00000000-0005-0000-0000-0000B7030000}"/>
    <cellStyle name="_TDU757 Fintech Comps 070227" xfId="832" xr:uid="{00000000-0005-0000-0000-0000B8030000}"/>
    <cellStyle name="_TDU757 Fintech Comps 070227_Cyrela - Goldzstein - Financial Model - v1" xfId="833" xr:uid="{00000000-0005-0000-0000-0000B9030000}"/>
    <cellStyle name="_TDU757 Fintech Comps 070227_Cyrela - Goldzstein - Financial Model - v5" xfId="834" xr:uid="{00000000-0005-0000-0000-0000BA030000}"/>
    <cellStyle name="_TDU757 Fintech Comps 070227_Gas Natural - Financial Model - April 18 2008 - v1" xfId="835" xr:uid="{00000000-0005-0000-0000-0000BB030000}"/>
    <cellStyle name="_TDU757 Fintech Comps 070227_Gas Natural - Financial Model - April 18 2008 - v2" xfId="836" xr:uid="{00000000-0005-0000-0000-0000BC030000}"/>
    <cellStyle name="_TDU757 Fintech Comps 070227_Gas Natural - Financial Model - May 20, 2009" xfId="837" xr:uid="{00000000-0005-0000-0000-0000BD030000}"/>
    <cellStyle name="_TDU757 Fintech Comps 070227_Goldzstein Cyrela - Financial Model - v7" xfId="838" xr:uid="{00000000-0005-0000-0000-0000BE030000}"/>
    <cellStyle name="_TDU757 Fintech Comps 070227_Grupo Ibmec - Financial Model - v2" xfId="839" xr:uid="{00000000-0005-0000-0000-0000BF030000}"/>
    <cellStyle name="_TDU757 Fintech Comps 070227_Grupo Ibmec - Financial Model - v5" xfId="840" xr:uid="{00000000-0005-0000-0000-0000C0030000}"/>
    <cellStyle name="_TDU757 Fintech Comps 070227_Independencia - Financial Model - Dec 02 2008 - v3" xfId="841" xr:uid="{00000000-0005-0000-0000-0000C1030000}"/>
    <cellStyle name="_TDU757 Fintech Comps 070227_Independencia - Financial Model - Nov 24 2008" xfId="842" xr:uid="{00000000-0005-0000-0000-0000C2030000}"/>
    <cellStyle name="_TDU757 Fintech Comps 070227_Medley_Financial_Model_v5" xfId="843" xr:uid="{00000000-0005-0000-0000-0000C3030000}"/>
    <cellStyle name="_TDU757 Fintech Comps 070227_Project Emet - Forecasts" xfId="844" xr:uid="{00000000-0005-0000-0000-0000C4030000}"/>
    <cellStyle name="_TDU757 Fintech Comps 070227_Rumo_Financial_Model_05jun2009_v1" xfId="845" xr:uid="{00000000-0005-0000-0000-0000C5030000}"/>
    <cellStyle name="_TDU757 Fintech Comps 070227_Rumo_Financial_Model_05jun2009_v4" xfId="846" xr:uid="{00000000-0005-0000-0000-0000C6030000}"/>
    <cellStyle name="_TDU757 Fintech Comps 070227_Rumo_Financial_Model_05jun2009_v5" xfId="847" xr:uid="{00000000-0005-0000-0000-0000C7030000}"/>
    <cellStyle name="_TDU757 Fintech Comps 070227_Rumo_Financial_Model_05jun2009_v6" xfId="848" xr:uid="{00000000-0005-0000-0000-0000C8030000}"/>
    <cellStyle name="_TDU757 Fintech Comps 070227_SCPC_Financial_Model_10jun2009_v2" xfId="849" xr:uid="{00000000-0005-0000-0000-0000C9030000}"/>
    <cellStyle name="_TDU757 Fintech Comps 070227_SCPC_Financial_Model_17jun2009_v5" xfId="850" xr:uid="{00000000-0005-0000-0000-0000CA030000}"/>
    <cellStyle name="_TDU769 Aluminium Comps Database 070303" xfId="851" xr:uid="{00000000-0005-0000-0000-0000CB030000}"/>
    <cellStyle name="_TDU769 Aluminium Comps Database 070303_Medley_Financial_Model_v5" xfId="852" xr:uid="{00000000-0005-0000-0000-0000CC030000}"/>
    <cellStyle name="_Veeco SFAS 142 &amp; 144 - Oct 2004 - v11" xfId="853" xr:uid="{00000000-0005-0000-0000-0000CD030000}"/>
    <cellStyle name="_הלוואות" xfId="854" xr:uid="{00000000-0005-0000-0000-0000CE030000}"/>
    <cellStyle name="_הלוואות 2" xfId="855" xr:uid="{00000000-0005-0000-0000-0000CF030000}"/>
    <cellStyle name="_התחיבות שכ&quot;ד" xfId="856" xr:uid="{00000000-0005-0000-0000-0000D0030000}"/>
    <cellStyle name="_התחיבות שכ&quot;ד 2" xfId="857" xr:uid="{00000000-0005-0000-0000-0000D1030000}"/>
    <cellStyle name="_מדדים" xfId="858" xr:uid="{00000000-0005-0000-0000-0000D2030000}"/>
    <cellStyle name="_מדדים 2" xfId="859" xr:uid="{00000000-0005-0000-0000-0000D3030000}"/>
    <cellStyle name="£ BP" xfId="860" xr:uid="{00000000-0005-0000-0000-0000D4030000}"/>
    <cellStyle name="£ BP 2" xfId="861" xr:uid="{00000000-0005-0000-0000-0000D5030000}"/>
    <cellStyle name="£/GJ" xfId="16331" xr:uid="{00000000-0005-0000-0000-0000D6030000}"/>
    <cellStyle name="£/t" xfId="16332" xr:uid="{00000000-0005-0000-0000-0000D7030000}"/>
    <cellStyle name="£Currency [0]" xfId="862" xr:uid="{00000000-0005-0000-0000-0000D8030000}"/>
    <cellStyle name="£Currency [0] 2" xfId="863" xr:uid="{00000000-0005-0000-0000-0000D9030000}"/>
    <cellStyle name="£Currency [1]" xfId="864" xr:uid="{00000000-0005-0000-0000-0000DA030000}"/>
    <cellStyle name="£Currency [1] 2" xfId="865" xr:uid="{00000000-0005-0000-0000-0000DB030000}"/>
    <cellStyle name="£Currency [2]" xfId="866" xr:uid="{00000000-0005-0000-0000-0000DC030000}"/>
    <cellStyle name="£Currency [2] 2" xfId="867" xr:uid="{00000000-0005-0000-0000-0000DD030000}"/>
    <cellStyle name="£Currency [p]" xfId="868" xr:uid="{00000000-0005-0000-0000-0000DE030000}"/>
    <cellStyle name="£Currency [p] 2" xfId="869" xr:uid="{00000000-0005-0000-0000-0000DF030000}"/>
    <cellStyle name="£Currency [p2]" xfId="870" xr:uid="{00000000-0005-0000-0000-0000E0030000}"/>
    <cellStyle name="£Currency [p2] 2" xfId="871" xr:uid="{00000000-0005-0000-0000-0000E1030000}"/>
    <cellStyle name="£Pounds" xfId="872" xr:uid="{00000000-0005-0000-0000-0000E2030000}"/>
    <cellStyle name="£Pounds 2" xfId="873" xr:uid="{00000000-0005-0000-0000-0000E3030000}"/>
    <cellStyle name="¤@¯ë_P721-Spd" xfId="874" xr:uid="{00000000-0005-0000-0000-0000E4030000}"/>
    <cellStyle name="¤d¤À¦ì[0]_P721-Spd" xfId="875" xr:uid="{00000000-0005-0000-0000-0000E5030000}"/>
    <cellStyle name="¤d¤À¦ì_P721-Spd" xfId="876" xr:uid="{00000000-0005-0000-0000-0000E6030000}"/>
    <cellStyle name="¥ JY" xfId="877" xr:uid="{00000000-0005-0000-0000-0000E7030000}"/>
    <cellStyle name="¥ JY 2" xfId="878" xr:uid="{00000000-0005-0000-0000-0000E8030000}"/>
    <cellStyle name="=C:\WINNT\SYSTEM32\COMMAND.COM" xfId="879" xr:uid="{00000000-0005-0000-0000-0000E9030000}"/>
    <cellStyle name="=C:\WINNT35\SYSTEM32\COMMAND.COM" xfId="16333" xr:uid="{00000000-0005-0000-0000-0000EA030000}"/>
    <cellStyle name="°" xfId="16334" xr:uid="{00000000-0005-0000-0000-0000EB030000}"/>
    <cellStyle name="°_ENS Economic Model 070802 v4" xfId="16335" xr:uid="{00000000-0005-0000-0000-0000EC030000}"/>
    <cellStyle name="•W?_Sheet1" xfId="880" xr:uid="{00000000-0005-0000-0000-0000ED030000}"/>
    <cellStyle name="•W€_Capital Structure" xfId="881" xr:uid="{00000000-0005-0000-0000-0000EE030000}"/>
    <cellStyle name="•W_Sheet1" xfId="882" xr:uid="{00000000-0005-0000-0000-0000EF030000}"/>
    <cellStyle name="\¦ÏÝÌnCp[N" xfId="883" xr:uid="{00000000-0005-0000-0000-0000F0030000}"/>
    <cellStyle name="æØè [0.00]_Affiliate Fcst Inputs" xfId="884" xr:uid="{00000000-0005-0000-0000-0000F1030000}"/>
    <cellStyle name="W_Sheet1" xfId="885" xr:uid="{00000000-0005-0000-0000-0000F2030000}"/>
    <cellStyle name="0" xfId="886" xr:uid="{00000000-0005-0000-0000-0000F3030000}"/>
    <cellStyle name="0 2" xfId="887" xr:uid="{00000000-0005-0000-0000-0000F4030000}"/>
    <cellStyle name="0%" xfId="888" xr:uid="{00000000-0005-0000-0000-0000F5030000}"/>
    <cellStyle name="0,0" xfId="889" xr:uid="{00000000-0005-0000-0000-0000F6030000}"/>
    <cellStyle name="0,0 F" xfId="890" xr:uid="{00000000-0005-0000-0000-0000F7030000}"/>
    <cellStyle name="0,0%" xfId="891" xr:uid="{00000000-0005-0000-0000-0000F8030000}"/>
    <cellStyle name="0,0_Co&amp;Lo180800" xfId="892" xr:uid="{00000000-0005-0000-0000-0000F9030000}"/>
    <cellStyle name="0,00x" xfId="893" xr:uid="{00000000-0005-0000-0000-0000FA030000}"/>
    <cellStyle name="0,0x" xfId="894" xr:uid="{00000000-0005-0000-0000-0000FB030000}"/>
    <cellStyle name="0.0" xfId="895" xr:uid="{00000000-0005-0000-0000-0000FC030000}"/>
    <cellStyle name="0.0 NORMAL" xfId="16336" xr:uid="{00000000-0005-0000-0000-0000FD030000}"/>
    <cellStyle name="0.0 PERCENT" xfId="16337" xr:uid="{00000000-0005-0000-0000-0000FE030000}"/>
    <cellStyle name="0.0 x" xfId="896" xr:uid="{00000000-0005-0000-0000-0000FF030000}"/>
    <cellStyle name="0.0%" xfId="897" xr:uid="{00000000-0005-0000-0000-000000040000}"/>
    <cellStyle name="0.0_Crystal Model final" xfId="16338" xr:uid="{00000000-0005-0000-0000-000001040000}"/>
    <cellStyle name="0.00" xfId="898" xr:uid="{00000000-0005-0000-0000-000002040000}"/>
    <cellStyle name="0.00%" xfId="899" xr:uid="{00000000-0005-0000-0000-000003040000}"/>
    <cellStyle name="0.00_Medley_Financial_Model_v5" xfId="900" xr:uid="{00000000-0005-0000-0000-000004040000}"/>
    <cellStyle name="0_APT 141 101603 ver 51" xfId="901" xr:uid="{00000000-0005-0000-0000-000005040000}"/>
    <cellStyle name="0_APT 141 101603 ver 51 2" xfId="902" xr:uid="{00000000-0005-0000-0000-000006040000}"/>
    <cellStyle name="0_Medley_Financial_Model_v5" xfId="903" xr:uid="{00000000-0005-0000-0000-000007040000}"/>
    <cellStyle name="0_Medley_Financial_Model_v5_Ubiquiti Ownership Table" xfId="904" xr:uid="{00000000-0005-0000-0000-000008040000}"/>
    <cellStyle name="0_Nomos WACC" xfId="905" xr:uid="{00000000-0005-0000-0000-000009040000}"/>
    <cellStyle name="0_Nomos WACC 2" xfId="906" xr:uid="{00000000-0005-0000-0000-00000A040000}"/>
    <cellStyle name="0_Nomos WACC_Boston Power VD 01 31 2008 Model 02 26 2008" xfId="907" xr:uid="{00000000-0005-0000-0000-00000B040000}"/>
    <cellStyle name="0_Nomos WACC_Boston Power VD 01 31 2008 Model 02 26 2008 2" xfId="908" xr:uid="{00000000-0005-0000-0000-00000C040000}"/>
    <cellStyle name="0_Nomos WACC_Boston Power VD 01 31 2008 Model 02 26 2008 2 2" xfId="909" xr:uid="{00000000-0005-0000-0000-00000D040000}"/>
    <cellStyle name="0_Nomos WACC_Boston Power VD 01 31 2008 Model 02 26 2008 3" xfId="910" xr:uid="{00000000-0005-0000-0000-00000E040000}"/>
    <cellStyle name="0_Nomos WACC_Boston Power VD 01 31 2008 Model 02 26 2008 4" xfId="911" xr:uid="{00000000-0005-0000-0000-00000F040000}"/>
    <cellStyle name="0_Nomos WACC_Boston Power VD 01 31 2008 Model 02 26 2008 5" xfId="912" xr:uid="{00000000-0005-0000-0000-000010040000}"/>
    <cellStyle name="0_Nomos WACC_Boston Power VD 01 31 2008 Model 02 26 2008_CompanyABC Valuation Draft Model 04 21 2009" xfId="913" xr:uid="{00000000-0005-0000-0000-000011040000}"/>
    <cellStyle name="0_Nomos WACC_Boston Power VD 01 31 2008 Model 02 26 2008_CompanyABC Valuation Draft Model 04 21 2009 2" xfId="914" xr:uid="{00000000-0005-0000-0000-000012040000}"/>
    <cellStyle name="0_Nomos WACC_Boston Power VD 01 31 2008 Model 02 26 2008_DB" xfId="915" xr:uid="{00000000-0005-0000-0000-000013040000}"/>
    <cellStyle name="0_Nomos WACC_Boston Power VD 01 31 2008 Model 02 26 2008_DB 2" xfId="916" xr:uid="{00000000-0005-0000-0000-000014040000}"/>
    <cellStyle name="0_Nomos WACC_Boston Power VD 01 31 2008 Model 02 26 2008_DB 2 2" xfId="917" xr:uid="{00000000-0005-0000-0000-000015040000}"/>
    <cellStyle name="0_Nomos WACC_Boston Power VD 01 31 2008 Model 02 26 2008_FAS 157 Model Template 04 26 2009" xfId="918" xr:uid="{00000000-0005-0000-0000-000016040000}"/>
    <cellStyle name="0_Nomos WACC_Boston Power VD 01 31 2008 Model 02 26 2008_FAS 157 Model Template 04 26 2009 2" xfId="919" xr:uid="{00000000-0005-0000-0000-000017040000}"/>
    <cellStyle name="0_Nomos WACC_Boston Power VD 01 31 2008 Model 02 26 2008_Miragen VD 05 31 2008 Model 05 22 2009" xfId="920" xr:uid="{00000000-0005-0000-0000-000018040000}"/>
    <cellStyle name="0_Nomos WACC_Cap Table Inputs" xfId="921" xr:uid="{00000000-0005-0000-0000-000019040000}"/>
    <cellStyle name="0_Nomos WACC_Cap Table Inputs 2" xfId="922" xr:uid="{00000000-0005-0000-0000-00001A040000}"/>
    <cellStyle name="0_Nomos WACC_Cap Table Inputs 2 2" xfId="923" xr:uid="{00000000-0005-0000-0000-00001B040000}"/>
    <cellStyle name="0_Nomos WACC_Cap Table Inputs 3" xfId="924" xr:uid="{00000000-0005-0000-0000-00001C040000}"/>
    <cellStyle name="0_Nomos WACC_Cap Table Inputs 4" xfId="925" xr:uid="{00000000-0005-0000-0000-00001D040000}"/>
    <cellStyle name="0_Nomos WACC_Cap Table Inputs 5" xfId="926" xr:uid="{00000000-0005-0000-0000-00001E040000}"/>
    <cellStyle name="0_Nomos WACC_Cap Table Inputs_CompanyABC Valuation Draft Model 04 21 2009" xfId="927" xr:uid="{00000000-0005-0000-0000-00001F040000}"/>
    <cellStyle name="0_Nomos WACC_Cap Table Inputs_CompanyABC Valuation Draft Model 04 21 2009 2" xfId="928" xr:uid="{00000000-0005-0000-0000-000020040000}"/>
    <cellStyle name="0_Nomos WACC_Cap Table Inputs_DB" xfId="929" xr:uid="{00000000-0005-0000-0000-000021040000}"/>
    <cellStyle name="0_Nomos WACC_Cap Table Inputs_DB 2" xfId="930" xr:uid="{00000000-0005-0000-0000-000022040000}"/>
    <cellStyle name="0_Nomos WACC_Cap Table Inputs_DB 2 2" xfId="931" xr:uid="{00000000-0005-0000-0000-000023040000}"/>
    <cellStyle name="0_Nomos WACC_Cap Table Inputs_FAS 157 Model Template 04 26 2009" xfId="932" xr:uid="{00000000-0005-0000-0000-000024040000}"/>
    <cellStyle name="0_Nomos WACC_Cap Table Inputs_FAS 157 Model Template 04 26 2009 2" xfId="933" xr:uid="{00000000-0005-0000-0000-000025040000}"/>
    <cellStyle name="0_Nomos WACC_Cap Table Inputs_Miragen VD 05 31 2008 Model 05 22 2009" xfId="934" xr:uid="{00000000-0005-0000-0000-000026040000}"/>
    <cellStyle name="0_Nomos WACC_CardioSolutions 05 31 2007 Final Model 09 27 2007" xfId="935" xr:uid="{00000000-0005-0000-0000-000027040000}"/>
    <cellStyle name="0_Nomos WACC_CardioSolutions 05 31 2007 Final Model 09 27 2007 2" xfId="936" xr:uid="{00000000-0005-0000-0000-000028040000}"/>
    <cellStyle name="0_Nomos WACC_CardioSolutions 05 31 2007 Final Model 09 27 2007 2 2" xfId="937" xr:uid="{00000000-0005-0000-0000-000029040000}"/>
    <cellStyle name="0_Nomos WACC_CardioSolutions 05 31 2007 Final Model 09 27 2007 3" xfId="938" xr:uid="{00000000-0005-0000-0000-00002A040000}"/>
    <cellStyle name="0_Nomos WACC_CardioSolutions 05 31 2007 Final Model 09 27 2007 4" xfId="939" xr:uid="{00000000-0005-0000-0000-00002B040000}"/>
    <cellStyle name="0_Nomos WACC_CardioSolutions 05 31 2007 Final Model 09 27 2007 5" xfId="940" xr:uid="{00000000-0005-0000-0000-00002C040000}"/>
    <cellStyle name="0_Nomos WACC_CardioSolutions 05 31 2007 Final Model 09 27 2007_CompanyABC Valuation Draft Model 04 21 2009" xfId="941" xr:uid="{00000000-0005-0000-0000-00002D040000}"/>
    <cellStyle name="0_Nomos WACC_CardioSolutions 05 31 2007 Final Model 09 27 2007_CompanyABC Valuation Draft Model 04 21 2009 2" xfId="942" xr:uid="{00000000-0005-0000-0000-00002E040000}"/>
    <cellStyle name="0_Nomos WACC_CardioSolutions 05 31 2007 Final Model 09 27 2007_DB" xfId="943" xr:uid="{00000000-0005-0000-0000-00002F040000}"/>
    <cellStyle name="0_Nomos WACC_CardioSolutions 05 31 2007 Final Model 09 27 2007_DB 2" xfId="944" xr:uid="{00000000-0005-0000-0000-000030040000}"/>
    <cellStyle name="0_Nomos WACC_CardioSolutions 05 31 2007 Final Model 09 27 2007_DB 2 2" xfId="945" xr:uid="{00000000-0005-0000-0000-000031040000}"/>
    <cellStyle name="0_Nomos WACC_CardioSolutions 05 31 2007 Final Model 09 27 2007_FAS 157 Model Template 04 26 2009" xfId="946" xr:uid="{00000000-0005-0000-0000-000032040000}"/>
    <cellStyle name="0_Nomos WACC_CardioSolutions 05 31 2007 Final Model 09 27 2007_FAS 157 Model Template 04 26 2009 2" xfId="947" xr:uid="{00000000-0005-0000-0000-000033040000}"/>
    <cellStyle name="0_Nomos WACC_CardioSolutions 05 31 2007 Final Model 09 27 2007_Miragen VD 05 31 2008 Model 05 22 2009" xfId="948" xr:uid="{00000000-0005-0000-0000-000034040000}"/>
    <cellStyle name="0_Veeco SFAS 142 &amp; 144 - Oct 2004 - v11" xfId="949" xr:uid="{00000000-0005-0000-0000-000035040000}"/>
    <cellStyle name="0_Veeco SFAS 142 &amp; 144 - Oct 2004 - v11 2" xfId="950" xr:uid="{00000000-0005-0000-0000-000036040000}"/>
    <cellStyle name="0_Veeco SFAS 142 &amp; 144 - Oct 2004 - v11_Boston Power VD 01 31 2008 Model 02 26 2008" xfId="951" xr:uid="{00000000-0005-0000-0000-000037040000}"/>
    <cellStyle name="0_Veeco SFAS 142 &amp; 144 - Oct 2004 - v11_Boston Power VD 01 31 2008 Model 02 26 2008 2" xfId="952" xr:uid="{00000000-0005-0000-0000-000038040000}"/>
    <cellStyle name="0_Veeco SFAS 142 &amp; 144 - Oct 2004 - v11_Boston Power VD 01 31 2008 Model 02 26 2008 2 2" xfId="953" xr:uid="{00000000-0005-0000-0000-000039040000}"/>
    <cellStyle name="0_Veeco SFAS 142 &amp; 144 - Oct 2004 - v11_Boston Power VD 01 31 2008 Model 02 26 2008 3" xfId="954" xr:uid="{00000000-0005-0000-0000-00003A040000}"/>
    <cellStyle name="0_Veeco SFAS 142 &amp; 144 - Oct 2004 - v11_Boston Power VD 01 31 2008 Model 02 26 2008 4" xfId="955" xr:uid="{00000000-0005-0000-0000-00003B040000}"/>
    <cellStyle name="0_Veeco SFAS 142 &amp; 144 - Oct 2004 - v11_Boston Power VD 01 31 2008 Model 02 26 2008 5" xfId="956" xr:uid="{00000000-0005-0000-0000-00003C040000}"/>
    <cellStyle name="0_Veeco SFAS 142 &amp; 144 - Oct 2004 - v11_Boston Power VD 01 31 2008 Model 02 26 2008_CompanyABC Valuation Draft Model 04 21 2009" xfId="957" xr:uid="{00000000-0005-0000-0000-00003D040000}"/>
    <cellStyle name="0_Veeco SFAS 142 &amp; 144 - Oct 2004 - v11_Boston Power VD 01 31 2008 Model 02 26 2008_CompanyABC Valuation Draft Model 04 21 2009 2" xfId="958" xr:uid="{00000000-0005-0000-0000-00003E040000}"/>
    <cellStyle name="0_Veeco SFAS 142 &amp; 144 - Oct 2004 - v11_Boston Power VD 01 31 2008 Model 02 26 2008_DB" xfId="959" xr:uid="{00000000-0005-0000-0000-00003F040000}"/>
    <cellStyle name="0_Veeco SFAS 142 &amp; 144 - Oct 2004 - v11_Boston Power VD 01 31 2008 Model 02 26 2008_DB 2" xfId="960" xr:uid="{00000000-0005-0000-0000-000040040000}"/>
    <cellStyle name="0_Veeco SFAS 142 &amp; 144 - Oct 2004 - v11_Boston Power VD 01 31 2008 Model 02 26 2008_DB 2 2" xfId="961" xr:uid="{00000000-0005-0000-0000-000041040000}"/>
    <cellStyle name="0_Veeco SFAS 142 &amp; 144 - Oct 2004 - v11_Boston Power VD 01 31 2008 Model 02 26 2008_FAS 157 Model Template 04 26 2009" xfId="962" xr:uid="{00000000-0005-0000-0000-000042040000}"/>
    <cellStyle name="0_Veeco SFAS 142 &amp; 144 - Oct 2004 - v11_Boston Power VD 01 31 2008 Model 02 26 2008_FAS 157 Model Template 04 26 2009 2" xfId="963" xr:uid="{00000000-0005-0000-0000-000043040000}"/>
    <cellStyle name="0_Veeco SFAS 142 &amp; 144 - Oct 2004 - v11_Boston Power VD 01 31 2008 Model 02 26 2008_Miragen VD 05 31 2008 Model 05 22 2009" xfId="964" xr:uid="{00000000-0005-0000-0000-000044040000}"/>
    <cellStyle name="0_Veeco SFAS 142 &amp; 144 - Oct 2004 - v11_Cap Table Inputs" xfId="965" xr:uid="{00000000-0005-0000-0000-000045040000}"/>
    <cellStyle name="0_Veeco SFAS 142 &amp; 144 - Oct 2004 - v11_Cap Table Inputs 2" xfId="966" xr:uid="{00000000-0005-0000-0000-000046040000}"/>
    <cellStyle name="0_Veeco SFAS 142 &amp; 144 - Oct 2004 - v11_Cap Table Inputs 2 2" xfId="967" xr:uid="{00000000-0005-0000-0000-000047040000}"/>
    <cellStyle name="0_Veeco SFAS 142 &amp; 144 - Oct 2004 - v11_Cap Table Inputs 3" xfId="968" xr:uid="{00000000-0005-0000-0000-000048040000}"/>
    <cellStyle name="0_Veeco SFAS 142 &amp; 144 - Oct 2004 - v11_Cap Table Inputs 4" xfId="969" xr:uid="{00000000-0005-0000-0000-000049040000}"/>
    <cellStyle name="0_Veeco SFAS 142 &amp; 144 - Oct 2004 - v11_Cap Table Inputs 5" xfId="970" xr:uid="{00000000-0005-0000-0000-00004A040000}"/>
    <cellStyle name="0_Veeco SFAS 142 &amp; 144 - Oct 2004 - v11_Cap Table Inputs_CompanyABC Valuation Draft Model 04 21 2009" xfId="971" xr:uid="{00000000-0005-0000-0000-00004B040000}"/>
    <cellStyle name="0_Veeco SFAS 142 &amp; 144 - Oct 2004 - v11_Cap Table Inputs_CompanyABC Valuation Draft Model 04 21 2009 2" xfId="972" xr:uid="{00000000-0005-0000-0000-00004C040000}"/>
    <cellStyle name="0_Veeco SFAS 142 &amp; 144 - Oct 2004 - v11_Cap Table Inputs_DB" xfId="973" xr:uid="{00000000-0005-0000-0000-00004D040000}"/>
    <cellStyle name="0_Veeco SFAS 142 &amp; 144 - Oct 2004 - v11_Cap Table Inputs_DB 2" xfId="974" xr:uid="{00000000-0005-0000-0000-00004E040000}"/>
    <cellStyle name="0_Veeco SFAS 142 &amp; 144 - Oct 2004 - v11_Cap Table Inputs_DB 2 2" xfId="975" xr:uid="{00000000-0005-0000-0000-00004F040000}"/>
    <cellStyle name="0_Veeco SFAS 142 &amp; 144 - Oct 2004 - v11_Cap Table Inputs_FAS 157 Model Template 04 26 2009" xfId="976" xr:uid="{00000000-0005-0000-0000-000050040000}"/>
    <cellStyle name="0_Veeco SFAS 142 &amp; 144 - Oct 2004 - v11_Cap Table Inputs_FAS 157 Model Template 04 26 2009 2" xfId="977" xr:uid="{00000000-0005-0000-0000-000051040000}"/>
    <cellStyle name="0_Veeco SFAS 142 &amp; 144 - Oct 2004 - v11_Cap Table Inputs_Miragen VD 05 31 2008 Model 05 22 2009" xfId="978" xr:uid="{00000000-0005-0000-0000-000052040000}"/>
    <cellStyle name="0_Veeco SFAS 142 &amp; 144 - Oct 2004 - v11_CardioSolutions 05 31 2007 Final Model 09 27 2007" xfId="979" xr:uid="{00000000-0005-0000-0000-000053040000}"/>
    <cellStyle name="0_Veeco SFAS 142 &amp; 144 - Oct 2004 - v11_CardioSolutions 05 31 2007 Final Model 09 27 2007 2" xfId="980" xr:uid="{00000000-0005-0000-0000-000054040000}"/>
    <cellStyle name="0_Veeco SFAS 142 &amp; 144 - Oct 2004 - v11_CardioSolutions 05 31 2007 Final Model 09 27 2007 2 2" xfId="981" xr:uid="{00000000-0005-0000-0000-000055040000}"/>
    <cellStyle name="0_Veeco SFAS 142 &amp; 144 - Oct 2004 - v11_CardioSolutions 05 31 2007 Final Model 09 27 2007 3" xfId="982" xr:uid="{00000000-0005-0000-0000-000056040000}"/>
    <cellStyle name="0_Veeco SFAS 142 &amp; 144 - Oct 2004 - v11_CardioSolutions 05 31 2007 Final Model 09 27 2007 4" xfId="983" xr:uid="{00000000-0005-0000-0000-000057040000}"/>
    <cellStyle name="0_Veeco SFAS 142 &amp; 144 - Oct 2004 - v11_CardioSolutions 05 31 2007 Final Model 09 27 2007 5" xfId="984" xr:uid="{00000000-0005-0000-0000-000058040000}"/>
    <cellStyle name="0_Veeco SFAS 142 &amp; 144 - Oct 2004 - v11_CardioSolutions 05 31 2007 Final Model 09 27 2007_CompanyABC Valuation Draft Model 04 21 2009" xfId="985" xr:uid="{00000000-0005-0000-0000-000059040000}"/>
    <cellStyle name="0_Veeco SFAS 142 &amp; 144 - Oct 2004 - v11_CardioSolutions 05 31 2007 Final Model 09 27 2007_CompanyABC Valuation Draft Model 04 21 2009 2" xfId="986" xr:uid="{00000000-0005-0000-0000-00005A040000}"/>
    <cellStyle name="0_Veeco SFAS 142 &amp; 144 - Oct 2004 - v11_CardioSolutions 05 31 2007 Final Model 09 27 2007_DB" xfId="987" xr:uid="{00000000-0005-0000-0000-00005B040000}"/>
    <cellStyle name="0_Veeco SFAS 142 &amp; 144 - Oct 2004 - v11_CardioSolutions 05 31 2007 Final Model 09 27 2007_DB 2" xfId="988" xr:uid="{00000000-0005-0000-0000-00005C040000}"/>
    <cellStyle name="0_Veeco SFAS 142 &amp; 144 - Oct 2004 - v11_CardioSolutions 05 31 2007 Final Model 09 27 2007_DB 2 2" xfId="989" xr:uid="{00000000-0005-0000-0000-00005D040000}"/>
    <cellStyle name="0_Veeco SFAS 142 &amp; 144 - Oct 2004 - v11_CardioSolutions 05 31 2007 Final Model 09 27 2007_FAS 157 Model Template 04 26 2009" xfId="990" xr:uid="{00000000-0005-0000-0000-00005E040000}"/>
    <cellStyle name="0_Veeco SFAS 142 &amp; 144 - Oct 2004 - v11_CardioSolutions 05 31 2007 Final Model 09 27 2007_FAS 157 Model Template 04 26 2009 2" xfId="991" xr:uid="{00000000-0005-0000-0000-00005F040000}"/>
    <cellStyle name="0_Veeco SFAS 142 &amp; 144 - Oct 2004 - v11_CardioSolutions 05 31 2007 Final Model 09 27 2007_Miragen VD 05 31 2008 Model 05 22 2009" xfId="992" xr:uid="{00000000-0005-0000-0000-000060040000}"/>
    <cellStyle name="000" xfId="993" xr:uid="{00000000-0005-0000-0000-000061040000}"/>
    <cellStyle name="000 MF" xfId="994" xr:uid="{00000000-0005-0000-0000-000062040000}"/>
    <cellStyle name="000,0" xfId="995" xr:uid="{00000000-0005-0000-0000-000063040000}"/>
    <cellStyle name="000_Halloween version SPV" xfId="996" xr:uid="{00000000-0005-0000-0000-000064040000}"/>
    <cellStyle name="0000" xfId="997" xr:uid="{00000000-0005-0000-0000-000065040000}"/>
    <cellStyle name="000000" xfId="998" xr:uid="{00000000-0005-0000-0000-000066040000}"/>
    <cellStyle name="1,comma" xfId="999" xr:uid="{00000000-0005-0000-0000-000067040000}"/>
    <cellStyle name="1.0 TITLE" xfId="16339" xr:uid="{00000000-0005-0000-0000-000068040000}"/>
    <cellStyle name="1.1 TITLE" xfId="16340" xr:uid="{00000000-0005-0000-0000-000069040000}"/>
    <cellStyle name="1000s1Place" xfId="1000" xr:uid="{00000000-0005-0000-0000-00006A040000}"/>
    <cellStyle name="18.xls]Mgmt" xfId="16341" xr:uid="{00000000-0005-0000-0000-00006B040000}"/>
    <cellStyle name="1Decimal" xfId="1001" xr:uid="{00000000-0005-0000-0000-00006C040000}"/>
    <cellStyle name="1Decimal 2" xfId="1002" xr:uid="{00000000-0005-0000-0000-00006D040000}"/>
    <cellStyle name="1Decimal 2 2" xfId="1003" xr:uid="{00000000-0005-0000-0000-00006E040000}"/>
    <cellStyle name="1Decimal 3" xfId="1004" xr:uid="{00000000-0005-0000-0000-00006F040000}"/>
    <cellStyle name="1Decimal 4" xfId="1005" xr:uid="{00000000-0005-0000-0000-000070040000}"/>
    <cellStyle name="1Decimal 5" xfId="1006" xr:uid="{00000000-0005-0000-0000-000071040000}"/>
    <cellStyle name="¹éºÐÀ²_±âÅ¸" xfId="16342" xr:uid="{00000000-0005-0000-0000-000072040000}"/>
    <cellStyle name="1MMs1Place" xfId="1007" xr:uid="{00000000-0005-0000-0000-000073040000}"/>
    <cellStyle name="1MMs2Places" xfId="1008" xr:uid="{00000000-0005-0000-0000-000074040000}"/>
    <cellStyle name="1Normal" xfId="16343" xr:uid="{00000000-0005-0000-0000-000075040000}"/>
    <cellStyle name="1place" xfId="1009" xr:uid="{00000000-0005-0000-0000-000076040000}"/>
    <cellStyle name="2" xfId="16344" xr:uid="{00000000-0005-0000-0000-000077040000}"/>
    <cellStyle name="2 Decimal Places" xfId="16345" xr:uid="{00000000-0005-0000-0000-000078040000}"/>
    <cellStyle name="20% - Accent1 10" xfId="1010" xr:uid="{00000000-0005-0000-0000-000079040000}"/>
    <cellStyle name="20% - Accent1 10 10" xfId="16391" xr:uid="{00000000-0005-0000-0000-00007A040000}"/>
    <cellStyle name="20% - Accent1 10 2" xfId="1011" xr:uid="{00000000-0005-0000-0000-00007B040000}"/>
    <cellStyle name="20% - Accent1 10 2 2" xfId="1012" xr:uid="{00000000-0005-0000-0000-00007C040000}"/>
    <cellStyle name="20% - Accent1 10 2 2 2" xfId="1013" xr:uid="{00000000-0005-0000-0000-00007D040000}"/>
    <cellStyle name="20% - Accent1 10 2 2 2 2" xfId="12443" xr:uid="{00000000-0005-0000-0000-00007E040000}"/>
    <cellStyle name="20% - Accent1 10 2 2 2 3" xfId="16394" xr:uid="{00000000-0005-0000-0000-00007F040000}"/>
    <cellStyle name="20% - Accent1 10 2 2 3" xfId="1014" xr:uid="{00000000-0005-0000-0000-000080040000}"/>
    <cellStyle name="20% - Accent1 10 2 2 3 2" xfId="12444" xr:uid="{00000000-0005-0000-0000-000081040000}"/>
    <cellStyle name="20% - Accent1 10 2 2 3 3" xfId="16395" xr:uid="{00000000-0005-0000-0000-000082040000}"/>
    <cellStyle name="20% - Accent1 10 2 2 4" xfId="12442" xr:uid="{00000000-0005-0000-0000-000083040000}"/>
    <cellStyle name="20% - Accent1 10 2 2 5" xfId="16393" xr:uid="{00000000-0005-0000-0000-000084040000}"/>
    <cellStyle name="20% - Accent1 10 2 3" xfId="1015" xr:uid="{00000000-0005-0000-0000-000085040000}"/>
    <cellStyle name="20% - Accent1 10 2 3 2" xfId="1016" xr:uid="{00000000-0005-0000-0000-000086040000}"/>
    <cellStyle name="20% - Accent1 10 2 3 2 2" xfId="12446" xr:uid="{00000000-0005-0000-0000-000087040000}"/>
    <cellStyle name="20% - Accent1 10 2 3 2 3" xfId="16397" xr:uid="{00000000-0005-0000-0000-000088040000}"/>
    <cellStyle name="20% - Accent1 10 2 3 3" xfId="1017" xr:uid="{00000000-0005-0000-0000-000089040000}"/>
    <cellStyle name="20% - Accent1 10 2 3 3 2" xfId="12447" xr:uid="{00000000-0005-0000-0000-00008A040000}"/>
    <cellStyle name="20% - Accent1 10 2 3 3 3" xfId="16398" xr:uid="{00000000-0005-0000-0000-00008B040000}"/>
    <cellStyle name="20% - Accent1 10 2 3 4" xfId="12445" xr:uid="{00000000-0005-0000-0000-00008C040000}"/>
    <cellStyle name="20% - Accent1 10 2 3 5" xfId="16396" xr:uid="{00000000-0005-0000-0000-00008D040000}"/>
    <cellStyle name="20% - Accent1 10 2 4" xfId="1018" xr:uid="{00000000-0005-0000-0000-00008E040000}"/>
    <cellStyle name="20% - Accent1 10 2 4 2" xfId="1019" xr:uid="{00000000-0005-0000-0000-00008F040000}"/>
    <cellStyle name="20% - Accent1 10 2 4 2 2" xfId="12449" xr:uid="{00000000-0005-0000-0000-000090040000}"/>
    <cellStyle name="20% - Accent1 10 2 4 2 3" xfId="16400" xr:uid="{00000000-0005-0000-0000-000091040000}"/>
    <cellStyle name="20% - Accent1 10 2 4 3" xfId="1020" xr:uid="{00000000-0005-0000-0000-000092040000}"/>
    <cellStyle name="20% - Accent1 10 2 4 3 2" xfId="12450" xr:uid="{00000000-0005-0000-0000-000093040000}"/>
    <cellStyle name="20% - Accent1 10 2 4 3 3" xfId="16401" xr:uid="{00000000-0005-0000-0000-000094040000}"/>
    <cellStyle name="20% - Accent1 10 2 4 4" xfId="12448" xr:uid="{00000000-0005-0000-0000-000095040000}"/>
    <cellStyle name="20% - Accent1 10 2 4 5" xfId="16399" xr:uid="{00000000-0005-0000-0000-000096040000}"/>
    <cellStyle name="20% - Accent1 10 2 5" xfId="1021" xr:uid="{00000000-0005-0000-0000-000097040000}"/>
    <cellStyle name="20% - Accent1 10 2 5 2" xfId="12451" xr:uid="{00000000-0005-0000-0000-000098040000}"/>
    <cellStyle name="20% - Accent1 10 2 5 3" xfId="16402" xr:uid="{00000000-0005-0000-0000-000099040000}"/>
    <cellStyle name="20% - Accent1 10 2 6" xfId="1022" xr:uid="{00000000-0005-0000-0000-00009A040000}"/>
    <cellStyle name="20% - Accent1 10 2 6 2" xfId="12452" xr:uid="{00000000-0005-0000-0000-00009B040000}"/>
    <cellStyle name="20% - Accent1 10 2 6 3" xfId="16403" xr:uid="{00000000-0005-0000-0000-00009C040000}"/>
    <cellStyle name="20% - Accent1 10 2 7" xfId="12441" xr:uid="{00000000-0005-0000-0000-00009D040000}"/>
    <cellStyle name="20% - Accent1 10 2 8" xfId="16392" xr:uid="{00000000-0005-0000-0000-00009E040000}"/>
    <cellStyle name="20% - Accent1 10 2_Volatility" xfId="1023" xr:uid="{00000000-0005-0000-0000-00009F040000}"/>
    <cellStyle name="20% - Accent1 10 3" xfId="1024" xr:uid="{00000000-0005-0000-0000-0000A0040000}"/>
    <cellStyle name="20% - Accent1 10 3 2" xfId="1025" xr:uid="{00000000-0005-0000-0000-0000A1040000}"/>
    <cellStyle name="20% - Accent1 10 3 2 2" xfId="1026" xr:uid="{00000000-0005-0000-0000-0000A2040000}"/>
    <cellStyle name="20% - Accent1 10 3 2 2 2" xfId="12455" xr:uid="{00000000-0005-0000-0000-0000A3040000}"/>
    <cellStyle name="20% - Accent1 10 3 2 2 3" xfId="16406" xr:uid="{00000000-0005-0000-0000-0000A4040000}"/>
    <cellStyle name="20% - Accent1 10 3 2 3" xfId="1027" xr:uid="{00000000-0005-0000-0000-0000A5040000}"/>
    <cellStyle name="20% - Accent1 10 3 2 3 2" xfId="12456" xr:uid="{00000000-0005-0000-0000-0000A6040000}"/>
    <cellStyle name="20% - Accent1 10 3 2 3 3" xfId="16407" xr:uid="{00000000-0005-0000-0000-0000A7040000}"/>
    <cellStyle name="20% - Accent1 10 3 2 4" xfId="12454" xr:uid="{00000000-0005-0000-0000-0000A8040000}"/>
    <cellStyle name="20% - Accent1 10 3 2 5" xfId="16405" xr:uid="{00000000-0005-0000-0000-0000A9040000}"/>
    <cellStyle name="20% - Accent1 10 3 3" xfId="1028" xr:uid="{00000000-0005-0000-0000-0000AA040000}"/>
    <cellStyle name="20% - Accent1 10 3 3 2" xfId="1029" xr:uid="{00000000-0005-0000-0000-0000AB040000}"/>
    <cellStyle name="20% - Accent1 10 3 3 2 2" xfId="12458" xr:uid="{00000000-0005-0000-0000-0000AC040000}"/>
    <cellStyle name="20% - Accent1 10 3 3 2 3" xfId="16409" xr:uid="{00000000-0005-0000-0000-0000AD040000}"/>
    <cellStyle name="20% - Accent1 10 3 3 3" xfId="1030" xr:uid="{00000000-0005-0000-0000-0000AE040000}"/>
    <cellStyle name="20% - Accent1 10 3 3 3 2" xfId="12459" xr:uid="{00000000-0005-0000-0000-0000AF040000}"/>
    <cellStyle name="20% - Accent1 10 3 3 3 3" xfId="16410" xr:uid="{00000000-0005-0000-0000-0000B0040000}"/>
    <cellStyle name="20% - Accent1 10 3 3 4" xfId="12457" xr:uid="{00000000-0005-0000-0000-0000B1040000}"/>
    <cellStyle name="20% - Accent1 10 3 3 5" xfId="16408" xr:uid="{00000000-0005-0000-0000-0000B2040000}"/>
    <cellStyle name="20% - Accent1 10 3 4" xfId="1031" xr:uid="{00000000-0005-0000-0000-0000B3040000}"/>
    <cellStyle name="20% - Accent1 10 3 4 2" xfId="12460" xr:uid="{00000000-0005-0000-0000-0000B4040000}"/>
    <cellStyle name="20% - Accent1 10 3 4 3" xfId="16411" xr:uid="{00000000-0005-0000-0000-0000B5040000}"/>
    <cellStyle name="20% - Accent1 10 3 5" xfId="1032" xr:uid="{00000000-0005-0000-0000-0000B6040000}"/>
    <cellStyle name="20% - Accent1 10 3 5 2" xfId="12461" xr:uid="{00000000-0005-0000-0000-0000B7040000}"/>
    <cellStyle name="20% - Accent1 10 3 5 3" xfId="16412" xr:uid="{00000000-0005-0000-0000-0000B8040000}"/>
    <cellStyle name="20% - Accent1 10 3 6" xfId="12453" xr:uid="{00000000-0005-0000-0000-0000B9040000}"/>
    <cellStyle name="20% - Accent1 10 3 7" xfId="16404" xr:uid="{00000000-0005-0000-0000-0000BA040000}"/>
    <cellStyle name="20% - Accent1 10 3_Volatility" xfId="1033" xr:uid="{00000000-0005-0000-0000-0000BB040000}"/>
    <cellStyle name="20% - Accent1 10 4" xfId="1034" xr:uid="{00000000-0005-0000-0000-0000BC040000}"/>
    <cellStyle name="20% - Accent1 10 4 2" xfId="1035" xr:uid="{00000000-0005-0000-0000-0000BD040000}"/>
    <cellStyle name="20% - Accent1 10 4 2 2" xfId="12463" xr:uid="{00000000-0005-0000-0000-0000BE040000}"/>
    <cellStyle name="20% - Accent1 10 4 2 3" xfId="16414" xr:uid="{00000000-0005-0000-0000-0000BF040000}"/>
    <cellStyle name="20% - Accent1 10 4 3" xfId="1036" xr:uid="{00000000-0005-0000-0000-0000C0040000}"/>
    <cellStyle name="20% - Accent1 10 4 3 2" xfId="12464" xr:uid="{00000000-0005-0000-0000-0000C1040000}"/>
    <cellStyle name="20% - Accent1 10 4 3 3" xfId="16415" xr:uid="{00000000-0005-0000-0000-0000C2040000}"/>
    <cellStyle name="20% - Accent1 10 4 4" xfId="12462" xr:uid="{00000000-0005-0000-0000-0000C3040000}"/>
    <cellStyle name="20% - Accent1 10 4 5" xfId="16413" xr:uid="{00000000-0005-0000-0000-0000C4040000}"/>
    <cellStyle name="20% - Accent1 10 5" xfId="1037" xr:uid="{00000000-0005-0000-0000-0000C5040000}"/>
    <cellStyle name="20% - Accent1 10 5 2" xfId="1038" xr:uid="{00000000-0005-0000-0000-0000C6040000}"/>
    <cellStyle name="20% - Accent1 10 5 2 2" xfId="12466" xr:uid="{00000000-0005-0000-0000-0000C7040000}"/>
    <cellStyle name="20% - Accent1 10 5 2 3" xfId="16417" xr:uid="{00000000-0005-0000-0000-0000C8040000}"/>
    <cellStyle name="20% - Accent1 10 5 3" xfId="1039" xr:uid="{00000000-0005-0000-0000-0000C9040000}"/>
    <cellStyle name="20% - Accent1 10 5 3 2" xfId="12467" xr:uid="{00000000-0005-0000-0000-0000CA040000}"/>
    <cellStyle name="20% - Accent1 10 5 3 3" xfId="16418" xr:uid="{00000000-0005-0000-0000-0000CB040000}"/>
    <cellStyle name="20% - Accent1 10 5 4" xfId="12465" xr:uid="{00000000-0005-0000-0000-0000CC040000}"/>
    <cellStyle name="20% - Accent1 10 5 5" xfId="16416" xr:uid="{00000000-0005-0000-0000-0000CD040000}"/>
    <cellStyle name="20% - Accent1 10 6" xfId="1040" xr:uid="{00000000-0005-0000-0000-0000CE040000}"/>
    <cellStyle name="20% - Accent1 10 6 2" xfId="1041" xr:uid="{00000000-0005-0000-0000-0000CF040000}"/>
    <cellStyle name="20% - Accent1 10 6 2 2" xfId="12469" xr:uid="{00000000-0005-0000-0000-0000D0040000}"/>
    <cellStyle name="20% - Accent1 10 6 2 3" xfId="16420" xr:uid="{00000000-0005-0000-0000-0000D1040000}"/>
    <cellStyle name="20% - Accent1 10 6 3" xfId="1042" xr:uid="{00000000-0005-0000-0000-0000D2040000}"/>
    <cellStyle name="20% - Accent1 10 6 3 2" xfId="12470" xr:uid="{00000000-0005-0000-0000-0000D3040000}"/>
    <cellStyle name="20% - Accent1 10 6 3 3" xfId="16421" xr:uid="{00000000-0005-0000-0000-0000D4040000}"/>
    <cellStyle name="20% - Accent1 10 6 4" xfId="12468" xr:uid="{00000000-0005-0000-0000-0000D5040000}"/>
    <cellStyle name="20% - Accent1 10 6 5" xfId="16419" xr:uid="{00000000-0005-0000-0000-0000D6040000}"/>
    <cellStyle name="20% - Accent1 10 7" xfId="1043" xr:uid="{00000000-0005-0000-0000-0000D7040000}"/>
    <cellStyle name="20% - Accent1 10 7 2" xfId="12471" xr:uid="{00000000-0005-0000-0000-0000D8040000}"/>
    <cellStyle name="20% - Accent1 10 7 3" xfId="16422" xr:uid="{00000000-0005-0000-0000-0000D9040000}"/>
    <cellStyle name="20% - Accent1 10 8" xfId="1044" xr:uid="{00000000-0005-0000-0000-0000DA040000}"/>
    <cellStyle name="20% - Accent1 10 8 2" xfId="12472" xr:uid="{00000000-0005-0000-0000-0000DB040000}"/>
    <cellStyle name="20% - Accent1 10 8 3" xfId="16423" xr:uid="{00000000-0005-0000-0000-0000DC040000}"/>
    <cellStyle name="20% - Accent1 10 9" xfId="12440" xr:uid="{00000000-0005-0000-0000-0000DD040000}"/>
    <cellStyle name="20% - Accent1 10_Volatility" xfId="1045" xr:uid="{00000000-0005-0000-0000-0000DE040000}"/>
    <cellStyle name="20% - Accent1 11" xfId="1046" xr:uid="{00000000-0005-0000-0000-0000DF040000}"/>
    <cellStyle name="20% - Accent1 11 10" xfId="16424" xr:uid="{00000000-0005-0000-0000-0000E0040000}"/>
    <cellStyle name="20% - Accent1 11 2" xfId="1047" xr:uid="{00000000-0005-0000-0000-0000E1040000}"/>
    <cellStyle name="20% - Accent1 11 2 2" xfId="1048" xr:uid="{00000000-0005-0000-0000-0000E2040000}"/>
    <cellStyle name="20% - Accent1 11 2 2 2" xfId="1049" xr:uid="{00000000-0005-0000-0000-0000E3040000}"/>
    <cellStyle name="20% - Accent1 11 2 2 2 2" xfId="12476" xr:uid="{00000000-0005-0000-0000-0000E4040000}"/>
    <cellStyle name="20% - Accent1 11 2 2 2 3" xfId="16427" xr:uid="{00000000-0005-0000-0000-0000E5040000}"/>
    <cellStyle name="20% - Accent1 11 2 2 3" xfId="1050" xr:uid="{00000000-0005-0000-0000-0000E6040000}"/>
    <cellStyle name="20% - Accent1 11 2 2 3 2" xfId="12477" xr:uid="{00000000-0005-0000-0000-0000E7040000}"/>
    <cellStyle name="20% - Accent1 11 2 2 3 3" xfId="16428" xr:uid="{00000000-0005-0000-0000-0000E8040000}"/>
    <cellStyle name="20% - Accent1 11 2 2 4" xfId="12475" xr:uid="{00000000-0005-0000-0000-0000E9040000}"/>
    <cellStyle name="20% - Accent1 11 2 2 5" xfId="16426" xr:uid="{00000000-0005-0000-0000-0000EA040000}"/>
    <cellStyle name="20% - Accent1 11 2 3" xfId="1051" xr:uid="{00000000-0005-0000-0000-0000EB040000}"/>
    <cellStyle name="20% - Accent1 11 2 3 2" xfId="1052" xr:uid="{00000000-0005-0000-0000-0000EC040000}"/>
    <cellStyle name="20% - Accent1 11 2 3 2 2" xfId="12479" xr:uid="{00000000-0005-0000-0000-0000ED040000}"/>
    <cellStyle name="20% - Accent1 11 2 3 2 3" xfId="16430" xr:uid="{00000000-0005-0000-0000-0000EE040000}"/>
    <cellStyle name="20% - Accent1 11 2 3 3" xfId="1053" xr:uid="{00000000-0005-0000-0000-0000EF040000}"/>
    <cellStyle name="20% - Accent1 11 2 3 3 2" xfId="12480" xr:uid="{00000000-0005-0000-0000-0000F0040000}"/>
    <cellStyle name="20% - Accent1 11 2 3 3 3" xfId="16431" xr:uid="{00000000-0005-0000-0000-0000F1040000}"/>
    <cellStyle name="20% - Accent1 11 2 3 4" xfId="12478" xr:uid="{00000000-0005-0000-0000-0000F2040000}"/>
    <cellStyle name="20% - Accent1 11 2 3 5" xfId="16429" xr:uid="{00000000-0005-0000-0000-0000F3040000}"/>
    <cellStyle name="20% - Accent1 11 2 4" xfId="1054" xr:uid="{00000000-0005-0000-0000-0000F4040000}"/>
    <cellStyle name="20% - Accent1 11 2 4 2" xfId="1055" xr:uid="{00000000-0005-0000-0000-0000F5040000}"/>
    <cellStyle name="20% - Accent1 11 2 4 2 2" xfId="12482" xr:uid="{00000000-0005-0000-0000-0000F6040000}"/>
    <cellStyle name="20% - Accent1 11 2 4 2 3" xfId="16433" xr:uid="{00000000-0005-0000-0000-0000F7040000}"/>
    <cellStyle name="20% - Accent1 11 2 4 3" xfId="1056" xr:uid="{00000000-0005-0000-0000-0000F8040000}"/>
    <cellStyle name="20% - Accent1 11 2 4 3 2" xfId="12483" xr:uid="{00000000-0005-0000-0000-0000F9040000}"/>
    <cellStyle name="20% - Accent1 11 2 4 3 3" xfId="16434" xr:uid="{00000000-0005-0000-0000-0000FA040000}"/>
    <cellStyle name="20% - Accent1 11 2 4 4" xfId="12481" xr:uid="{00000000-0005-0000-0000-0000FB040000}"/>
    <cellStyle name="20% - Accent1 11 2 4 5" xfId="16432" xr:uid="{00000000-0005-0000-0000-0000FC040000}"/>
    <cellStyle name="20% - Accent1 11 2 5" xfId="1057" xr:uid="{00000000-0005-0000-0000-0000FD040000}"/>
    <cellStyle name="20% - Accent1 11 2 5 2" xfId="12484" xr:uid="{00000000-0005-0000-0000-0000FE040000}"/>
    <cellStyle name="20% - Accent1 11 2 5 3" xfId="16435" xr:uid="{00000000-0005-0000-0000-0000FF040000}"/>
    <cellStyle name="20% - Accent1 11 2 6" xfId="1058" xr:uid="{00000000-0005-0000-0000-000000050000}"/>
    <cellStyle name="20% - Accent1 11 2 6 2" xfId="12485" xr:uid="{00000000-0005-0000-0000-000001050000}"/>
    <cellStyle name="20% - Accent1 11 2 6 3" xfId="16436" xr:uid="{00000000-0005-0000-0000-000002050000}"/>
    <cellStyle name="20% - Accent1 11 2 7" xfId="12474" xr:uid="{00000000-0005-0000-0000-000003050000}"/>
    <cellStyle name="20% - Accent1 11 2 8" xfId="16425" xr:uid="{00000000-0005-0000-0000-000004050000}"/>
    <cellStyle name="20% - Accent1 11 2_Volatility" xfId="1059" xr:uid="{00000000-0005-0000-0000-000005050000}"/>
    <cellStyle name="20% - Accent1 11 3" xfId="1060" xr:uid="{00000000-0005-0000-0000-000006050000}"/>
    <cellStyle name="20% - Accent1 11 3 2" xfId="1061" xr:uid="{00000000-0005-0000-0000-000007050000}"/>
    <cellStyle name="20% - Accent1 11 3 2 2" xfId="1062" xr:uid="{00000000-0005-0000-0000-000008050000}"/>
    <cellStyle name="20% - Accent1 11 3 2 2 2" xfId="12488" xr:uid="{00000000-0005-0000-0000-000009050000}"/>
    <cellStyle name="20% - Accent1 11 3 2 2 3" xfId="16439" xr:uid="{00000000-0005-0000-0000-00000A050000}"/>
    <cellStyle name="20% - Accent1 11 3 2 3" xfId="1063" xr:uid="{00000000-0005-0000-0000-00000B050000}"/>
    <cellStyle name="20% - Accent1 11 3 2 3 2" xfId="12489" xr:uid="{00000000-0005-0000-0000-00000C050000}"/>
    <cellStyle name="20% - Accent1 11 3 2 3 3" xfId="16440" xr:uid="{00000000-0005-0000-0000-00000D050000}"/>
    <cellStyle name="20% - Accent1 11 3 2 4" xfId="12487" xr:uid="{00000000-0005-0000-0000-00000E050000}"/>
    <cellStyle name="20% - Accent1 11 3 2 5" xfId="16438" xr:uid="{00000000-0005-0000-0000-00000F050000}"/>
    <cellStyle name="20% - Accent1 11 3 3" xfId="1064" xr:uid="{00000000-0005-0000-0000-000010050000}"/>
    <cellStyle name="20% - Accent1 11 3 3 2" xfId="1065" xr:uid="{00000000-0005-0000-0000-000011050000}"/>
    <cellStyle name="20% - Accent1 11 3 3 2 2" xfId="12491" xr:uid="{00000000-0005-0000-0000-000012050000}"/>
    <cellStyle name="20% - Accent1 11 3 3 2 3" xfId="16442" xr:uid="{00000000-0005-0000-0000-000013050000}"/>
    <cellStyle name="20% - Accent1 11 3 3 3" xfId="1066" xr:uid="{00000000-0005-0000-0000-000014050000}"/>
    <cellStyle name="20% - Accent1 11 3 3 3 2" xfId="12492" xr:uid="{00000000-0005-0000-0000-000015050000}"/>
    <cellStyle name="20% - Accent1 11 3 3 3 3" xfId="16443" xr:uid="{00000000-0005-0000-0000-000016050000}"/>
    <cellStyle name="20% - Accent1 11 3 3 4" xfId="12490" xr:uid="{00000000-0005-0000-0000-000017050000}"/>
    <cellStyle name="20% - Accent1 11 3 3 5" xfId="16441" xr:uid="{00000000-0005-0000-0000-000018050000}"/>
    <cellStyle name="20% - Accent1 11 3 4" xfId="1067" xr:uid="{00000000-0005-0000-0000-000019050000}"/>
    <cellStyle name="20% - Accent1 11 3 4 2" xfId="12493" xr:uid="{00000000-0005-0000-0000-00001A050000}"/>
    <cellStyle name="20% - Accent1 11 3 4 3" xfId="16444" xr:uid="{00000000-0005-0000-0000-00001B050000}"/>
    <cellStyle name="20% - Accent1 11 3 5" xfId="1068" xr:uid="{00000000-0005-0000-0000-00001C050000}"/>
    <cellStyle name="20% - Accent1 11 3 5 2" xfId="12494" xr:uid="{00000000-0005-0000-0000-00001D050000}"/>
    <cellStyle name="20% - Accent1 11 3 5 3" xfId="16445" xr:uid="{00000000-0005-0000-0000-00001E050000}"/>
    <cellStyle name="20% - Accent1 11 3 6" xfId="12486" xr:uid="{00000000-0005-0000-0000-00001F050000}"/>
    <cellStyle name="20% - Accent1 11 3 7" xfId="16437" xr:uid="{00000000-0005-0000-0000-000020050000}"/>
    <cellStyle name="20% - Accent1 11 3_Volatility" xfId="1069" xr:uid="{00000000-0005-0000-0000-000021050000}"/>
    <cellStyle name="20% - Accent1 11 4" xfId="1070" xr:uid="{00000000-0005-0000-0000-000022050000}"/>
    <cellStyle name="20% - Accent1 11 4 2" xfId="1071" xr:uid="{00000000-0005-0000-0000-000023050000}"/>
    <cellStyle name="20% - Accent1 11 4 2 2" xfId="12496" xr:uid="{00000000-0005-0000-0000-000024050000}"/>
    <cellStyle name="20% - Accent1 11 4 2 3" xfId="16447" xr:uid="{00000000-0005-0000-0000-000025050000}"/>
    <cellStyle name="20% - Accent1 11 4 3" xfId="1072" xr:uid="{00000000-0005-0000-0000-000026050000}"/>
    <cellStyle name="20% - Accent1 11 4 3 2" xfId="12497" xr:uid="{00000000-0005-0000-0000-000027050000}"/>
    <cellStyle name="20% - Accent1 11 4 3 3" xfId="16448" xr:uid="{00000000-0005-0000-0000-000028050000}"/>
    <cellStyle name="20% - Accent1 11 4 4" xfId="12495" xr:uid="{00000000-0005-0000-0000-000029050000}"/>
    <cellStyle name="20% - Accent1 11 4 5" xfId="16446" xr:uid="{00000000-0005-0000-0000-00002A050000}"/>
    <cellStyle name="20% - Accent1 11 5" xfId="1073" xr:uid="{00000000-0005-0000-0000-00002B050000}"/>
    <cellStyle name="20% - Accent1 11 5 2" xfId="1074" xr:uid="{00000000-0005-0000-0000-00002C050000}"/>
    <cellStyle name="20% - Accent1 11 5 2 2" xfId="12499" xr:uid="{00000000-0005-0000-0000-00002D050000}"/>
    <cellStyle name="20% - Accent1 11 5 2 3" xfId="16450" xr:uid="{00000000-0005-0000-0000-00002E050000}"/>
    <cellStyle name="20% - Accent1 11 5 3" xfId="1075" xr:uid="{00000000-0005-0000-0000-00002F050000}"/>
    <cellStyle name="20% - Accent1 11 5 3 2" xfId="12500" xr:uid="{00000000-0005-0000-0000-000030050000}"/>
    <cellStyle name="20% - Accent1 11 5 3 3" xfId="16451" xr:uid="{00000000-0005-0000-0000-000031050000}"/>
    <cellStyle name="20% - Accent1 11 5 4" xfId="12498" xr:uid="{00000000-0005-0000-0000-000032050000}"/>
    <cellStyle name="20% - Accent1 11 5 5" xfId="16449" xr:uid="{00000000-0005-0000-0000-000033050000}"/>
    <cellStyle name="20% - Accent1 11 6" xfId="1076" xr:uid="{00000000-0005-0000-0000-000034050000}"/>
    <cellStyle name="20% - Accent1 11 6 2" xfId="1077" xr:uid="{00000000-0005-0000-0000-000035050000}"/>
    <cellStyle name="20% - Accent1 11 6 2 2" xfId="12502" xr:uid="{00000000-0005-0000-0000-000036050000}"/>
    <cellStyle name="20% - Accent1 11 6 2 3" xfId="16453" xr:uid="{00000000-0005-0000-0000-000037050000}"/>
    <cellStyle name="20% - Accent1 11 6 3" xfId="1078" xr:uid="{00000000-0005-0000-0000-000038050000}"/>
    <cellStyle name="20% - Accent1 11 6 3 2" xfId="12503" xr:uid="{00000000-0005-0000-0000-000039050000}"/>
    <cellStyle name="20% - Accent1 11 6 3 3" xfId="16454" xr:uid="{00000000-0005-0000-0000-00003A050000}"/>
    <cellStyle name="20% - Accent1 11 6 4" xfId="12501" xr:uid="{00000000-0005-0000-0000-00003B050000}"/>
    <cellStyle name="20% - Accent1 11 6 5" xfId="16452" xr:uid="{00000000-0005-0000-0000-00003C050000}"/>
    <cellStyle name="20% - Accent1 11 7" xfId="1079" xr:uid="{00000000-0005-0000-0000-00003D050000}"/>
    <cellStyle name="20% - Accent1 11 7 2" xfId="12504" xr:uid="{00000000-0005-0000-0000-00003E050000}"/>
    <cellStyle name="20% - Accent1 11 7 3" xfId="16455" xr:uid="{00000000-0005-0000-0000-00003F050000}"/>
    <cellStyle name="20% - Accent1 11 8" xfId="1080" xr:uid="{00000000-0005-0000-0000-000040050000}"/>
    <cellStyle name="20% - Accent1 11 8 2" xfId="12505" xr:uid="{00000000-0005-0000-0000-000041050000}"/>
    <cellStyle name="20% - Accent1 11 8 3" xfId="16456" xr:uid="{00000000-0005-0000-0000-000042050000}"/>
    <cellStyle name="20% - Accent1 11 9" xfId="12473" xr:uid="{00000000-0005-0000-0000-000043050000}"/>
    <cellStyle name="20% - Accent1 11_Volatility" xfId="1081" xr:uid="{00000000-0005-0000-0000-000044050000}"/>
    <cellStyle name="20% - Accent1 12" xfId="1082" xr:uid="{00000000-0005-0000-0000-000045050000}"/>
    <cellStyle name="20% - Accent1 12 10" xfId="16457" xr:uid="{00000000-0005-0000-0000-000046050000}"/>
    <cellStyle name="20% - Accent1 12 2" xfId="1083" xr:uid="{00000000-0005-0000-0000-000047050000}"/>
    <cellStyle name="20% - Accent1 12 2 2" xfId="1084" xr:uid="{00000000-0005-0000-0000-000048050000}"/>
    <cellStyle name="20% - Accent1 12 2 2 2" xfId="1085" xr:uid="{00000000-0005-0000-0000-000049050000}"/>
    <cellStyle name="20% - Accent1 12 2 2 2 2" xfId="12509" xr:uid="{00000000-0005-0000-0000-00004A050000}"/>
    <cellStyle name="20% - Accent1 12 2 2 2 3" xfId="16460" xr:uid="{00000000-0005-0000-0000-00004B050000}"/>
    <cellStyle name="20% - Accent1 12 2 2 3" xfId="1086" xr:uid="{00000000-0005-0000-0000-00004C050000}"/>
    <cellStyle name="20% - Accent1 12 2 2 3 2" xfId="12510" xr:uid="{00000000-0005-0000-0000-00004D050000}"/>
    <cellStyle name="20% - Accent1 12 2 2 3 3" xfId="16461" xr:uid="{00000000-0005-0000-0000-00004E050000}"/>
    <cellStyle name="20% - Accent1 12 2 2 4" xfId="12508" xr:uid="{00000000-0005-0000-0000-00004F050000}"/>
    <cellStyle name="20% - Accent1 12 2 2 5" xfId="16459" xr:uid="{00000000-0005-0000-0000-000050050000}"/>
    <cellStyle name="20% - Accent1 12 2 3" xfId="1087" xr:uid="{00000000-0005-0000-0000-000051050000}"/>
    <cellStyle name="20% - Accent1 12 2 3 2" xfId="1088" xr:uid="{00000000-0005-0000-0000-000052050000}"/>
    <cellStyle name="20% - Accent1 12 2 3 2 2" xfId="12512" xr:uid="{00000000-0005-0000-0000-000053050000}"/>
    <cellStyle name="20% - Accent1 12 2 3 2 3" xfId="16463" xr:uid="{00000000-0005-0000-0000-000054050000}"/>
    <cellStyle name="20% - Accent1 12 2 3 3" xfId="1089" xr:uid="{00000000-0005-0000-0000-000055050000}"/>
    <cellStyle name="20% - Accent1 12 2 3 3 2" xfId="12513" xr:uid="{00000000-0005-0000-0000-000056050000}"/>
    <cellStyle name="20% - Accent1 12 2 3 3 3" xfId="16464" xr:uid="{00000000-0005-0000-0000-000057050000}"/>
    <cellStyle name="20% - Accent1 12 2 3 4" xfId="12511" xr:uid="{00000000-0005-0000-0000-000058050000}"/>
    <cellStyle name="20% - Accent1 12 2 3 5" xfId="16462" xr:uid="{00000000-0005-0000-0000-000059050000}"/>
    <cellStyle name="20% - Accent1 12 2 4" xfId="1090" xr:uid="{00000000-0005-0000-0000-00005A050000}"/>
    <cellStyle name="20% - Accent1 12 2 4 2" xfId="1091" xr:uid="{00000000-0005-0000-0000-00005B050000}"/>
    <cellStyle name="20% - Accent1 12 2 4 2 2" xfId="12515" xr:uid="{00000000-0005-0000-0000-00005C050000}"/>
    <cellStyle name="20% - Accent1 12 2 4 2 3" xfId="16466" xr:uid="{00000000-0005-0000-0000-00005D050000}"/>
    <cellStyle name="20% - Accent1 12 2 4 3" xfId="1092" xr:uid="{00000000-0005-0000-0000-00005E050000}"/>
    <cellStyle name="20% - Accent1 12 2 4 3 2" xfId="12516" xr:uid="{00000000-0005-0000-0000-00005F050000}"/>
    <cellStyle name="20% - Accent1 12 2 4 3 3" xfId="16467" xr:uid="{00000000-0005-0000-0000-000060050000}"/>
    <cellStyle name="20% - Accent1 12 2 4 4" xfId="12514" xr:uid="{00000000-0005-0000-0000-000061050000}"/>
    <cellStyle name="20% - Accent1 12 2 4 5" xfId="16465" xr:uid="{00000000-0005-0000-0000-000062050000}"/>
    <cellStyle name="20% - Accent1 12 2 5" xfId="1093" xr:uid="{00000000-0005-0000-0000-000063050000}"/>
    <cellStyle name="20% - Accent1 12 2 5 2" xfId="12517" xr:uid="{00000000-0005-0000-0000-000064050000}"/>
    <cellStyle name="20% - Accent1 12 2 5 3" xfId="16468" xr:uid="{00000000-0005-0000-0000-000065050000}"/>
    <cellStyle name="20% - Accent1 12 2 6" xfId="1094" xr:uid="{00000000-0005-0000-0000-000066050000}"/>
    <cellStyle name="20% - Accent1 12 2 6 2" xfId="12518" xr:uid="{00000000-0005-0000-0000-000067050000}"/>
    <cellStyle name="20% - Accent1 12 2 6 3" xfId="16469" xr:uid="{00000000-0005-0000-0000-000068050000}"/>
    <cellStyle name="20% - Accent1 12 2 7" xfId="12507" xr:uid="{00000000-0005-0000-0000-000069050000}"/>
    <cellStyle name="20% - Accent1 12 2 8" xfId="16458" xr:uid="{00000000-0005-0000-0000-00006A050000}"/>
    <cellStyle name="20% - Accent1 12 2_Volatility" xfId="1095" xr:uid="{00000000-0005-0000-0000-00006B050000}"/>
    <cellStyle name="20% - Accent1 12 3" xfId="1096" xr:uid="{00000000-0005-0000-0000-00006C050000}"/>
    <cellStyle name="20% - Accent1 12 3 2" xfId="1097" xr:uid="{00000000-0005-0000-0000-00006D050000}"/>
    <cellStyle name="20% - Accent1 12 3 2 2" xfId="1098" xr:uid="{00000000-0005-0000-0000-00006E050000}"/>
    <cellStyle name="20% - Accent1 12 3 2 2 2" xfId="12521" xr:uid="{00000000-0005-0000-0000-00006F050000}"/>
    <cellStyle name="20% - Accent1 12 3 2 2 3" xfId="16472" xr:uid="{00000000-0005-0000-0000-000070050000}"/>
    <cellStyle name="20% - Accent1 12 3 2 3" xfId="1099" xr:uid="{00000000-0005-0000-0000-000071050000}"/>
    <cellStyle name="20% - Accent1 12 3 2 3 2" xfId="12522" xr:uid="{00000000-0005-0000-0000-000072050000}"/>
    <cellStyle name="20% - Accent1 12 3 2 3 3" xfId="16473" xr:uid="{00000000-0005-0000-0000-000073050000}"/>
    <cellStyle name="20% - Accent1 12 3 2 4" xfId="12520" xr:uid="{00000000-0005-0000-0000-000074050000}"/>
    <cellStyle name="20% - Accent1 12 3 2 5" xfId="16471" xr:uid="{00000000-0005-0000-0000-000075050000}"/>
    <cellStyle name="20% - Accent1 12 3 3" xfId="1100" xr:uid="{00000000-0005-0000-0000-000076050000}"/>
    <cellStyle name="20% - Accent1 12 3 3 2" xfId="1101" xr:uid="{00000000-0005-0000-0000-000077050000}"/>
    <cellStyle name="20% - Accent1 12 3 3 2 2" xfId="12524" xr:uid="{00000000-0005-0000-0000-000078050000}"/>
    <cellStyle name="20% - Accent1 12 3 3 2 3" xfId="16475" xr:uid="{00000000-0005-0000-0000-000079050000}"/>
    <cellStyle name="20% - Accent1 12 3 3 3" xfId="1102" xr:uid="{00000000-0005-0000-0000-00007A050000}"/>
    <cellStyle name="20% - Accent1 12 3 3 3 2" xfId="12525" xr:uid="{00000000-0005-0000-0000-00007B050000}"/>
    <cellStyle name="20% - Accent1 12 3 3 3 3" xfId="16476" xr:uid="{00000000-0005-0000-0000-00007C050000}"/>
    <cellStyle name="20% - Accent1 12 3 3 4" xfId="12523" xr:uid="{00000000-0005-0000-0000-00007D050000}"/>
    <cellStyle name="20% - Accent1 12 3 3 5" xfId="16474" xr:uid="{00000000-0005-0000-0000-00007E050000}"/>
    <cellStyle name="20% - Accent1 12 3 4" xfId="1103" xr:uid="{00000000-0005-0000-0000-00007F050000}"/>
    <cellStyle name="20% - Accent1 12 3 4 2" xfId="12526" xr:uid="{00000000-0005-0000-0000-000080050000}"/>
    <cellStyle name="20% - Accent1 12 3 4 3" xfId="16477" xr:uid="{00000000-0005-0000-0000-000081050000}"/>
    <cellStyle name="20% - Accent1 12 3 5" xfId="1104" xr:uid="{00000000-0005-0000-0000-000082050000}"/>
    <cellStyle name="20% - Accent1 12 3 5 2" xfId="12527" xr:uid="{00000000-0005-0000-0000-000083050000}"/>
    <cellStyle name="20% - Accent1 12 3 5 3" xfId="16478" xr:uid="{00000000-0005-0000-0000-000084050000}"/>
    <cellStyle name="20% - Accent1 12 3 6" xfId="12519" xr:uid="{00000000-0005-0000-0000-000085050000}"/>
    <cellStyle name="20% - Accent1 12 3 7" xfId="16470" xr:uid="{00000000-0005-0000-0000-000086050000}"/>
    <cellStyle name="20% - Accent1 12 3_Volatility" xfId="1105" xr:uid="{00000000-0005-0000-0000-000087050000}"/>
    <cellStyle name="20% - Accent1 12 4" xfId="1106" xr:uid="{00000000-0005-0000-0000-000088050000}"/>
    <cellStyle name="20% - Accent1 12 4 2" xfId="1107" xr:uid="{00000000-0005-0000-0000-000089050000}"/>
    <cellStyle name="20% - Accent1 12 4 2 2" xfId="12529" xr:uid="{00000000-0005-0000-0000-00008A050000}"/>
    <cellStyle name="20% - Accent1 12 4 2 3" xfId="16480" xr:uid="{00000000-0005-0000-0000-00008B050000}"/>
    <cellStyle name="20% - Accent1 12 4 3" xfId="1108" xr:uid="{00000000-0005-0000-0000-00008C050000}"/>
    <cellStyle name="20% - Accent1 12 4 3 2" xfId="12530" xr:uid="{00000000-0005-0000-0000-00008D050000}"/>
    <cellStyle name="20% - Accent1 12 4 3 3" xfId="16481" xr:uid="{00000000-0005-0000-0000-00008E050000}"/>
    <cellStyle name="20% - Accent1 12 4 4" xfId="12528" xr:uid="{00000000-0005-0000-0000-00008F050000}"/>
    <cellStyle name="20% - Accent1 12 4 5" xfId="16479" xr:uid="{00000000-0005-0000-0000-000090050000}"/>
    <cellStyle name="20% - Accent1 12 5" xfId="1109" xr:uid="{00000000-0005-0000-0000-000091050000}"/>
    <cellStyle name="20% - Accent1 12 5 2" xfId="1110" xr:uid="{00000000-0005-0000-0000-000092050000}"/>
    <cellStyle name="20% - Accent1 12 5 2 2" xfId="12532" xr:uid="{00000000-0005-0000-0000-000093050000}"/>
    <cellStyle name="20% - Accent1 12 5 2 3" xfId="16483" xr:uid="{00000000-0005-0000-0000-000094050000}"/>
    <cellStyle name="20% - Accent1 12 5 3" xfId="1111" xr:uid="{00000000-0005-0000-0000-000095050000}"/>
    <cellStyle name="20% - Accent1 12 5 3 2" xfId="12533" xr:uid="{00000000-0005-0000-0000-000096050000}"/>
    <cellStyle name="20% - Accent1 12 5 3 3" xfId="16484" xr:uid="{00000000-0005-0000-0000-000097050000}"/>
    <cellStyle name="20% - Accent1 12 5 4" xfId="12531" xr:uid="{00000000-0005-0000-0000-000098050000}"/>
    <cellStyle name="20% - Accent1 12 5 5" xfId="16482" xr:uid="{00000000-0005-0000-0000-000099050000}"/>
    <cellStyle name="20% - Accent1 12 6" xfId="1112" xr:uid="{00000000-0005-0000-0000-00009A050000}"/>
    <cellStyle name="20% - Accent1 12 6 2" xfId="1113" xr:uid="{00000000-0005-0000-0000-00009B050000}"/>
    <cellStyle name="20% - Accent1 12 6 2 2" xfId="12535" xr:uid="{00000000-0005-0000-0000-00009C050000}"/>
    <cellStyle name="20% - Accent1 12 6 2 3" xfId="16486" xr:uid="{00000000-0005-0000-0000-00009D050000}"/>
    <cellStyle name="20% - Accent1 12 6 3" xfId="1114" xr:uid="{00000000-0005-0000-0000-00009E050000}"/>
    <cellStyle name="20% - Accent1 12 6 3 2" xfId="12536" xr:uid="{00000000-0005-0000-0000-00009F050000}"/>
    <cellStyle name="20% - Accent1 12 6 3 3" xfId="16487" xr:uid="{00000000-0005-0000-0000-0000A0050000}"/>
    <cellStyle name="20% - Accent1 12 6 4" xfId="12534" xr:uid="{00000000-0005-0000-0000-0000A1050000}"/>
    <cellStyle name="20% - Accent1 12 6 5" xfId="16485" xr:uid="{00000000-0005-0000-0000-0000A2050000}"/>
    <cellStyle name="20% - Accent1 12 7" xfId="1115" xr:uid="{00000000-0005-0000-0000-0000A3050000}"/>
    <cellStyle name="20% - Accent1 12 7 2" xfId="12537" xr:uid="{00000000-0005-0000-0000-0000A4050000}"/>
    <cellStyle name="20% - Accent1 12 7 3" xfId="16488" xr:uid="{00000000-0005-0000-0000-0000A5050000}"/>
    <cellStyle name="20% - Accent1 12 8" xfId="1116" xr:uid="{00000000-0005-0000-0000-0000A6050000}"/>
    <cellStyle name="20% - Accent1 12 8 2" xfId="12538" xr:uid="{00000000-0005-0000-0000-0000A7050000}"/>
    <cellStyle name="20% - Accent1 12 8 3" xfId="16489" xr:uid="{00000000-0005-0000-0000-0000A8050000}"/>
    <cellStyle name="20% - Accent1 12 9" xfId="12506" xr:uid="{00000000-0005-0000-0000-0000A9050000}"/>
    <cellStyle name="20% - Accent1 12_Volatility" xfId="1117" xr:uid="{00000000-0005-0000-0000-0000AA050000}"/>
    <cellStyle name="20% - Accent1 13" xfId="1118" xr:uid="{00000000-0005-0000-0000-0000AB050000}"/>
    <cellStyle name="20% - Accent1 13 10" xfId="16490" xr:uid="{00000000-0005-0000-0000-0000AC050000}"/>
    <cellStyle name="20% - Accent1 13 2" xfId="1119" xr:uid="{00000000-0005-0000-0000-0000AD050000}"/>
    <cellStyle name="20% - Accent1 13 2 2" xfId="1120" xr:uid="{00000000-0005-0000-0000-0000AE050000}"/>
    <cellStyle name="20% - Accent1 13 2 2 2" xfId="1121" xr:uid="{00000000-0005-0000-0000-0000AF050000}"/>
    <cellStyle name="20% - Accent1 13 2 2 2 2" xfId="12542" xr:uid="{00000000-0005-0000-0000-0000B0050000}"/>
    <cellStyle name="20% - Accent1 13 2 2 2 3" xfId="16493" xr:uid="{00000000-0005-0000-0000-0000B1050000}"/>
    <cellStyle name="20% - Accent1 13 2 2 3" xfId="1122" xr:uid="{00000000-0005-0000-0000-0000B2050000}"/>
    <cellStyle name="20% - Accent1 13 2 2 3 2" xfId="12543" xr:uid="{00000000-0005-0000-0000-0000B3050000}"/>
    <cellStyle name="20% - Accent1 13 2 2 3 3" xfId="16494" xr:uid="{00000000-0005-0000-0000-0000B4050000}"/>
    <cellStyle name="20% - Accent1 13 2 2 4" xfId="12541" xr:uid="{00000000-0005-0000-0000-0000B5050000}"/>
    <cellStyle name="20% - Accent1 13 2 2 5" xfId="16492" xr:uid="{00000000-0005-0000-0000-0000B6050000}"/>
    <cellStyle name="20% - Accent1 13 2 3" xfId="1123" xr:uid="{00000000-0005-0000-0000-0000B7050000}"/>
    <cellStyle name="20% - Accent1 13 2 3 2" xfId="1124" xr:uid="{00000000-0005-0000-0000-0000B8050000}"/>
    <cellStyle name="20% - Accent1 13 2 3 2 2" xfId="12545" xr:uid="{00000000-0005-0000-0000-0000B9050000}"/>
    <cellStyle name="20% - Accent1 13 2 3 2 3" xfId="16496" xr:uid="{00000000-0005-0000-0000-0000BA050000}"/>
    <cellStyle name="20% - Accent1 13 2 3 3" xfId="1125" xr:uid="{00000000-0005-0000-0000-0000BB050000}"/>
    <cellStyle name="20% - Accent1 13 2 3 3 2" xfId="12546" xr:uid="{00000000-0005-0000-0000-0000BC050000}"/>
    <cellStyle name="20% - Accent1 13 2 3 3 3" xfId="16497" xr:uid="{00000000-0005-0000-0000-0000BD050000}"/>
    <cellStyle name="20% - Accent1 13 2 3 4" xfId="12544" xr:uid="{00000000-0005-0000-0000-0000BE050000}"/>
    <cellStyle name="20% - Accent1 13 2 3 5" xfId="16495" xr:uid="{00000000-0005-0000-0000-0000BF050000}"/>
    <cellStyle name="20% - Accent1 13 2 4" xfId="1126" xr:uid="{00000000-0005-0000-0000-0000C0050000}"/>
    <cellStyle name="20% - Accent1 13 2 4 2" xfId="1127" xr:uid="{00000000-0005-0000-0000-0000C1050000}"/>
    <cellStyle name="20% - Accent1 13 2 4 2 2" xfId="12548" xr:uid="{00000000-0005-0000-0000-0000C2050000}"/>
    <cellStyle name="20% - Accent1 13 2 4 2 3" xfId="16499" xr:uid="{00000000-0005-0000-0000-0000C3050000}"/>
    <cellStyle name="20% - Accent1 13 2 4 3" xfId="1128" xr:uid="{00000000-0005-0000-0000-0000C4050000}"/>
    <cellStyle name="20% - Accent1 13 2 4 3 2" xfId="12549" xr:uid="{00000000-0005-0000-0000-0000C5050000}"/>
    <cellStyle name="20% - Accent1 13 2 4 3 3" xfId="16500" xr:uid="{00000000-0005-0000-0000-0000C6050000}"/>
    <cellStyle name="20% - Accent1 13 2 4 4" xfId="12547" xr:uid="{00000000-0005-0000-0000-0000C7050000}"/>
    <cellStyle name="20% - Accent1 13 2 4 5" xfId="16498" xr:uid="{00000000-0005-0000-0000-0000C8050000}"/>
    <cellStyle name="20% - Accent1 13 2 5" xfId="1129" xr:uid="{00000000-0005-0000-0000-0000C9050000}"/>
    <cellStyle name="20% - Accent1 13 2 5 2" xfId="12550" xr:uid="{00000000-0005-0000-0000-0000CA050000}"/>
    <cellStyle name="20% - Accent1 13 2 5 3" xfId="16501" xr:uid="{00000000-0005-0000-0000-0000CB050000}"/>
    <cellStyle name="20% - Accent1 13 2 6" xfId="1130" xr:uid="{00000000-0005-0000-0000-0000CC050000}"/>
    <cellStyle name="20% - Accent1 13 2 6 2" xfId="12551" xr:uid="{00000000-0005-0000-0000-0000CD050000}"/>
    <cellStyle name="20% - Accent1 13 2 6 3" xfId="16502" xr:uid="{00000000-0005-0000-0000-0000CE050000}"/>
    <cellStyle name="20% - Accent1 13 2 7" xfId="12540" xr:uid="{00000000-0005-0000-0000-0000CF050000}"/>
    <cellStyle name="20% - Accent1 13 2 8" xfId="16491" xr:uid="{00000000-0005-0000-0000-0000D0050000}"/>
    <cellStyle name="20% - Accent1 13 2_Volatility" xfId="1131" xr:uid="{00000000-0005-0000-0000-0000D1050000}"/>
    <cellStyle name="20% - Accent1 13 3" xfId="1132" xr:uid="{00000000-0005-0000-0000-0000D2050000}"/>
    <cellStyle name="20% - Accent1 13 3 2" xfId="1133" xr:uid="{00000000-0005-0000-0000-0000D3050000}"/>
    <cellStyle name="20% - Accent1 13 3 2 2" xfId="1134" xr:uid="{00000000-0005-0000-0000-0000D4050000}"/>
    <cellStyle name="20% - Accent1 13 3 2 2 2" xfId="12554" xr:uid="{00000000-0005-0000-0000-0000D5050000}"/>
    <cellStyle name="20% - Accent1 13 3 2 2 3" xfId="16505" xr:uid="{00000000-0005-0000-0000-0000D6050000}"/>
    <cellStyle name="20% - Accent1 13 3 2 3" xfId="1135" xr:uid="{00000000-0005-0000-0000-0000D7050000}"/>
    <cellStyle name="20% - Accent1 13 3 2 3 2" xfId="12555" xr:uid="{00000000-0005-0000-0000-0000D8050000}"/>
    <cellStyle name="20% - Accent1 13 3 2 3 3" xfId="16506" xr:uid="{00000000-0005-0000-0000-0000D9050000}"/>
    <cellStyle name="20% - Accent1 13 3 2 4" xfId="12553" xr:uid="{00000000-0005-0000-0000-0000DA050000}"/>
    <cellStyle name="20% - Accent1 13 3 2 5" xfId="16504" xr:uid="{00000000-0005-0000-0000-0000DB050000}"/>
    <cellStyle name="20% - Accent1 13 3 3" xfId="1136" xr:uid="{00000000-0005-0000-0000-0000DC050000}"/>
    <cellStyle name="20% - Accent1 13 3 3 2" xfId="1137" xr:uid="{00000000-0005-0000-0000-0000DD050000}"/>
    <cellStyle name="20% - Accent1 13 3 3 2 2" xfId="12557" xr:uid="{00000000-0005-0000-0000-0000DE050000}"/>
    <cellStyle name="20% - Accent1 13 3 3 2 3" xfId="16508" xr:uid="{00000000-0005-0000-0000-0000DF050000}"/>
    <cellStyle name="20% - Accent1 13 3 3 3" xfId="1138" xr:uid="{00000000-0005-0000-0000-0000E0050000}"/>
    <cellStyle name="20% - Accent1 13 3 3 3 2" xfId="12558" xr:uid="{00000000-0005-0000-0000-0000E1050000}"/>
    <cellStyle name="20% - Accent1 13 3 3 3 3" xfId="16509" xr:uid="{00000000-0005-0000-0000-0000E2050000}"/>
    <cellStyle name="20% - Accent1 13 3 3 4" xfId="12556" xr:uid="{00000000-0005-0000-0000-0000E3050000}"/>
    <cellStyle name="20% - Accent1 13 3 3 5" xfId="16507" xr:uid="{00000000-0005-0000-0000-0000E4050000}"/>
    <cellStyle name="20% - Accent1 13 3 4" xfId="1139" xr:uid="{00000000-0005-0000-0000-0000E5050000}"/>
    <cellStyle name="20% - Accent1 13 3 4 2" xfId="12559" xr:uid="{00000000-0005-0000-0000-0000E6050000}"/>
    <cellStyle name="20% - Accent1 13 3 4 3" xfId="16510" xr:uid="{00000000-0005-0000-0000-0000E7050000}"/>
    <cellStyle name="20% - Accent1 13 3 5" xfId="1140" xr:uid="{00000000-0005-0000-0000-0000E8050000}"/>
    <cellStyle name="20% - Accent1 13 3 5 2" xfId="12560" xr:uid="{00000000-0005-0000-0000-0000E9050000}"/>
    <cellStyle name="20% - Accent1 13 3 5 3" xfId="16511" xr:uid="{00000000-0005-0000-0000-0000EA050000}"/>
    <cellStyle name="20% - Accent1 13 3 6" xfId="12552" xr:uid="{00000000-0005-0000-0000-0000EB050000}"/>
    <cellStyle name="20% - Accent1 13 3 7" xfId="16503" xr:uid="{00000000-0005-0000-0000-0000EC050000}"/>
    <cellStyle name="20% - Accent1 13 3_Volatility" xfId="1141" xr:uid="{00000000-0005-0000-0000-0000ED050000}"/>
    <cellStyle name="20% - Accent1 13 4" xfId="1142" xr:uid="{00000000-0005-0000-0000-0000EE050000}"/>
    <cellStyle name="20% - Accent1 13 4 2" xfId="1143" xr:uid="{00000000-0005-0000-0000-0000EF050000}"/>
    <cellStyle name="20% - Accent1 13 4 2 2" xfId="12562" xr:uid="{00000000-0005-0000-0000-0000F0050000}"/>
    <cellStyle name="20% - Accent1 13 4 2 3" xfId="16513" xr:uid="{00000000-0005-0000-0000-0000F1050000}"/>
    <cellStyle name="20% - Accent1 13 4 3" xfId="1144" xr:uid="{00000000-0005-0000-0000-0000F2050000}"/>
    <cellStyle name="20% - Accent1 13 4 3 2" xfId="12563" xr:uid="{00000000-0005-0000-0000-0000F3050000}"/>
    <cellStyle name="20% - Accent1 13 4 3 3" xfId="16514" xr:uid="{00000000-0005-0000-0000-0000F4050000}"/>
    <cellStyle name="20% - Accent1 13 4 4" xfId="12561" xr:uid="{00000000-0005-0000-0000-0000F5050000}"/>
    <cellStyle name="20% - Accent1 13 4 5" xfId="16512" xr:uid="{00000000-0005-0000-0000-0000F6050000}"/>
    <cellStyle name="20% - Accent1 13 5" xfId="1145" xr:uid="{00000000-0005-0000-0000-0000F7050000}"/>
    <cellStyle name="20% - Accent1 13 5 2" xfId="1146" xr:uid="{00000000-0005-0000-0000-0000F8050000}"/>
    <cellStyle name="20% - Accent1 13 5 2 2" xfId="12565" xr:uid="{00000000-0005-0000-0000-0000F9050000}"/>
    <cellStyle name="20% - Accent1 13 5 2 3" xfId="16516" xr:uid="{00000000-0005-0000-0000-0000FA050000}"/>
    <cellStyle name="20% - Accent1 13 5 3" xfId="1147" xr:uid="{00000000-0005-0000-0000-0000FB050000}"/>
    <cellStyle name="20% - Accent1 13 5 3 2" xfId="12566" xr:uid="{00000000-0005-0000-0000-0000FC050000}"/>
    <cellStyle name="20% - Accent1 13 5 3 3" xfId="16517" xr:uid="{00000000-0005-0000-0000-0000FD050000}"/>
    <cellStyle name="20% - Accent1 13 5 4" xfId="12564" xr:uid="{00000000-0005-0000-0000-0000FE050000}"/>
    <cellStyle name="20% - Accent1 13 5 5" xfId="16515" xr:uid="{00000000-0005-0000-0000-0000FF050000}"/>
    <cellStyle name="20% - Accent1 13 6" xfId="1148" xr:uid="{00000000-0005-0000-0000-000000060000}"/>
    <cellStyle name="20% - Accent1 13 6 2" xfId="1149" xr:uid="{00000000-0005-0000-0000-000001060000}"/>
    <cellStyle name="20% - Accent1 13 6 2 2" xfId="12568" xr:uid="{00000000-0005-0000-0000-000002060000}"/>
    <cellStyle name="20% - Accent1 13 6 2 3" xfId="16519" xr:uid="{00000000-0005-0000-0000-000003060000}"/>
    <cellStyle name="20% - Accent1 13 6 3" xfId="1150" xr:uid="{00000000-0005-0000-0000-000004060000}"/>
    <cellStyle name="20% - Accent1 13 6 3 2" xfId="12569" xr:uid="{00000000-0005-0000-0000-000005060000}"/>
    <cellStyle name="20% - Accent1 13 6 3 3" xfId="16520" xr:uid="{00000000-0005-0000-0000-000006060000}"/>
    <cellStyle name="20% - Accent1 13 6 4" xfId="12567" xr:uid="{00000000-0005-0000-0000-000007060000}"/>
    <cellStyle name="20% - Accent1 13 6 5" xfId="16518" xr:uid="{00000000-0005-0000-0000-000008060000}"/>
    <cellStyle name="20% - Accent1 13 7" xfId="1151" xr:uid="{00000000-0005-0000-0000-000009060000}"/>
    <cellStyle name="20% - Accent1 13 7 2" xfId="12570" xr:uid="{00000000-0005-0000-0000-00000A060000}"/>
    <cellStyle name="20% - Accent1 13 7 3" xfId="16521" xr:uid="{00000000-0005-0000-0000-00000B060000}"/>
    <cellStyle name="20% - Accent1 13 8" xfId="1152" xr:uid="{00000000-0005-0000-0000-00000C060000}"/>
    <cellStyle name="20% - Accent1 13 8 2" xfId="12571" xr:uid="{00000000-0005-0000-0000-00000D060000}"/>
    <cellStyle name="20% - Accent1 13 8 3" xfId="16522" xr:uid="{00000000-0005-0000-0000-00000E060000}"/>
    <cellStyle name="20% - Accent1 13 9" xfId="12539" xr:uid="{00000000-0005-0000-0000-00000F060000}"/>
    <cellStyle name="20% - Accent1 13_Volatility" xfId="1153" xr:uid="{00000000-0005-0000-0000-000010060000}"/>
    <cellStyle name="20% - Accent1 14" xfId="1154" xr:uid="{00000000-0005-0000-0000-000011060000}"/>
    <cellStyle name="20% - Accent1 14 10" xfId="16523" xr:uid="{00000000-0005-0000-0000-000012060000}"/>
    <cellStyle name="20% - Accent1 14 2" xfId="1155" xr:uid="{00000000-0005-0000-0000-000013060000}"/>
    <cellStyle name="20% - Accent1 14 2 2" xfId="1156" xr:uid="{00000000-0005-0000-0000-000014060000}"/>
    <cellStyle name="20% - Accent1 14 2 2 2" xfId="1157" xr:uid="{00000000-0005-0000-0000-000015060000}"/>
    <cellStyle name="20% - Accent1 14 2 2 2 2" xfId="12575" xr:uid="{00000000-0005-0000-0000-000016060000}"/>
    <cellStyle name="20% - Accent1 14 2 2 2 3" xfId="16526" xr:uid="{00000000-0005-0000-0000-000017060000}"/>
    <cellStyle name="20% - Accent1 14 2 2 3" xfId="1158" xr:uid="{00000000-0005-0000-0000-000018060000}"/>
    <cellStyle name="20% - Accent1 14 2 2 3 2" xfId="12576" xr:uid="{00000000-0005-0000-0000-000019060000}"/>
    <cellStyle name="20% - Accent1 14 2 2 3 3" xfId="16527" xr:uid="{00000000-0005-0000-0000-00001A060000}"/>
    <cellStyle name="20% - Accent1 14 2 2 4" xfId="12574" xr:uid="{00000000-0005-0000-0000-00001B060000}"/>
    <cellStyle name="20% - Accent1 14 2 2 5" xfId="16525" xr:uid="{00000000-0005-0000-0000-00001C060000}"/>
    <cellStyle name="20% - Accent1 14 2 3" xfId="1159" xr:uid="{00000000-0005-0000-0000-00001D060000}"/>
    <cellStyle name="20% - Accent1 14 2 3 2" xfId="1160" xr:uid="{00000000-0005-0000-0000-00001E060000}"/>
    <cellStyle name="20% - Accent1 14 2 3 2 2" xfId="12578" xr:uid="{00000000-0005-0000-0000-00001F060000}"/>
    <cellStyle name="20% - Accent1 14 2 3 2 3" xfId="16529" xr:uid="{00000000-0005-0000-0000-000020060000}"/>
    <cellStyle name="20% - Accent1 14 2 3 3" xfId="1161" xr:uid="{00000000-0005-0000-0000-000021060000}"/>
    <cellStyle name="20% - Accent1 14 2 3 3 2" xfId="12579" xr:uid="{00000000-0005-0000-0000-000022060000}"/>
    <cellStyle name="20% - Accent1 14 2 3 3 3" xfId="16530" xr:uid="{00000000-0005-0000-0000-000023060000}"/>
    <cellStyle name="20% - Accent1 14 2 3 4" xfId="12577" xr:uid="{00000000-0005-0000-0000-000024060000}"/>
    <cellStyle name="20% - Accent1 14 2 3 5" xfId="16528" xr:uid="{00000000-0005-0000-0000-000025060000}"/>
    <cellStyle name="20% - Accent1 14 2 4" xfId="1162" xr:uid="{00000000-0005-0000-0000-000026060000}"/>
    <cellStyle name="20% - Accent1 14 2 4 2" xfId="1163" xr:uid="{00000000-0005-0000-0000-000027060000}"/>
    <cellStyle name="20% - Accent1 14 2 4 2 2" xfId="12581" xr:uid="{00000000-0005-0000-0000-000028060000}"/>
    <cellStyle name="20% - Accent1 14 2 4 2 3" xfId="16532" xr:uid="{00000000-0005-0000-0000-000029060000}"/>
    <cellStyle name="20% - Accent1 14 2 4 3" xfId="1164" xr:uid="{00000000-0005-0000-0000-00002A060000}"/>
    <cellStyle name="20% - Accent1 14 2 4 3 2" xfId="12582" xr:uid="{00000000-0005-0000-0000-00002B060000}"/>
    <cellStyle name="20% - Accent1 14 2 4 3 3" xfId="16533" xr:uid="{00000000-0005-0000-0000-00002C060000}"/>
    <cellStyle name="20% - Accent1 14 2 4 4" xfId="12580" xr:uid="{00000000-0005-0000-0000-00002D060000}"/>
    <cellStyle name="20% - Accent1 14 2 4 5" xfId="16531" xr:uid="{00000000-0005-0000-0000-00002E060000}"/>
    <cellStyle name="20% - Accent1 14 2 5" xfId="1165" xr:uid="{00000000-0005-0000-0000-00002F060000}"/>
    <cellStyle name="20% - Accent1 14 2 5 2" xfId="12583" xr:uid="{00000000-0005-0000-0000-000030060000}"/>
    <cellStyle name="20% - Accent1 14 2 5 3" xfId="16534" xr:uid="{00000000-0005-0000-0000-000031060000}"/>
    <cellStyle name="20% - Accent1 14 2 6" xfId="1166" xr:uid="{00000000-0005-0000-0000-000032060000}"/>
    <cellStyle name="20% - Accent1 14 2 6 2" xfId="12584" xr:uid="{00000000-0005-0000-0000-000033060000}"/>
    <cellStyle name="20% - Accent1 14 2 6 3" xfId="16535" xr:uid="{00000000-0005-0000-0000-000034060000}"/>
    <cellStyle name="20% - Accent1 14 2 7" xfId="12573" xr:uid="{00000000-0005-0000-0000-000035060000}"/>
    <cellStyle name="20% - Accent1 14 2 8" xfId="16524" xr:uid="{00000000-0005-0000-0000-000036060000}"/>
    <cellStyle name="20% - Accent1 14 2_Volatility" xfId="1167" xr:uid="{00000000-0005-0000-0000-000037060000}"/>
    <cellStyle name="20% - Accent1 14 3" xfId="1168" xr:uid="{00000000-0005-0000-0000-000038060000}"/>
    <cellStyle name="20% - Accent1 14 3 2" xfId="1169" xr:uid="{00000000-0005-0000-0000-000039060000}"/>
    <cellStyle name="20% - Accent1 14 3 2 2" xfId="1170" xr:uid="{00000000-0005-0000-0000-00003A060000}"/>
    <cellStyle name="20% - Accent1 14 3 2 2 2" xfId="12587" xr:uid="{00000000-0005-0000-0000-00003B060000}"/>
    <cellStyle name="20% - Accent1 14 3 2 2 3" xfId="16538" xr:uid="{00000000-0005-0000-0000-00003C060000}"/>
    <cellStyle name="20% - Accent1 14 3 2 3" xfId="1171" xr:uid="{00000000-0005-0000-0000-00003D060000}"/>
    <cellStyle name="20% - Accent1 14 3 2 3 2" xfId="12588" xr:uid="{00000000-0005-0000-0000-00003E060000}"/>
    <cellStyle name="20% - Accent1 14 3 2 3 3" xfId="16539" xr:uid="{00000000-0005-0000-0000-00003F060000}"/>
    <cellStyle name="20% - Accent1 14 3 2 4" xfId="12586" xr:uid="{00000000-0005-0000-0000-000040060000}"/>
    <cellStyle name="20% - Accent1 14 3 2 5" xfId="16537" xr:uid="{00000000-0005-0000-0000-000041060000}"/>
    <cellStyle name="20% - Accent1 14 3 3" xfId="1172" xr:uid="{00000000-0005-0000-0000-000042060000}"/>
    <cellStyle name="20% - Accent1 14 3 3 2" xfId="1173" xr:uid="{00000000-0005-0000-0000-000043060000}"/>
    <cellStyle name="20% - Accent1 14 3 3 2 2" xfId="12590" xr:uid="{00000000-0005-0000-0000-000044060000}"/>
    <cellStyle name="20% - Accent1 14 3 3 2 3" xfId="16541" xr:uid="{00000000-0005-0000-0000-000045060000}"/>
    <cellStyle name="20% - Accent1 14 3 3 3" xfId="1174" xr:uid="{00000000-0005-0000-0000-000046060000}"/>
    <cellStyle name="20% - Accent1 14 3 3 3 2" xfId="12591" xr:uid="{00000000-0005-0000-0000-000047060000}"/>
    <cellStyle name="20% - Accent1 14 3 3 3 3" xfId="16542" xr:uid="{00000000-0005-0000-0000-000048060000}"/>
    <cellStyle name="20% - Accent1 14 3 3 4" xfId="12589" xr:uid="{00000000-0005-0000-0000-000049060000}"/>
    <cellStyle name="20% - Accent1 14 3 3 5" xfId="16540" xr:uid="{00000000-0005-0000-0000-00004A060000}"/>
    <cellStyle name="20% - Accent1 14 3 4" xfId="1175" xr:uid="{00000000-0005-0000-0000-00004B060000}"/>
    <cellStyle name="20% - Accent1 14 3 4 2" xfId="12592" xr:uid="{00000000-0005-0000-0000-00004C060000}"/>
    <cellStyle name="20% - Accent1 14 3 4 3" xfId="16543" xr:uid="{00000000-0005-0000-0000-00004D060000}"/>
    <cellStyle name="20% - Accent1 14 3 5" xfId="1176" xr:uid="{00000000-0005-0000-0000-00004E060000}"/>
    <cellStyle name="20% - Accent1 14 3 5 2" xfId="12593" xr:uid="{00000000-0005-0000-0000-00004F060000}"/>
    <cellStyle name="20% - Accent1 14 3 5 3" xfId="16544" xr:uid="{00000000-0005-0000-0000-000050060000}"/>
    <cellStyle name="20% - Accent1 14 3 6" xfId="12585" xr:uid="{00000000-0005-0000-0000-000051060000}"/>
    <cellStyle name="20% - Accent1 14 3 7" xfId="16536" xr:uid="{00000000-0005-0000-0000-000052060000}"/>
    <cellStyle name="20% - Accent1 14 3_Volatility" xfId="1177" xr:uid="{00000000-0005-0000-0000-000053060000}"/>
    <cellStyle name="20% - Accent1 14 4" xfId="1178" xr:uid="{00000000-0005-0000-0000-000054060000}"/>
    <cellStyle name="20% - Accent1 14 4 2" xfId="1179" xr:uid="{00000000-0005-0000-0000-000055060000}"/>
    <cellStyle name="20% - Accent1 14 4 2 2" xfId="12595" xr:uid="{00000000-0005-0000-0000-000056060000}"/>
    <cellStyle name="20% - Accent1 14 4 2 3" xfId="16546" xr:uid="{00000000-0005-0000-0000-000057060000}"/>
    <cellStyle name="20% - Accent1 14 4 3" xfId="1180" xr:uid="{00000000-0005-0000-0000-000058060000}"/>
    <cellStyle name="20% - Accent1 14 4 3 2" xfId="12596" xr:uid="{00000000-0005-0000-0000-000059060000}"/>
    <cellStyle name="20% - Accent1 14 4 3 3" xfId="16547" xr:uid="{00000000-0005-0000-0000-00005A060000}"/>
    <cellStyle name="20% - Accent1 14 4 4" xfId="12594" xr:uid="{00000000-0005-0000-0000-00005B060000}"/>
    <cellStyle name="20% - Accent1 14 4 5" xfId="16545" xr:uid="{00000000-0005-0000-0000-00005C060000}"/>
    <cellStyle name="20% - Accent1 14 5" xfId="1181" xr:uid="{00000000-0005-0000-0000-00005D060000}"/>
    <cellStyle name="20% - Accent1 14 5 2" xfId="1182" xr:uid="{00000000-0005-0000-0000-00005E060000}"/>
    <cellStyle name="20% - Accent1 14 5 2 2" xfId="12598" xr:uid="{00000000-0005-0000-0000-00005F060000}"/>
    <cellStyle name="20% - Accent1 14 5 2 3" xfId="16549" xr:uid="{00000000-0005-0000-0000-000060060000}"/>
    <cellStyle name="20% - Accent1 14 5 3" xfId="1183" xr:uid="{00000000-0005-0000-0000-000061060000}"/>
    <cellStyle name="20% - Accent1 14 5 3 2" xfId="12599" xr:uid="{00000000-0005-0000-0000-000062060000}"/>
    <cellStyle name="20% - Accent1 14 5 3 3" xfId="16550" xr:uid="{00000000-0005-0000-0000-000063060000}"/>
    <cellStyle name="20% - Accent1 14 5 4" xfId="12597" xr:uid="{00000000-0005-0000-0000-000064060000}"/>
    <cellStyle name="20% - Accent1 14 5 5" xfId="16548" xr:uid="{00000000-0005-0000-0000-000065060000}"/>
    <cellStyle name="20% - Accent1 14 6" xfId="1184" xr:uid="{00000000-0005-0000-0000-000066060000}"/>
    <cellStyle name="20% - Accent1 14 6 2" xfId="1185" xr:uid="{00000000-0005-0000-0000-000067060000}"/>
    <cellStyle name="20% - Accent1 14 6 2 2" xfId="12601" xr:uid="{00000000-0005-0000-0000-000068060000}"/>
    <cellStyle name="20% - Accent1 14 6 2 3" xfId="16552" xr:uid="{00000000-0005-0000-0000-000069060000}"/>
    <cellStyle name="20% - Accent1 14 6 3" xfId="1186" xr:uid="{00000000-0005-0000-0000-00006A060000}"/>
    <cellStyle name="20% - Accent1 14 6 3 2" xfId="12602" xr:uid="{00000000-0005-0000-0000-00006B060000}"/>
    <cellStyle name="20% - Accent1 14 6 3 3" xfId="16553" xr:uid="{00000000-0005-0000-0000-00006C060000}"/>
    <cellStyle name="20% - Accent1 14 6 4" xfId="12600" xr:uid="{00000000-0005-0000-0000-00006D060000}"/>
    <cellStyle name="20% - Accent1 14 6 5" xfId="16551" xr:uid="{00000000-0005-0000-0000-00006E060000}"/>
    <cellStyle name="20% - Accent1 14 7" xfId="1187" xr:uid="{00000000-0005-0000-0000-00006F060000}"/>
    <cellStyle name="20% - Accent1 14 7 2" xfId="12603" xr:uid="{00000000-0005-0000-0000-000070060000}"/>
    <cellStyle name="20% - Accent1 14 7 3" xfId="16554" xr:uid="{00000000-0005-0000-0000-000071060000}"/>
    <cellStyle name="20% - Accent1 14 8" xfId="1188" xr:uid="{00000000-0005-0000-0000-000072060000}"/>
    <cellStyle name="20% - Accent1 14 8 2" xfId="12604" xr:uid="{00000000-0005-0000-0000-000073060000}"/>
    <cellStyle name="20% - Accent1 14 8 3" xfId="16555" xr:uid="{00000000-0005-0000-0000-000074060000}"/>
    <cellStyle name="20% - Accent1 14 9" xfId="12572" xr:uid="{00000000-0005-0000-0000-000075060000}"/>
    <cellStyle name="20% - Accent1 14_Volatility" xfId="1189" xr:uid="{00000000-0005-0000-0000-000076060000}"/>
    <cellStyle name="20% - Accent1 15" xfId="1190" xr:uid="{00000000-0005-0000-0000-000077060000}"/>
    <cellStyle name="20% - Accent1 15 10" xfId="16556" xr:uid="{00000000-0005-0000-0000-000078060000}"/>
    <cellStyle name="20% - Accent1 15 2" xfId="1191" xr:uid="{00000000-0005-0000-0000-000079060000}"/>
    <cellStyle name="20% - Accent1 15 2 2" xfId="1192" xr:uid="{00000000-0005-0000-0000-00007A060000}"/>
    <cellStyle name="20% - Accent1 15 2 2 2" xfId="1193" xr:uid="{00000000-0005-0000-0000-00007B060000}"/>
    <cellStyle name="20% - Accent1 15 2 2 2 2" xfId="12608" xr:uid="{00000000-0005-0000-0000-00007C060000}"/>
    <cellStyle name="20% - Accent1 15 2 2 2 3" xfId="16559" xr:uid="{00000000-0005-0000-0000-00007D060000}"/>
    <cellStyle name="20% - Accent1 15 2 2 3" xfId="1194" xr:uid="{00000000-0005-0000-0000-00007E060000}"/>
    <cellStyle name="20% - Accent1 15 2 2 3 2" xfId="12609" xr:uid="{00000000-0005-0000-0000-00007F060000}"/>
    <cellStyle name="20% - Accent1 15 2 2 3 3" xfId="16560" xr:uid="{00000000-0005-0000-0000-000080060000}"/>
    <cellStyle name="20% - Accent1 15 2 2 4" xfId="12607" xr:uid="{00000000-0005-0000-0000-000081060000}"/>
    <cellStyle name="20% - Accent1 15 2 2 5" xfId="16558" xr:uid="{00000000-0005-0000-0000-000082060000}"/>
    <cellStyle name="20% - Accent1 15 2 3" xfId="1195" xr:uid="{00000000-0005-0000-0000-000083060000}"/>
    <cellStyle name="20% - Accent1 15 2 3 2" xfId="1196" xr:uid="{00000000-0005-0000-0000-000084060000}"/>
    <cellStyle name="20% - Accent1 15 2 3 2 2" xfId="12611" xr:uid="{00000000-0005-0000-0000-000085060000}"/>
    <cellStyle name="20% - Accent1 15 2 3 2 3" xfId="16562" xr:uid="{00000000-0005-0000-0000-000086060000}"/>
    <cellStyle name="20% - Accent1 15 2 3 3" xfId="1197" xr:uid="{00000000-0005-0000-0000-000087060000}"/>
    <cellStyle name="20% - Accent1 15 2 3 3 2" xfId="12612" xr:uid="{00000000-0005-0000-0000-000088060000}"/>
    <cellStyle name="20% - Accent1 15 2 3 3 3" xfId="16563" xr:uid="{00000000-0005-0000-0000-000089060000}"/>
    <cellStyle name="20% - Accent1 15 2 3 4" xfId="12610" xr:uid="{00000000-0005-0000-0000-00008A060000}"/>
    <cellStyle name="20% - Accent1 15 2 3 5" xfId="16561" xr:uid="{00000000-0005-0000-0000-00008B060000}"/>
    <cellStyle name="20% - Accent1 15 2 4" xfId="1198" xr:uid="{00000000-0005-0000-0000-00008C060000}"/>
    <cellStyle name="20% - Accent1 15 2 4 2" xfId="1199" xr:uid="{00000000-0005-0000-0000-00008D060000}"/>
    <cellStyle name="20% - Accent1 15 2 4 2 2" xfId="12614" xr:uid="{00000000-0005-0000-0000-00008E060000}"/>
    <cellStyle name="20% - Accent1 15 2 4 2 3" xfId="16565" xr:uid="{00000000-0005-0000-0000-00008F060000}"/>
    <cellStyle name="20% - Accent1 15 2 4 3" xfId="1200" xr:uid="{00000000-0005-0000-0000-000090060000}"/>
    <cellStyle name="20% - Accent1 15 2 4 3 2" xfId="12615" xr:uid="{00000000-0005-0000-0000-000091060000}"/>
    <cellStyle name="20% - Accent1 15 2 4 3 3" xfId="16566" xr:uid="{00000000-0005-0000-0000-000092060000}"/>
    <cellStyle name="20% - Accent1 15 2 4 4" xfId="12613" xr:uid="{00000000-0005-0000-0000-000093060000}"/>
    <cellStyle name="20% - Accent1 15 2 4 5" xfId="16564" xr:uid="{00000000-0005-0000-0000-000094060000}"/>
    <cellStyle name="20% - Accent1 15 2 5" xfId="1201" xr:uid="{00000000-0005-0000-0000-000095060000}"/>
    <cellStyle name="20% - Accent1 15 2 5 2" xfId="12616" xr:uid="{00000000-0005-0000-0000-000096060000}"/>
    <cellStyle name="20% - Accent1 15 2 5 3" xfId="16567" xr:uid="{00000000-0005-0000-0000-000097060000}"/>
    <cellStyle name="20% - Accent1 15 2 6" xfId="1202" xr:uid="{00000000-0005-0000-0000-000098060000}"/>
    <cellStyle name="20% - Accent1 15 2 6 2" xfId="12617" xr:uid="{00000000-0005-0000-0000-000099060000}"/>
    <cellStyle name="20% - Accent1 15 2 6 3" xfId="16568" xr:uid="{00000000-0005-0000-0000-00009A060000}"/>
    <cellStyle name="20% - Accent1 15 2 7" xfId="12606" xr:uid="{00000000-0005-0000-0000-00009B060000}"/>
    <cellStyle name="20% - Accent1 15 2 8" xfId="16557" xr:uid="{00000000-0005-0000-0000-00009C060000}"/>
    <cellStyle name="20% - Accent1 15 2_Volatility" xfId="1203" xr:uid="{00000000-0005-0000-0000-00009D060000}"/>
    <cellStyle name="20% - Accent1 15 3" xfId="1204" xr:uid="{00000000-0005-0000-0000-00009E060000}"/>
    <cellStyle name="20% - Accent1 15 3 2" xfId="1205" xr:uid="{00000000-0005-0000-0000-00009F060000}"/>
    <cellStyle name="20% - Accent1 15 3 2 2" xfId="1206" xr:uid="{00000000-0005-0000-0000-0000A0060000}"/>
    <cellStyle name="20% - Accent1 15 3 2 2 2" xfId="12620" xr:uid="{00000000-0005-0000-0000-0000A1060000}"/>
    <cellStyle name="20% - Accent1 15 3 2 2 3" xfId="16571" xr:uid="{00000000-0005-0000-0000-0000A2060000}"/>
    <cellStyle name="20% - Accent1 15 3 2 3" xfId="1207" xr:uid="{00000000-0005-0000-0000-0000A3060000}"/>
    <cellStyle name="20% - Accent1 15 3 2 3 2" xfId="12621" xr:uid="{00000000-0005-0000-0000-0000A4060000}"/>
    <cellStyle name="20% - Accent1 15 3 2 3 3" xfId="16572" xr:uid="{00000000-0005-0000-0000-0000A5060000}"/>
    <cellStyle name="20% - Accent1 15 3 2 4" xfId="12619" xr:uid="{00000000-0005-0000-0000-0000A6060000}"/>
    <cellStyle name="20% - Accent1 15 3 2 5" xfId="16570" xr:uid="{00000000-0005-0000-0000-0000A7060000}"/>
    <cellStyle name="20% - Accent1 15 3 3" xfId="1208" xr:uid="{00000000-0005-0000-0000-0000A8060000}"/>
    <cellStyle name="20% - Accent1 15 3 3 2" xfId="1209" xr:uid="{00000000-0005-0000-0000-0000A9060000}"/>
    <cellStyle name="20% - Accent1 15 3 3 2 2" xfId="12623" xr:uid="{00000000-0005-0000-0000-0000AA060000}"/>
    <cellStyle name="20% - Accent1 15 3 3 2 3" xfId="16574" xr:uid="{00000000-0005-0000-0000-0000AB060000}"/>
    <cellStyle name="20% - Accent1 15 3 3 3" xfId="1210" xr:uid="{00000000-0005-0000-0000-0000AC060000}"/>
    <cellStyle name="20% - Accent1 15 3 3 3 2" xfId="12624" xr:uid="{00000000-0005-0000-0000-0000AD060000}"/>
    <cellStyle name="20% - Accent1 15 3 3 3 3" xfId="16575" xr:uid="{00000000-0005-0000-0000-0000AE060000}"/>
    <cellStyle name="20% - Accent1 15 3 3 4" xfId="12622" xr:uid="{00000000-0005-0000-0000-0000AF060000}"/>
    <cellStyle name="20% - Accent1 15 3 3 5" xfId="16573" xr:uid="{00000000-0005-0000-0000-0000B0060000}"/>
    <cellStyle name="20% - Accent1 15 3 4" xfId="1211" xr:uid="{00000000-0005-0000-0000-0000B1060000}"/>
    <cellStyle name="20% - Accent1 15 3 4 2" xfId="12625" xr:uid="{00000000-0005-0000-0000-0000B2060000}"/>
    <cellStyle name="20% - Accent1 15 3 4 3" xfId="16576" xr:uid="{00000000-0005-0000-0000-0000B3060000}"/>
    <cellStyle name="20% - Accent1 15 3 5" xfId="1212" xr:uid="{00000000-0005-0000-0000-0000B4060000}"/>
    <cellStyle name="20% - Accent1 15 3 5 2" xfId="12626" xr:uid="{00000000-0005-0000-0000-0000B5060000}"/>
    <cellStyle name="20% - Accent1 15 3 5 3" xfId="16577" xr:uid="{00000000-0005-0000-0000-0000B6060000}"/>
    <cellStyle name="20% - Accent1 15 3 6" xfId="12618" xr:uid="{00000000-0005-0000-0000-0000B7060000}"/>
    <cellStyle name="20% - Accent1 15 3 7" xfId="16569" xr:uid="{00000000-0005-0000-0000-0000B8060000}"/>
    <cellStyle name="20% - Accent1 15 3_Volatility" xfId="1213" xr:uid="{00000000-0005-0000-0000-0000B9060000}"/>
    <cellStyle name="20% - Accent1 15 4" xfId="1214" xr:uid="{00000000-0005-0000-0000-0000BA060000}"/>
    <cellStyle name="20% - Accent1 15 4 2" xfId="1215" xr:uid="{00000000-0005-0000-0000-0000BB060000}"/>
    <cellStyle name="20% - Accent1 15 4 2 2" xfId="12628" xr:uid="{00000000-0005-0000-0000-0000BC060000}"/>
    <cellStyle name="20% - Accent1 15 4 2 3" xfId="16579" xr:uid="{00000000-0005-0000-0000-0000BD060000}"/>
    <cellStyle name="20% - Accent1 15 4 3" xfId="1216" xr:uid="{00000000-0005-0000-0000-0000BE060000}"/>
    <cellStyle name="20% - Accent1 15 4 3 2" xfId="12629" xr:uid="{00000000-0005-0000-0000-0000BF060000}"/>
    <cellStyle name="20% - Accent1 15 4 3 3" xfId="16580" xr:uid="{00000000-0005-0000-0000-0000C0060000}"/>
    <cellStyle name="20% - Accent1 15 4 4" xfId="12627" xr:uid="{00000000-0005-0000-0000-0000C1060000}"/>
    <cellStyle name="20% - Accent1 15 4 5" xfId="16578" xr:uid="{00000000-0005-0000-0000-0000C2060000}"/>
    <cellStyle name="20% - Accent1 15 5" xfId="1217" xr:uid="{00000000-0005-0000-0000-0000C3060000}"/>
    <cellStyle name="20% - Accent1 15 5 2" xfId="1218" xr:uid="{00000000-0005-0000-0000-0000C4060000}"/>
    <cellStyle name="20% - Accent1 15 5 2 2" xfId="12631" xr:uid="{00000000-0005-0000-0000-0000C5060000}"/>
    <cellStyle name="20% - Accent1 15 5 2 3" xfId="16582" xr:uid="{00000000-0005-0000-0000-0000C6060000}"/>
    <cellStyle name="20% - Accent1 15 5 3" xfId="1219" xr:uid="{00000000-0005-0000-0000-0000C7060000}"/>
    <cellStyle name="20% - Accent1 15 5 3 2" xfId="12632" xr:uid="{00000000-0005-0000-0000-0000C8060000}"/>
    <cellStyle name="20% - Accent1 15 5 3 3" xfId="16583" xr:uid="{00000000-0005-0000-0000-0000C9060000}"/>
    <cellStyle name="20% - Accent1 15 5 4" xfId="12630" xr:uid="{00000000-0005-0000-0000-0000CA060000}"/>
    <cellStyle name="20% - Accent1 15 5 5" xfId="16581" xr:uid="{00000000-0005-0000-0000-0000CB060000}"/>
    <cellStyle name="20% - Accent1 15 6" xfId="1220" xr:uid="{00000000-0005-0000-0000-0000CC060000}"/>
    <cellStyle name="20% - Accent1 15 6 2" xfId="1221" xr:uid="{00000000-0005-0000-0000-0000CD060000}"/>
    <cellStyle name="20% - Accent1 15 6 2 2" xfId="12634" xr:uid="{00000000-0005-0000-0000-0000CE060000}"/>
    <cellStyle name="20% - Accent1 15 6 2 3" xfId="16585" xr:uid="{00000000-0005-0000-0000-0000CF060000}"/>
    <cellStyle name="20% - Accent1 15 6 3" xfId="1222" xr:uid="{00000000-0005-0000-0000-0000D0060000}"/>
    <cellStyle name="20% - Accent1 15 6 3 2" xfId="12635" xr:uid="{00000000-0005-0000-0000-0000D1060000}"/>
    <cellStyle name="20% - Accent1 15 6 3 3" xfId="16586" xr:uid="{00000000-0005-0000-0000-0000D2060000}"/>
    <cellStyle name="20% - Accent1 15 6 4" xfId="12633" xr:uid="{00000000-0005-0000-0000-0000D3060000}"/>
    <cellStyle name="20% - Accent1 15 6 5" xfId="16584" xr:uid="{00000000-0005-0000-0000-0000D4060000}"/>
    <cellStyle name="20% - Accent1 15 7" xfId="1223" xr:uid="{00000000-0005-0000-0000-0000D5060000}"/>
    <cellStyle name="20% - Accent1 15 7 2" xfId="12636" xr:uid="{00000000-0005-0000-0000-0000D6060000}"/>
    <cellStyle name="20% - Accent1 15 7 3" xfId="16587" xr:uid="{00000000-0005-0000-0000-0000D7060000}"/>
    <cellStyle name="20% - Accent1 15 8" xfId="1224" xr:uid="{00000000-0005-0000-0000-0000D8060000}"/>
    <cellStyle name="20% - Accent1 15 8 2" xfId="12637" xr:uid="{00000000-0005-0000-0000-0000D9060000}"/>
    <cellStyle name="20% - Accent1 15 8 3" xfId="16588" xr:uid="{00000000-0005-0000-0000-0000DA060000}"/>
    <cellStyle name="20% - Accent1 15 9" xfId="12605" xr:uid="{00000000-0005-0000-0000-0000DB060000}"/>
    <cellStyle name="20% - Accent1 15_Volatility" xfId="1225" xr:uid="{00000000-0005-0000-0000-0000DC060000}"/>
    <cellStyle name="20% - Accent1 16" xfId="1226" xr:uid="{00000000-0005-0000-0000-0000DD060000}"/>
    <cellStyle name="20% - Accent1 16 2" xfId="12638" xr:uid="{00000000-0005-0000-0000-0000DE060000}"/>
    <cellStyle name="20% - Accent1 16 3" xfId="16589" xr:uid="{00000000-0005-0000-0000-0000DF060000}"/>
    <cellStyle name="20% - Accent1 17" xfId="1227" xr:uid="{00000000-0005-0000-0000-0000E0060000}"/>
    <cellStyle name="20% - Accent1 17 2" xfId="12639" xr:uid="{00000000-0005-0000-0000-0000E1060000}"/>
    <cellStyle name="20% - Accent1 17 3" xfId="16590" xr:uid="{00000000-0005-0000-0000-0000E2060000}"/>
    <cellStyle name="20% - Accent1 18" xfId="1228" xr:uid="{00000000-0005-0000-0000-0000E3060000}"/>
    <cellStyle name="20% - Accent1 18 2" xfId="12640" xr:uid="{00000000-0005-0000-0000-0000E4060000}"/>
    <cellStyle name="20% - Accent1 18 3" xfId="16591" xr:uid="{00000000-0005-0000-0000-0000E5060000}"/>
    <cellStyle name="20% - Accent1 19" xfId="1229" xr:uid="{00000000-0005-0000-0000-0000E6060000}"/>
    <cellStyle name="20% - Accent1 19 2" xfId="12641" xr:uid="{00000000-0005-0000-0000-0000E7060000}"/>
    <cellStyle name="20% - Accent1 19 3" xfId="16592" xr:uid="{00000000-0005-0000-0000-0000E8060000}"/>
    <cellStyle name="20% - Accent1 2" xfId="1230" xr:uid="{00000000-0005-0000-0000-0000E9060000}"/>
    <cellStyle name="20% - Accent1 2 10" xfId="16593" xr:uid="{00000000-0005-0000-0000-0000EA060000}"/>
    <cellStyle name="20% - Accent1 2 2" xfId="1231" xr:uid="{00000000-0005-0000-0000-0000EB060000}"/>
    <cellStyle name="20% - Accent1 2 2 2" xfId="1232" xr:uid="{00000000-0005-0000-0000-0000EC060000}"/>
    <cellStyle name="20% - Accent1 2 2 2 2" xfId="1233" xr:uid="{00000000-0005-0000-0000-0000ED060000}"/>
    <cellStyle name="20% - Accent1 2 2 2 2 2" xfId="12645" xr:uid="{00000000-0005-0000-0000-0000EE060000}"/>
    <cellStyle name="20% - Accent1 2 2 2 2 3" xfId="16596" xr:uid="{00000000-0005-0000-0000-0000EF060000}"/>
    <cellStyle name="20% - Accent1 2 2 2 3" xfId="1234" xr:uid="{00000000-0005-0000-0000-0000F0060000}"/>
    <cellStyle name="20% - Accent1 2 2 2 3 2" xfId="12646" xr:uid="{00000000-0005-0000-0000-0000F1060000}"/>
    <cellStyle name="20% - Accent1 2 2 2 3 3" xfId="16597" xr:uid="{00000000-0005-0000-0000-0000F2060000}"/>
    <cellStyle name="20% - Accent1 2 2 2 4" xfId="12644" xr:uid="{00000000-0005-0000-0000-0000F3060000}"/>
    <cellStyle name="20% - Accent1 2 2 2 5" xfId="16595" xr:uid="{00000000-0005-0000-0000-0000F4060000}"/>
    <cellStyle name="20% - Accent1 2 2 3" xfId="1235" xr:uid="{00000000-0005-0000-0000-0000F5060000}"/>
    <cellStyle name="20% - Accent1 2 2 3 2" xfId="1236" xr:uid="{00000000-0005-0000-0000-0000F6060000}"/>
    <cellStyle name="20% - Accent1 2 2 3 2 2" xfId="12648" xr:uid="{00000000-0005-0000-0000-0000F7060000}"/>
    <cellStyle name="20% - Accent1 2 2 3 2 3" xfId="16599" xr:uid="{00000000-0005-0000-0000-0000F8060000}"/>
    <cellStyle name="20% - Accent1 2 2 3 3" xfId="1237" xr:uid="{00000000-0005-0000-0000-0000F9060000}"/>
    <cellStyle name="20% - Accent1 2 2 3 3 2" xfId="12649" xr:uid="{00000000-0005-0000-0000-0000FA060000}"/>
    <cellStyle name="20% - Accent1 2 2 3 3 3" xfId="16600" xr:uid="{00000000-0005-0000-0000-0000FB060000}"/>
    <cellStyle name="20% - Accent1 2 2 3 4" xfId="12647" xr:uid="{00000000-0005-0000-0000-0000FC060000}"/>
    <cellStyle name="20% - Accent1 2 2 3 5" xfId="16598" xr:uid="{00000000-0005-0000-0000-0000FD060000}"/>
    <cellStyle name="20% - Accent1 2 2 4" xfId="1238" xr:uid="{00000000-0005-0000-0000-0000FE060000}"/>
    <cellStyle name="20% - Accent1 2 2 4 2" xfId="1239" xr:uid="{00000000-0005-0000-0000-0000FF060000}"/>
    <cellStyle name="20% - Accent1 2 2 4 2 2" xfId="12651" xr:uid="{00000000-0005-0000-0000-000000070000}"/>
    <cellStyle name="20% - Accent1 2 2 4 2 3" xfId="16602" xr:uid="{00000000-0005-0000-0000-000001070000}"/>
    <cellStyle name="20% - Accent1 2 2 4 3" xfId="1240" xr:uid="{00000000-0005-0000-0000-000002070000}"/>
    <cellStyle name="20% - Accent1 2 2 4 3 2" xfId="12652" xr:uid="{00000000-0005-0000-0000-000003070000}"/>
    <cellStyle name="20% - Accent1 2 2 4 3 3" xfId="16603" xr:uid="{00000000-0005-0000-0000-000004070000}"/>
    <cellStyle name="20% - Accent1 2 2 4 4" xfId="12650" xr:uid="{00000000-0005-0000-0000-000005070000}"/>
    <cellStyle name="20% - Accent1 2 2 4 5" xfId="16601" xr:uid="{00000000-0005-0000-0000-000006070000}"/>
    <cellStyle name="20% - Accent1 2 2 5" xfId="1241" xr:uid="{00000000-0005-0000-0000-000007070000}"/>
    <cellStyle name="20% - Accent1 2 2 5 2" xfId="12653" xr:uid="{00000000-0005-0000-0000-000008070000}"/>
    <cellStyle name="20% - Accent1 2 2 5 3" xfId="16604" xr:uid="{00000000-0005-0000-0000-000009070000}"/>
    <cellStyle name="20% - Accent1 2 2 6" xfId="1242" xr:uid="{00000000-0005-0000-0000-00000A070000}"/>
    <cellStyle name="20% - Accent1 2 2 6 2" xfId="12654" xr:uid="{00000000-0005-0000-0000-00000B070000}"/>
    <cellStyle name="20% - Accent1 2 2 6 3" xfId="16605" xr:uid="{00000000-0005-0000-0000-00000C070000}"/>
    <cellStyle name="20% - Accent1 2 2 7" xfId="12643" xr:uid="{00000000-0005-0000-0000-00000D070000}"/>
    <cellStyle name="20% - Accent1 2 2 8" xfId="16594" xr:uid="{00000000-0005-0000-0000-00000E070000}"/>
    <cellStyle name="20% - Accent1 2 2_Volatility" xfId="1243" xr:uid="{00000000-0005-0000-0000-00000F070000}"/>
    <cellStyle name="20% - Accent1 2 3" xfId="1244" xr:uid="{00000000-0005-0000-0000-000010070000}"/>
    <cellStyle name="20% - Accent1 2 3 2" xfId="1245" xr:uid="{00000000-0005-0000-0000-000011070000}"/>
    <cellStyle name="20% - Accent1 2 3 2 2" xfId="1246" xr:uid="{00000000-0005-0000-0000-000012070000}"/>
    <cellStyle name="20% - Accent1 2 3 2 2 2" xfId="12657" xr:uid="{00000000-0005-0000-0000-000013070000}"/>
    <cellStyle name="20% - Accent1 2 3 2 2 3" xfId="16608" xr:uid="{00000000-0005-0000-0000-000014070000}"/>
    <cellStyle name="20% - Accent1 2 3 2 3" xfId="1247" xr:uid="{00000000-0005-0000-0000-000015070000}"/>
    <cellStyle name="20% - Accent1 2 3 2 3 2" xfId="12658" xr:uid="{00000000-0005-0000-0000-000016070000}"/>
    <cellStyle name="20% - Accent1 2 3 2 3 3" xfId="16609" xr:uid="{00000000-0005-0000-0000-000017070000}"/>
    <cellStyle name="20% - Accent1 2 3 2 4" xfId="12656" xr:uid="{00000000-0005-0000-0000-000018070000}"/>
    <cellStyle name="20% - Accent1 2 3 2 5" xfId="16607" xr:uid="{00000000-0005-0000-0000-000019070000}"/>
    <cellStyle name="20% - Accent1 2 3 3" xfId="1248" xr:uid="{00000000-0005-0000-0000-00001A070000}"/>
    <cellStyle name="20% - Accent1 2 3 3 2" xfId="1249" xr:uid="{00000000-0005-0000-0000-00001B070000}"/>
    <cellStyle name="20% - Accent1 2 3 3 2 2" xfId="12660" xr:uid="{00000000-0005-0000-0000-00001C070000}"/>
    <cellStyle name="20% - Accent1 2 3 3 2 3" xfId="16611" xr:uid="{00000000-0005-0000-0000-00001D070000}"/>
    <cellStyle name="20% - Accent1 2 3 3 3" xfId="1250" xr:uid="{00000000-0005-0000-0000-00001E070000}"/>
    <cellStyle name="20% - Accent1 2 3 3 3 2" xfId="12661" xr:uid="{00000000-0005-0000-0000-00001F070000}"/>
    <cellStyle name="20% - Accent1 2 3 3 3 3" xfId="16612" xr:uid="{00000000-0005-0000-0000-000020070000}"/>
    <cellStyle name="20% - Accent1 2 3 3 4" xfId="12659" xr:uid="{00000000-0005-0000-0000-000021070000}"/>
    <cellStyle name="20% - Accent1 2 3 3 5" xfId="16610" xr:uid="{00000000-0005-0000-0000-000022070000}"/>
    <cellStyle name="20% - Accent1 2 3 4" xfId="1251" xr:uid="{00000000-0005-0000-0000-000023070000}"/>
    <cellStyle name="20% - Accent1 2 3 4 2" xfId="12662" xr:uid="{00000000-0005-0000-0000-000024070000}"/>
    <cellStyle name="20% - Accent1 2 3 4 3" xfId="16613" xr:uid="{00000000-0005-0000-0000-000025070000}"/>
    <cellStyle name="20% - Accent1 2 3 5" xfId="1252" xr:uid="{00000000-0005-0000-0000-000026070000}"/>
    <cellStyle name="20% - Accent1 2 3 5 2" xfId="12663" xr:uid="{00000000-0005-0000-0000-000027070000}"/>
    <cellStyle name="20% - Accent1 2 3 5 3" xfId="16614" xr:uid="{00000000-0005-0000-0000-000028070000}"/>
    <cellStyle name="20% - Accent1 2 3 6" xfId="12655" xr:uid="{00000000-0005-0000-0000-000029070000}"/>
    <cellStyle name="20% - Accent1 2 3 7" xfId="16606" xr:uid="{00000000-0005-0000-0000-00002A070000}"/>
    <cellStyle name="20% - Accent1 2 3_Volatility" xfId="1253" xr:uid="{00000000-0005-0000-0000-00002B070000}"/>
    <cellStyle name="20% - Accent1 2 4" xfId="1254" xr:uid="{00000000-0005-0000-0000-00002C070000}"/>
    <cellStyle name="20% - Accent1 2 4 2" xfId="1255" xr:uid="{00000000-0005-0000-0000-00002D070000}"/>
    <cellStyle name="20% - Accent1 2 4 2 2" xfId="12665" xr:uid="{00000000-0005-0000-0000-00002E070000}"/>
    <cellStyle name="20% - Accent1 2 4 2 3" xfId="16616" xr:uid="{00000000-0005-0000-0000-00002F070000}"/>
    <cellStyle name="20% - Accent1 2 4 3" xfId="1256" xr:uid="{00000000-0005-0000-0000-000030070000}"/>
    <cellStyle name="20% - Accent1 2 4 3 2" xfId="12666" xr:uid="{00000000-0005-0000-0000-000031070000}"/>
    <cellStyle name="20% - Accent1 2 4 3 3" xfId="16617" xr:uid="{00000000-0005-0000-0000-000032070000}"/>
    <cellStyle name="20% - Accent1 2 4 4" xfId="12664" xr:uid="{00000000-0005-0000-0000-000033070000}"/>
    <cellStyle name="20% - Accent1 2 4 5" xfId="16615" xr:uid="{00000000-0005-0000-0000-000034070000}"/>
    <cellStyle name="20% - Accent1 2 5" xfId="1257" xr:uid="{00000000-0005-0000-0000-000035070000}"/>
    <cellStyle name="20% - Accent1 2 5 2" xfId="1258" xr:uid="{00000000-0005-0000-0000-000036070000}"/>
    <cellStyle name="20% - Accent1 2 5 2 2" xfId="12668" xr:uid="{00000000-0005-0000-0000-000037070000}"/>
    <cellStyle name="20% - Accent1 2 5 2 3" xfId="16619" xr:uid="{00000000-0005-0000-0000-000038070000}"/>
    <cellStyle name="20% - Accent1 2 5 3" xfId="1259" xr:uid="{00000000-0005-0000-0000-000039070000}"/>
    <cellStyle name="20% - Accent1 2 5 3 2" xfId="12669" xr:uid="{00000000-0005-0000-0000-00003A070000}"/>
    <cellStyle name="20% - Accent1 2 5 3 3" xfId="16620" xr:uid="{00000000-0005-0000-0000-00003B070000}"/>
    <cellStyle name="20% - Accent1 2 5 4" xfId="12667" xr:uid="{00000000-0005-0000-0000-00003C070000}"/>
    <cellStyle name="20% - Accent1 2 5 5" xfId="16618" xr:uid="{00000000-0005-0000-0000-00003D070000}"/>
    <cellStyle name="20% - Accent1 2 6" xfId="1260" xr:uid="{00000000-0005-0000-0000-00003E070000}"/>
    <cellStyle name="20% - Accent1 2 6 2" xfId="1261" xr:uid="{00000000-0005-0000-0000-00003F070000}"/>
    <cellStyle name="20% - Accent1 2 6 2 2" xfId="12671" xr:uid="{00000000-0005-0000-0000-000040070000}"/>
    <cellStyle name="20% - Accent1 2 6 2 3" xfId="16622" xr:uid="{00000000-0005-0000-0000-000041070000}"/>
    <cellStyle name="20% - Accent1 2 6 3" xfId="1262" xr:uid="{00000000-0005-0000-0000-000042070000}"/>
    <cellStyle name="20% - Accent1 2 6 3 2" xfId="12672" xr:uid="{00000000-0005-0000-0000-000043070000}"/>
    <cellStyle name="20% - Accent1 2 6 3 3" xfId="16623" xr:uid="{00000000-0005-0000-0000-000044070000}"/>
    <cellStyle name="20% - Accent1 2 6 4" xfId="12670" xr:uid="{00000000-0005-0000-0000-000045070000}"/>
    <cellStyle name="20% - Accent1 2 6 5" xfId="16621" xr:uid="{00000000-0005-0000-0000-000046070000}"/>
    <cellStyle name="20% - Accent1 2 7" xfId="1263" xr:uid="{00000000-0005-0000-0000-000047070000}"/>
    <cellStyle name="20% - Accent1 2 7 2" xfId="12673" xr:uid="{00000000-0005-0000-0000-000048070000}"/>
    <cellStyle name="20% - Accent1 2 7 3" xfId="16624" xr:uid="{00000000-0005-0000-0000-000049070000}"/>
    <cellStyle name="20% - Accent1 2 8" xfId="1264" xr:uid="{00000000-0005-0000-0000-00004A070000}"/>
    <cellStyle name="20% - Accent1 2 8 2" xfId="12674" xr:uid="{00000000-0005-0000-0000-00004B070000}"/>
    <cellStyle name="20% - Accent1 2 8 3" xfId="16625" xr:uid="{00000000-0005-0000-0000-00004C070000}"/>
    <cellStyle name="20% - Accent1 2 9" xfId="12642" xr:uid="{00000000-0005-0000-0000-00004D070000}"/>
    <cellStyle name="20% - Accent1 2_Volatility" xfId="1265" xr:uid="{00000000-0005-0000-0000-00004E070000}"/>
    <cellStyle name="20% - Accent1 3" xfId="1266" xr:uid="{00000000-0005-0000-0000-00004F070000}"/>
    <cellStyle name="20% - Accent1 3 10" xfId="16626" xr:uid="{00000000-0005-0000-0000-000050070000}"/>
    <cellStyle name="20% - Accent1 3 2" xfId="1267" xr:uid="{00000000-0005-0000-0000-000051070000}"/>
    <cellStyle name="20% - Accent1 3 2 2" xfId="1268" xr:uid="{00000000-0005-0000-0000-000052070000}"/>
    <cellStyle name="20% - Accent1 3 2 2 2" xfId="1269" xr:uid="{00000000-0005-0000-0000-000053070000}"/>
    <cellStyle name="20% - Accent1 3 2 2 2 2" xfId="12678" xr:uid="{00000000-0005-0000-0000-000054070000}"/>
    <cellStyle name="20% - Accent1 3 2 2 2 3" xfId="16629" xr:uid="{00000000-0005-0000-0000-000055070000}"/>
    <cellStyle name="20% - Accent1 3 2 2 3" xfId="1270" xr:uid="{00000000-0005-0000-0000-000056070000}"/>
    <cellStyle name="20% - Accent1 3 2 2 3 2" xfId="12679" xr:uid="{00000000-0005-0000-0000-000057070000}"/>
    <cellStyle name="20% - Accent1 3 2 2 3 3" xfId="16630" xr:uid="{00000000-0005-0000-0000-000058070000}"/>
    <cellStyle name="20% - Accent1 3 2 2 4" xfId="12677" xr:uid="{00000000-0005-0000-0000-000059070000}"/>
    <cellStyle name="20% - Accent1 3 2 2 5" xfId="16628" xr:uid="{00000000-0005-0000-0000-00005A070000}"/>
    <cellStyle name="20% - Accent1 3 2 3" xfId="1271" xr:uid="{00000000-0005-0000-0000-00005B070000}"/>
    <cellStyle name="20% - Accent1 3 2 3 2" xfId="1272" xr:uid="{00000000-0005-0000-0000-00005C070000}"/>
    <cellStyle name="20% - Accent1 3 2 3 2 2" xfId="12681" xr:uid="{00000000-0005-0000-0000-00005D070000}"/>
    <cellStyle name="20% - Accent1 3 2 3 2 3" xfId="16632" xr:uid="{00000000-0005-0000-0000-00005E070000}"/>
    <cellStyle name="20% - Accent1 3 2 3 3" xfId="1273" xr:uid="{00000000-0005-0000-0000-00005F070000}"/>
    <cellStyle name="20% - Accent1 3 2 3 3 2" xfId="12682" xr:uid="{00000000-0005-0000-0000-000060070000}"/>
    <cellStyle name="20% - Accent1 3 2 3 3 3" xfId="16633" xr:uid="{00000000-0005-0000-0000-000061070000}"/>
    <cellStyle name="20% - Accent1 3 2 3 4" xfId="12680" xr:uid="{00000000-0005-0000-0000-000062070000}"/>
    <cellStyle name="20% - Accent1 3 2 3 5" xfId="16631" xr:uid="{00000000-0005-0000-0000-000063070000}"/>
    <cellStyle name="20% - Accent1 3 2 4" xfId="1274" xr:uid="{00000000-0005-0000-0000-000064070000}"/>
    <cellStyle name="20% - Accent1 3 2 4 2" xfId="1275" xr:uid="{00000000-0005-0000-0000-000065070000}"/>
    <cellStyle name="20% - Accent1 3 2 4 2 2" xfId="12684" xr:uid="{00000000-0005-0000-0000-000066070000}"/>
    <cellStyle name="20% - Accent1 3 2 4 2 3" xfId="16635" xr:uid="{00000000-0005-0000-0000-000067070000}"/>
    <cellStyle name="20% - Accent1 3 2 4 3" xfId="1276" xr:uid="{00000000-0005-0000-0000-000068070000}"/>
    <cellStyle name="20% - Accent1 3 2 4 3 2" xfId="12685" xr:uid="{00000000-0005-0000-0000-000069070000}"/>
    <cellStyle name="20% - Accent1 3 2 4 3 3" xfId="16636" xr:uid="{00000000-0005-0000-0000-00006A070000}"/>
    <cellStyle name="20% - Accent1 3 2 4 4" xfId="12683" xr:uid="{00000000-0005-0000-0000-00006B070000}"/>
    <cellStyle name="20% - Accent1 3 2 4 5" xfId="16634" xr:uid="{00000000-0005-0000-0000-00006C070000}"/>
    <cellStyle name="20% - Accent1 3 2 5" xfId="1277" xr:uid="{00000000-0005-0000-0000-00006D070000}"/>
    <cellStyle name="20% - Accent1 3 2 5 2" xfId="12686" xr:uid="{00000000-0005-0000-0000-00006E070000}"/>
    <cellStyle name="20% - Accent1 3 2 5 3" xfId="16637" xr:uid="{00000000-0005-0000-0000-00006F070000}"/>
    <cellStyle name="20% - Accent1 3 2 6" xfId="1278" xr:uid="{00000000-0005-0000-0000-000070070000}"/>
    <cellStyle name="20% - Accent1 3 2 6 2" xfId="12687" xr:uid="{00000000-0005-0000-0000-000071070000}"/>
    <cellStyle name="20% - Accent1 3 2 6 3" xfId="16638" xr:uid="{00000000-0005-0000-0000-000072070000}"/>
    <cellStyle name="20% - Accent1 3 2 7" xfId="12676" xr:uid="{00000000-0005-0000-0000-000073070000}"/>
    <cellStyle name="20% - Accent1 3 2 8" xfId="16627" xr:uid="{00000000-0005-0000-0000-000074070000}"/>
    <cellStyle name="20% - Accent1 3 2_Volatility" xfId="1279" xr:uid="{00000000-0005-0000-0000-000075070000}"/>
    <cellStyle name="20% - Accent1 3 3" xfId="1280" xr:uid="{00000000-0005-0000-0000-000076070000}"/>
    <cellStyle name="20% - Accent1 3 3 2" xfId="1281" xr:uid="{00000000-0005-0000-0000-000077070000}"/>
    <cellStyle name="20% - Accent1 3 3 2 2" xfId="1282" xr:uid="{00000000-0005-0000-0000-000078070000}"/>
    <cellStyle name="20% - Accent1 3 3 2 2 2" xfId="12690" xr:uid="{00000000-0005-0000-0000-000079070000}"/>
    <cellStyle name="20% - Accent1 3 3 2 2 3" xfId="16641" xr:uid="{00000000-0005-0000-0000-00007A070000}"/>
    <cellStyle name="20% - Accent1 3 3 2 3" xfId="1283" xr:uid="{00000000-0005-0000-0000-00007B070000}"/>
    <cellStyle name="20% - Accent1 3 3 2 3 2" xfId="12691" xr:uid="{00000000-0005-0000-0000-00007C070000}"/>
    <cellStyle name="20% - Accent1 3 3 2 3 3" xfId="16642" xr:uid="{00000000-0005-0000-0000-00007D070000}"/>
    <cellStyle name="20% - Accent1 3 3 2 4" xfId="12689" xr:uid="{00000000-0005-0000-0000-00007E070000}"/>
    <cellStyle name="20% - Accent1 3 3 2 5" xfId="16640" xr:uid="{00000000-0005-0000-0000-00007F070000}"/>
    <cellStyle name="20% - Accent1 3 3 3" xfId="1284" xr:uid="{00000000-0005-0000-0000-000080070000}"/>
    <cellStyle name="20% - Accent1 3 3 3 2" xfId="1285" xr:uid="{00000000-0005-0000-0000-000081070000}"/>
    <cellStyle name="20% - Accent1 3 3 3 2 2" xfId="12693" xr:uid="{00000000-0005-0000-0000-000082070000}"/>
    <cellStyle name="20% - Accent1 3 3 3 2 3" xfId="16644" xr:uid="{00000000-0005-0000-0000-000083070000}"/>
    <cellStyle name="20% - Accent1 3 3 3 3" xfId="1286" xr:uid="{00000000-0005-0000-0000-000084070000}"/>
    <cellStyle name="20% - Accent1 3 3 3 3 2" xfId="12694" xr:uid="{00000000-0005-0000-0000-000085070000}"/>
    <cellStyle name="20% - Accent1 3 3 3 3 3" xfId="16645" xr:uid="{00000000-0005-0000-0000-000086070000}"/>
    <cellStyle name="20% - Accent1 3 3 3 4" xfId="12692" xr:uid="{00000000-0005-0000-0000-000087070000}"/>
    <cellStyle name="20% - Accent1 3 3 3 5" xfId="16643" xr:uid="{00000000-0005-0000-0000-000088070000}"/>
    <cellStyle name="20% - Accent1 3 3 4" xfId="1287" xr:uid="{00000000-0005-0000-0000-000089070000}"/>
    <cellStyle name="20% - Accent1 3 3 4 2" xfId="12695" xr:uid="{00000000-0005-0000-0000-00008A070000}"/>
    <cellStyle name="20% - Accent1 3 3 4 3" xfId="16646" xr:uid="{00000000-0005-0000-0000-00008B070000}"/>
    <cellStyle name="20% - Accent1 3 3 5" xfId="1288" xr:uid="{00000000-0005-0000-0000-00008C070000}"/>
    <cellStyle name="20% - Accent1 3 3 5 2" xfId="12696" xr:uid="{00000000-0005-0000-0000-00008D070000}"/>
    <cellStyle name="20% - Accent1 3 3 5 3" xfId="16647" xr:uid="{00000000-0005-0000-0000-00008E070000}"/>
    <cellStyle name="20% - Accent1 3 3 6" xfId="12688" xr:uid="{00000000-0005-0000-0000-00008F070000}"/>
    <cellStyle name="20% - Accent1 3 3 7" xfId="16639" xr:uid="{00000000-0005-0000-0000-000090070000}"/>
    <cellStyle name="20% - Accent1 3 3_Volatility" xfId="1289" xr:uid="{00000000-0005-0000-0000-000091070000}"/>
    <cellStyle name="20% - Accent1 3 4" xfId="1290" xr:uid="{00000000-0005-0000-0000-000092070000}"/>
    <cellStyle name="20% - Accent1 3 4 2" xfId="1291" xr:uid="{00000000-0005-0000-0000-000093070000}"/>
    <cellStyle name="20% - Accent1 3 4 2 2" xfId="12698" xr:uid="{00000000-0005-0000-0000-000094070000}"/>
    <cellStyle name="20% - Accent1 3 4 2 3" xfId="16649" xr:uid="{00000000-0005-0000-0000-000095070000}"/>
    <cellStyle name="20% - Accent1 3 4 3" xfId="1292" xr:uid="{00000000-0005-0000-0000-000096070000}"/>
    <cellStyle name="20% - Accent1 3 4 3 2" xfId="12699" xr:uid="{00000000-0005-0000-0000-000097070000}"/>
    <cellStyle name="20% - Accent1 3 4 3 3" xfId="16650" xr:uid="{00000000-0005-0000-0000-000098070000}"/>
    <cellStyle name="20% - Accent1 3 4 4" xfId="12697" xr:uid="{00000000-0005-0000-0000-000099070000}"/>
    <cellStyle name="20% - Accent1 3 4 5" xfId="16648" xr:uid="{00000000-0005-0000-0000-00009A070000}"/>
    <cellStyle name="20% - Accent1 3 5" xfId="1293" xr:uid="{00000000-0005-0000-0000-00009B070000}"/>
    <cellStyle name="20% - Accent1 3 5 2" xfId="1294" xr:uid="{00000000-0005-0000-0000-00009C070000}"/>
    <cellStyle name="20% - Accent1 3 5 2 2" xfId="12701" xr:uid="{00000000-0005-0000-0000-00009D070000}"/>
    <cellStyle name="20% - Accent1 3 5 2 3" xfId="16652" xr:uid="{00000000-0005-0000-0000-00009E070000}"/>
    <cellStyle name="20% - Accent1 3 5 3" xfId="1295" xr:uid="{00000000-0005-0000-0000-00009F070000}"/>
    <cellStyle name="20% - Accent1 3 5 3 2" xfId="12702" xr:uid="{00000000-0005-0000-0000-0000A0070000}"/>
    <cellStyle name="20% - Accent1 3 5 3 3" xfId="16653" xr:uid="{00000000-0005-0000-0000-0000A1070000}"/>
    <cellStyle name="20% - Accent1 3 5 4" xfId="12700" xr:uid="{00000000-0005-0000-0000-0000A2070000}"/>
    <cellStyle name="20% - Accent1 3 5 5" xfId="16651" xr:uid="{00000000-0005-0000-0000-0000A3070000}"/>
    <cellStyle name="20% - Accent1 3 6" xfId="1296" xr:uid="{00000000-0005-0000-0000-0000A4070000}"/>
    <cellStyle name="20% - Accent1 3 6 2" xfId="1297" xr:uid="{00000000-0005-0000-0000-0000A5070000}"/>
    <cellStyle name="20% - Accent1 3 6 2 2" xfId="12704" xr:uid="{00000000-0005-0000-0000-0000A6070000}"/>
    <cellStyle name="20% - Accent1 3 6 2 3" xfId="16655" xr:uid="{00000000-0005-0000-0000-0000A7070000}"/>
    <cellStyle name="20% - Accent1 3 6 3" xfId="1298" xr:uid="{00000000-0005-0000-0000-0000A8070000}"/>
    <cellStyle name="20% - Accent1 3 6 3 2" xfId="12705" xr:uid="{00000000-0005-0000-0000-0000A9070000}"/>
    <cellStyle name="20% - Accent1 3 6 3 3" xfId="16656" xr:uid="{00000000-0005-0000-0000-0000AA070000}"/>
    <cellStyle name="20% - Accent1 3 6 4" xfId="12703" xr:uid="{00000000-0005-0000-0000-0000AB070000}"/>
    <cellStyle name="20% - Accent1 3 6 5" xfId="16654" xr:uid="{00000000-0005-0000-0000-0000AC070000}"/>
    <cellStyle name="20% - Accent1 3 7" xfId="1299" xr:uid="{00000000-0005-0000-0000-0000AD070000}"/>
    <cellStyle name="20% - Accent1 3 7 2" xfId="12706" xr:uid="{00000000-0005-0000-0000-0000AE070000}"/>
    <cellStyle name="20% - Accent1 3 7 3" xfId="16657" xr:uid="{00000000-0005-0000-0000-0000AF070000}"/>
    <cellStyle name="20% - Accent1 3 8" xfId="1300" xr:uid="{00000000-0005-0000-0000-0000B0070000}"/>
    <cellStyle name="20% - Accent1 3 8 2" xfId="12707" xr:uid="{00000000-0005-0000-0000-0000B1070000}"/>
    <cellStyle name="20% - Accent1 3 8 3" xfId="16658" xr:uid="{00000000-0005-0000-0000-0000B2070000}"/>
    <cellStyle name="20% - Accent1 3 9" xfId="12675" xr:uid="{00000000-0005-0000-0000-0000B3070000}"/>
    <cellStyle name="20% - Accent1 3_Volatility" xfId="1301" xr:uid="{00000000-0005-0000-0000-0000B4070000}"/>
    <cellStyle name="20% - Accent1 4" xfId="1302" xr:uid="{00000000-0005-0000-0000-0000B5070000}"/>
    <cellStyle name="20% - Accent1 4 10" xfId="16659" xr:uid="{00000000-0005-0000-0000-0000B6070000}"/>
    <cellStyle name="20% - Accent1 4 2" xfId="1303" xr:uid="{00000000-0005-0000-0000-0000B7070000}"/>
    <cellStyle name="20% - Accent1 4 2 2" xfId="1304" xr:uid="{00000000-0005-0000-0000-0000B8070000}"/>
    <cellStyle name="20% - Accent1 4 2 2 2" xfId="1305" xr:uid="{00000000-0005-0000-0000-0000B9070000}"/>
    <cellStyle name="20% - Accent1 4 2 2 2 2" xfId="12711" xr:uid="{00000000-0005-0000-0000-0000BA070000}"/>
    <cellStyle name="20% - Accent1 4 2 2 2 3" xfId="16662" xr:uid="{00000000-0005-0000-0000-0000BB070000}"/>
    <cellStyle name="20% - Accent1 4 2 2 3" xfId="1306" xr:uid="{00000000-0005-0000-0000-0000BC070000}"/>
    <cellStyle name="20% - Accent1 4 2 2 3 2" xfId="12712" xr:uid="{00000000-0005-0000-0000-0000BD070000}"/>
    <cellStyle name="20% - Accent1 4 2 2 3 3" xfId="16663" xr:uid="{00000000-0005-0000-0000-0000BE070000}"/>
    <cellStyle name="20% - Accent1 4 2 2 4" xfId="12710" xr:uid="{00000000-0005-0000-0000-0000BF070000}"/>
    <cellStyle name="20% - Accent1 4 2 2 5" xfId="16661" xr:uid="{00000000-0005-0000-0000-0000C0070000}"/>
    <cellStyle name="20% - Accent1 4 2 3" xfId="1307" xr:uid="{00000000-0005-0000-0000-0000C1070000}"/>
    <cellStyle name="20% - Accent1 4 2 3 2" xfId="1308" xr:uid="{00000000-0005-0000-0000-0000C2070000}"/>
    <cellStyle name="20% - Accent1 4 2 3 2 2" xfId="12714" xr:uid="{00000000-0005-0000-0000-0000C3070000}"/>
    <cellStyle name="20% - Accent1 4 2 3 2 3" xfId="16665" xr:uid="{00000000-0005-0000-0000-0000C4070000}"/>
    <cellStyle name="20% - Accent1 4 2 3 3" xfId="1309" xr:uid="{00000000-0005-0000-0000-0000C5070000}"/>
    <cellStyle name="20% - Accent1 4 2 3 3 2" xfId="12715" xr:uid="{00000000-0005-0000-0000-0000C6070000}"/>
    <cellStyle name="20% - Accent1 4 2 3 3 3" xfId="16666" xr:uid="{00000000-0005-0000-0000-0000C7070000}"/>
    <cellStyle name="20% - Accent1 4 2 3 4" xfId="12713" xr:uid="{00000000-0005-0000-0000-0000C8070000}"/>
    <cellStyle name="20% - Accent1 4 2 3 5" xfId="16664" xr:uid="{00000000-0005-0000-0000-0000C9070000}"/>
    <cellStyle name="20% - Accent1 4 2 4" xfId="1310" xr:uid="{00000000-0005-0000-0000-0000CA070000}"/>
    <cellStyle name="20% - Accent1 4 2 4 2" xfId="1311" xr:uid="{00000000-0005-0000-0000-0000CB070000}"/>
    <cellStyle name="20% - Accent1 4 2 4 2 2" xfId="12717" xr:uid="{00000000-0005-0000-0000-0000CC070000}"/>
    <cellStyle name="20% - Accent1 4 2 4 2 3" xfId="16668" xr:uid="{00000000-0005-0000-0000-0000CD070000}"/>
    <cellStyle name="20% - Accent1 4 2 4 3" xfId="1312" xr:uid="{00000000-0005-0000-0000-0000CE070000}"/>
    <cellStyle name="20% - Accent1 4 2 4 3 2" xfId="12718" xr:uid="{00000000-0005-0000-0000-0000CF070000}"/>
    <cellStyle name="20% - Accent1 4 2 4 3 3" xfId="16669" xr:uid="{00000000-0005-0000-0000-0000D0070000}"/>
    <cellStyle name="20% - Accent1 4 2 4 4" xfId="12716" xr:uid="{00000000-0005-0000-0000-0000D1070000}"/>
    <cellStyle name="20% - Accent1 4 2 4 5" xfId="16667" xr:uid="{00000000-0005-0000-0000-0000D2070000}"/>
    <cellStyle name="20% - Accent1 4 2 5" xfId="1313" xr:uid="{00000000-0005-0000-0000-0000D3070000}"/>
    <cellStyle name="20% - Accent1 4 2 5 2" xfId="12719" xr:uid="{00000000-0005-0000-0000-0000D4070000}"/>
    <cellStyle name="20% - Accent1 4 2 5 3" xfId="16670" xr:uid="{00000000-0005-0000-0000-0000D5070000}"/>
    <cellStyle name="20% - Accent1 4 2 6" xfId="1314" xr:uid="{00000000-0005-0000-0000-0000D6070000}"/>
    <cellStyle name="20% - Accent1 4 2 6 2" xfId="12720" xr:uid="{00000000-0005-0000-0000-0000D7070000}"/>
    <cellStyle name="20% - Accent1 4 2 6 3" xfId="16671" xr:uid="{00000000-0005-0000-0000-0000D8070000}"/>
    <cellStyle name="20% - Accent1 4 2 7" xfId="12709" xr:uid="{00000000-0005-0000-0000-0000D9070000}"/>
    <cellStyle name="20% - Accent1 4 2 8" xfId="16660" xr:uid="{00000000-0005-0000-0000-0000DA070000}"/>
    <cellStyle name="20% - Accent1 4 2_Volatility" xfId="1315" xr:uid="{00000000-0005-0000-0000-0000DB070000}"/>
    <cellStyle name="20% - Accent1 4 3" xfId="1316" xr:uid="{00000000-0005-0000-0000-0000DC070000}"/>
    <cellStyle name="20% - Accent1 4 3 2" xfId="1317" xr:uid="{00000000-0005-0000-0000-0000DD070000}"/>
    <cellStyle name="20% - Accent1 4 3 2 2" xfId="1318" xr:uid="{00000000-0005-0000-0000-0000DE070000}"/>
    <cellStyle name="20% - Accent1 4 3 2 2 2" xfId="12723" xr:uid="{00000000-0005-0000-0000-0000DF070000}"/>
    <cellStyle name="20% - Accent1 4 3 2 2 3" xfId="16674" xr:uid="{00000000-0005-0000-0000-0000E0070000}"/>
    <cellStyle name="20% - Accent1 4 3 2 3" xfId="1319" xr:uid="{00000000-0005-0000-0000-0000E1070000}"/>
    <cellStyle name="20% - Accent1 4 3 2 3 2" xfId="12724" xr:uid="{00000000-0005-0000-0000-0000E2070000}"/>
    <cellStyle name="20% - Accent1 4 3 2 3 3" xfId="16675" xr:uid="{00000000-0005-0000-0000-0000E3070000}"/>
    <cellStyle name="20% - Accent1 4 3 2 4" xfId="12722" xr:uid="{00000000-0005-0000-0000-0000E4070000}"/>
    <cellStyle name="20% - Accent1 4 3 2 5" xfId="16673" xr:uid="{00000000-0005-0000-0000-0000E5070000}"/>
    <cellStyle name="20% - Accent1 4 3 3" xfId="1320" xr:uid="{00000000-0005-0000-0000-0000E6070000}"/>
    <cellStyle name="20% - Accent1 4 3 3 2" xfId="1321" xr:uid="{00000000-0005-0000-0000-0000E7070000}"/>
    <cellStyle name="20% - Accent1 4 3 3 2 2" xfId="12726" xr:uid="{00000000-0005-0000-0000-0000E8070000}"/>
    <cellStyle name="20% - Accent1 4 3 3 2 3" xfId="16677" xr:uid="{00000000-0005-0000-0000-0000E9070000}"/>
    <cellStyle name="20% - Accent1 4 3 3 3" xfId="1322" xr:uid="{00000000-0005-0000-0000-0000EA070000}"/>
    <cellStyle name="20% - Accent1 4 3 3 3 2" xfId="12727" xr:uid="{00000000-0005-0000-0000-0000EB070000}"/>
    <cellStyle name="20% - Accent1 4 3 3 3 3" xfId="16678" xr:uid="{00000000-0005-0000-0000-0000EC070000}"/>
    <cellStyle name="20% - Accent1 4 3 3 4" xfId="12725" xr:uid="{00000000-0005-0000-0000-0000ED070000}"/>
    <cellStyle name="20% - Accent1 4 3 3 5" xfId="16676" xr:uid="{00000000-0005-0000-0000-0000EE070000}"/>
    <cellStyle name="20% - Accent1 4 3 4" xfId="1323" xr:uid="{00000000-0005-0000-0000-0000EF070000}"/>
    <cellStyle name="20% - Accent1 4 3 4 2" xfId="12728" xr:uid="{00000000-0005-0000-0000-0000F0070000}"/>
    <cellStyle name="20% - Accent1 4 3 4 3" xfId="16679" xr:uid="{00000000-0005-0000-0000-0000F1070000}"/>
    <cellStyle name="20% - Accent1 4 3 5" xfId="1324" xr:uid="{00000000-0005-0000-0000-0000F2070000}"/>
    <cellStyle name="20% - Accent1 4 3 5 2" xfId="12729" xr:uid="{00000000-0005-0000-0000-0000F3070000}"/>
    <cellStyle name="20% - Accent1 4 3 5 3" xfId="16680" xr:uid="{00000000-0005-0000-0000-0000F4070000}"/>
    <cellStyle name="20% - Accent1 4 3 6" xfId="12721" xr:uid="{00000000-0005-0000-0000-0000F5070000}"/>
    <cellStyle name="20% - Accent1 4 3 7" xfId="16672" xr:uid="{00000000-0005-0000-0000-0000F6070000}"/>
    <cellStyle name="20% - Accent1 4 3_Volatility" xfId="1325" xr:uid="{00000000-0005-0000-0000-0000F7070000}"/>
    <cellStyle name="20% - Accent1 4 4" xfId="1326" xr:uid="{00000000-0005-0000-0000-0000F8070000}"/>
    <cellStyle name="20% - Accent1 4 4 2" xfId="1327" xr:uid="{00000000-0005-0000-0000-0000F9070000}"/>
    <cellStyle name="20% - Accent1 4 4 2 2" xfId="12731" xr:uid="{00000000-0005-0000-0000-0000FA070000}"/>
    <cellStyle name="20% - Accent1 4 4 2 3" xfId="16682" xr:uid="{00000000-0005-0000-0000-0000FB070000}"/>
    <cellStyle name="20% - Accent1 4 4 3" xfId="1328" xr:uid="{00000000-0005-0000-0000-0000FC070000}"/>
    <cellStyle name="20% - Accent1 4 4 3 2" xfId="12732" xr:uid="{00000000-0005-0000-0000-0000FD070000}"/>
    <cellStyle name="20% - Accent1 4 4 3 3" xfId="16683" xr:uid="{00000000-0005-0000-0000-0000FE070000}"/>
    <cellStyle name="20% - Accent1 4 4 4" xfId="12730" xr:uid="{00000000-0005-0000-0000-0000FF070000}"/>
    <cellStyle name="20% - Accent1 4 4 5" xfId="16681" xr:uid="{00000000-0005-0000-0000-000000080000}"/>
    <cellStyle name="20% - Accent1 4 5" xfId="1329" xr:uid="{00000000-0005-0000-0000-000001080000}"/>
    <cellStyle name="20% - Accent1 4 5 2" xfId="1330" xr:uid="{00000000-0005-0000-0000-000002080000}"/>
    <cellStyle name="20% - Accent1 4 5 2 2" xfId="12734" xr:uid="{00000000-0005-0000-0000-000003080000}"/>
    <cellStyle name="20% - Accent1 4 5 2 3" xfId="16685" xr:uid="{00000000-0005-0000-0000-000004080000}"/>
    <cellStyle name="20% - Accent1 4 5 3" xfId="1331" xr:uid="{00000000-0005-0000-0000-000005080000}"/>
    <cellStyle name="20% - Accent1 4 5 3 2" xfId="12735" xr:uid="{00000000-0005-0000-0000-000006080000}"/>
    <cellStyle name="20% - Accent1 4 5 3 3" xfId="16686" xr:uid="{00000000-0005-0000-0000-000007080000}"/>
    <cellStyle name="20% - Accent1 4 5 4" xfId="12733" xr:uid="{00000000-0005-0000-0000-000008080000}"/>
    <cellStyle name="20% - Accent1 4 5 5" xfId="16684" xr:uid="{00000000-0005-0000-0000-000009080000}"/>
    <cellStyle name="20% - Accent1 4 6" xfId="1332" xr:uid="{00000000-0005-0000-0000-00000A080000}"/>
    <cellStyle name="20% - Accent1 4 6 2" xfId="1333" xr:uid="{00000000-0005-0000-0000-00000B080000}"/>
    <cellStyle name="20% - Accent1 4 6 2 2" xfId="12737" xr:uid="{00000000-0005-0000-0000-00000C080000}"/>
    <cellStyle name="20% - Accent1 4 6 2 3" xfId="16688" xr:uid="{00000000-0005-0000-0000-00000D080000}"/>
    <cellStyle name="20% - Accent1 4 6 3" xfId="1334" xr:uid="{00000000-0005-0000-0000-00000E080000}"/>
    <cellStyle name="20% - Accent1 4 6 3 2" xfId="12738" xr:uid="{00000000-0005-0000-0000-00000F080000}"/>
    <cellStyle name="20% - Accent1 4 6 3 3" xfId="16689" xr:uid="{00000000-0005-0000-0000-000010080000}"/>
    <cellStyle name="20% - Accent1 4 6 4" xfId="12736" xr:uid="{00000000-0005-0000-0000-000011080000}"/>
    <cellStyle name="20% - Accent1 4 6 5" xfId="16687" xr:uid="{00000000-0005-0000-0000-000012080000}"/>
    <cellStyle name="20% - Accent1 4 7" xfId="1335" xr:uid="{00000000-0005-0000-0000-000013080000}"/>
    <cellStyle name="20% - Accent1 4 7 2" xfId="12739" xr:uid="{00000000-0005-0000-0000-000014080000}"/>
    <cellStyle name="20% - Accent1 4 7 3" xfId="16690" xr:uid="{00000000-0005-0000-0000-000015080000}"/>
    <cellStyle name="20% - Accent1 4 8" xfId="1336" xr:uid="{00000000-0005-0000-0000-000016080000}"/>
    <cellStyle name="20% - Accent1 4 8 2" xfId="12740" xr:uid="{00000000-0005-0000-0000-000017080000}"/>
    <cellStyle name="20% - Accent1 4 8 3" xfId="16691" xr:uid="{00000000-0005-0000-0000-000018080000}"/>
    <cellStyle name="20% - Accent1 4 9" xfId="12708" xr:uid="{00000000-0005-0000-0000-000019080000}"/>
    <cellStyle name="20% - Accent1 4_Volatility" xfId="1337" xr:uid="{00000000-0005-0000-0000-00001A080000}"/>
    <cellStyle name="20% - Accent1 5" xfId="1338" xr:uid="{00000000-0005-0000-0000-00001B080000}"/>
    <cellStyle name="20% - Accent1 5 10" xfId="16692" xr:uid="{00000000-0005-0000-0000-00001C080000}"/>
    <cellStyle name="20% - Accent1 5 2" xfId="1339" xr:uid="{00000000-0005-0000-0000-00001D080000}"/>
    <cellStyle name="20% - Accent1 5 2 2" xfId="1340" xr:uid="{00000000-0005-0000-0000-00001E080000}"/>
    <cellStyle name="20% - Accent1 5 2 2 2" xfId="1341" xr:uid="{00000000-0005-0000-0000-00001F080000}"/>
    <cellStyle name="20% - Accent1 5 2 2 2 2" xfId="12744" xr:uid="{00000000-0005-0000-0000-000020080000}"/>
    <cellStyle name="20% - Accent1 5 2 2 2 3" xfId="16695" xr:uid="{00000000-0005-0000-0000-000021080000}"/>
    <cellStyle name="20% - Accent1 5 2 2 3" xfId="1342" xr:uid="{00000000-0005-0000-0000-000022080000}"/>
    <cellStyle name="20% - Accent1 5 2 2 3 2" xfId="12745" xr:uid="{00000000-0005-0000-0000-000023080000}"/>
    <cellStyle name="20% - Accent1 5 2 2 3 3" xfId="16696" xr:uid="{00000000-0005-0000-0000-000024080000}"/>
    <cellStyle name="20% - Accent1 5 2 2 4" xfId="12743" xr:uid="{00000000-0005-0000-0000-000025080000}"/>
    <cellStyle name="20% - Accent1 5 2 2 5" xfId="16694" xr:uid="{00000000-0005-0000-0000-000026080000}"/>
    <cellStyle name="20% - Accent1 5 2 3" xfId="1343" xr:uid="{00000000-0005-0000-0000-000027080000}"/>
    <cellStyle name="20% - Accent1 5 2 3 2" xfId="1344" xr:uid="{00000000-0005-0000-0000-000028080000}"/>
    <cellStyle name="20% - Accent1 5 2 3 2 2" xfId="12747" xr:uid="{00000000-0005-0000-0000-000029080000}"/>
    <cellStyle name="20% - Accent1 5 2 3 2 3" xfId="16698" xr:uid="{00000000-0005-0000-0000-00002A080000}"/>
    <cellStyle name="20% - Accent1 5 2 3 3" xfId="1345" xr:uid="{00000000-0005-0000-0000-00002B080000}"/>
    <cellStyle name="20% - Accent1 5 2 3 3 2" xfId="12748" xr:uid="{00000000-0005-0000-0000-00002C080000}"/>
    <cellStyle name="20% - Accent1 5 2 3 3 3" xfId="16699" xr:uid="{00000000-0005-0000-0000-00002D080000}"/>
    <cellStyle name="20% - Accent1 5 2 3 4" xfId="12746" xr:uid="{00000000-0005-0000-0000-00002E080000}"/>
    <cellStyle name="20% - Accent1 5 2 3 5" xfId="16697" xr:uid="{00000000-0005-0000-0000-00002F080000}"/>
    <cellStyle name="20% - Accent1 5 2 4" xfId="1346" xr:uid="{00000000-0005-0000-0000-000030080000}"/>
    <cellStyle name="20% - Accent1 5 2 4 2" xfId="1347" xr:uid="{00000000-0005-0000-0000-000031080000}"/>
    <cellStyle name="20% - Accent1 5 2 4 2 2" xfId="12750" xr:uid="{00000000-0005-0000-0000-000032080000}"/>
    <cellStyle name="20% - Accent1 5 2 4 2 3" xfId="16701" xr:uid="{00000000-0005-0000-0000-000033080000}"/>
    <cellStyle name="20% - Accent1 5 2 4 3" xfId="1348" xr:uid="{00000000-0005-0000-0000-000034080000}"/>
    <cellStyle name="20% - Accent1 5 2 4 3 2" xfId="12751" xr:uid="{00000000-0005-0000-0000-000035080000}"/>
    <cellStyle name="20% - Accent1 5 2 4 3 3" xfId="16702" xr:uid="{00000000-0005-0000-0000-000036080000}"/>
    <cellStyle name="20% - Accent1 5 2 4 4" xfId="12749" xr:uid="{00000000-0005-0000-0000-000037080000}"/>
    <cellStyle name="20% - Accent1 5 2 4 5" xfId="16700" xr:uid="{00000000-0005-0000-0000-000038080000}"/>
    <cellStyle name="20% - Accent1 5 2 5" xfId="1349" xr:uid="{00000000-0005-0000-0000-000039080000}"/>
    <cellStyle name="20% - Accent1 5 2 5 2" xfId="12752" xr:uid="{00000000-0005-0000-0000-00003A080000}"/>
    <cellStyle name="20% - Accent1 5 2 5 3" xfId="16703" xr:uid="{00000000-0005-0000-0000-00003B080000}"/>
    <cellStyle name="20% - Accent1 5 2 6" xfId="1350" xr:uid="{00000000-0005-0000-0000-00003C080000}"/>
    <cellStyle name="20% - Accent1 5 2 6 2" xfId="12753" xr:uid="{00000000-0005-0000-0000-00003D080000}"/>
    <cellStyle name="20% - Accent1 5 2 6 3" xfId="16704" xr:uid="{00000000-0005-0000-0000-00003E080000}"/>
    <cellStyle name="20% - Accent1 5 2 7" xfId="12742" xr:uid="{00000000-0005-0000-0000-00003F080000}"/>
    <cellStyle name="20% - Accent1 5 2 8" xfId="16693" xr:uid="{00000000-0005-0000-0000-000040080000}"/>
    <cellStyle name="20% - Accent1 5 2_Volatility" xfId="1351" xr:uid="{00000000-0005-0000-0000-000041080000}"/>
    <cellStyle name="20% - Accent1 5 3" xfId="1352" xr:uid="{00000000-0005-0000-0000-000042080000}"/>
    <cellStyle name="20% - Accent1 5 3 2" xfId="1353" xr:uid="{00000000-0005-0000-0000-000043080000}"/>
    <cellStyle name="20% - Accent1 5 3 2 2" xfId="1354" xr:uid="{00000000-0005-0000-0000-000044080000}"/>
    <cellStyle name="20% - Accent1 5 3 2 2 2" xfId="12756" xr:uid="{00000000-0005-0000-0000-000045080000}"/>
    <cellStyle name="20% - Accent1 5 3 2 2 3" xfId="16707" xr:uid="{00000000-0005-0000-0000-000046080000}"/>
    <cellStyle name="20% - Accent1 5 3 2 3" xfId="1355" xr:uid="{00000000-0005-0000-0000-000047080000}"/>
    <cellStyle name="20% - Accent1 5 3 2 3 2" xfId="12757" xr:uid="{00000000-0005-0000-0000-000048080000}"/>
    <cellStyle name="20% - Accent1 5 3 2 3 3" xfId="16708" xr:uid="{00000000-0005-0000-0000-000049080000}"/>
    <cellStyle name="20% - Accent1 5 3 2 4" xfId="12755" xr:uid="{00000000-0005-0000-0000-00004A080000}"/>
    <cellStyle name="20% - Accent1 5 3 2 5" xfId="16706" xr:uid="{00000000-0005-0000-0000-00004B080000}"/>
    <cellStyle name="20% - Accent1 5 3 3" xfId="1356" xr:uid="{00000000-0005-0000-0000-00004C080000}"/>
    <cellStyle name="20% - Accent1 5 3 3 2" xfId="1357" xr:uid="{00000000-0005-0000-0000-00004D080000}"/>
    <cellStyle name="20% - Accent1 5 3 3 2 2" xfId="12759" xr:uid="{00000000-0005-0000-0000-00004E080000}"/>
    <cellStyle name="20% - Accent1 5 3 3 2 3" xfId="16710" xr:uid="{00000000-0005-0000-0000-00004F080000}"/>
    <cellStyle name="20% - Accent1 5 3 3 3" xfId="1358" xr:uid="{00000000-0005-0000-0000-000050080000}"/>
    <cellStyle name="20% - Accent1 5 3 3 3 2" xfId="12760" xr:uid="{00000000-0005-0000-0000-000051080000}"/>
    <cellStyle name="20% - Accent1 5 3 3 3 3" xfId="16711" xr:uid="{00000000-0005-0000-0000-000052080000}"/>
    <cellStyle name="20% - Accent1 5 3 3 4" xfId="12758" xr:uid="{00000000-0005-0000-0000-000053080000}"/>
    <cellStyle name="20% - Accent1 5 3 3 5" xfId="16709" xr:uid="{00000000-0005-0000-0000-000054080000}"/>
    <cellStyle name="20% - Accent1 5 3 4" xfId="1359" xr:uid="{00000000-0005-0000-0000-000055080000}"/>
    <cellStyle name="20% - Accent1 5 3 4 2" xfId="12761" xr:uid="{00000000-0005-0000-0000-000056080000}"/>
    <cellStyle name="20% - Accent1 5 3 4 3" xfId="16712" xr:uid="{00000000-0005-0000-0000-000057080000}"/>
    <cellStyle name="20% - Accent1 5 3 5" xfId="1360" xr:uid="{00000000-0005-0000-0000-000058080000}"/>
    <cellStyle name="20% - Accent1 5 3 5 2" xfId="12762" xr:uid="{00000000-0005-0000-0000-000059080000}"/>
    <cellStyle name="20% - Accent1 5 3 5 3" xfId="16713" xr:uid="{00000000-0005-0000-0000-00005A080000}"/>
    <cellStyle name="20% - Accent1 5 3 6" xfId="12754" xr:uid="{00000000-0005-0000-0000-00005B080000}"/>
    <cellStyle name="20% - Accent1 5 3 7" xfId="16705" xr:uid="{00000000-0005-0000-0000-00005C080000}"/>
    <cellStyle name="20% - Accent1 5 3_Volatility" xfId="1361" xr:uid="{00000000-0005-0000-0000-00005D080000}"/>
    <cellStyle name="20% - Accent1 5 4" xfId="1362" xr:uid="{00000000-0005-0000-0000-00005E080000}"/>
    <cellStyle name="20% - Accent1 5 4 2" xfId="1363" xr:uid="{00000000-0005-0000-0000-00005F080000}"/>
    <cellStyle name="20% - Accent1 5 4 2 2" xfId="12764" xr:uid="{00000000-0005-0000-0000-000060080000}"/>
    <cellStyle name="20% - Accent1 5 4 2 3" xfId="16715" xr:uid="{00000000-0005-0000-0000-000061080000}"/>
    <cellStyle name="20% - Accent1 5 4 3" xfId="1364" xr:uid="{00000000-0005-0000-0000-000062080000}"/>
    <cellStyle name="20% - Accent1 5 4 3 2" xfId="12765" xr:uid="{00000000-0005-0000-0000-000063080000}"/>
    <cellStyle name="20% - Accent1 5 4 3 3" xfId="16716" xr:uid="{00000000-0005-0000-0000-000064080000}"/>
    <cellStyle name="20% - Accent1 5 4 4" xfId="12763" xr:uid="{00000000-0005-0000-0000-000065080000}"/>
    <cellStyle name="20% - Accent1 5 4 5" xfId="16714" xr:uid="{00000000-0005-0000-0000-000066080000}"/>
    <cellStyle name="20% - Accent1 5 5" xfId="1365" xr:uid="{00000000-0005-0000-0000-000067080000}"/>
    <cellStyle name="20% - Accent1 5 5 2" xfId="1366" xr:uid="{00000000-0005-0000-0000-000068080000}"/>
    <cellStyle name="20% - Accent1 5 5 2 2" xfId="12767" xr:uid="{00000000-0005-0000-0000-000069080000}"/>
    <cellStyle name="20% - Accent1 5 5 2 3" xfId="16718" xr:uid="{00000000-0005-0000-0000-00006A080000}"/>
    <cellStyle name="20% - Accent1 5 5 3" xfId="1367" xr:uid="{00000000-0005-0000-0000-00006B080000}"/>
    <cellStyle name="20% - Accent1 5 5 3 2" xfId="12768" xr:uid="{00000000-0005-0000-0000-00006C080000}"/>
    <cellStyle name="20% - Accent1 5 5 3 3" xfId="16719" xr:uid="{00000000-0005-0000-0000-00006D080000}"/>
    <cellStyle name="20% - Accent1 5 5 4" xfId="12766" xr:uid="{00000000-0005-0000-0000-00006E080000}"/>
    <cellStyle name="20% - Accent1 5 5 5" xfId="16717" xr:uid="{00000000-0005-0000-0000-00006F080000}"/>
    <cellStyle name="20% - Accent1 5 6" xfId="1368" xr:uid="{00000000-0005-0000-0000-000070080000}"/>
    <cellStyle name="20% - Accent1 5 6 2" xfId="1369" xr:uid="{00000000-0005-0000-0000-000071080000}"/>
    <cellStyle name="20% - Accent1 5 6 2 2" xfId="12770" xr:uid="{00000000-0005-0000-0000-000072080000}"/>
    <cellStyle name="20% - Accent1 5 6 2 3" xfId="16721" xr:uid="{00000000-0005-0000-0000-000073080000}"/>
    <cellStyle name="20% - Accent1 5 6 3" xfId="1370" xr:uid="{00000000-0005-0000-0000-000074080000}"/>
    <cellStyle name="20% - Accent1 5 6 3 2" xfId="12771" xr:uid="{00000000-0005-0000-0000-000075080000}"/>
    <cellStyle name="20% - Accent1 5 6 3 3" xfId="16722" xr:uid="{00000000-0005-0000-0000-000076080000}"/>
    <cellStyle name="20% - Accent1 5 6 4" xfId="12769" xr:uid="{00000000-0005-0000-0000-000077080000}"/>
    <cellStyle name="20% - Accent1 5 6 5" xfId="16720" xr:uid="{00000000-0005-0000-0000-000078080000}"/>
    <cellStyle name="20% - Accent1 5 7" xfId="1371" xr:uid="{00000000-0005-0000-0000-000079080000}"/>
    <cellStyle name="20% - Accent1 5 7 2" xfId="12772" xr:uid="{00000000-0005-0000-0000-00007A080000}"/>
    <cellStyle name="20% - Accent1 5 7 3" xfId="16723" xr:uid="{00000000-0005-0000-0000-00007B080000}"/>
    <cellStyle name="20% - Accent1 5 8" xfId="1372" xr:uid="{00000000-0005-0000-0000-00007C080000}"/>
    <cellStyle name="20% - Accent1 5 8 2" xfId="12773" xr:uid="{00000000-0005-0000-0000-00007D080000}"/>
    <cellStyle name="20% - Accent1 5 8 3" xfId="16724" xr:uid="{00000000-0005-0000-0000-00007E080000}"/>
    <cellStyle name="20% - Accent1 5 9" xfId="12741" xr:uid="{00000000-0005-0000-0000-00007F080000}"/>
    <cellStyle name="20% - Accent1 5_Volatility" xfId="1373" xr:uid="{00000000-0005-0000-0000-000080080000}"/>
    <cellStyle name="20% - Accent1 6" xfId="1374" xr:uid="{00000000-0005-0000-0000-000081080000}"/>
    <cellStyle name="20% - Accent1 6 10" xfId="16725" xr:uid="{00000000-0005-0000-0000-000082080000}"/>
    <cellStyle name="20% - Accent1 6 2" xfId="1375" xr:uid="{00000000-0005-0000-0000-000083080000}"/>
    <cellStyle name="20% - Accent1 6 2 2" xfId="1376" xr:uid="{00000000-0005-0000-0000-000084080000}"/>
    <cellStyle name="20% - Accent1 6 2 2 2" xfId="1377" xr:uid="{00000000-0005-0000-0000-000085080000}"/>
    <cellStyle name="20% - Accent1 6 2 2 2 2" xfId="12777" xr:uid="{00000000-0005-0000-0000-000086080000}"/>
    <cellStyle name="20% - Accent1 6 2 2 2 3" xfId="16728" xr:uid="{00000000-0005-0000-0000-000087080000}"/>
    <cellStyle name="20% - Accent1 6 2 2 3" xfId="1378" xr:uid="{00000000-0005-0000-0000-000088080000}"/>
    <cellStyle name="20% - Accent1 6 2 2 3 2" xfId="12778" xr:uid="{00000000-0005-0000-0000-000089080000}"/>
    <cellStyle name="20% - Accent1 6 2 2 3 3" xfId="16729" xr:uid="{00000000-0005-0000-0000-00008A080000}"/>
    <cellStyle name="20% - Accent1 6 2 2 4" xfId="12776" xr:uid="{00000000-0005-0000-0000-00008B080000}"/>
    <cellStyle name="20% - Accent1 6 2 2 5" xfId="16727" xr:uid="{00000000-0005-0000-0000-00008C080000}"/>
    <cellStyle name="20% - Accent1 6 2 3" xfId="1379" xr:uid="{00000000-0005-0000-0000-00008D080000}"/>
    <cellStyle name="20% - Accent1 6 2 3 2" xfId="1380" xr:uid="{00000000-0005-0000-0000-00008E080000}"/>
    <cellStyle name="20% - Accent1 6 2 3 2 2" xfId="12780" xr:uid="{00000000-0005-0000-0000-00008F080000}"/>
    <cellStyle name="20% - Accent1 6 2 3 2 3" xfId="16731" xr:uid="{00000000-0005-0000-0000-000090080000}"/>
    <cellStyle name="20% - Accent1 6 2 3 3" xfId="1381" xr:uid="{00000000-0005-0000-0000-000091080000}"/>
    <cellStyle name="20% - Accent1 6 2 3 3 2" xfId="12781" xr:uid="{00000000-0005-0000-0000-000092080000}"/>
    <cellStyle name="20% - Accent1 6 2 3 3 3" xfId="16732" xr:uid="{00000000-0005-0000-0000-000093080000}"/>
    <cellStyle name="20% - Accent1 6 2 3 4" xfId="12779" xr:uid="{00000000-0005-0000-0000-000094080000}"/>
    <cellStyle name="20% - Accent1 6 2 3 5" xfId="16730" xr:uid="{00000000-0005-0000-0000-000095080000}"/>
    <cellStyle name="20% - Accent1 6 2 4" xfId="1382" xr:uid="{00000000-0005-0000-0000-000096080000}"/>
    <cellStyle name="20% - Accent1 6 2 4 2" xfId="1383" xr:uid="{00000000-0005-0000-0000-000097080000}"/>
    <cellStyle name="20% - Accent1 6 2 4 2 2" xfId="12783" xr:uid="{00000000-0005-0000-0000-000098080000}"/>
    <cellStyle name="20% - Accent1 6 2 4 2 3" xfId="16734" xr:uid="{00000000-0005-0000-0000-000099080000}"/>
    <cellStyle name="20% - Accent1 6 2 4 3" xfId="1384" xr:uid="{00000000-0005-0000-0000-00009A080000}"/>
    <cellStyle name="20% - Accent1 6 2 4 3 2" xfId="12784" xr:uid="{00000000-0005-0000-0000-00009B080000}"/>
    <cellStyle name="20% - Accent1 6 2 4 3 3" xfId="16735" xr:uid="{00000000-0005-0000-0000-00009C080000}"/>
    <cellStyle name="20% - Accent1 6 2 4 4" xfId="12782" xr:uid="{00000000-0005-0000-0000-00009D080000}"/>
    <cellStyle name="20% - Accent1 6 2 4 5" xfId="16733" xr:uid="{00000000-0005-0000-0000-00009E080000}"/>
    <cellStyle name="20% - Accent1 6 2 5" xfId="1385" xr:uid="{00000000-0005-0000-0000-00009F080000}"/>
    <cellStyle name="20% - Accent1 6 2 5 2" xfId="12785" xr:uid="{00000000-0005-0000-0000-0000A0080000}"/>
    <cellStyle name="20% - Accent1 6 2 5 3" xfId="16736" xr:uid="{00000000-0005-0000-0000-0000A1080000}"/>
    <cellStyle name="20% - Accent1 6 2 6" xfId="1386" xr:uid="{00000000-0005-0000-0000-0000A2080000}"/>
    <cellStyle name="20% - Accent1 6 2 6 2" xfId="12786" xr:uid="{00000000-0005-0000-0000-0000A3080000}"/>
    <cellStyle name="20% - Accent1 6 2 6 3" xfId="16737" xr:uid="{00000000-0005-0000-0000-0000A4080000}"/>
    <cellStyle name="20% - Accent1 6 2 7" xfId="12775" xr:uid="{00000000-0005-0000-0000-0000A5080000}"/>
    <cellStyle name="20% - Accent1 6 2 8" xfId="16726" xr:uid="{00000000-0005-0000-0000-0000A6080000}"/>
    <cellStyle name="20% - Accent1 6 2_Volatility" xfId="1387" xr:uid="{00000000-0005-0000-0000-0000A7080000}"/>
    <cellStyle name="20% - Accent1 6 3" xfId="1388" xr:uid="{00000000-0005-0000-0000-0000A8080000}"/>
    <cellStyle name="20% - Accent1 6 3 2" xfId="1389" xr:uid="{00000000-0005-0000-0000-0000A9080000}"/>
    <cellStyle name="20% - Accent1 6 3 2 2" xfId="1390" xr:uid="{00000000-0005-0000-0000-0000AA080000}"/>
    <cellStyle name="20% - Accent1 6 3 2 2 2" xfId="12789" xr:uid="{00000000-0005-0000-0000-0000AB080000}"/>
    <cellStyle name="20% - Accent1 6 3 2 2 3" xfId="16740" xr:uid="{00000000-0005-0000-0000-0000AC080000}"/>
    <cellStyle name="20% - Accent1 6 3 2 3" xfId="1391" xr:uid="{00000000-0005-0000-0000-0000AD080000}"/>
    <cellStyle name="20% - Accent1 6 3 2 3 2" xfId="12790" xr:uid="{00000000-0005-0000-0000-0000AE080000}"/>
    <cellStyle name="20% - Accent1 6 3 2 3 3" xfId="16741" xr:uid="{00000000-0005-0000-0000-0000AF080000}"/>
    <cellStyle name="20% - Accent1 6 3 2 4" xfId="12788" xr:uid="{00000000-0005-0000-0000-0000B0080000}"/>
    <cellStyle name="20% - Accent1 6 3 2 5" xfId="16739" xr:uid="{00000000-0005-0000-0000-0000B1080000}"/>
    <cellStyle name="20% - Accent1 6 3 3" xfId="1392" xr:uid="{00000000-0005-0000-0000-0000B2080000}"/>
    <cellStyle name="20% - Accent1 6 3 3 2" xfId="1393" xr:uid="{00000000-0005-0000-0000-0000B3080000}"/>
    <cellStyle name="20% - Accent1 6 3 3 2 2" xfId="12792" xr:uid="{00000000-0005-0000-0000-0000B4080000}"/>
    <cellStyle name="20% - Accent1 6 3 3 2 3" xfId="16743" xr:uid="{00000000-0005-0000-0000-0000B5080000}"/>
    <cellStyle name="20% - Accent1 6 3 3 3" xfId="1394" xr:uid="{00000000-0005-0000-0000-0000B6080000}"/>
    <cellStyle name="20% - Accent1 6 3 3 3 2" xfId="12793" xr:uid="{00000000-0005-0000-0000-0000B7080000}"/>
    <cellStyle name="20% - Accent1 6 3 3 3 3" xfId="16744" xr:uid="{00000000-0005-0000-0000-0000B8080000}"/>
    <cellStyle name="20% - Accent1 6 3 3 4" xfId="12791" xr:uid="{00000000-0005-0000-0000-0000B9080000}"/>
    <cellStyle name="20% - Accent1 6 3 3 5" xfId="16742" xr:uid="{00000000-0005-0000-0000-0000BA080000}"/>
    <cellStyle name="20% - Accent1 6 3 4" xfId="1395" xr:uid="{00000000-0005-0000-0000-0000BB080000}"/>
    <cellStyle name="20% - Accent1 6 3 4 2" xfId="12794" xr:uid="{00000000-0005-0000-0000-0000BC080000}"/>
    <cellStyle name="20% - Accent1 6 3 4 3" xfId="16745" xr:uid="{00000000-0005-0000-0000-0000BD080000}"/>
    <cellStyle name="20% - Accent1 6 3 5" xfId="1396" xr:uid="{00000000-0005-0000-0000-0000BE080000}"/>
    <cellStyle name="20% - Accent1 6 3 5 2" xfId="12795" xr:uid="{00000000-0005-0000-0000-0000BF080000}"/>
    <cellStyle name="20% - Accent1 6 3 5 3" xfId="16746" xr:uid="{00000000-0005-0000-0000-0000C0080000}"/>
    <cellStyle name="20% - Accent1 6 3 6" xfId="12787" xr:uid="{00000000-0005-0000-0000-0000C1080000}"/>
    <cellStyle name="20% - Accent1 6 3 7" xfId="16738" xr:uid="{00000000-0005-0000-0000-0000C2080000}"/>
    <cellStyle name="20% - Accent1 6 3_Volatility" xfId="1397" xr:uid="{00000000-0005-0000-0000-0000C3080000}"/>
    <cellStyle name="20% - Accent1 6 4" xfId="1398" xr:uid="{00000000-0005-0000-0000-0000C4080000}"/>
    <cellStyle name="20% - Accent1 6 4 2" xfId="1399" xr:uid="{00000000-0005-0000-0000-0000C5080000}"/>
    <cellStyle name="20% - Accent1 6 4 2 2" xfId="12797" xr:uid="{00000000-0005-0000-0000-0000C6080000}"/>
    <cellStyle name="20% - Accent1 6 4 2 3" xfId="16748" xr:uid="{00000000-0005-0000-0000-0000C7080000}"/>
    <cellStyle name="20% - Accent1 6 4 3" xfId="1400" xr:uid="{00000000-0005-0000-0000-0000C8080000}"/>
    <cellStyle name="20% - Accent1 6 4 3 2" xfId="12798" xr:uid="{00000000-0005-0000-0000-0000C9080000}"/>
    <cellStyle name="20% - Accent1 6 4 3 3" xfId="16749" xr:uid="{00000000-0005-0000-0000-0000CA080000}"/>
    <cellStyle name="20% - Accent1 6 4 4" xfId="12796" xr:uid="{00000000-0005-0000-0000-0000CB080000}"/>
    <cellStyle name="20% - Accent1 6 4 5" xfId="16747" xr:uid="{00000000-0005-0000-0000-0000CC080000}"/>
    <cellStyle name="20% - Accent1 6 5" xfId="1401" xr:uid="{00000000-0005-0000-0000-0000CD080000}"/>
    <cellStyle name="20% - Accent1 6 5 2" xfId="1402" xr:uid="{00000000-0005-0000-0000-0000CE080000}"/>
    <cellStyle name="20% - Accent1 6 5 2 2" xfId="12800" xr:uid="{00000000-0005-0000-0000-0000CF080000}"/>
    <cellStyle name="20% - Accent1 6 5 2 3" xfId="16751" xr:uid="{00000000-0005-0000-0000-0000D0080000}"/>
    <cellStyle name="20% - Accent1 6 5 3" xfId="1403" xr:uid="{00000000-0005-0000-0000-0000D1080000}"/>
    <cellStyle name="20% - Accent1 6 5 3 2" xfId="12801" xr:uid="{00000000-0005-0000-0000-0000D2080000}"/>
    <cellStyle name="20% - Accent1 6 5 3 3" xfId="16752" xr:uid="{00000000-0005-0000-0000-0000D3080000}"/>
    <cellStyle name="20% - Accent1 6 5 4" xfId="12799" xr:uid="{00000000-0005-0000-0000-0000D4080000}"/>
    <cellStyle name="20% - Accent1 6 5 5" xfId="16750" xr:uid="{00000000-0005-0000-0000-0000D5080000}"/>
    <cellStyle name="20% - Accent1 6 6" xfId="1404" xr:uid="{00000000-0005-0000-0000-0000D6080000}"/>
    <cellStyle name="20% - Accent1 6 6 2" xfId="1405" xr:uid="{00000000-0005-0000-0000-0000D7080000}"/>
    <cellStyle name="20% - Accent1 6 6 2 2" xfId="12803" xr:uid="{00000000-0005-0000-0000-0000D8080000}"/>
    <cellStyle name="20% - Accent1 6 6 2 3" xfId="16754" xr:uid="{00000000-0005-0000-0000-0000D9080000}"/>
    <cellStyle name="20% - Accent1 6 6 3" xfId="1406" xr:uid="{00000000-0005-0000-0000-0000DA080000}"/>
    <cellStyle name="20% - Accent1 6 6 3 2" xfId="12804" xr:uid="{00000000-0005-0000-0000-0000DB080000}"/>
    <cellStyle name="20% - Accent1 6 6 3 3" xfId="16755" xr:uid="{00000000-0005-0000-0000-0000DC080000}"/>
    <cellStyle name="20% - Accent1 6 6 4" xfId="12802" xr:uid="{00000000-0005-0000-0000-0000DD080000}"/>
    <cellStyle name="20% - Accent1 6 6 5" xfId="16753" xr:uid="{00000000-0005-0000-0000-0000DE080000}"/>
    <cellStyle name="20% - Accent1 6 7" xfId="1407" xr:uid="{00000000-0005-0000-0000-0000DF080000}"/>
    <cellStyle name="20% - Accent1 6 7 2" xfId="12805" xr:uid="{00000000-0005-0000-0000-0000E0080000}"/>
    <cellStyle name="20% - Accent1 6 7 3" xfId="16756" xr:uid="{00000000-0005-0000-0000-0000E1080000}"/>
    <cellStyle name="20% - Accent1 6 8" xfId="1408" xr:uid="{00000000-0005-0000-0000-0000E2080000}"/>
    <cellStyle name="20% - Accent1 6 8 2" xfId="12806" xr:uid="{00000000-0005-0000-0000-0000E3080000}"/>
    <cellStyle name="20% - Accent1 6 8 3" xfId="16757" xr:uid="{00000000-0005-0000-0000-0000E4080000}"/>
    <cellStyle name="20% - Accent1 6 9" xfId="12774" xr:uid="{00000000-0005-0000-0000-0000E5080000}"/>
    <cellStyle name="20% - Accent1 6_Volatility" xfId="1409" xr:uid="{00000000-0005-0000-0000-0000E6080000}"/>
    <cellStyle name="20% - Accent1 7" xfId="1410" xr:uid="{00000000-0005-0000-0000-0000E7080000}"/>
    <cellStyle name="20% - Accent1 7 10" xfId="16758" xr:uid="{00000000-0005-0000-0000-0000E8080000}"/>
    <cellStyle name="20% - Accent1 7 2" xfId="1411" xr:uid="{00000000-0005-0000-0000-0000E9080000}"/>
    <cellStyle name="20% - Accent1 7 2 2" xfId="1412" xr:uid="{00000000-0005-0000-0000-0000EA080000}"/>
    <cellStyle name="20% - Accent1 7 2 2 2" xfId="1413" xr:uid="{00000000-0005-0000-0000-0000EB080000}"/>
    <cellStyle name="20% - Accent1 7 2 2 2 2" xfId="12810" xr:uid="{00000000-0005-0000-0000-0000EC080000}"/>
    <cellStyle name="20% - Accent1 7 2 2 2 3" xfId="16761" xr:uid="{00000000-0005-0000-0000-0000ED080000}"/>
    <cellStyle name="20% - Accent1 7 2 2 3" xfId="1414" xr:uid="{00000000-0005-0000-0000-0000EE080000}"/>
    <cellStyle name="20% - Accent1 7 2 2 3 2" xfId="12811" xr:uid="{00000000-0005-0000-0000-0000EF080000}"/>
    <cellStyle name="20% - Accent1 7 2 2 3 3" xfId="16762" xr:uid="{00000000-0005-0000-0000-0000F0080000}"/>
    <cellStyle name="20% - Accent1 7 2 2 4" xfId="12809" xr:uid="{00000000-0005-0000-0000-0000F1080000}"/>
    <cellStyle name="20% - Accent1 7 2 2 5" xfId="16760" xr:uid="{00000000-0005-0000-0000-0000F2080000}"/>
    <cellStyle name="20% - Accent1 7 2 3" xfId="1415" xr:uid="{00000000-0005-0000-0000-0000F3080000}"/>
    <cellStyle name="20% - Accent1 7 2 3 2" xfId="1416" xr:uid="{00000000-0005-0000-0000-0000F4080000}"/>
    <cellStyle name="20% - Accent1 7 2 3 2 2" xfId="12813" xr:uid="{00000000-0005-0000-0000-0000F5080000}"/>
    <cellStyle name="20% - Accent1 7 2 3 2 3" xfId="16764" xr:uid="{00000000-0005-0000-0000-0000F6080000}"/>
    <cellStyle name="20% - Accent1 7 2 3 3" xfId="1417" xr:uid="{00000000-0005-0000-0000-0000F7080000}"/>
    <cellStyle name="20% - Accent1 7 2 3 3 2" xfId="12814" xr:uid="{00000000-0005-0000-0000-0000F8080000}"/>
    <cellStyle name="20% - Accent1 7 2 3 3 3" xfId="16765" xr:uid="{00000000-0005-0000-0000-0000F9080000}"/>
    <cellStyle name="20% - Accent1 7 2 3 4" xfId="12812" xr:uid="{00000000-0005-0000-0000-0000FA080000}"/>
    <cellStyle name="20% - Accent1 7 2 3 5" xfId="16763" xr:uid="{00000000-0005-0000-0000-0000FB080000}"/>
    <cellStyle name="20% - Accent1 7 2 4" xfId="1418" xr:uid="{00000000-0005-0000-0000-0000FC080000}"/>
    <cellStyle name="20% - Accent1 7 2 4 2" xfId="1419" xr:uid="{00000000-0005-0000-0000-0000FD080000}"/>
    <cellStyle name="20% - Accent1 7 2 4 2 2" xfId="12816" xr:uid="{00000000-0005-0000-0000-0000FE080000}"/>
    <cellStyle name="20% - Accent1 7 2 4 2 3" xfId="16767" xr:uid="{00000000-0005-0000-0000-0000FF080000}"/>
    <cellStyle name="20% - Accent1 7 2 4 3" xfId="1420" xr:uid="{00000000-0005-0000-0000-000000090000}"/>
    <cellStyle name="20% - Accent1 7 2 4 3 2" xfId="12817" xr:uid="{00000000-0005-0000-0000-000001090000}"/>
    <cellStyle name="20% - Accent1 7 2 4 3 3" xfId="16768" xr:uid="{00000000-0005-0000-0000-000002090000}"/>
    <cellStyle name="20% - Accent1 7 2 4 4" xfId="12815" xr:uid="{00000000-0005-0000-0000-000003090000}"/>
    <cellStyle name="20% - Accent1 7 2 4 5" xfId="16766" xr:uid="{00000000-0005-0000-0000-000004090000}"/>
    <cellStyle name="20% - Accent1 7 2 5" xfId="1421" xr:uid="{00000000-0005-0000-0000-000005090000}"/>
    <cellStyle name="20% - Accent1 7 2 5 2" xfId="12818" xr:uid="{00000000-0005-0000-0000-000006090000}"/>
    <cellStyle name="20% - Accent1 7 2 5 3" xfId="16769" xr:uid="{00000000-0005-0000-0000-000007090000}"/>
    <cellStyle name="20% - Accent1 7 2 6" xfId="1422" xr:uid="{00000000-0005-0000-0000-000008090000}"/>
    <cellStyle name="20% - Accent1 7 2 6 2" xfId="12819" xr:uid="{00000000-0005-0000-0000-000009090000}"/>
    <cellStyle name="20% - Accent1 7 2 6 3" xfId="16770" xr:uid="{00000000-0005-0000-0000-00000A090000}"/>
    <cellStyle name="20% - Accent1 7 2 7" xfId="12808" xr:uid="{00000000-0005-0000-0000-00000B090000}"/>
    <cellStyle name="20% - Accent1 7 2 8" xfId="16759" xr:uid="{00000000-0005-0000-0000-00000C090000}"/>
    <cellStyle name="20% - Accent1 7 2_Volatility" xfId="1423" xr:uid="{00000000-0005-0000-0000-00000D090000}"/>
    <cellStyle name="20% - Accent1 7 3" xfId="1424" xr:uid="{00000000-0005-0000-0000-00000E090000}"/>
    <cellStyle name="20% - Accent1 7 3 2" xfId="1425" xr:uid="{00000000-0005-0000-0000-00000F090000}"/>
    <cellStyle name="20% - Accent1 7 3 2 2" xfId="1426" xr:uid="{00000000-0005-0000-0000-000010090000}"/>
    <cellStyle name="20% - Accent1 7 3 2 2 2" xfId="12822" xr:uid="{00000000-0005-0000-0000-000011090000}"/>
    <cellStyle name="20% - Accent1 7 3 2 2 3" xfId="16773" xr:uid="{00000000-0005-0000-0000-000012090000}"/>
    <cellStyle name="20% - Accent1 7 3 2 3" xfId="1427" xr:uid="{00000000-0005-0000-0000-000013090000}"/>
    <cellStyle name="20% - Accent1 7 3 2 3 2" xfId="12823" xr:uid="{00000000-0005-0000-0000-000014090000}"/>
    <cellStyle name="20% - Accent1 7 3 2 3 3" xfId="16774" xr:uid="{00000000-0005-0000-0000-000015090000}"/>
    <cellStyle name="20% - Accent1 7 3 2 4" xfId="12821" xr:uid="{00000000-0005-0000-0000-000016090000}"/>
    <cellStyle name="20% - Accent1 7 3 2 5" xfId="16772" xr:uid="{00000000-0005-0000-0000-000017090000}"/>
    <cellStyle name="20% - Accent1 7 3 3" xfId="1428" xr:uid="{00000000-0005-0000-0000-000018090000}"/>
    <cellStyle name="20% - Accent1 7 3 3 2" xfId="1429" xr:uid="{00000000-0005-0000-0000-000019090000}"/>
    <cellStyle name="20% - Accent1 7 3 3 2 2" xfId="12825" xr:uid="{00000000-0005-0000-0000-00001A090000}"/>
    <cellStyle name="20% - Accent1 7 3 3 2 3" xfId="16776" xr:uid="{00000000-0005-0000-0000-00001B090000}"/>
    <cellStyle name="20% - Accent1 7 3 3 3" xfId="1430" xr:uid="{00000000-0005-0000-0000-00001C090000}"/>
    <cellStyle name="20% - Accent1 7 3 3 3 2" xfId="12826" xr:uid="{00000000-0005-0000-0000-00001D090000}"/>
    <cellStyle name="20% - Accent1 7 3 3 3 3" xfId="16777" xr:uid="{00000000-0005-0000-0000-00001E090000}"/>
    <cellStyle name="20% - Accent1 7 3 3 4" xfId="12824" xr:uid="{00000000-0005-0000-0000-00001F090000}"/>
    <cellStyle name="20% - Accent1 7 3 3 5" xfId="16775" xr:uid="{00000000-0005-0000-0000-000020090000}"/>
    <cellStyle name="20% - Accent1 7 3 4" xfId="1431" xr:uid="{00000000-0005-0000-0000-000021090000}"/>
    <cellStyle name="20% - Accent1 7 3 4 2" xfId="12827" xr:uid="{00000000-0005-0000-0000-000022090000}"/>
    <cellStyle name="20% - Accent1 7 3 4 3" xfId="16778" xr:uid="{00000000-0005-0000-0000-000023090000}"/>
    <cellStyle name="20% - Accent1 7 3 5" xfId="1432" xr:uid="{00000000-0005-0000-0000-000024090000}"/>
    <cellStyle name="20% - Accent1 7 3 5 2" xfId="12828" xr:uid="{00000000-0005-0000-0000-000025090000}"/>
    <cellStyle name="20% - Accent1 7 3 5 3" xfId="16779" xr:uid="{00000000-0005-0000-0000-000026090000}"/>
    <cellStyle name="20% - Accent1 7 3 6" xfId="12820" xr:uid="{00000000-0005-0000-0000-000027090000}"/>
    <cellStyle name="20% - Accent1 7 3 7" xfId="16771" xr:uid="{00000000-0005-0000-0000-000028090000}"/>
    <cellStyle name="20% - Accent1 7 3_Volatility" xfId="1433" xr:uid="{00000000-0005-0000-0000-000029090000}"/>
    <cellStyle name="20% - Accent1 7 4" xfId="1434" xr:uid="{00000000-0005-0000-0000-00002A090000}"/>
    <cellStyle name="20% - Accent1 7 4 2" xfId="1435" xr:uid="{00000000-0005-0000-0000-00002B090000}"/>
    <cellStyle name="20% - Accent1 7 4 2 2" xfId="12830" xr:uid="{00000000-0005-0000-0000-00002C090000}"/>
    <cellStyle name="20% - Accent1 7 4 2 3" xfId="16781" xr:uid="{00000000-0005-0000-0000-00002D090000}"/>
    <cellStyle name="20% - Accent1 7 4 3" xfId="1436" xr:uid="{00000000-0005-0000-0000-00002E090000}"/>
    <cellStyle name="20% - Accent1 7 4 3 2" xfId="12831" xr:uid="{00000000-0005-0000-0000-00002F090000}"/>
    <cellStyle name="20% - Accent1 7 4 3 3" xfId="16782" xr:uid="{00000000-0005-0000-0000-000030090000}"/>
    <cellStyle name="20% - Accent1 7 4 4" xfId="12829" xr:uid="{00000000-0005-0000-0000-000031090000}"/>
    <cellStyle name="20% - Accent1 7 4 5" xfId="16780" xr:uid="{00000000-0005-0000-0000-000032090000}"/>
    <cellStyle name="20% - Accent1 7 5" xfId="1437" xr:uid="{00000000-0005-0000-0000-000033090000}"/>
    <cellStyle name="20% - Accent1 7 5 2" xfId="1438" xr:uid="{00000000-0005-0000-0000-000034090000}"/>
    <cellStyle name="20% - Accent1 7 5 2 2" xfId="12833" xr:uid="{00000000-0005-0000-0000-000035090000}"/>
    <cellStyle name="20% - Accent1 7 5 2 3" xfId="16784" xr:uid="{00000000-0005-0000-0000-000036090000}"/>
    <cellStyle name="20% - Accent1 7 5 3" xfId="1439" xr:uid="{00000000-0005-0000-0000-000037090000}"/>
    <cellStyle name="20% - Accent1 7 5 3 2" xfId="12834" xr:uid="{00000000-0005-0000-0000-000038090000}"/>
    <cellStyle name="20% - Accent1 7 5 3 3" xfId="16785" xr:uid="{00000000-0005-0000-0000-000039090000}"/>
    <cellStyle name="20% - Accent1 7 5 4" xfId="12832" xr:uid="{00000000-0005-0000-0000-00003A090000}"/>
    <cellStyle name="20% - Accent1 7 5 5" xfId="16783" xr:uid="{00000000-0005-0000-0000-00003B090000}"/>
    <cellStyle name="20% - Accent1 7 6" xfId="1440" xr:uid="{00000000-0005-0000-0000-00003C090000}"/>
    <cellStyle name="20% - Accent1 7 6 2" xfId="1441" xr:uid="{00000000-0005-0000-0000-00003D090000}"/>
    <cellStyle name="20% - Accent1 7 6 2 2" xfId="12836" xr:uid="{00000000-0005-0000-0000-00003E090000}"/>
    <cellStyle name="20% - Accent1 7 6 2 3" xfId="16787" xr:uid="{00000000-0005-0000-0000-00003F090000}"/>
    <cellStyle name="20% - Accent1 7 6 3" xfId="1442" xr:uid="{00000000-0005-0000-0000-000040090000}"/>
    <cellStyle name="20% - Accent1 7 6 3 2" xfId="12837" xr:uid="{00000000-0005-0000-0000-000041090000}"/>
    <cellStyle name="20% - Accent1 7 6 3 3" xfId="16788" xr:uid="{00000000-0005-0000-0000-000042090000}"/>
    <cellStyle name="20% - Accent1 7 6 4" xfId="12835" xr:uid="{00000000-0005-0000-0000-000043090000}"/>
    <cellStyle name="20% - Accent1 7 6 5" xfId="16786" xr:uid="{00000000-0005-0000-0000-000044090000}"/>
    <cellStyle name="20% - Accent1 7 7" xfId="1443" xr:uid="{00000000-0005-0000-0000-000045090000}"/>
    <cellStyle name="20% - Accent1 7 7 2" xfId="12838" xr:uid="{00000000-0005-0000-0000-000046090000}"/>
    <cellStyle name="20% - Accent1 7 7 3" xfId="16789" xr:uid="{00000000-0005-0000-0000-000047090000}"/>
    <cellStyle name="20% - Accent1 7 8" xfId="1444" xr:uid="{00000000-0005-0000-0000-000048090000}"/>
    <cellStyle name="20% - Accent1 7 8 2" xfId="12839" xr:uid="{00000000-0005-0000-0000-000049090000}"/>
    <cellStyle name="20% - Accent1 7 8 3" xfId="16790" xr:uid="{00000000-0005-0000-0000-00004A090000}"/>
    <cellStyle name="20% - Accent1 7 9" xfId="12807" xr:uid="{00000000-0005-0000-0000-00004B090000}"/>
    <cellStyle name="20% - Accent1 7_Volatility" xfId="1445" xr:uid="{00000000-0005-0000-0000-00004C090000}"/>
    <cellStyle name="20% - Accent1 8" xfId="1446" xr:uid="{00000000-0005-0000-0000-00004D090000}"/>
    <cellStyle name="20% - Accent1 8 10" xfId="16791" xr:uid="{00000000-0005-0000-0000-00004E090000}"/>
    <cellStyle name="20% - Accent1 8 2" xfId="1447" xr:uid="{00000000-0005-0000-0000-00004F090000}"/>
    <cellStyle name="20% - Accent1 8 2 2" xfId="1448" xr:uid="{00000000-0005-0000-0000-000050090000}"/>
    <cellStyle name="20% - Accent1 8 2 2 2" xfId="1449" xr:uid="{00000000-0005-0000-0000-000051090000}"/>
    <cellStyle name="20% - Accent1 8 2 2 2 2" xfId="12843" xr:uid="{00000000-0005-0000-0000-000052090000}"/>
    <cellStyle name="20% - Accent1 8 2 2 2 3" xfId="16794" xr:uid="{00000000-0005-0000-0000-000053090000}"/>
    <cellStyle name="20% - Accent1 8 2 2 3" xfId="1450" xr:uid="{00000000-0005-0000-0000-000054090000}"/>
    <cellStyle name="20% - Accent1 8 2 2 3 2" xfId="12844" xr:uid="{00000000-0005-0000-0000-000055090000}"/>
    <cellStyle name="20% - Accent1 8 2 2 3 3" xfId="16795" xr:uid="{00000000-0005-0000-0000-000056090000}"/>
    <cellStyle name="20% - Accent1 8 2 2 4" xfId="12842" xr:uid="{00000000-0005-0000-0000-000057090000}"/>
    <cellStyle name="20% - Accent1 8 2 2 5" xfId="16793" xr:uid="{00000000-0005-0000-0000-000058090000}"/>
    <cellStyle name="20% - Accent1 8 2 3" xfId="1451" xr:uid="{00000000-0005-0000-0000-000059090000}"/>
    <cellStyle name="20% - Accent1 8 2 3 2" xfId="1452" xr:uid="{00000000-0005-0000-0000-00005A090000}"/>
    <cellStyle name="20% - Accent1 8 2 3 2 2" xfId="12846" xr:uid="{00000000-0005-0000-0000-00005B090000}"/>
    <cellStyle name="20% - Accent1 8 2 3 2 3" xfId="16797" xr:uid="{00000000-0005-0000-0000-00005C090000}"/>
    <cellStyle name="20% - Accent1 8 2 3 3" xfId="1453" xr:uid="{00000000-0005-0000-0000-00005D090000}"/>
    <cellStyle name="20% - Accent1 8 2 3 3 2" xfId="12847" xr:uid="{00000000-0005-0000-0000-00005E090000}"/>
    <cellStyle name="20% - Accent1 8 2 3 3 3" xfId="16798" xr:uid="{00000000-0005-0000-0000-00005F090000}"/>
    <cellStyle name="20% - Accent1 8 2 3 4" xfId="12845" xr:uid="{00000000-0005-0000-0000-000060090000}"/>
    <cellStyle name="20% - Accent1 8 2 3 5" xfId="16796" xr:uid="{00000000-0005-0000-0000-000061090000}"/>
    <cellStyle name="20% - Accent1 8 2 4" xfId="1454" xr:uid="{00000000-0005-0000-0000-000062090000}"/>
    <cellStyle name="20% - Accent1 8 2 4 2" xfId="1455" xr:uid="{00000000-0005-0000-0000-000063090000}"/>
    <cellStyle name="20% - Accent1 8 2 4 2 2" xfId="12849" xr:uid="{00000000-0005-0000-0000-000064090000}"/>
    <cellStyle name="20% - Accent1 8 2 4 2 3" xfId="16800" xr:uid="{00000000-0005-0000-0000-000065090000}"/>
    <cellStyle name="20% - Accent1 8 2 4 3" xfId="1456" xr:uid="{00000000-0005-0000-0000-000066090000}"/>
    <cellStyle name="20% - Accent1 8 2 4 3 2" xfId="12850" xr:uid="{00000000-0005-0000-0000-000067090000}"/>
    <cellStyle name="20% - Accent1 8 2 4 3 3" xfId="16801" xr:uid="{00000000-0005-0000-0000-000068090000}"/>
    <cellStyle name="20% - Accent1 8 2 4 4" xfId="12848" xr:uid="{00000000-0005-0000-0000-000069090000}"/>
    <cellStyle name="20% - Accent1 8 2 4 5" xfId="16799" xr:uid="{00000000-0005-0000-0000-00006A090000}"/>
    <cellStyle name="20% - Accent1 8 2 5" xfId="1457" xr:uid="{00000000-0005-0000-0000-00006B090000}"/>
    <cellStyle name="20% - Accent1 8 2 5 2" xfId="12851" xr:uid="{00000000-0005-0000-0000-00006C090000}"/>
    <cellStyle name="20% - Accent1 8 2 5 3" xfId="16802" xr:uid="{00000000-0005-0000-0000-00006D090000}"/>
    <cellStyle name="20% - Accent1 8 2 6" xfId="1458" xr:uid="{00000000-0005-0000-0000-00006E090000}"/>
    <cellStyle name="20% - Accent1 8 2 6 2" xfId="12852" xr:uid="{00000000-0005-0000-0000-00006F090000}"/>
    <cellStyle name="20% - Accent1 8 2 6 3" xfId="16803" xr:uid="{00000000-0005-0000-0000-000070090000}"/>
    <cellStyle name="20% - Accent1 8 2 7" xfId="12841" xr:uid="{00000000-0005-0000-0000-000071090000}"/>
    <cellStyle name="20% - Accent1 8 2 8" xfId="16792" xr:uid="{00000000-0005-0000-0000-000072090000}"/>
    <cellStyle name="20% - Accent1 8 2_Volatility" xfId="1459" xr:uid="{00000000-0005-0000-0000-000073090000}"/>
    <cellStyle name="20% - Accent1 8 3" xfId="1460" xr:uid="{00000000-0005-0000-0000-000074090000}"/>
    <cellStyle name="20% - Accent1 8 3 2" xfId="1461" xr:uid="{00000000-0005-0000-0000-000075090000}"/>
    <cellStyle name="20% - Accent1 8 3 2 2" xfId="1462" xr:uid="{00000000-0005-0000-0000-000076090000}"/>
    <cellStyle name="20% - Accent1 8 3 2 2 2" xfId="12855" xr:uid="{00000000-0005-0000-0000-000077090000}"/>
    <cellStyle name="20% - Accent1 8 3 2 2 3" xfId="16806" xr:uid="{00000000-0005-0000-0000-000078090000}"/>
    <cellStyle name="20% - Accent1 8 3 2 3" xfId="1463" xr:uid="{00000000-0005-0000-0000-000079090000}"/>
    <cellStyle name="20% - Accent1 8 3 2 3 2" xfId="12856" xr:uid="{00000000-0005-0000-0000-00007A090000}"/>
    <cellStyle name="20% - Accent1 8 3 2 3 3" xfId="16807" xr:uid="{00000000-0005-0000-0000-00007B090000}"/>
    <cellStyle name="20% - Accent1 8 3 2 4" xfId="12854" xr:uid="{00000000-0005-0000-0000-00007C090000}"/>
    <cellStyle name="20% - Accent1 8 3 2 5" xfId="16805" xr:uid="{00000000-0005-0000-0000-00007D090000}"/>
    <cellStyle name="20% - Accent1 8 3 3" xfId="1464" xr:uid="{00000000-0005-0000-0000-00007E090000}"/>
    <cellStyle name="20% - Accent1 8 3 3 2" xfId="1465" xr:uid="{00000000-0005-0000-0000-00007F090000}"/>
    <cellStyle name="20% - Accent1 8 3 3 2 2" xfId="12858" xr:uid="{00000000-0005-0000-0000-000080090000}"/>
    <cellStyle name="20% - Accent1 8 3 3 2 3" xfId="16809" xr:uid="{00000000-0005-0000-0000-000081090000}"/>
    <cellStyle name="20% - Accent1 8 3 3 3" xfId="1466" xr:uid="{00000000-0005-0000-0000-000082090000}"/>
    <cellStyle name="20% - Accent1 8 3 3 3 2" xfId="12859" xr:uid="{00000000-0005-0000-0000-000083090000}"/>
    <cellStyle name="20% - Accent1 8 3 3 3 3" xfId="16810" xr:uid="{00000000-0005-0000-0000-000084090000}"/>
    <cellStyle name="20% - Accent1 8 3 3 4" xfId="12857" xr:uid="{00000000-0005-0000-0000-000085090000}"/>
    <cellStyle name="20% - Accent1 8 3 3 5" xfId="16808" xr:uid="{00000000-0005-0000-0000-000086090000}"/>
    <cellStyle name="20% - Accent1 8 3 4" xfId="1467" xr:uid="{00000000-0005-0000-0000-000087090000}"/>
    <cellStyle name="20% - Accent1 8 3 4 2" xfId="12860" xr:uid="{00000000-0005-0000-0000-000088090000}"/>
    <cellStyle name="20% - Accent1 8 3 4 3" xfId="16811" xr:uid="{00000000-0005-0000-0000-000089090000}"/>
    <cellStyle name="20% - Accent1 8 3 5" xfId="1468" xr:uid="{00000000-0005-0000-0000-00008A090000}"/>
    <cellStyle name="20% - Accent1 8 3 5 2" xfId="12861" xr:uid="{00000000-0005-0000-0000-00008B090000}"/>
    <cellStyle name="20% - Accent1 8 3 5 3" xfId="16812" xr:uid="{00000000-0005-0000-0000-00008C090000}"/>
    <cellStyle name="20% - Accent1 8 3 6" xfId="12853" xr:uid="{00000000-0005-0000-0000-00008D090000}"/>
    <cellStyle name="20% - Accent1 8 3 7" xfId="16804" xr:uid="{00000000-0005-0000-0000-00008E090000}"/>
    <cellStyle name="20% - Accent1 8 3_Volatility" xfId="1469" xr:uid="{00000000-0005-0000-0000-00008F090000}"/>
    <cellStyle name="20% - Accent1 8 4" xfId="1470" xr:uid="{00000000-0005-0000-0000-000090090000}"/>
    <cellStyle name="20% - Accent1 8 4 2" xfId="1471" xr:uid="{00000000-0005-0000-0000-000091090000}"/>
    <cellStyle name="20% - Accent1 8 4 2 2" xfId="12863" xr:uid="{00000000-0005-0000-0000-000092090000}"/>
    <cellStyle name="20% - Accent1 8 4 2 3" xfId="16814" xr:uid="{00000000-0005-0000-0000-000093090000}"/>
    <cellStyle name="20% - Accent1 8 4 3" xfId="1472" xr:uid="{00000000-0005-0000-0000-000094090000}"/>
    <cellStyle name="20% - Accent1 8 4 3 2" xfId="12864" xr:uid="{00000000-0005-0000-0000-000095090000}"/>
    <cellStyle name="20% - Accent1 8 4 3 3" xfId="16815" xr:uid="{00000000-0005-0000-0000-000096090000}"/>
    <cellStyle name="20% - Accent1 8 4 4" xfId="12862" xr:uid="{00000000-0005-0000-0000-000097090000}"/>
    <cellStyle name="20% - Accent1 8 4 5" xfId="16813" xr:uid="{00000000-0005-0000-0000-000098090000}"/>
    <cellStyle name="20% - Accent1 8 5" xfId="1473" xr:uid="{00000000-0005-0000-0000-000099090000}"/>
    <cellStyle name="20% - Accent1 8 5 2" xfId="1474" xr:uid="{00000000-0005-0000-0000-00009A090000}"/>
    <cellStyle name="20% - Accent1 8 5 2 2" xfId="12866" xr:uid="{00000000-0005-0000-0000-00009B090000}"/>
    <cellStyle name="20% - Accent1 8 5 2 3" xfId="16817" xr:uid="{00000000-0005-0000-0000-00009C090000}"/>
    <cellStyle name="20% - Accent1 8 5 3" xfId="1475" xr:uid="{00000000-0005-0000-0000-00009D090000}"/>
    <cellStyle name="20% - Accent1 8 5 3 2" xfId="12867" xr:uid="{00000000-0005-0000-0000-00009E090000}"/>
    <cellStyle name="20% - Accent1 8 5 3 3" xfId="16818" xr:uid="{00000000-0005-0000-0000-00009F090000}"/>
    <cellStyle name="20% - Accent1 8 5 4" xfId="12865" xr:uid="{00000000-0005-0000-0000-0000A0090000}"/>
    <cellStyle name="20% - Accent1 8 5 5" xfId="16816" xr:uid="{00000000-0005-0000-0000-0000A1090000}"/>
    <cellStyle name="20% - Accent1 8 6" xfId="1476" xr:uid="{00000000-0005-0000-0000-0000A2090000}"/>
    <cellStyle name="20% - Accent1 8 6 2" xfId="1477" xr:uid="{00000000-0005-0000-0000-0000A3090000}"/>
    <cellStyle name="20% - Accent1 8 6 2 2" xfId="12869" xr:uid="{00000000-0005-0000-0000-0000A4090000}"/>
    <cellStyle name="20% - Accent1 8 6 2 3" xfId="16820" xr:uid="{00000000-0005-0000-0000-0000A5090000}"/>
    <cellStyle name="20% - Accent1 8 6 3" xfId="1478" xr:uid="{00000000-0005-0000-0000-0000A6090000}"/>
    <cellStyle name="20% - Accent1 8 6 3 2" xfId="12870" xr:uid="{00000000-0005-0000-0000-0000A7090000}"/>
    <cellStyle name="20% - Accent1 8 6 3 3" xfId="16821" xr:uid="{00000000-0005-0000-0000-0000A8090000}"/>
    <cellStyle name="20% - Accent1 8 6 4" xfId="12868" xr:uid="{00000000-0005-0000-0000-0000A9090000}"/>
    <cellStyle name="20% - Accent1 8 6 5" xfId="16819" xr:uid="{00000000-0005-0000-0000-0000AA090000}"/>
    <cellStyle name="20% - Accent1 8 7" xfId="1479" xr:uid="{00000000-0005-0000-0000-0000AB090000}"/>
    <cellStyle name="20% - Accent1 8 7 2" xfId="12871" xr:uid="{00000000-0005-0000-0000-0000AC090000}"/>
    <cellStyle name="20% - Accent1 8 7 3" xfId="16822" xr:uid="{00000000-0005-0000-0000-0000AD090000}"/>
    <cellStyle name="20% - Accent1 8 8" xfId="1480" xr:uid="{00000000-0005-0000-0000-0000AE090000}"/>
    <cellStyle name="20% - Accent1 8 8 2" xfId="12872" xr:uid="{00000000-0005-0000-0000-0000AF090000}"/>
    <cellStyle name="20% - Accent1 8 8 3" xfId="16823" xr:uid="{00000000-0005-0000-0000-0000B0090000}"/>
    <cellStyle name="20% - Accent1 8 9" xfId="12840" xr:uid="{00000000-0005-0000-0000-0000B1090000}"/>
    <cellStyle name="20% - Accent1 8_Volatility" xfId="1481" xr:uid="{00000000-0005-0000-0000-0000B2090000}"/>
    <cellStyle name="20% - Accent1 9" xfId="1482" xr:uid="{00000000-0005-0000-0000-0000B3090000}"/>
    <cellStyle name="20% - Accent1 9 10" xfId="16824" xr:uid="{00000000-0005-0000-0000-0000B4090000}"/>
    <cellStyle name="20% - Accent1 9 2" xfId="1483" xr:uid="{00000000-0005-0000-0000-0000B5090000}"/>
    <cellStyle name="20% - Accent1 9 2 2" xfId="1484" xr:uid="{00000000-0005-0000-0000-0000B6090000}"/>
    <cellStyle name="20% - Accent1 9 2 2 2" xfId="1485" xr:uid="{00000000-0005-0000-0000-0000B7090000}"/>
    <cellStyle name="20% - Accent1 9 2 2 2 2" xfId="12876" xr:uid="{00000000-0005-0000-0000-0000B8090000}"/>
    <cellStyle name="20% - Accent1 9 2 2 2 3" xfId="16827" xr:uid="{00000000-0005-0000-0000-0000B9090000}"/>
    <cellStyle name="20% - Accent1 9 2 2 3" xfId="1486" xr:uid="{00000000-0005-0000-0000-0000BA090000}"/>
    <cellStyle name="20% - Accent1 9 2 2 3 2" xfId="12877" xr:uid="{00000000-0005-0000-0000-0000BB090000}"/>
    <cellStyle name="20% - Accent1 9 2 2 3 3" xfId="16828" xr:uid="{00000000-0005-0000-0000-0000BC090000}"/>
    <cellStyle name="20% - Accent1 9 2 2 4" xfId="12875" xr:uid="{00000000-0005-0000-0000-0000BD090000}"/>
    <cellStyle name="20% - Accent1 9 2 2 5" xfId="16826" xr:uid="{00000000-0005-0000-0000-0000BE090000}"/>
    <cellStyle name="20% - Accent1 9 2 3" xfId="1487" xr:uid="{00000000-0005-0000-0000-0000BF090000}"/>
    <cellStyle name="20% - Accent1 9 2 3 2" xfId="1488" xr:uid="{00000000-0005-0000-0000-0000C0090000}"/>
    <cellStyle name="20% - Accent1 9 2 3 2 2" xfId="12879" xr:uid="{00000000-0005-0000-0000-0000C1090000}"/>
    <cellStyle name="20% - Accent1 9 2 3 2 3" xfId="16830" xr:uid="{00000000-0005-0000-0000-0000C2090000}"/>
    <cellStyle name="20% - Accent1 9 2 3 3" xfId="1489" xr:uid="{00000000-0005-0000-0000-0000C3090000}"/>
    <cellStyle name="20% - Accent1 9 2 3 3 2" xfId="12880" xr:uid="{00000000-0005-0000-0000-0000C4090000}"/>
    <cellStyle name="20% - Accent1 9 2 3 3 3" xfId="16831" xr:uid="{00000000-0005-0000-0000-0000C5090000}"/>
    <cellStyle name="20% - Accent1 9 2 3 4" xfId="12878" xr:uid="{00000000-0005-0000-0000-0000C6090000}"/>
    <cellStyle name="20% - Accent1 9 2 3 5" xfId="16829" xr:uid="{00000000-0005-0000-0000-0000C7090000}"/>
    <cellStyle name="20% - Accent1 9 2 4" xfId="1490" xr:uid="{00000000-0005-0000-0000-0000C8090000}"/>
    <cellStyle name="20% - Accent1 9 2 4 2" xfId="1491" xr:uid="{00000000-0005-0000-0000-0000C9090000}"/>
    <cellStyle name="20% - Accent1 9 2 4 2 2" xfId="12882" xr:uid="{00000000-0005-0000-0000-0000CA090000}"/>
    <cellStyle name="20% - Accent1 9 2 4 2 3" xfId="16833" xr:uid="{00000000-0005-0000-0000-0000CB090000}"/>
    <cellStyle name="20% - Accent1 9 2 4 3" xfId="1492" xr:uid="{00000000-0005-0000-0000-0000CC090000}"/>
    <cellStyle name="20% - Accent1 9 2 4 3 2" xfId="12883" xr:uid="{00000000-0005-0000-0000-0000CD090000}"/>
    <cellStyle name="20% - Accent1 9 2 4 3 3" xfId="16834" xr:uid="{00000000-0005-0000-0000-0000CE090000}"/>
    <cellStyle name="20% - Accent1 9 2 4 4" xfId="12881" xr:uid="{00000000-0005-0000-0000-0000CF090000}"/>
    <cellStyle name="20% - Accent1 9 2 4 5" xfId="16832" xr:uid="{00000000-0005-0000-0000-0000D0090000}"/>
    <cellStyle name="20% - Accent1 9 2 5" xfId="1493" xr:uid="{00000000-0005-0000-0000-0000D1090000}"/>
    <cellStyle name="20% - Accent1 9 2 5 2" xfId="12884" xr:uid="{00000000-0005-0000-0000-0000D2090000}"/>
    <cellStyle name="20% - Accent1 9 2 5 3" xfId="16835" xr:uid="{00000000-0005-0000-0000-0000D3090000}"/>
    <cellStyle name="20% - Accent1 9 2 6" xfId="1494" xr:uid="{00000000-0005-0000-0000-0000D4090000}"/>
    <cellStyle name="20% - Accent1 9 2 6 2" xfId="12885" xr:uid="{00000000-0005-0000-0000-0000D5090000}"/>
    <cellStyle name="20% - Accent1 9 2 6 3" xfId="16836" xr:uid="{00000000-0005-0000-0000-0000D6090000}"/>
    <cellStyle name="20% - Accent1 9 2 7" xfId="12874" xr:uid="{00000000-0005-0000-0000-0000D7090000}"/>
    <cellStyle name="20% - Accent1 9 2 8" xfId="16825" xr:uid="{00000000-0005-0000-0000-0000D8090000}"/>
    <cellStyle name="20% - Accent1 9 2_Volatility" xfId="1495" xr:uid="{00000000-0005-0000-0000-0000D9090000}"/>
    <cellStyle name="20% - Accent1 9 3" xfId="1496" xr:uid="{00000000-0005-0000-0000-0000DA090000}"/>
    <cellStyle name="20% - Accent1 9 3 2" xfId="1497" xr:uid="{00000000-0005-0000-0000-0000DB090000}"/>
    <cellStyle name="20% - Accent1 9 3 2 2" xfId="1498" xr:uid="{00000000-0005-0000-0000-0000DC090000}"/>
    <cellStyle name="20% - Accent1 9 3 2 2 2" xfId="12888" xr:uid="{00000000-0005-0000-0000-0000DD090000}"/>
    <cellStyle name="20% - Accent1 9 3 2 2 3" xfId="16839" xr:uid="{00000000-0005-0000-0000-0000DE090000}"/>
    <cellStyle name="20% - Accent1 9 3 2 3" xfId="1499" xr:uid="{00000000-0005-0000-0000-0000DF090000}"/>
    <cellStyle name="20% - Accent1 9 3 2 3 2" xfId="12889" xr:uid="{00000000-0005-0000-0000-0000E0090000}"/>
    <cellStyle name="20% - Accent1 9 3 2 3 3" xfId="16840" xr:uid="{00000000-0005-0000-0000-0000E1090000}"/>
    <cellStyle name="20% - Accent1 9 3 2 4" xfId="12887" xr:uid="{00000000-0005-0000-0000-0000E2090000}"/>
    <cellStyle name="20% - Accent1 9 3 2 5" xfId="16838" xr:uid="{00000000-0005-0000-0000-0000E3090000}"/>
    <cellStyle name="20% - Accent1 9 3 3" xfId="1500" xr:uid="{00000000-0005-0000-0000-0000E4090000}"/>
    <cellStyle name="20% - Accent1 9 3 3 2" xfId="1501" xr:uid="{00000000-0005-0000-0000-0000E5090000}"/>
    <cellStyle name="20% - Accent1 9 3 3 2 2" xfId="12891" xr:uid="{00000000-0005-0000-0000-0000E6090000}"/>
    <cellStyle name="20% - Accent1 9 3 3 2 3" xfId="16842" xr:uid="{00000000-0005-0000-0000-0000E7090000}"/>
    <cellStyle name="20% - Accent1 9 3 3 3" xfId="1502" xr:uid="{00000000-0005-0000-0000-0000E8090000}"/>
    <cellStyle name="20% - Accent1 9 3 3 3 2" xfId="12892" xr:uid="{00000000-0005-0000-0000-0000E9090000}"/>
    <cellStyle name="20% - Accent1 9 3 3 3 3" xfId="16843" xr:uid="{00000000-0005-0000-0000-0000EA090000}"/>
    <cellStyle name="20% - Accent1 9 3 3 4" xfId="12890" xr:uid="{00000000-0005-0000-0000-0000EB090000}"/>
    <cellStyle name="20% - Accent1 9 3 3 5" xfId="16841" xr:uid="{00000000-0005-0000-0000-0000EC090000}"/>
    <cellStyle name="20% - Accent1 9 3 4" xfId="1503" xr:uid="{00000000-0005-0000-0000-0000ED090000}"/>
    <cellStyle name="20% - Accent1 9 3 4 2" xfId="12893" xr:uid="{00000000-0005-0000-0000-0000EE090000}"/>
    <cellStyle name="20% - Accent1 9 3 4 3" xfId="16844" xr:uid="{00000000-0005-0000-0000-0000EF090000}"/>
    <cellStyle name="20% - Accent1 9 3 5" xfId="1504" xr:uid="{00000000-0005-0000-0000-0000F0090000}"/>
    <cellStyle name="20% - Accent1 9 3 5 2" xfId="12894" xr:uid="{00000000-0005-0000-0000-0000F1090000}"/>
    <cellStyle name="20% - Accent1 9 3 5 3" xfId="16845" xr:uid="{00000000-0005-0000-0000-0000F2090000}"/>
    <cellStyle name="20% - Accent1 9 3 6" xfId="12886" xr:uid="{00000000-0005-0000-0000-0000F3090000}"/>
    <cellStyle name="20% - Accent1 9 3 7" xfId="16837" xr:uid="{00000000-0005-0000-0000-0000F4090000}"/>
    <cellStyle name="20% - Accent1 9 3_Volatility" xfId="1505" xr:uid="{00000000-0005-0000-0000-0000F5090000}"/>
    <cellStyle name="20% - Accent1 9 4" xfId="1506" xr:uid="{00000000-0005-0000-0000-0000F6090000}"/>
    <cellStyle name="20% - Accent1 9 4 2" xfId="1507" xr:uid="{00000000-0005-0000-0000-0000F7090000}"/>
    <cellStyle name="20% - Accent1 9 4 2 2" xfId="12896" xr:uid="{00000000-0005-0000-0000-0000F8090000}"/>
    <cellStyle name="20% - Accent1 9 4 2 3" xfId="16847" xr:uid="{00000000-0005-0000-0000-0000F9090000}"/>
    <cellStyle name="20% - Accent1 9 4 3" xfId="1508" xr:uid="{00000000-0005-0000-0000-0000FA090000}"/>
    <cellStyle name="20% - Accent1 9 4 3 2" xfId="12897" xr:uid="{00000000-0005-0000-0000-0000FB090000}"/>
    <cellStyle name="20% - Accent1 9 4 3 3" xfId="16848" xr:uid="{00000000-0005-0000-0000-0000FC090000}"/>
    <cellStyle name="20% - Accent1 9 4 4" xfId="12895" xr:uid="{00000000-0005-0000-0000-0000FD090000}"/>
    <cellStyle name="20% - Accent1 9 4 5" xfId="16846" xr:uid="{00000000-0005-0000-0000-0000FE090000}"/>
    <cellStyle name="20% - Accent1 9 5" xfId="1509" xr:uid="{00000000-0005-0000-0000-0000FF090000}"/>
    <cellStyle name="20% - Accent1 9 5 2" xfId="1510" xr:uid="{00000000-0005-0000-0000-0000000A0000}"/>
    <cellStyle name="20% - Accent1 9 5 2 2" xfId="12899" xr:uid="{00000000-0005-0000-0000-0000010A0000}"/>
    <cellStyle name="20% - Accent1 9 5 2 3" xfId="16850" xr:uid="{00000000-0005-0000-0000-0000020A0000}"/>
    <cellStyle name="20% - Accent1 9 5 3" xfId="1511" xr:uid="{00000000-0005-0000-0000-0000030A0000}"/>
    <cellStyle name="20% - Accent1 9 5 3 2" xfId="12900" xr:uid="{00000000-0005-0000-0000-0000040A0000}"/>
    <cellStyle name="20% - Accent1 9 5 3 3" xfId="16851" xr:uid="{00000000-0005-0000-0000-0000050A0000}"/>
    <cellStyle name="20% - Accent1 9 5 4" xfId="12898" xr:uid="{00000000-0005-0000-0000-0000060A0000}"/>
    <cellStyle name="20% - Accent1 9 5 5" xfId="16849" xr:uid="{00000000-0005-0000-0000-0000070A0000}"/>
    <cellStyle name="20% - Accent1 9 6" xfId="1512" xr:uid="{00000000-0005-0000-0000-0000080A0000}"/>
    <cellStyle name="20% - Accent1 9 6 2" xfId="1513" xr:uid="{00000000-0005-0000-0000-0000090A0000}"/>
    <cellStyle name="20% - Accent1 9 6 2 2" xfId="12902" xr:uid="{00000000-0005-0000-0000-00000A0A0000}"/>
    <cellStyle name="20% - Accent1 9 6 2 3" xfId="16853" xr:uid="{00000000-0005-0000-0000-00000B0A0000}"/>
    <cellStyle name="20% - Accent1 9 6 3" xfId="1514" xr:uid="{00000000-0005-0000-0000-00000C0A0000}"/>
    <cellStyle name="20% - Accent1 9 6 3 2" xfId="12903" xr:uid="{00000000-0005-0000-0000-00000D0A0000}"/>
    <cellStyle name="20% - Accent1 9 6 3 3" xfId="16854" xr:uid="{00000000-0005-0000-0000-00000E0A0000}"/>
    <cellStyle name="20% - Accent1 9 6 4" xfId="12901" xr:uid="{00000000-0005-0000-0000-00000F0A0000}"/>
    <cellStyle name="20% - Accent1 9 6 5" xfId="16852" xr:uid="{00000000-0005-0000-0000-0000100A0000}"/>
    <cellStyle name="20% - Accent1 9 7" xfId="1515" xr:uid="{00000000-0005-0000-0000-0000110A0000}"/>
    <cellStyle name="20% - Accent1 9 7 2" xfId="12904" xr:uid="{00000000-0005-0000-0000-0000120A0000}"/>
    <cellStyle name="20% - Accent1 9 7 3" xfId="16855" xr:uid="{00000000-0005-0000-0000-0000130A0000}"/>
    <cellStyle name="20% - Accent1 9 8" xfId="1516" xr:uid="{00000000-0005-0000-0000-0000140A0000}"/>
    <cellStyle name="20% - Accent1 9 8 2" xfId="12905" xr:uid="{00000000-0005-0000-0000-0000150A0000}"/>
    <cellStyle name="20% - Accent1 9 8 3" xfId="16856" xr:uid="{00000000-0005-0000-0000-0000160A0000}"/>
    <cellStyle name="20% - Accent1 9 9" xfId="12873" xr:uid="{00000000-0005-0000-0000-0000170A0000}"/>
    <cellStyle name="20% - Accent1 9_Volatility" xfId="1517" xr:uid="{00000000-0005-0000-0000-0000180A0000}"/>
    <cellStyle name="20% - Accent2 10" xfId="1518" xr:uid="{00000000-0005-0000-0000-0000190A0000}"/>
    <cellStyle name="20% - Accent2 10 10" xfId="16857" xr:uid="{00000000-0005-0000-0000-00001A0A0000}"/>
    <cellStyle name="20% - Accent2 10 2" xfId="1519" xr:uid="{00000000-0005-0000-0000-00001B0A0000}"/>
    <cellStyle name="20% - Accent2 10 2 2" xfId="1520" xr:uid="{00000000-0005-0000-0000-00001C0A0000}"/>
    <cellStyle name="20% - Accent2 10 2 2 2" xfId="1521" xr:uid="{00000000-0005-0000-0000-00001D0A0000}"/>
    <cellStyle name="20% - Accent2 10 2 2 2 2" xfId="12909" xr:uid="{00000000-0005-0000-0000-00001E0A0000}"/>
    <cellStyle name="20% - Accent2 10 2 2 2 3" xfId="16860" xr:uid="{00000000-0005-0000-0000-00001F0A0000}"/>
    <cellStyle name="20% - Accent2 10 2 2 3" xfId="1522" xr:uid="{00000000-0005-0000-0000-0000200A0000}"/>
    <cellStyle name="20% - Accent2 10 2 2 3 2" xfId="12910" xr:uid="{00000000-0005-0000-0000-0000210A0000}"/>
    <cellStyle name="20% - Accent2 10 2 2 3 3" xfId="16861" xr:uid="{00000000-0005-0000-0000-0000220A0000}"/>
    <cellStyle name="20% - Accent2 10 2 2 4" xfId="12908" xr:uid="{00000000-0005-0000-0000-0000230A0000}"/>
    <cellStyle name="20% - Accent2 10 2 2 5" xfId="16859" xr:uid="{00000000-0005-0000-0000-0000240A0000}"/>
    <cellStyle name="20% - Accent2 10 2 3" xfId="1523" xr:uid="{00000000-0005-0000-0000-0000250A0000}"/>
    <cellStyle name="20% - Accent2 10 2 3 2" xfId="1524" xr:uid="{00000000-0005-0000-0000-0000260A0000}"/>
    <cellStyle name="20% - Accent2 10 2 3 2 2" xfId="12912" xr:uid="{00000000-0005-0000-0000-0000270A0000}"/>
    <cellStyle name="20% - Accent2 10 2 3 2 3" xfId="16863" xr:uid="{00000000-0005-0000-0000-0000280A0000}"/>
    <cellStyle name="20% - Accent2 10 2 3 3" xfId="1525" xr:uid="{00000000-0005-0000-0000-0000290A0000}"/>
    <cellStyle name="20% - Accent2 10 2 3 3 2" xfId="12913" xr:uid="{00000000-0005-0000-0000-00002A0A0000}"/>
    <cellStyle name="20% - Accent2 10 2 3 3 3" xfId="16864" xr:uid="{00000000-0005-0000-0000-00002B0A0000}"/>
    <cellStyle name="20% - Accent2 10 2 3 4" xfId="12911" xr:uid="{00000000-0005-0000-0000-00002C0A0000}"/>
    <cellStyle name="20% - Accent2 10 2 3 5" xfId="16862" xr:uid="{00000000-0005-0000-0000-00002D0A0000}"/>
    <cellStyle name="20% - Accent2 10 2 4" xfId="1526" xr:uid="{00000000-0005-0000-0000-00002E0A0000}"/>
    <cellStyle name="20% - Accent2 10 2 4 2" xfId="1527" xr:uid="{00000000-0005-0000-0000-00002F0A0000}"/>
    <cellStyle name="20% - Accent2 10 2 4 2 2" xfId="12915" xr:uid="{00000000-0005-0000-0000-0000300A0000}"/>
    <cellStyle name="20% - Accent2 10 2 4 2 3" xfId="16866" xr:uid="{00000000-0005-0000-0000-0000310A0000}"/>
    <cellStyle name="20% - Accent2 10 2 4 3" xfId="1528" xr:uid="{00000000-0005-0000-0000-0000320A0000}"/>
    <cellStyle name="20% - Accent2 10 2 4 3 2" xfId="12916" xr:uid="{00000000-0005-0000-0000-0000330A0000}"/>
    <cellStyle name="20% - Accent2 10 2 4 3 3" xfId="16867" xr:uid="{00000000-0005-0000-0000-0000340A0000}"/>
    <cellStyle name="20% - Accent2 10 2 4 4" xfId="12914" xr:uid="{00000000-0005-0000-0000-0000350A0000}"/>
    <cellStyle name="20% - Accent2 10 2 4 5" xfId="16865" xr:uid="{00000000-0005-0000-0000-0000360A0000}"/>
    <cellStyle name="20% - Accent2 10 2 5" xfId="1529" xr:uid="{00000000-0005-0000-0000-0000370A0000}"/>
    <cellStyle name="20% - Accent2 10 2 5 2" xfId="12917" xr:uid="{00000000-0005-0000-0000-0000380A0000}"/>
    <cellStyle name="20% - Accent2 10 2 5 3" xfId="16868" xr:uid="{00000000-0005-0000-0000-0000390A0000}"/>
    <cellStyle name="20% - Accent2 10 2 6" xfId="1530" xr:uid="{00000000-0005-0000-0000-00003A0A0000}"/>
    <cellStyle name="20% - Accent2 10 2 6 2" xfId="12918" xr:uid="{00000000-0005-0000-0000-00003B0A0000}"/>
    <cellStyle name="20% - Accent2 10 2 6 3" xfId="16869" xr:uid="{00000000-0005-0000-0000-00003C0A0000}"/>
    <cellStyle name="20% - Accent2 10 2 7" xfId="12907" xr:uid="{00000000-0005-0000-0000-00003D0A0000}"/>
    <cellStyle name="20% - Accent2 10 2 8" xfId="16858" xr:uid="{00000000-0005-0000-0000-00003E0A0000}"/>
    <cellStyle name="20% - Accent2 10 2_Volatility" xfId="1531" xr:uid="{00000000-0005-0000-0000-00003F0A0000}"/>
    <cellStyle name="20% - Accent2 10 3" xfId="1532" xr:uid="{00000000-0005-0000-0000-0000400A0000}"/>
    <cellStyle name="20% - Accent2 10 3 2" xfId="1533" xr:uid="{00000000-0005-0000-0000-0000410A0000}"/>
    <cellStyle name="20% - Accent2 10 3 2 2" xfId="1534" xr:uid="{00000000-0005-0000-0000-0000420A0000}"/>
    <cellStyle name="20% - Accent2 10 3 2 2 2" xfId="12921" xr:uid="{00000000-0005-0000-0000-0000430A0000}"/>
    <cellStyle name="20% - Accent2 10 3 2 2 3" xfId="16872" xr:uid="{00000000-0005-0000-0000-0000440A0000}"/>
    <cellStyle name="20% - Accent2 10 3 2 3" xfId="1535" xr:uid="{00000000-0005-0000-0000-0000450A0000}"/>
    <cellStyle name="20% - Accent2 10 3 2 3 2" xfId="12922" xr:uid="{00000000-0005-0000-0000-0000460A0000}"/>
    <cellStyle name="20% - Accent2 10 3 2 3 3" xfId="16873" xr:uid="{00000000-0005-0000-0000-0000470A0000}"/>
    <cellStyle name="20% - Accent2 10 3 2 4" xfId="12920" xr:uid="{00000000-0005-0000-0000-0000480A0000}"/>
    <cellStyle name="20% - Accent2 10 3 2 5" xfId="16871" xr:uid="{00000000-0005-0000-0000-0000490A0000}"/>
    <cellStyle name="20% - Accent2 10 3 3" xfId="1536" xr:uid="{00000000-0005-0000-0000-00004A0A0000}"/>
    <cellStyle name="20% - Accent2 10 3 3 2" xfId="1537" xr:uid="{00000000-0005-0000-0000-00004B0A0000}"/>
    <cellStyle name="20% - Accent2 10 3 3 2 2" xfId="12924" xr:uid="{00000000-0005-0000-0000-00004C0A0000}"/>
    <cellStyle name="20% - Accent2 10 3 3 2 3" xfId="16875" xr:uid="{00000000-0005-0000-0000-00004D0A0000}"/>
    <cellStyle name="20% - Accent2 10 3 3 3" xfId="1538" xr:uid="{00000000-0005-0000-0000-00004E0A0000}"/>
    <cellStyle name="20% - Accent2 10 3 3 3 2" xfId="12925" xr:uid="{00000000-0005-0000-0000-00004F0A0000}"/>
    <cellStyle name="20% - Accent2 10 3 3 3 3" xfId="16876" xr:uid="{00000000-0005-0000-0000-0000500A0000}"/>
    <cellStyle name="20% - Accent2 10 3 3 4" xfId="12923" xr:uid="{00000000-0005-0000-0000-0000510A0000}"/>
    <cellStyle name="20% - Accent2 10 3 3 5" xfId="16874" xr:uid="{00000000-0005-0000-0000-0000520A0000}"/>
    <cellStyle name="20% - Accent2 10 3 4" xfId="1539" xr:uid="{00000000-0005-0000-0000-0000530A0000}"/>
    <cellStyle name="20% - Accent2 10 3 4 2" xfId="12926" xr:uid="{00000000-0005-0000-0000-0000540A0000}"/>
    <cellStyle name="20% - Accent2 10 3 4 3" xfId="16877" xr:uid="{00000000-0005-0000-0000-0000550A0000}"/>
    <cellStyle name="20% - Accent2 10 3 5" xfId="1540" xr:uid="{00000000-0005-0000-0000-0000560A0000}"/>
    <cellStyle name="20% - Accent2 10 3 5 2" xfId="12927" xr:uid="{00000000-0005-0000-0000-0000570A0000}"/>
    <cellStyle name="20% - Accent2 10 3 5 3" xfId="16878" xr:uid="{00000000-0005-0000-0000-0000580A0000}"/>
    <cellStyle name="20% - Accent2 10 3 6" xfId="12919" xr:uid="{00000000-0005-0000-0000-0000590A0000}"/>
    <cellStyle name="20% - Accent2 10 3 7" xfId="16870" xr:uid="{00000000-0005-0000-0000-00005A0A0000}"/>
    <cellStyle name="20% - Accent2 10 3_Volatility" xfId="1541" xr:uid="{00000000-0005-0000-0000-00005B0A0000}"/>
    <cellStyle name="20% - Accent2 10 4" xfId="1542" xr:uid="{00000000-0005-0000-0000-00005C0A0000}"/>
    <cellStyle name="20% - Accent2 10 4 2" xfId="1543" xr:uid="{00000000-0005-0000-0000-00005D0A0000}"/>
    <cellStyle name="20% - Accent2 10 4 2 2" xfId="12929" xr:uid="{00000000-0005-0000-0000-00005E0A0000}"/>
    <cellStyle name="20% - Accent2 10 4 2 3" xfId="16880" xr:uid="{00000000-0005-0000-0000-00005F0A0000}"/>
    <cellStyle name="20% - Accent2 10 4 3" xfId="1544" xr:uid="{00000000-0005-0000-0000-0000600A0000}"/>
    <cellStyle name="20% - Accent2 10 4 3 2" xfId="12930" xr:uid="{00000000-0005-0000-0000-0000610A0000}"/>
    <cellStyle name="20% - Accent2 10 4 3 3" xfId="16881" xr:uid="{00000000-0005-0000-0000-0000620A0000}"/>
    <cellStyle name="20% - Accent2 10 4 4" xfId="12928" xr:uid="{00000000-0005-0000-0000-0000630A0000}"/>
    <cellStyle name="20% - Accent2 10 4 5" xfId="16879" xr:uid="{00000000-0005-0000-0000-0000640A0000}"/>
    <cellStyle name="20% - Accent2 10 5" xfId="1545" xr:uid="{00000000-0005-0000-0000-0000650A0000}"/>
    <cellStyle name="20% - Accent2 10 5 2" xfId="1546" xr:uid="{00000000-0005-0000-0000-0000660A0000}"/>
    <cellStyle name="20% - Accent2 10 5 2 2" xfId="12932" xr:uid="{00000000-0005-0000-0000-0000670A0000}"/>
    <cellStyle name="20% - Accent2 10 5 2 3" xfId="16883" xr:uid="{00000000-0005-0000-0000-0000680A0000}"/>
    <cellStyle name="20% - Accent2 10 5 3" xfId="1547" xr:uid="{00000000-0005-0000-0000-0000690A0000}"/>
    <cellStyle name="20% - Accent2 10 5 3 2" xfId="12933" xr:uid="{00000000-0005-0000-0000-00006A0A0000}"/>
    <cellStyle name="20% - Accent2 10 5 3 3" xfId="16884" xr:uid="{00000000-0005-0000-0000-00006B0A0000}"/>
    <cellStyle name="20% - Accent2 10 5 4" xfId="12931" xr:uid="{00000000-0005-0000-0000-00006C0A0000}"/>
    <cellStyle name="20% - Accent2 10 5 5" xfId="16882" xr:uid="{00000000-0005-0000-0000-00006D0A0000}"/>
    <cellStyle name="20% - Accent2 10 6" xfId="1548" xr:uid="{00000000-0005-0000-0000-00006E0A0000}"/>
    <cellStyle name="20% - Accent2 10 6 2" xfId="1549" xr:uid="{00000000-0005-0000-0000-00006F0A0000}"/>
    <cellStyle name="20% - Accent2 10 6 2 2" xfId="12935" xr:uid="{00000000-0005-0000-0000-0000700A0000}"/>
    <cellStyle name="20% - Accent2 10 6 2 3" xfId="16886" xr:uid="{00000000-0005-0000-0000-0000710A0000}"/>
    <cellStyle name="20% - Accent2 10 6 3" xfId="1550" xr:uid="{00000000-0005-0000-0000-0000720A0000}"/>
    <cellStyle name="20% - Accent2 10 6 3 2" xfId="12936" xr:uid="{00000000-0005-0000-0000-0000730A0000}"/>
    <cellStyle name="20% - Accent2 10 6 3 3" xfId="16887" xr:uid="{00000000-0005-0000-0000-0000740A0000}"/>
    <cellStyle name="20% - Accent2 10 6 4" xfId="12934" xr:uid="{00000000-0005-0000-0000-0000750A0000}"/>
    <cellStyle name="20% - Accent2 10 6 5" xfId="16885" xr:uid="{00000000-0005-0000-0000-0000760A0000}"/>
    <cellStyle name="20% - Accent2 10 7" xfId="1551" xr:uid="{00000000-0005-0000-0000-0000770A0000}"/>
    <cellStyle name="20% - Accent2 10 7 2" xfId="12937" xr:uid="{00000000-0005-0000-0000-0000780A0000}"/>
    <cellStyle name="20% - Accent2 10 7 3" xfId="16888" xr:uid="{00000000-0005-0000-0000-0000790A0000}"/>
    <cellStyle name="20% - Accent2 10 8" xfId="1552" xr:uid="{00000000-0005-0000-0000-00007A0A0000}"/>
    <cellStyle name="20% - Accent2 10 8 2" xfId="12938" xr:uid="{00000000-0005-0000-0000-00007B0A0000}"/>
    <cellStyle name="20% - Accent2 10 8 3" xfId="16889" xr:uid="{00000000-0005-0000-0000-00007C0A0000}"/>
    <cellStyle name="20% - Accent2 10 9" xfId="12906" xr:uid="{00000000-0005-0000-0000-00007D0A0000}"/>
    <cellStyle name="20% - Accent2 10_Volatility" xfId="1553" xr:uid="{00000000-0005-0000-0000-00007E0A0000}"/>
    <cellStyle name="20% - Accent2 11" xfId="1554" xr:uid="{00000000-0005-0000-0000-00007F0A0000}"/>
    <cellStyle name="20% - Accent2 11 10" xfId="16890" xr:uid="{00000000-0005-0000-0000-0000800A0000}"/>
    <cellStyle name="20% - Accent2 11 2" xfId="1555" xr:uid="{00000000-0005-0000-0000-0000810A0000}"/>
    <cellStyle name="20% - Accent2 11 2 2" xfId="1556" xr:uid="{00000000-0005-0000-0000-0000820A0000}"/>
    <cellStyle name="20% - Accent2 11 2 2 2" xfId="1557" xr:uid="{00000000-0005-0000-0000-0000830A0000}"/>
    <cellStyle name="20% - Accent2 11 2 2 2 2" xfId="12942" xr:uid="{00000000-0005-0000-0000-0000840A0000}"/>
    <cellStyle name="20% - Accent2 11 2 2 2 3" xfId="16893" xr:uid="{00000000-0005-0000-0000-0000850A0000}"/>
    <cellStyle name="20% - Accent2 11 2 2 3" xfId="1558" xr:uid="{00000000-0005-0000-0000-0000860A0000}"/>
    <cellStyle name="20% - Accent2 11 2 2 3 2" xfId="12943" xr:uid="{00000000-0005-0000-0000-0000870A0000}"/>
    <cellStyle name="20% - Accent2 11 2 2 3 3" xfId="16894" xr:uid="{00000000-0005-0000-0000-0000880A0000}"/>
    <cellStyle name="20% - Accent2 11 2 2 4" xfId="12941" xr:uid="{00000000-0005-0000-0000-0000890A0000}"/>
    <cellStyle name="20% - Accent2 11 2 2 5" xfId="16892" xr:uid="{00000000-0005-0000-0000-00008A0A0000}"/>
    <cellStyle name="20% - Accent2 11 2 3" xfId="1559" xr:uid="{00000000-0005-0000-0000-00008B0A0000}"/>
    <cellStyle name="20% - Accent2 11 2 3 2" xfId="1560" xr:uid="{00000000-0005-0000-0000-00008C0A0000}"/>
    <cellStyle name="20% - Accent2 11 2 3 2 2" xfId="12945" xr:uid="{00000000-0005-0000-0000-00008D0A0000}"/>
    <cellStyle name="20% - Accent2 11 2 3 2 3" xfId="16896" xr:uid="{00000000-0005-0000-0000-00008E0A0000}"/>
    <cellStyle name="20% - Accent2 11 2 3 3" xfId="1561" xr:uid="{00000000-0005-0000-0000-00008F0A0000}"/>
    <cellStyle name="20% - Accent2 11 2 3 3 2" xfId="12946" xr:uid="{00000000-0005-0000-0000-0000900A0000}"/>
    <cellStyle name="20% - Accent2 11 2 3 3 3" xfId="16897" xr:uid="{00000000-0005-0000-0000-0000910A0000}"/>
    <cellStyle name="20% - Accent2 11 2 3 4" xfId="12944" xr:uid="{00000000-0005-0000-0000-0000920A0000}"/>
    <cellStyle name="20% - Accent2 11 2 3 5" xfId="16895" xr:uid="{00000000-0005-0000-0000-0000930A0000}"/>
    <cellStyle name="20% - Accent2 11 2 4" xfId="1562" xr:uid="{00000000-0005-0000-0000-0000940A0000}"/>
    <cellStyle name="20% - Accent2 11 2 4 2" xfId="1563" xr:uid="{00000000-0005-0000-0000-0000950A0000}"/>
    <cellStyle name="20% - Accent2 11 2 4 2 2" xfId="12948" xr:uid="{00000000-0005-0000-0000-0000960A0000}"/>
    <cellStyle name="20% - Accent2 11 2 4 2 3" xfId="16899" xr:uid="{00000000-0005-0000-0000-0000970A0000}"/>
    <cellStyle name="20% - Accent2 11 2 4 3" xfId="1564" xr:uid="{00000000-0005-0000-0000-0000980A0000}"/>
    <cellStyle name="20% - Accent2 11 2 4 3 2" xfId="12949" xr:uid="{00000000-0005-0000-0000-0000990A0000}"/>
    <cellStyle name="20% - Accent2 11 2 4 3 3" xfId="16900" xr:uid="{00000000-0005-0000-0000-00009A0A0000}"/>
    <cellStyle name="20% - Accent2 11 2 4 4" xfId="12947" xr:uid="{00000000-0005-0000-0000-00009B0A0000}"/>
    <cellStyle name="20% - Accent2 11 2 4 5" xfId="16898" xr:uid="{00000000-0005-0000-0000-00009C0A0000}"/>
    <cellStyle name="20% - Accent2 11 2 5" xfId="1565" xr:uid="{00000000-0005-0000-0000-00009D0A0000}"/>
    <cellStyle name="20% - Accent2 11 2 5 2" xfId="12950" xr:uid="{00000000-0005-0000-0000-00009E0A0000}"/>
    <cellStyle name="20% - Accent2 11 2 5 3" xfId="16901" xr:uid="{00000000-0005-0000-0000-00009F0A0000}"/>
    <cellStyle name="20% - Accent2 11 2 6" xfId="1566" xr:uid="{00000000-0005-0000-0000-0000A00A0000}"/>
    <cellStyle name="20% - Accent2 11 2 6 2" xfId="12951" xr:uid="{00000000-0005-0000-0000-0000A10A0000}"/>
    <cellStyle name="20% - Accent2 11 2 6 3" xfId="16902" xr:uid="{00000000-0005-0000-0000-0000A20A0000}"/>
    <cellStyle name="20% - Accent2 11 2 7" xfId="12940" xr:uid="{00000000-0005-0000-0000-0000A30A0000}"/>
    <cellStyle name="20% - Accent2 11 2 8" xfId="16891" xr:uid="{00000000-0005-0000-0000-0000A40A0000}"/>
    <cellStyle name="20% - Accent2 11 2_Volatility" xfId="1567" xr:uid="{00000000-0005-0000-0000-0000A50A0000}"/>
    <cellStyle name="20% - Accent2 11 3" xfId="1568" xr:uid="{00000000-0005-0000-0000-0000A60A0000}"/>
    <cellStyle name="20% - Accent2 11 3 2" xfId="1569" xr:uid="{00000000-0005-0000-0000-0000A70A0000}"/>
    <cellStyle name="20% - Accent2 11 3 2 2" xfId="1570" xr:uid="{00000000-0005-0000-0000-0000A80A0000}"/>
    <cellStyle name="20% - Accent2 11 3 2 2 2" xfId="12954" xr:uid="{00000000-0005-0000-0000-0000A90A0000}"/>
    <cellStyle name="20% - Accent2 11 3 2 2 3" xfId="16905" xr:uid="{00000000-0005-0000-0000-0000AA0A0000}"/>
    <cellStyle name="20% - Accent2 11 3 2 3" xfId="1571" xr:uid="{00000000-0005-0000-0000-0000AB0A0000}"/>
    <cellStyle name="20% - Accent2 11 3 2 3 2" xfId="12955" xr:uid="{00000000-0005-0000-0000-0000AC0A0000}"/>
    <cellStyle name="20% - Accent2 11 3 2 3 3" xfId="16906" xr:uid="{00000000-0005-0000-0000-0000AD0A0000}"/>
    <cellStyle name="20% - Accent2 11 3 2 4" xfId="12953" xr:uid="{00000000-0005-0000-0000-0000AE0A0000}"/>
    <cellStyle name="20% - Accent2 11 3 2 5" xfId="16904" xr:uid="{00000000-0005-0000-0000-0000AF0A0000}"/>
    <cellStyle name="20% - Accent2 11 3 3" xfId="1572" xr:uid="{00000000-0005-0000-0000-0000B00A0000}"/>
    <cellStyle name="20% - Accent2 11 3 3 2" xfId="1573" xr:uid="{00000000-0005-0000-0000-0000B10A0000}"/>
    <cellStyle name="20% - Accent2 11 3 3 2 2" xfId="12957" xr:uid="{00000000-0005-0000-0000-0000B20A0000}"/>
    <cellStyle name="20% - Accent2 11 3 3 2 3" xfId="16908" xr:uid="{00000000-0005-0000-0000-0000B30A0000}"/>
    <cellStyle name="20% - Accent2 11 3 3 3" xfId="1574" xr:uid="{00000000-0005-0000-0000-0000B40A0000}"/>
    <cellStyle name="20% - Accent2 11 3 3 3 2" xfId="12958" xr:uid="{00000000-0005-0000-0000-0000B50A0000}"/>
    <cellStyle name="20% - Accent2 11 3 3 3 3" xfId="16909" xr:uid="{00000000-0005-0000-0000-0000B60A0000}"/>
    <cellStyle name="20% - Accent2 11 3 3 4" xfId="12956" xr:uid="{00000000-0005-0000-0000-0000B70A0000}"/>
    <cellStyle name="20% - Accent2 11 3 3 5" xfId="16907" xr:uid="{00000000-0005-0000-0000-0000B80A0000}"/>
    <cellStyle name="20% - Accent2 11 3 4" xfId="1575" xr:uid="{00000000-0005-0000-0000-0000B90A0000}"/>
    <cellStyle name="20% - Accent2 11 3 4 2" xfId="12959" xr:uid="{00000000-0005-0000-0000-0000BA0A0000}"/>
    <cellStyle name="20% - Accent2 11 3 4 3" xfId="16910" xr:uid="{00000000-0005-0000-0000-0000BB0A0000}"/>
    <cellStyle name="20% - Accent2 11 3 5" xfId="1576" xr:uid="{00000000-0005-0000-0000-0000BC0A0000}"/>
    <cellStyle name="20% - Accent2 11 3 5 2" xfId="12960" xr:uid="{00000000-0005-0000-0000-0000BD0A0000}"/>
    <cellStyle name="20% - Accent2 11 3 5 3" xfId="16911" xr:uid="{00000000-0005-0000-0000-0000BE0A0000}"/>
    <cellStyle name="20% - Accent2 11 3 6" xfId="12952" xr:uid="{00000000-0005-0000-0000-0000BF0A0000}"/>
    <cellStyle name="20% - Accent2 11 3 7" xfId="16903" xr:uid="{00000000-0005-0000-0000-0000C00A0000}"/>
    <cellStyle name="20% - Accent2 11 3_Volatility" xfId="1577" xr:uid="{00000000-0005-0000-0000-0000C10A0000}"/>
    <cellStyle name="20% - Accent2 11 4" xfId="1578" xr:uid="{00000000-0005-0000-0000-0000C20A0000}"/>
    <cellStyle name="20% - Accent2 11 4 2" xfId="1579" xr:uid="{00000000-0005-0000-0000-0000C30A0000}"/>
    <cellStyle name="20% - Accent2 11 4 2 2" xfId="12962" xr:uid="{00000000-0005-0000-0000-0000C40A0000}"/>
    <cellStyle name="20% - Accent2 11 4 2 3" xfId="16913" xr:uid="{00000000-0005-0000-0000-0000C50A0000}"/>
    <cellStyle name="20% - Accent2 11 4 3" xfId="1580" xr:uid="{00000000-0005-0000-0000-0000C60A0000}"/>
    <cellStyle name="20% - Accent2 11 4 3 2" xfId="12963" xr:uid="{00000000-0005-0000-0000-0000C70A0000}"/>
    <cellStyle name="20% - Accent2 11 4 3 3" xfId="16914" xr:uid="{00000000-0005-0000-0000-0000C80A0000}"/>
    <cellStyle name="20% - Accent2 11 4 4" xfId="12961" xr:uid="{00000000-0005-0000-0000-0000C90A0000}"/>
    <cellStyle name="20% - Accent2 11 4 5" xfId="16912" xr:uid="{00000000-0005-0000-0000-0000CA0A0000}"/>
    <cellStyle name="20% - Accent2 11 5" xfId="1581" xr:uid="{00000000-0005-0000-0000-0000CB0A0000}"/>
    <cellStyle name="20% - Accent2 11 5 2" xfId="1582" xr:uid="{00000000-0005-0000-0000-0000CC0A0000}"/>
    <cellStyle name="20% - Accent2 11 5 2 2" xfId="12965" xr:uid="{00000000-0005-0000-0000-0000CD0A0000}"/>
    <cellStyle name="20% - Accent2 11 5 2 3" xfId="16916" xr:uid="{00000000-0005-0000-0000-0000CE0A0000}"/>
    <cellStyle name="20% - Accent2 11 5 3" xfId="1583" xr:uid="{00000000-0005-0000-0000-0000CF0A0000}"/>
    <cellStyle name="20% - Accent2 11 5 3 2" xfId="12966" xr:uid="{00000000-0005-0000-0000-0000D00A0000}"/>
    <cellStyle name="20% - Accent2 11 5 3 3" xfId="16917" xr:uid="{00000000-0005-0000-0000-0000D10A0000}"/>
    <cellStyle name="20% - Accent2 11 5 4" xfId="12964" xr:uid="{00000000-0005-0000-0000-0000D20A0000}"/>
    <cellStyle name="20% - Accent2 11 5 5" xfId="16915" xr:uid="{00000000-0005-0000-0000-0000D30A0000}"/>
    <cellStyle name="20% - Accent2 11 6" xfId="1584" xr:uid="{00000000-0005-0000-0000-0000D40A0000}"/>
    <cellStyle name="20% - Accent2 11 6 2" xfId="1585" xr:uid="{00000000-0005-0000-0000-0000D50A0000}"/>
    <cellStyle name="20% - Accent2 11 6 2 2" xfId="12968" xr:uid="{00000000-0005-0000-0000-0000D60A0000}"/>
    <cellStyle name="20% - Accent2 11 6 2 3" xfId="16919" xr:uid="{00000000-0005-0000-0000-0000D70A0000}"/>
    <cellStyle name="20% - Accent2 11 6 3" xfId="1586" xr:uid="{00000000-0005-0000-0000-0000D80A0000}"/>
    <cellStyle name="20% - Accent2 11 6 3 2" xfId="12969" xr:uid="{00000000-0005-0000-0000-0000D90A0000}"/>
    <cellStyle name="20% - Accent2 11 6 3 3" xfId="16920" xr:uid="{00000000-0005-0000-0000-0000DA0A0000}"/>
    <cellStyle name="20% - Accent2 11 6 4" xfId="12967" xr:uid="{00000000-0005-0000-0000-0000DB0A0000}"/>
    <cellStyle name="20% - Accent2 11 6 5" xfId="16918" xr:uid="{00000000-0005-0000-0000-0000DC0A0000}"/>
    <cellStyle name="20% - Accent2 11 7" xfId="1587" xr:uid="{00000000-0005-0000-0000-0000DD0A0000}"/>
    <cellStyle name="20% - Accent2 11 7 2" xfId="12970" xr:uid="{00000000-0005-0000-0000-0000DE0A0000}"/>
    <cellStyle name="20% - Accent2 11 7 3" xfId="16921" xr:uid="{00000000-0005-0000-0000-0000DF0A0000}"/>
    <cellStyle name="20% - Accent2 11 8" xfId="1588" xr:uid="{00000000-0005-0000-0000-0000E00A0000}"/>
    <cellStyle name="20% - Accent2 11 8 2" xfId="12971" xr:uid="{00000000-0005-0000-0000-0000E10A0000}"/>
    <cellStyle name="20% - Accent2 11 8 3" xfId="16922" xr:uid="{00000000-0005-0000-0000-0000E20A0000}"/>
    <cellStyle name="20% - Accent2 11 9" xfId="12939" xr:uid="{00000000-0005-0000-0000-0000E30A0000}"/>
    <cellStyle name="20% - Accent2 11_Volatility" xfId="1589" xr:uid="{00000000-0005-0000-0000-0000E40A0000}"/>
    <cellStyle name="20% - Accent2 12" xfId="1590" xr:uid="{00000000-0005-0000-0000-0000E50A0000}"/>
    <cellStyle name="20% - Accent2 12 10" xfId="16923" xr:uid="{00000000-0005-0000-0000-0000E60A0000}"/>
    <cellStyle name="20% - Accent2 12 2" xfId="1591" xr:uid="{00000000-0005-0000-0000-0000E70A0000}"/>
    <cellStyle name="20% - Accent2 12 2 2" xfId="1592" xr:uid="{00000000-0005-0000-0000-0000E80A0000}"/>
    <cellStyle name="20% - Accent2 12 2 2 2" xfId="1593" xr:uid="{00000000-0005-0000-0000-0000E90A0000}"/>
    <cellStyle name="20% - Accent2 12 2 2 2 2" xfId="12975" xr:uid="{00000000-0005-0000-0000-0000EA0A0000}"/>
    <cellStyle name="20% - Accent2 12 2 2 2 3" xfId="16926" xr:uid="{00000000-0005-0000-0000-0000EB0A0000}"/>
    <cellStyle name="20% - Accent2 12 2 2 3" xfId="1594" xr:uid="{00000000-0005-0000-0000-0000EC0A0000}"/>
    <cellStyle name="20% - Accent2 12 2 2 3 2" xfId="12976" xr:uid="{00000000-0005-0000-0000-0000ED0A0000}"/>
    <cellStyle name="20% - Accent2 12 2 2 3 3" xfId="16927" xr:uid="{00000000-0005-0000-0000-0000EE0A0000}"/>
    <cellStyle name="20% - Accent2 12 2 2 4" xfId="12974" xr:uid="{00000000-0005-0000-0000-0000EF0A0000}"/>
    <cellStyle name="20% - Accent2 12 2 2 5" xfId="16925" xr:uid="{00000000-0005-0000-0000-0000F00A0000}"/>
    <cellStyle name="20% - Accent2 12 2 3" xfId="1595" xr:uid="{00000000-0005-0000-0000-0000F10A0000}"/>
    <cellStyle name="20% - Accent2 12 2 3 2" xfId="1596" xr:uid="{00000000-0005-0000-0000-0000F20A0000}"/>
    <cellStyle name="20% - Accent2 12 2 3 2 2" xfId="12978" xr:uid="{00000000-0005-0000-0000-0000F30A0000}"/>
    <cellStyle name="20% - Accent2 12 2 3 2 3" xfId="16929" xr:uid="{00000000-0005-0000-0000-0000F40A0000}"/>
    <cellStyle name="20% - Accent2 12 2 3 3" xfId="1597" xr:uid="{00000000-0005-0000-0000-0000F50A0000}"/>
    <cellStyle name="20% - Accent2 12 2 3 3 2" xfId="12979" xr:uid="{00000000-0005-0000-0000-0000F60A0000}"/>
    <cellStyle name="20% - Accent2 12 2 3 3 3" xfId="16930" xr:uid="{00000000-0005-0000-0000-0000F70A0000}"/>
    <cellStyle name="20% - Accent2 12 2 3 4" xfId="12977" xr:uid="{00000000-0005-0000-0000-0000F80A0000}"/>
    <cellStyle name="20% - Accent2 12 2 3 5" xfId="16928" xr:uid="{00000000-0005-0000-0000-0000F90A0000}"/>
    <cellStyle name="20% - Accent2 12 2 4" xfId="1598" xr:uid="{00000000-0005-0000-0000-0000FA0A0000}"/>
    <cellStyle name="20% - Accent2 12 2 4 2" xfId="1599" xr:uid="{00000000-0005-0000-0000-0000FB0A0000}"/>
    <cellStyle name="20% - Accent2 12 2 4 2 2" xfId="12981" xr:uid="{00000000-0005-0000-0000-0000FC0A0000}"/>
    <cellStyle name="20% - Accent2 12 2 4 2 3" xfId="16932" xr:uid="{00000000-0005-0000-0000-0000FD0A0000}"/>
    <cellStyle name="20% - Accent2 12 2 4 3" xfId="1600" xr:uid="{00000000-0005-0000-0000-0000FE0A0000}"/>
    <cellStyle name="20% - Accent2 12 2 4 3 2" xfId="12982" xr:uid="{00000000-0005-0000-0000-0000FF0A0000}"/>
    <cellStyle name="20% - Accent2 12 2 4 3 3" xfId="16933" xr:uid="{00000000-0005-0000-0000-0000000B0000}"/>
    <cellStyle name="20% - Accent2 12 2 4 4" xfId="12980" xr:uid="{00000000-0005-0000-0000-0000010B0000}"/>
    <cellStyle name="20% - Accent2 12 2 4 5" xfId="16931" xr:uid="{00000000-0005-0000-0000-0000020B0000}"/>
    <cellStyle name="20% - Accent2 12 2 5" xfId="1601" xr:uid="{00000000-0005-0000-0000-0000030B0000}"/>
    <cellStyle name="20% - Accent2 12 2 5 2" xfId="12983" xr:uid="{00000000-0005-0000-0000-0000040B0000}"/>
    <cellStyle name="20% - Accent2 12 2 5 3" xfId="16934" xr:uid="{00000000-0005-0000-0000-0000050B0000}"/>
    <cellStyle name="20% - Accent2 12 2 6" xfId="1602" xr:uid="{00000000-0005-0000-0000-0000060B0000}"/>
    <cellStyle name="20% - Accent2 12 2 6 2" xfId="12984" xr:uid="{00000000-0005-0000-0000-0000070B0000}"/>
    <cellStyle name="20% - Accent2 12 2 6 3" xfId="16935" xr:uid="{00000000-0005-0000-0000-0000080B0000}"/>
    <cellStyle name="20% - Accent2 12 2 7" xfId="12973" xr:uid="{00000000-0005-0000-0000-0000090B0000}"/>
    <cellStyle name="20% - Accent2 12 2 8" xfId="16924" xr:uid="{00000000-0005-0000-0000-00000A0B0000}"/>
    <cellStyle name="20% - Accent2 12 2_Volatility" xfId="1603" xr:uid="{00000000-0005-0000-0000-00000B0B0000}"/>
    <cellStyle name="20% - Accent2 12 3" xfId="1604" xr:uid="{00000000-0005-0000-0000-00000C0B0000}"/>
    <cellStyle name="20% - Accent2 12 3 2" xfId="1605" xr:uid="{00000000-0005-0000-0000-00000D0B0000}"/>
    <cellStyle name="20% - Accent2 12 3 2 2" xfId="1606" xr:uid="{00000000-0005-0000-0000-00000E0B0000}"/>
    <cellStyle name="20% - Accent2 12 3 2 2 2" xfId="12987" xr:uid="{00000000-0005-0000-0000-00000F0B0000}"/>
    <cellStyle name="20% - Accent2 12 3 2 2 3" xfId="16938" xr:uid="{00000000-0005-0000-0000-0000100B0000}"/>
    <cellStyle name="20% - Accent2 12 3 2 3" xfId="1607" xr:uid="{00000000-0005-0000-0000-0000110B0000}"/>
    <cellStyle name="20% - Accent2 12 3 2 3 2" xfId="12988" xr:uid="{00000000-0005-0000-0000-0000120B0000}"/>
    <cellStyle name="20% - Accent2 12 3 2 3 3" xfId="16939" xr:uid="{00000000-0005-0000-0000-0000130B0000}"/>
    <cellStyle name="20% - Accent2 12 3 2 4" xfId="12986" xr:uid="{00000000-0005-0000-0000-0000140B0000}"/>
    <cellStyle name="20% - Accent2 12 3 2 5" xfId="16937" xr:uid="{00000000-0005-0000-0000-0000150B0000}"/>
    <cellStyle name="20% - Accent2 12 3 3" xfId="1608" xr:uid="{00000000-0005-0000-0000-0000160B0000}"/>
    <cellStyle name="20% - Accent2 12 3 3 2" xfId="1609" xr:uid="{00000000-0005-0000-0000-0000170B0000}"/>
    <cellStyle name="20% - Accent2 12 3 3 2 2" xfId="12990" xr:uid="{00000000-0005-0000-0000-0000180B0000}"/>
    <cellStyle name="20% - Accent2 12 3 3 2 3" xfId="16941" xr:uid="{00000000-0005-0000-0000-0000190B0000}"/>
    <cellStyle name="20% - Accent2 12 3 3 3" xfId="1610" xr:uid="{00000000-0005-0000-0000-00001A0B0000}"/>
    <cellStyle name="20% - Accent2 12 3 3 3 2" xfId="12991" xr:uid="{00000000-0005-0000-0000-00001B0B0000}"/>
    <cellStyle name="20% - Accent2 12 3 3 3 3" xfId="16942" xr:uid="{00000000-0005-0000-0000-00001C0B0000}"/>
    <cellStyle name="20% - Accent2 12 3 3 4" xfId="12989" xr:uid="{00000000-0005-0000-0000-00001D0B0000}"/>
    <cellStyle name="20% - Accent2 12 3 3 5" xfId="16940" xr:uid="{00000000-0005-0000-0000-00001E0B0000}"/>
    <cellStyle name="20% - Accent2 12 3 4" xfId="1611" xr:uid="{00000000-0005-0000-0000-00001F0B0000}"/>
    <cellStyle name="20% - Accent2 12 3 4 2" xfId="12992" xr:uid="{00000000-0005-0000-0000-0000200B0000}"/>
    <cellStyle name="20% - Accent2 12 3 4 3" xfId="16943" xr:uid="{00000000-0005-0000-0000-0000210B0000}"/>
    <cellStyle name="20% - Accent2 12 3 5" xfId="1612" xr:uid="{00000000-0005-0000-0000-0000220B0000}"/>
    <cellStyle name="20% - Accent2 12 3 5 2" xfId="12993" xr:uid="{00000000-0005-0000-0000-0000230B0000}"/>
    <cellStyle name="20% - Accent2 12 3 5 3" xfId="16944" xr:uid="{00000000-0005-0000-0000-0000240B0000}"/>
    <cellStyle name="20% - Accent2 12 3 6" xfId="12985" xr:uid="{00000000-0005-0000-0000-0000250B0000}"/>
    <cellStyle name="20% - Accent2 12 3 7" xfId="16936" xr:uid="{00000000-0005-0000-0000-0000260B0000}"/>
    <cellStyle name="20% - Accent2 12 3_Volatility" xfId="1613" xr:uid="{00000000-0005-0000-0000-0000270B0000}"/>
    <cellStyle name="20% - Accent2 12 4" xfId="1614" xr:uid="{00000000-0005-0000-0000-0000280B0000}"/>
    <cellStyle name="20% - Accent2 12 4 2" xfId="1615" xr:uid="{00000000-0005-0000-0000-0000290B0000}"/>
    <cellStyle name="20% - Accent2 12 4 2 2" xfId="12995" xr:uid="{00000000-0005-0000-0000-00002A0B0000}"/>
    <cellStyle name="20% - Accent2 12 4 2 3" xfId="16946" xr:uid="{00000000-0005-0000-0000-00002B0B0000}"/>
    <cellStyle name="20% - Accent2 12 4 3" xfId="1616" xr:uid="{00000000-0005-0000-0000-00002C0B0000}"/>
    <cellStyle name="20% - Accent2 12 4 3 2" xfId="12996" xr:uid="{00000000-0005-0000-0000-00002D0B0000}"/>
    <cellStyle name="20% - Accent2 12 4 3 3" xfId="16947" xr:uid="{00000000-0005-0000-0000-00002E0B0000}"/>
    <cellStyle name="20% - Accent2 12 4 4" xfId="12994" xr:uid="{00000000-0005-0000-0000-00002F0B0000}"/>
    <cellStyle name="20% - Accent2 12 4 5" xfId="16945" xr:uid="{00000000-0005-0000-0000-0000300B0000}"/>
    <cellStyle name="20% - Accent2 12 5" xfId="1617" xr:uid="{00000000-0005-0000-0000-0000310B0000}"/>
    <cellStyle name="20% - Accent2 12 5 2" xfId="1618" xr:uid="{00000000-0005-0000-0000-0000320B0000}"/>
    <cellStyle name="20% - Accent2 12 5 2 2" xfId="12998" xr:uid="{00000000-0005-0000-0000-0000330B0000}"/>
    <cellStyle name="20% - Accent2 12 5 2 3" xfId="16949" xr:uid="{00000000-0005-0000-0000-0000340B0000}"/>
    <cellStyle name="20% - Accent2 12 5 3" xfId="1619" xr:uid="{00000000-0005-0000-0000-0000350B0000}"/>
    <cellStyle name="20% - Accent2 12 5 3 2" xfId="12999" xr:uid="{00000000-0005-0000-0000-0000360B0000}"/>
    <cellStyle name="20% - Accent2 12 5 3 3" xfId="16950" xr:uid="{00000000-0005-0000-0000-0000370B0000}"/>
    <cellStyle name="20% - Accent2 12 5 4" xfId="12997" xr:uid="{00000000-0005-0000-0000-0000380B0000}"/>
    <cellStyle name="20% - Accent2 12 5 5" xfId="16948" xr:uid="{00000000-0005-0000-0000-0000390B0000}"/>
    <cellStyle name="20% - Accent2 12 6" xfId="1620" xr:uid="{00000000-0005-0000-0000-00003A0B0000}"/>
    <cellStyle name="20% - Accent2 12 6 2" xfId="1621" xr:uid="{00000000-0005-0000-0000-00003B0B0000}"/>
    <cellStyle name="20% - Accent2 12 6 2 2" xfId="13001" xr:uid="{00000000-0005-0000-0000-00003C0B0000}"/>
    <cellStyle name="20% - Accent2 12 6 2 3" xfId="16952" xr:uid="{00000000-0005-0000-0000-00003D0B0000}"/>
    <cellStyle name="20% - Accent2 12 6 3" xfId="1622" xr:uid="{00000000-0005-0000-0000-00003E0B0000}"/>
    <cellStyle name="20% - Accent2 12 6 3 2" xfId="13002" xr:uid="{00000000-0005-0000-0000-00003F0B0000}"/>
    <cellStyle name="20% - Accent2 12 6 3 3" xfId="16953" xr:uid="{00000000-0005-0000-0000-0000400B0000}"/>
    <cellStyle name="20% - Accent2 12 6 4" xfId="13000" xr:uid="{00000000-0005-0000-0000-0000410B0000}"/>
    <cellStyle name="20% - Accent2 12 6 5" xfId="16951" xr:uid="{00000000-0005-0000-0000-0000420B0000}"/>
    <cellStyle name="20% - Accent2 12 7" xfId="1623" xr:uid="{00000000-0005-0000-0000-0000430B0000}"/>
    <cellStyle name="20% - Accent2 12 7 2" xfId="13003" xr:uid="{00000000-0005-0000-0000-0000440B0000}"/>
    <cellStyle name="20% - Accent2 12 7 3" xfId="16954" xr:uid="{00000000-0005-0000-0000-0000450B0000}"/>
    <cellStyle name="20% - Accent2 12 8" xfId="1624" xr:uid="{00000000-0005-0000-0000-0000460B0000}"/>
    <cellStyle name="20% - Accent2 12 8 2" xfId="13004" xr:uid="{00000000-0005-0000-0000-0000470B0000}"/>
    <cellStyle name="20% - Accent2 12 8 3" xfId="16955" xr:uid="{00000000-0005-0000-0000-0000480B0000}"/>
    <cellStyle name="20% - Accent2 12 9" xfId="12972" xr:uid="{00000000-0005-0000-0000-0000490B0000}"/>
    <cellStyle name="20% - Accent2 12_Volatility" xfId="1625" xr:uid="{00000000-0005-0000-0000-00004A0B0000}"/>
    <cellStyle name="20% - Accent2 13" xfId="1626" xr:uid="{00000000-0005-0000-0000-00004B0B0000}"/>
    <cellStyle name="20% - Accent2 13 10" xfId="16956" xr:uid="{00000000-0005-0000-0000-00004C0B0000}"/>
    <cellStyle name="20% - Accent2 13 2" xfId="1627" xr:uid="{00000000-0005-0000-0000-00004D0B0000}"/>
    <cellStyle name="20% - Accent2 13 2 2" xfId="1628" xr:uid="{00000000-0005-0000-0000-00004E0B0000}"/>
    <cellStyle name="20% - Accent2 13 2 2 2" xfId="1629" xr:uid="{00000000-0005-0000-0000-00004F0B0000}"/>
    <cellStyle name="20% - Accent2 13 2 2 2 2" xfId="13008" xr:uid="{00000000-0005-0000-0000-0000500B0000}"/>
    <cellStyle name="20% - Accent2 13 2 2 2 3" xfId="16959" xr:uid="{00000000-0005-0000-0000-0000510B0000}"/>
    <cellStyle name="20% - Accent2 13 2 2 3" xfId="1630" xr:uid="{00000000-0005-0000-0000-0000520B0000}"/>
    <cellStyle name="20% - Accent2 13 2 2 3 2" xfId="13009" xr:uid="{00000000-0005-0000-0000-0000530B0000}"/>
    <cellStyle name="20% - Accent2 13 2 2 3 3" xfId="16960" xr:uid="{00000000-0005-0000-0000-0000540B0000}"/>
    <cellStyle name="20% - Accent2 13 2 2 4" xfId="13007" xr:uid="{00000000-0005-0000-0000-0000550B0000}"/>
    <cellStyle name="20% - Accent2 13 2 2 5" xfId="16958" xr:uid="{00000000-0005-0000-0000-0000560B0000}"/>
    <cellStyle name="20% - Accent2 13 2 3" xfId="1631" xr:uid="{00000000-0005-0000-0000-0000570B0000}"/>
    <cellStyle name="20% - Accent2 13 2 3 2" xfId="1632" xr:uid="{00000000-0005-0000-0000-0000580B0000}"/>
    <cellStyle name="20% - Accent2 13 2 3 2 2" xfId="13011" xr:uid="{00000000-0005-0000-0000-0000590B0000}"/>
    <cellStyle name="20% - Accent2 13 2 3 2 3" xfId="16962" xr:uid="{00000000-0005-0000-0000-00005A0B0000}"/>
    <cellStyle name="20% - Accent2 13 2 3 3" xfId="1633" xr:uid="{00000000-0005-0000-0000-00005B0B0000}"/>
    <cellStyle name="20% - Accent2 13 2 3 3 2" xfId="13012" xr:uid="{00000000-0005-0000-0000-00005C0B0000}"/>
    <cellStyle name="20% - Accent2 13 2 3 3 3" xfId="16963" xr:uid="{00000000-0005-0000-0000-00005D0B0000}"/>
    <cellStyle name="20% - Accent2 13 2 3 4" xfId="13010" xr:uid="{00000000-0005-0000-0000-00005E0B0000}"/>
    <cellStyle name="20% - Accent2 13 2 3 5" xfId="16961" xr:uid="{00000000-0005-0000-0000-00005F0B0000}"/>
    <cellStyle name="20% - Accent2 13 2 4" xfId="1634" xr:uid="{00000000-0005-0000-0000-0000600B0000}"/>
    <cellStyle name="20% - Accent2 13 2 4 2" xfId="1635" xr:uid="{00000000-0005-0000-0000-0000610B0000}"/>
    <cellStyle name="20% - Accent2 13 2 4 2 2" xfId="13014" xr:uid="{00000000-0005-0000-0000-0000620B0000}"/>
    <cellStyle name="20% - Accent2 13 2 4 2 3" xfId="16965" xr:uid="{00000000-0005-0000-0000-0000630B0000}"/>
    <cellStyle name="20% - Accent2 13 2 4 3" xfId="1636" xr:uid="{00000000-0005-0000-0000-0000640B0000}"/>
    <cellStyle name="20% - Accent2 13 2 4 3 2" xfId="13015" xr:uid="{00000000-0005-0000-0000-0000650B0000}"/>
    <cellStyle name="20% - Accent2 13 2 4 3 3" xfId="16966" xr:uid="{00000000-0005-0000-0000-0000660B0000}"/>
    <cellStyle name="20% - Accent2 13 2 4 4" xfId="13013" xr:uid="{00000000-0005-0000-0000-0000670B0000}"/>
    <cellStyle name="20% - Accent2 13 2 4 5" xfId="16964" xr:uid="{00000000-0005-0000-0000-0000680B0000}"/>
    <cellStyle name="20% - Accent2 13 2 5" xfId="1637" xr:uid="{00000000-0005-0000-0000-0000690B0000}"/>
    <cellStyle name="20% - Accent2 13 2 5 2" xfId="13016" xr:uid="{00000000-0005-0000-0000-00006A0B0000}"/>
    <cellStyle name="20% - Accent2 13 2 5 3" xfId="16967" xr:uid="{00000000-0005-0000-0000-00006B0B0000}"/>
    <cellStyle name="20% - Accent2 13 2 6" xfId="1638" xr:uid="{00000000-0005-0000-0000-00006C0B0000}"/>
    <cellStyle name="20% - Accent2 13 2 6 2" xfId="13017" xr:uid="{00000000-0005-0000-0000-00006D0B0000}"/>
    <cellStyle name="20% - Accent2 13 2 6 3" xfId="16968" xr:uid="{00000000-0005-0000-0000-00006E0B0000}"/>
    <cellStyle name="20% - Accent2 13 2 7" xfId="13006" xr:uid="{00000000-0005-0000-0000-00006F0B0000}"/>
    <cellStyle name="20% - Accent2 13 2 8" xfId="16957" xr:uid="{00000000-0005-0000-0000-0000700B0000}"/>
    <cellStyle name="20% - Accent2 13 2_Volatility" xfId="1639" xr:uid="{00000000-0005-0000-0000-0000710B0000}"/>
    <cellStyle name="20% - Accent2 13 3" xfId="1640" xr:uid="{00000000-0005-0000-0000-0000720B0000}"/>
    <cellStyle name="20% - Accent2 13 3 2" xfId="1641" xr:uid="{00000000-0005-0000-0000-0000730B0000}"/>
    <cellStyle name="20% - Accent2 13 3 2 2" xfId="1642" xr:uid="{00000000-0005-0000-0000-0000740B0000}"/>
    <cellStyle name="20% - Accent2 13 3 2 2 2" xfId="13020" xr:uid="{00000000-0005-0000-0000-0000750B0000}"/>
    <cellStyle name="20% - Accent2 13 3 2 2 3" xfId="16971" xr:uid="{00000000-0005-0000-0000-0000760B0000}"/>
    <cellStyle name="20% - Accent2 13 3 2 3" xfId="1643" xr:uid="{00000000-0005-0000-0000-0000770B0000}"/>
    <cellStyle name="20% - Accent2 13 3 2 3 2" xfId="13021" xr:uid="{00000000-0005-0000-0000-0000780B0000}"/>
    <cellStyle name="20% - Accent2 13 3 2 3 3" xfId="16972" xr:uid="{00000000-0005-0000-0000-0000790B0000}"/>
    <cellStyle name="20% - Accent2 13 3 2 4" xfId="13019" xr:uid="{00000000-0005-0000-0000-00007A0B0000}"/>
    <cellStyle name="20% - Accent2 13 3 2 5" xfId="16970" xr:uid="{00000000-0005-0000-0000-00007B0B0000}"/>
    <cellStyle name="20% - Accent2 13 3 3" xfId="1644" xr:uid="{00000000-0005-0000-0000-00007C0B0000}"/>
    <cellStyle name="20% - Accent2 13 3 3 2" xfId="1645" xr:uid="{00000000-0005-0000-0000-00007D0B0000}"/>
    <cellStyle name="20% - Accent2 13 3 3 2 2" xfId="13023" xr:uid="{00000000-0005-0000-0000-00007E0B0000}"/>
    <cellStyle name="20% - Accent2 13 3 3 2 3" xfId="16974" xr:uid="{00000000-0005-0000-0000-00007F0B0000}"/>
    <cellStyle name="20% - Accent2 13 3 3 3" xfId="1646" xr:uid="{00000000-0005-0000-0000-0000800B0000}"/>
    <cellStyle name="20% - Accent2 13 3 3 3 2" xfId="13024" xr:uid="{00000000-0005-0000-0000-0000810B0000}"/>
    <cellStyle name="20% - Accent2 13 3 3 3 3" xfId="16975" xr:uid="{00000000-0005-0000-0000-0000820B0000}"/>
    <cellStyle name="20% - Accent2 13 3 3 4" xfId="13022" xr:uid="{00000000-0005-0000-0000-0000830B0000}"/>
    <cellStyle name="20% - Accent2 13 3 3 5" xfId="16973" xr:uid="{00000000-0005-0000-0000-0000840B0000}"/>
    <cellStyle name="20% - Accent2 13 3 4" xfId="1647" xr:uid="{00000000-0005-0000-0000-0000850B0000}"/>
    <cellStyle name="20% - Accent2 13 3 4 2" xfId="13025" xr:uid="{00000000-0005-0000-0000-0000860B0000}"/>
    <cellStyle name="20% - Accent2 13 3 4 3" xfId="16976" xr:uid="{00000000-0005-0000-0000-0000870B0000}"/>
    <cellStyle name="20% - Accent2 13 3 5" xfId="1648" xr:uid="{00000000-0005-0000-0000-0000880B0000}"/>
    <cellStyle name="20% - Accent2 13 3 5 2" xfId="13026" xr:uid="{00000000-0005-0000-0000-0000890B0000}"/>
    <cellStyle name="20% - Accent2 13 3 5 3" xfId="16977" xr:uid="{00000000-0005-0000-0000-00008A0B0000}"/>
    <cellStyle name="20% - Accent2 13 3 6" xfId="13018" xr:uid="{00000000-0005-0000-0000-00008B0B0000}"/>
    <cellStyle name="20% - Accent2 13 3 7" xfId="16969" xr:uid="{00000000-0005-0000-0000-00008C0B0000}"/>
    <cellStyle name="20% - Accent2 13 3_Volatility" xfId="1649" xr:uid="{00000000-0005-0000-0000-00008D0B0000}"/>
    <cellStyle name="20% - Accent2 13 4" xfId="1650" xr:uid="{00000000-0005-0000-0000-00008E0B0000}"/>
    <cellStyle name="20% - Accent2 13 4 2" xfId="1651" xr:uid="{00000000-0005-0000-0000-00008F0B0000}"/>
    <cellStyle name="20% - Accent2 13 4 2 2" xfId="13028" xr:uid="{00000000-0005-0000-0000-0000900B0000}"/>
    <cellStyle name="20% - Accent2 13 4 2 3" xfId="16979" xr:uid="{00000000-0005-0000-0000-0000910B0000}"/>
    <cellStyle name="20% - Accent2 13 4 3" xfId="1652" xr:uid="{00000000-0005-0000-0000-0000920B0000}"/>
    <cellStyle name="20% - Accent2 13 4 3 2" xfId="13029" xr:uid="{00000000-0005-0000-0000-0000930B0000}"/>
    <cellStyle name="20% - Accent2 13 4 3 3" xfId="16980" xr:uid="{00000000-0005-0000-0000-0000940B0000}"/>
    <cellStyle name="20% - Accent2 13 4 4" xfId="13027" xr:uid="{00000000-0005-0000-0000-0000950B0000}"/>
    <cellStyle name="20% - Accent2 13 4 5" xfId="16978" xr:uid="{00000000-0005-0000-0000-0000960B0000}"/>
    <cellStyle name="20% - Accent2 13 5" xfId="1653" xr:uid="{00000000-0005-0000-0000-0000970B0000}"/>
    <cellStyle name="20% - Accent2 13 5 2" xfId="1654" xr:uid="{00000000-0005-0000-0000-0000980B0000}"/>
    <cellStyle name="20% - Accent2 13 5 2 2" xfId="13031" xr:uid="{00000000-0005-0000-0000-0000990B0000}"/>
    <cellStyle name="20% - Accent2 13 5 2 3" xfId="16982" xr:uid="{00000000-0005-0000-0000-00009A0B0000}"/>
    <cellStyle name="20% - Accent2 13 5 3" xfId="1655" xr:uid="{00000000-0005-0000-0000-00009B0B0000}"/>
    <cellStyle name="20% - Accent2 13 5 3 2" xfId="13032" xr:uid="{00000000-0005-0000-0000-00009C0B0000}"/>
    <cellStyle name="20% - Accent2 13 5 3 3" xfId="16983" xr:uid="{00000000-0005-0000-0000-00009D0B0000}"/>
    <cellStyle name="20% - Accent2 13 5 4" xfId="13030" xr:uid="{00000000-0005-0000-0000-00009E0B0000}"/>
    <cellStyle name="20% - Accent2 13 5 5" xfId="16981" xr:uid="{00000000-0005-0000-0000-00009F0B0000}"/>
    <cellStyle name="20% - Accent2 13 6" xfId="1656" xr:uid="{00000000-0005-0000-0000-0000A00B0000}"/>
    <cellStyle name="20% - Accent2 13 6 2" xfId="1657" xr:uid="{00000000-0005-0000-0000-0000A10B0000}"/>
    <cellStyle name="20% - Accent2 13 6 2 2" xfId="13034" xr:uid="{00000000-0005-0000-0000-0000A20B0000}"/>
    <cellStyle name="20% - Accent2 13 6 2 3" xfId="16985" xr:uid="{00000000-0005-0000-0000-0000A30B0000}"/>
    <cellStyle name="20% - Accent2 13 6 3" xfId="1658" xr:uid="{00000000-0005-0000-0000-0000A40B0000}"/>
    <cellStyle name="20% - Accent2 13 6 3 2" xfId="13035" xr:uid="{00000000-0005-0000-0000-0000A50B0000}"/>
    <cellStyle name="20% - Accent2 13 6 3 3" xfId="16986" xr:uid="{00000000-0005-0000-0000-0000A60B0000}"/>
    <cellStyle name="20% - Accent2 13 6 4" xfId="13033" xr:uid="{00000000-0005-0000-0000-0000A70B0000}"/>
    <cellStyle name="20% - Accent2 13 6 5" xfId="16984" xr:uid="{00000000-0005-0000-0000-0000A80B0000}"/>
    <cellStyle name="20% - Accent2 13 7" xfId="1659" xr:uid="{00000000-0005-0000-0000-0000A90B0000}"/>
    <cellStyle name="20% - Accent2 13 7 2" xfId="13036" xr:uid="{00000000-0005-0000-0000-0000AA0B0000}"/>
    <cellStyle name="20% - Accent2 13 7 3" xfId="16987" xr:uid="{00000000-0005-0000-0000-0000AB0B0000}"/>
    <cellStyle name="20% - Accent2 13 8" xfId="1660" xr:uid="{00000000-0005-0000-0000-0000AC0B0000}"/>
    <cellStyle name="20% - Accent2 13 8 2" xfId="13037" xr:uid="{00000000-0005-0000-0000-0000AD0B0000}"/>
    <cellStyle name="20% - Accent2 13 8 3" xfId="16988" xr:uid="{00000000-0005-0000-0000-0000AE0B0000}"/>
    <cellStyle name="20% - Accent2 13 9" xfId="13005" xr:uid="{00000000-0005-0000-0000-0000AF0B0000}"/>
    <cellStyle name="20% - Accent2 13_Volatility" xfId="1661" xr:uid="{00000000-0005-0000-0000-0000B00B0000}"/>
    <cellStyle name="20% - Accent2 14" xfId="1662" xr:uid="{00000000-0005-0000-0000-0000B10B0000}"/>
    <cellStyle name="20% - Accent2 14 10" xfId="16989" xr:uid="{00000000-0005-0000-0000-0000B20B0000}"/>
    <cellStyle name="20% - Accent2 14 2" xfId="1663" xr:uid="{00000000-0005-0000-0000-0000B30B0000}"/>
    <cellStyle name="20% - Accent2 14 2 2" xfId="1664" xr:uid="{00000000-0005-0000-0000-0000B40B0000}"/>
    <cellStyle name="20% - Accent2 14 2 2 2" xfId="1665" xr:uid="{00000000-0005-0000-0000-0000B50B0000}"/>
    <cellStyle name="20% - Accent2 14 2 2 2 2" xfId="13041" xr:uid="{00000000-0005-0000-0000-0000B60B0000}"/>
    <cellStyle name="20% - Accent2 14 2 2 2 3" xfId="16992" xr:uid="{00000000-0005-0000-0000-0000B70B0000}"/>
    <cellStyle name="20% - Accent2 14 2 2 3" xfId="1666" xr:uid="{00000000-0005-0000-0000-0000B80B0000}"/>
    <cellStyle name="20% - Accent2 14 2 2 3 2" xfId="13042" xr:uid="{00000000-0005-0000-0000-0000B90B0000}"/>
    <cellStyle name="20% - Accent2 14 2 2 3 3" xfId="16993" xr:uid="{00000000-0005-0000-0000-0000BA0B0000}"/>
    <cellStyle name="20% - Accent2 14 2 2 4" xfId="13040" xr:uid="{00000000-0005-0000-0000-0000BB0B0000}"/>
    <cellStyle name="20% - Accent2 14 2 2 5" xfId="16991" xr:uid="{00000000-0005-0000-0000-0000BC0B0000}"/>
    <cellStyle name="20% - Accent2 14 2 3" xfId="1667" xr:uid="{00000000-0005-0000-0000-0000BD0B0000}"/>
    <cellStyle name="20% - Accent2 14 2 3 2" xfId="1668" xr:uid="{00000000-0005-0000-0000-0000BE0B0000}"/>
    <cellStyle name="20% - Accent2 14 2 3 2 2" xfId="13044" xr:uid="{00000000-0005-0000-0000-0000BF0B0000}"/>
    <cellStyle name="20% - Accent2 14 2 3 2 3" xfId="16995" xr:uid="{00000000-0005-0000-0000-0000C00B0000}"/>
    <cellStyle name="20% - Accent2 14 2 3 3" xfId="1669" xr:uid="{00000000-0005-0000-0000-0000C10B0000}"/>
    <cellStyle name="20% - Accent2 14 2 3 3 2" xfId="13045" xr:uid="{00000000-0005-0000-0000-0000C20B0000}"/>
    <cellStyle name="20% - Accent2 14 2 3 3 3" xfId="16996" xr:uid="{00000000-0005-0000-0000-0000C30B0000}"/>
    <cellStyle name="20% - Accent2 14 2 3 4" xfId="13043" xr:uid="{00000000-0005-0000-0000-0000C40B0000}"/>
    <cellStyle name="20% - Accent2 14 2 3 5" xfId="16994" xr:uid="{00000000-0005-0000-0000-0000C50B0000}"/>
    <cellStyle name="20% - Accent2 14 2 4" xfId="1670" xr:uid="{00000000-0005-0000-0000-0000C60B0000}"/>
    <cellStyle name="20% - Accent2 14 2 4 2" xfId="1671" xr:uid="{00000000-0005-0000-0000-0000C70B0000}"/>
    <cellStyle name="20% - Accent2 14 2 4 2 2" xfId="13047" xr:uid="{00000000-0005-0000-0000-0000C80B0000}"/>
    <cellStyle name="20% - Accent2 14 2 4 2 3" xfId="16998" xr:uid="{00000000-0005-0000-0000-0000C90B0000}"/>
    <cellStyle name="20% - Accent2 14 2 4 3" xfId="1672" xr:uid="{00000000-0005-0000-0000-0000CA0B0000}"/>
    <cellStyle name="20% - Accent2 14 2 4 3 2" xfId="13048" xr:uid="{00000000-0005-0000-0000-0000CB0B0000}"/>
    <cellStyle name="20% - Accent2 14 2 4 3 3" xfId="16999" xr:uid="{00000000-0005-0000-0000-0000CC0B0000}"/>
    <cellStyle name="20% - Accent2 14 2 4 4" xfId="13046" xr:uid="{00000000-0005-0000-0000-0000CD0B0000}"/>
    <cellStyle name="20% - Accent2 14 2 4 5" xfId="16997" xr:uid="{00000000-0005-0000-0000-0000CE0B0000}"/>
    <cellStyle name="20% - Accent2 14 2 5" xfId="1673" xr:uid="{00000000-0005-0000-0000-0000CF0B0000}"/>
    <cellStyle name="20% - Accent2 14 2 5 2" xfId="13049" xr:uid="{00000000-0005-0000-0000-0000D00B0000}"/>
    <cellStyle name="20% - Accent2 14 2 5 3" xfId="17000" xr:uid="{00000000-0005-0000-0000-0000D10B0000}"/>
    <cellStyle name="20% - Accent2 14 2 6" xfId="1674" xr:uid="{00000000-0005-0000-0000-0000D20B0000}"/>
    <cellStyle name="20% - Accent2 14 2 6 2" xfId="13050" xr:uid="{00000000-0005-0000-0000-0000D30B0000}"/>
    <cellStyle name="20% - Accent2 14 2 6 3" xfId="17001" xr:uid="{00000000-0005-0000-0000-0000D40B0000}"/>
    <cellStyle name="20% - Accent2 14 2 7" xfId="13039" xr:uid="{00000000-0005-0000-0000-0000D50B0000}"/>
    <cellStyle name="20% - Accent2 14 2 8" xfId="16990" xr:uid="{00000000-0005-0000-0000-0000D60B0000}"/>
    <cellStyle name="20% - Accent2 14 2_Volatility" xfId="1675" xr:uid="{00000000-0005-0000-0000-0000D70B0000}"/>
    <cellStyle name="20% - Accent2 14 3" xfId="1676" xr:uid="{00000000-0005-0000-0000-0000D80B0000}"/>
    <cellStyle name="20% - Accent2 14 3 2" xfId="1677" xr:uid="{00000000-0005-0000-0000-0000D90B0000}"/>
    <cellStyle name="20% - Accent2 14 3 2 2" xfId="1678" xr:uid="{00000000-0005-0000-0000-0000DA0B0000}"/>
    <cellStyle name="20% - Accent2 14 3 2 2 2" xfId="13053" xr:uid="{00000000-0005-0000-0000-0000DB0B0000}"/>
    <cellStyle name="20% - Accent2 14 3 2 2 3" xfId="17004" xr:uid="{00000000-0005-0000-0000-0000DC0B0000}"/>
    <cellStyle name="20% - Accent2 14 3 2 3" xfId="1679" xr:uid="{00000000-0005-0000-0000-0000DD0B0000}"/>
    <cellStyle name="20% - Accent2 14 3 2 3 2" xfId="13054" xr:uid="{00000000-0005-0000-0000-0000DE0B0000}"/>
    <cellStyle name="20% - Accent2 14 3 2 3 3" xfId="17005" xr:uid="{00000000-0005-0000-0000-0000DF0B0000}"/>
    <cellStyle name="20% - Accent2 14 3 2 4" xfId="13052" xr:uid="{00000000-0005-0000-0000-0000E00B0000}"/>
    <cellStyle name="20% - Accent2 14 3 2 5" xfId="17003" xr:uid="{00000000-0005-0000-0000-0000E10B0000}"/>
    <cellStyle name="20% - Accent2 14 3 3" xfId="1680" xr:uid="{00000000-0005-0000-0000-0000E20B0000}"/>
    <cellStyle name="20% - Accent2 14 3 3 2" xfId="1681" xr:uid="{00000000-0005-0000-0000-0000E30B0000}"/>
    <cellStyle name="20% - Accent2 14 3 3 2 2" xfId="13056" xr:uid="{00000000-0005-0000-0000-0000E40B0000}"/>
    <cellStyle name="20% - Accent2 14 3 3 2 3" xfId="17007" xr:uid="{00000000-0005-0000-0000-0000E50B0000}"/>
    <cellStyle name="20% - Accent2 14 3 3 3" xfId="1682" xr:uid="{00000000-0005-0000-0000-0000E60B0000}"/>
    <cellStyle name="20% - Accent2 14 3 3 3 2" xfId="13057" xr:uid="{00000000-0005-0000-0000-0000E70B0000}"/>
    <cellStyle name="20% - Accent2 14 3 3 3 3" xfId="17008" xr:uid="{00000000-0005-0000-0000-0000E80B0000}"/>
    <cellStyle name="20% - Accent2 14 3 3 4" xfId="13055" xr:uid="{00000000-0005-0000-0000-0000E90B0000}"/>
    <cellStyle name="20% - Accent2 14 3 3 5" xfId="17006" xr:uid="{00000000-0005-0000-0000-0000EA0B0000}"/>
    <cellStyle name="20% - Accent2 14 3 4" xfId="1683" xr:uid="{00000000-0005-0000-0000-0000EB0B0000}"/>
    <cellStyle name="20% - Accent2 14 3 4 2" xfId="13058" xr:uid="{00000000-0005-0000-0000-0000EC0B0000}"/>
    <cellStyle name="20% - Accent2 14 3 4 3" xfId="17009" xr:uid="{00000000-0005-0000-0000-0000ED0B0000}"/>
    <cellStyle name="20% - Accent2 14 3 5" xfId="1684" xr:uid="{00000000-0005-0000-0000-0000EE0B0000}"/>
    <cellStyle name="20% - Accent2 14 3 5 2" xfId="13059" xr:uid="{00000000-0005-0000-0000-0000EF0B0000}"/>
    <cellStyle name="20% - Accent2 14 3 5 3" xfId="17010" xr:uid="{00000000-0005-0000-0000-0000F00B0000}"/>
    <cellStyle name="20% - Accent2 14 3 6" xfId="13051" xr:uid="{00000000-0005-0000-0000-0000F10B0000}"/>
    <cellStyle name="20% - Accent2 14 3 7" xfId="17002" xr:uid="{00000000-0005-0000-0000-0000F20B0000}"/>
    <cellStyle name="20% - Accent2 14 3_Volatility" xfId="1685" xr:uid="{00000000-0005-0000-0000-0000F30B0000}"/>
    <cellStyle name="20% - Accent2 14 4" xfId="1686" xr:uid="{00000000-0005-0000-0000-0000F40B0000}"/>
    <cellStyle name="20% - Accent2 14 4 2" xfId="1687" xr:uid="{00000000-0005-0000-0000-0000F50B0000}"/>
    <cellStyle name="20% - Accent2 14 4 2 2" xfId="13061" xr:uid="{00000000-0005-0000-0000-0000F60B0000}"/>
    <cellStyle name="20% - Accent2 14 4 2 3" xfId="17012" xr:uid="{00000000-0005-0000-0000-0000F70B0000}"/>
    <cellStyle name="20% - Accent2 14 4 3" xfId="1688" xr:uid="{00000000-0005-0000-0000-0000F80B0000}"/>
    <cellStyle name="20% - Accent2 14 4 3 2" xfId="13062" xr:uid="{00000000-0005-0000-0000-0000F90B0000}"/>
    <cellStyle name="20% - Accent2 14 4 3 3" xfId="17013" xr:uid="{00000000-0005-0000-0000-0000FA0B0000}"/>
    <cellStyle name="20% - Accent2 14 4 4" xfId="13060" xr:uid="{00000000-0005-0000-0000-0000FB0B0000}"/>
    <cellStyle name="20% - Accent2 14 4 5" xfId="17011" xr:uid="{00000000-0005-0000-0000-0000FC0B0000}"/>
    <cellStyle name="20% - Accent2 14 5" xfId="1689" xr:uid="{00000000-0005-0000-0000-0000FD0B0000}"/>
    <cellStyle name="20% - Accent2 14 5 2" xfId="1690" xr:uid="{00000000-0005-0000-0000-0000FE0B0000}"/>
    <cellStyle name="20% - Accent2 14 5 2 2" xfId="13064" xr:uid="{00000000-0005-0000-0000-0000FF0B0000}"/>
    <cellStyle name="20% - Accent2 14 5 2 3" xfId="17015" xr:uid="{00000000-0005-0000-0000-0000000C0000}"/>
    <cellStyle name="20% - Accent2 14 5 3" xfId="1691" xr:uid="{00000000-0005-0000-0000-0000010C0000}"/>
    <cellStyle name="20% - Accent2 14 5 3 2" xfId="13065" xr:uid="{00000000-0005-0000-0000-0000020C0000}"/>
    <cellStyle name="20% - Accent2 14 5 3 3" xfId="17016" xr:uid="{00000000-0005-0000-0000-0000030C0000}"/>
    <cellStyle name="20% - Accent2 14 5 4" xfId="13063" xr:uid="{00000000-0005-0000-0000-0000040C0000}"/>
    <cellStyle name="20% - Accent2 14 5 5" xfId="17014" xr:uid="{00000000-0005-0000-0000-0000050C0000}"/>
    <cellStyle name="20% - Accent2 14 6" xfId="1692" xr:uid="{00000000-0005-0000-0000-0000060C0000}"/>
    <cellStyle name="20% - Accent2 14 6 2" xfId="1693" xr:uid="{00000000-0005-0000-0000-0000070C0000}"/>
    <cellStyle name="20% - Accent2 14 6 2 2" xfId="13067" xr:uid="{00000000-0005-0000-0000-0000080C0000}"/>
    <cellStyle name="20% - Accent2 14 6 2 3" xfId="17018" xr:uid="{00000000-0005-0000-0000-0000090C0000}"/>
    <cellStyle name="20% - Accent2 14 6 3" xfId="1694" xr:uid="{00000000-0005-0000-0000-00000A0C0000}"/>
    <cellStyle name="20% - Accent2 14 6 3 2" xfId="13068" xr:uid="{00000000-0005-0000-0000-00000B0C0000}"/>
    <cellStyle name="20% - Accent2 14 6 3 3" xfId="17019" xr:uid="{00000000-0005-0000-0000-00000C0C0000}"/>
    <cellStyle name="20% - Accent2 14 6 4" xfId="13066" xr:uid="{00000000-0005-0000-0000-00000D0C0000}"/>
    <cellStyle name="20% - Accent2 14 6 5" xfId="17017" xr:uid="{00000000-0005-0000-0000-00000E0C0000}"/>
    <cellStyle name="20% - Accent2 14 7" xfId="1695" xr:uid="{00000000-0005-0000-0000-00000F0C0000}"/>
    <cellStyle name="20% - Accent2 14 7 2" xfId="13069" xr:uid="{00000000-0005-0000-0000-0000100C0000}"/>
    <cellStyle name="20% - Accent2 14 7 3" xfId="17020" xr:uid="{00000000-0005-0000-0000-0000110C0000}"/>
    <cellStyle name="20% - Accent2 14 8" xfId="1696" xr:uid="{00000000-0005-0000-0000-0000120C0000}"/>
    <cellStyle name="20% - Accent2 14 8 2" xfId="13070" xr:uid="{00000000-0005-0000-0000-0000130C0000}"/>
    <cellStyle name="20% - Accent2 14 8 3" xfId="17021" xr:uid="{00000000-0005-0000-0000-0000140C0000}"/>
    <cellStyle name="20% - Accent2 14 9" xfId="13038" xr:uid="{00000000-0005-0000-0000-0000150C0000}"/>
    <cellStyle name="20% - Accent2 14_Volatility" xfId="1697" xr:uid="{00000000-0005-0000-0000-0000160C0000}"/>
    <cellStyle name="20% - Accent2 15" xfId="1698" xr:uid="{00000000-0005-0000-0000-0000170C0000}"/>
    <cellStyle name="20% - Accent2 15 10" xfId="17022" xr:uid="{00000000-0005-0000-0000-0000180C0000}"/>
    <cellStyle name="20% - Accent2 15 2" xfId="1699" xr:uid="{00000000-0005-0000-0000-0000190C0000}"/>
    <cellStyle name="20% - Accent2 15 2 2" xfId="1700" xr:uid="{00000000-0005-0000-0000-00001A0C0000}"/>
    <cellStyle name="20% - Accent2 15 2 2 2" xfId="1701" xr:uid="{00000000-0005-0000-0000-00001B0C0000}"/>
    <cellStyle name="20% - Accent2 15 2 2 2 2" xfId="13074" xr:uid="{00000000-0005-0000-0000-00001C0C0000}"/>
    <cellStyle name="20% - Accent2 15 2 2 2 3" xfId="17025" xr:uid="{00000000-0005-0000-0000-00001D0C0000}"/>
    <cellStyle name="20% - Accent2 15 2 2 3" xfId="1702" xr:uid="{00000000-0005-0000-0000-00001E0C0000}"/>
    <cellStyle name="20% - Accent2 15 2 2 3 2" xfId="13075" xr:uid="{00000000-0005-0000-0000-00001F0C0000}"/>
    <cellStyle name="20% - Accent2 15 2 2 3 3" xfId="17026" xr:uid="{00000000-0005-0000-0000-0000200C0000}"/>
    <cellStyle name="20% - Accent2 15 2 2 4" xfId="13073" xr:uid="{00000000-0005-0000-0000-0000210C0000}"/>
    <cellStyle name="20% - Accent2 15 2 2 5" xfId="17024" xr:uid="{00000000-0005-0000-0000-0000220C0000}"/>
    <cellStyle name="20% - Accent2 15 2 3" xfId="1703" xr:uid="{00000000-0005-0000-0000-0000230C0000}"/>
    <cellStyle name="20% - Accent2 15 2 3 2" xfId="1704" xr:uid="{00000000-0005-0000-0000-0000240C0000}"/>
    <cellStyle name="20% - Accent2 15 2 3 2 2" xfId="13077" xr:uid="{00000000-0005-0000-0000-0000250C0000}"/>
    <cellStyle name="20% - Accent2 15 2 3 2 3" xfId="17028" xr:uid="{00000000-0005-0000-0000-0000260C0000}"/>
    <cellStyle name="20% - Accent2 15 2 3 3" xfId="1705" xr:uid="{00000000-0005-0000-0000-0000270C0000}"/>
    <cellStyle name="20% - Accent2 15 2 3 3 2" xfId="13078" xr:uid="{00000000-0005-0000-0000-0000280C0000}"/>
    <cellStyle name="20% - Accent2 15 2 3 3 3" xfId="17029" xr:uid="{00000000-0005-0000-0000-0000290C0000}"/>
    <cellStyle name="20% - Accent2 15 2 3 4" xfId="13076" xr:uid="{00000000-0005-0000-0000-00002A0C0000}"/>
    <cellStyle name="20% - Accent2 15 2 3 5" xfId="17027" xr:uid="{00000000-0005-0000-0000-00002B0C0000}"/>
    <cellStyle name="20% - Accent2 15 2 4" xfId="1706" xr:uid="{00000000-0005-0000-0000-00002C0C0000}"/>
    <cellStyle name="20% - Accent2 15 2 4 2" xfId="1707" xr:uid="{00000000-0005-0000-0000-00002D0C0000}"/>
    <cellStyle name="20% - Accent2 15 2 4 2 2" xfId="13080" xr:uid="{00000000-0005-0000-0000-00002E0C0000}"/>
    <cellStyle name="20% - Accent2 15 2 4 2 3" xfId="17031" xr:uid="{00000000-0005-0000-0000-00002F0C0000}"/>
    <cellStyle name="20% - Accent2 15 2 4 3" xfId="1708" xr:uid="{00000000-0005-0000-0000-0000300C0000}"/>
    <cellStyle name="20% - Accent2 15 2 4 3 2" xfId="13081" xr:uid="{00000000-0005-0000-0000-0000310C0000}"/>
    <cellStyle name="20% - Accent2 15 2 4 3 3" xfId="17032" xr:uid="{00000000-0005-0000-0000-0000320C0000}"/>
    <cellStyle name="20% - Accent2 15 2 4 4" xfId="13079" xr:uid="{00000000-0005-0000-0000-0000330C0000}"/>
    <cellStyle name="20% - Accent2 15 2 4 5" xfId="17030" xr:uid="{00000000-0005-0000-0000-0000340C0000}"/>
    <cellStyle name="20% - Accent2 15 2 5" xfId="1709" xr:uid="{00000000-0005-0000-0000-0000350C0000}"/>
    <cellStyle name="20% - Accent2 15 2 5 2" xfId="13082" xr:uid="{00000000-0005-0000-0000-0000360C0000}"/>
    <cellStyle name="20% - Accent2 15 2 5 3" xfId="17033" xr:uid="{00000000-0005-0000-0000-0000370C0000}"/>
    <cellStyle name="20% - Accent2 15 2 6" xfId="1710" xr:uid="{00000000-0005-0000-0000-0000380C0000}"/>
    <cellStyle name="20% - Accent2 15 2 6 2" xfId="13083" xr:uid="{00000000-0005-0000-0000-0000390C0000}"/>
    <cellStyle name="20% - Accent2 15 2 6 3" xfId="17034" xr:uid="{00000000-0005-0000-0000-00003A0C0000}"/>
    <cellStyle name="20% - Accent2 15 2 7" xfId="13072" xr:uid="{00000000-0005-0000-0000-00003B0C0000}"/>
    <cellStyle name="20% - Accent2 15 2 8" xfId="17023" xr:uid="{00000000-0005-0000-0000-00003C0C0000}"/>
    <cellStyle name="20% - Accent2 15 2_Volatility" xfId="1711" xr:uid="{00000000-0005-0000-0000-00003D0C0000}"/>
    <cellStyle name="20% - Accent2 15 3" xfId="1712" xr:uid="{00000000-0005-0000-0000-00003E0C0000}"/>
    <cellStyle name="20% - Accent2 15 3 2" xfId="1713" xr:uid="{00000000-0005-0000-0000-00003F0C0000}"/>
    <cellStyle name="20% - Accent2 15 3 2 2" xfId="1714" xr:uid="{00000000-0005-0000-0000-0000400C0000}"/>
    <cellStyle name="20% - Accent2 15 3 2 2 2" xfId="13086" xr:uid="{00000000-0005-0000-0000-0000410C0000}"/>
    <cellStyle name="20% - Accent2 15 3 2 2 3" xfId="17037" xr:uid="{00000000-0005-0000-0000-0000420C0000}"/>
    <cellStyle name="20% - Accent2 15 3 2 3" xfId="1715" xr:uid="{00000000-0005-0000-0000-0000430C0000}"/>
    <cellStyle name="20% - Accent2 15 3 2 3 2" xfId="13087" xr:uid="{00000000-0005-0000-0000-0000440C0000}"/>
    <cellStyle name="20% - Accent2 15 3 2 3 3" xfId="17038" xr:uid="{00000000-0005-0000-0000-0000450C0000}"/>
    <cellStyle name="20% - Accent2 15 3 2 4" xfId="13085" xr:uid="{00000000-0005-0000-0000-0000460C0000}"/>
    <cellStyle name="20% - Accent2 15 3 2 5" xfId="17036" xr:uid="{00000000-0005-0000-0000-0000470C0000}"/>
    <cellStyle name="20% - Accent2 15 3 3" xfId="1716" xr:uid="{00000000-0005-0000-0000-0000480C0000}"/>
    <cellStyle name="20% - Accent2 15 3 3 2" xfId="1717" xr:uid="{00000000-0005-0000-0000-0000490C0000}"/>
    <cellStyle name="20% - Accent2 15 3 3 2 2" xfId="13089" xr:uid="{00000000-0005-0000-0000-00004A0C0000}"/>
    <cellStyle name="20% - Accent2 15 3 3 2 3" xfId="17040" xr:uid="{00000000-0005-0000-0000-00004B0C0000}"/>
    <cellStyle name="20% - Accent2 15 3 3 3" xfId="1718" xr:uid="{00000000-0005-0000-0000-00004C0C0000}"/>
    <cellStyle name="20% - Accent2 15 3 3 3 2" xfId="13090" xr:uid="{00000000-0005-0000-0000-00004D0C0000}"/>
    <cellStyle name="20% - Accent2 15 3 3 3 3" xfId="17041" xr:uid="{00000000-0005-0000-0000-00004E0C0000}"/>
    <cellStyle name="20% - Accent2 15 3 3 4" xfId="13088" xr:uid="{00000000-0005-0000-0000-00004F0C0000}"/>
    <cellStyle name="20% - Accent2 15 3 3 5" xfId="17039" xr:uid="{00000000-0005-0000-0000-0000500C0000}"/>
    <cellStyle name="20% - Accent2 15 3 4" xfId="1719" xr:uid="{00000000-0005-0000-0000-0000510C0000}"/>
    <cellStyle name="20% - Accent2 15 3 4 2" xfId="13091" xr:uid="{00000000-0005-0000-0000-0000520C0000}"/>
    <cellStyle name="20% - Accent2 15 3 4 3" xfId="17042" xr:uid="{00000000-0005-0000-0000-0000530C0000}"/>
    <cellStyle name="20% - Accent2 15 3 5" xfId="1720" xr:uid="{00000000-0005-0000-0000-0000540C0000}"/>
    <cellStyle name="20% - Accent2 15 3 5 2" xfId="13092" xr:uid="{00000000-0005-0000-0000-0000550C0000}"/>
    <cellStyle name="20% - Accent2 15 3 5 3" xfId="17043" xr:uid="{00000000-0005-0000-0000-0000560C0000}"/>
    <cellStyle name="20% - Accent2 15 3 6" xfId="13084" xr:uid="{00000000-0005-0000-0000-0000570C0000}"/>
    <cellStyle name="20% - Accent2 15 3 7" xfId="17035" xr:uid="{00000000-0005-0000-0000-0000580C0000}"/>
    <cellStyle name="20% - Accent2 15 3_Volatility" xfId="1721" xr:uid="{00000000-0005-0000-0000-0000590C0000}"/>
    <cellStyle name="20% - Accent2 15 4" xfId="1722" xr:uid="{00000000-0005-0000-0000-00005A0C0000}"/>
    <cellStyle name="20% - Accent2 15 4 2" xfId="1723" xr:uid="{00000000-0005-0000-0000-00005B0C0000}"/>
    <cellStyle name="20% - Accent2 15 4 2 2" xfId="13094" xr:uid="{00000000-0005-0000-0000-00005C0C0000}"/>
    <cellStyle name="20% - Accent2 15 4 2 3" xfId="17045" xr:uid="{00000000-0005-0000-0000-00005D0C0000}"/>
    <cellStyle name="20% - Accent2 15 4 3" xfId="1724" xr:uid="{00000000-0005-0000-0000-00005E0C0000}"/>
    <cellStyle name="20% - Accent2 15 4 3 2" xfId="13095" xr:uid="{00000000-0005-0000-0000-00005F0C0000}"/>
    <cellStyle name="20% - Accent2 15 4 3 3" xfId="17046" xr:uid="{00000000-0005-0000-0000-0000600C0000}"/>
    <cellStyle name="20% - Accent2 15 4 4" xfId="13093" xr:uid="{00000000-0005-0000-0000-0000610C0000}"/>
    <cellStyle name="20% - Accent2 15 4 5" xfId="17044" xr:uid="{00000000-0005-0000-0000-0000620C0000}"/>
    <cellStyle name="20% - Accent2 15 5" xfId="1725" xr:uid="{00000000-0005-0000-0000-0000630C0000}"/>
    <cellStyle name="20% - Accent2 15 5 2" xfId="1726" xr:uid="{00000000-0005-0000-0000-0000640C0000}"/>
    <cellStyle name="20% - Accent2 15 5 2 2" xfId="13097" xr:uid="{00000000-0005-0000-0000-0000650C0000}"/>
    <cellStyle name="20% - Accent2 15 5 2 3" xfId="17048" xr:uid="{00000000-0005-0000-0000-0000660C0000}"/>
    <cellStyle name="20% - Accent2 15 5 3" xfId="1727" xr:uid="{00000000-0005-0000-0000-0000670C0000}"/>
    <cellStyle name="20% - Accent2 15 5 3 2" xfId="13098" xr:uid="{00000000-0005-0000-0000-0000680C0000}"/>
    <cellStyle name="20% - Accent2 15 5 3 3" xfId="17049" xr:uid="{00000000-0005-0000-0000-0000690C0000}"/>
    <cellStyle name="20% - Accent2 15 5 4" xfId="13096" xr:uid="{00000000-0005-0000-0000-00006A0C0000}"/>
    <cellStyle name="20% - Accent2 15 5 5" xfId="17047" xr:uid="{00000000-0005-0000-0000-00006B0C0000}"/>
    <cellStyle name="20% - Accent2 15 6" xfId="1728" xr:uid="{00000000-0005-0000-0000-00006C0C0000}"/>
    <cellStyle name="20% - Accent2 15 6 2" xfId="1729" xr:uid="{00000000-0005-0000-0000-00006D0C0000}"/>
    <cellStyle name="20% - Accent2 15 6 2 2" xfId="13100" xr:uid="{00000000-0005-0000-0000-00006E0C0000}"/>
    <cellStyle name="20% - Accent2 15 6 2 3" xfId="17051" xr:uid="{00000000-0005-0000-0000-00006F0C0000}"/>
    <cellStyle name="20% - Accent2 15 6 3" xfId="1730" xr:uid="{00000000-0005-0000-0000-0000700C0000}"/>
    <cellStyle name="20% - Accent2 15 6 3 2" xfId="13101" xr:uid="{00000000-0005-0000-0000-0000710C0000}"/>
    <cellStyle name="20% - Accent2 15 6 3 3" xfId="17052" xr:uid="{00000000-0005-0000-0000-0000720C0000}"/>
    <cellStyle name="20% - Accent2 15 6 4" xfId="13099" xr:uid="{00000000-0005-0000-0000-0000730C0000}"/>
    <cellStyle name="20% - Accent2 15 6 5" xfId="17050" xr:uid="{00000000-0005-0000-0000-0000740C0000}"/>
    <cellStyle name="20% - Accent2 15 7" xfId="1731" xr:uid="{00000000-0005-0000-0000-0000750C0000}"/>
    <cellStyle name="20% - Accent2 15 7 2" xfId="13102" xr:uid="{00000000-0005-0000-0000-0000760C0000}"/>
    <cellStyle name="20% - Accent2 15 7 3" xfId="17053" xr:uid="{00000000-0005-0000-0000-0000770C0000}"/>
    <cellStyle name="20% - Accent2 15 8" xfId="1732" xr:uid="{00000000-0005-0000-0000-0000780C0000}"/>
    <cellStyle name="20% - Accent2 15 8 2" xfId="13103" xr:uid="{00000000-0005-0000-0000-0000790C0000}"/>
    <cellStyle name="20% - Accent2 15 8 3" xfId="17054" xr:uid="{00000000-0005-0000-0000-00007A0C0000}"/>
    <cellStyle name="20% - Accent2 15 9" xfId="13071" xr:uid="{00000000-0005-0000-0000-00007B0C0000}"/>
    <cellStyle name="20% - Accent2 15_Volatility" xfId="1733" xr:uid="{00000000-0005-0000-0000-00007C0C0000}"/>
    <cellStyle name="20% - Accent2 16" xfId="1734" xr:uid="{00000000-0005-0000-0000-00007D0C0000}"/>
    <cellStyle name="20% - Accent2 16 2" xfId="13104" xr:uid="{00000000-0005-0000-0000-00007E0C0000}"/>
    <cellStyle name="20% - Accent2 16 3" xfId="17055" xr:uid="{00000000-0005-0000-0000-00007F0C0000}"/>
    <cellStyle name="20% - Accent2 17" xfId="1735" xr:uid="{00000000-0005-0000-0000-0000800C0000}"/>
    <cellStyle name="20% - Accent2 17 2" xfId="13105" xr:uid="{00000000-0005-0000-0000-0000810C0000}"/>
    <cellStyle name="20% - Accent2 17 3" xfId="17056" xr:uid="{00000000-0005-0000-0000-0000820C0000}"/>
    <cellStyle name="20% - Accent2 18" xfId="1736" xr:uid="{00000000-0005-0000-0000-0000830C0000}"/>
    <cellStyle name="20% - Accent2 18 2" xfId="13106" xr:uid="{00000000-0005-0000-0000-0000840C0000}"/>
    <cellStyle name="20% - Accent2 18 3" xfId="17057" xr:uid="{00000000-0005-0000-0000-0000850C0000}"/>
    <cellStyle name="20% - Accent2 19" xfId="1737" xr:uid="{00000000-0005-0000-0000-0000860C0000}"/>
    <cellStyle name="20% - Accent2 19 2" xfId="13107" xr:uid="{00000000-0005-0000-0000-0000870C0000}"/>
    <cellStyle name="20% - Accent2 19 3" xfId="17058" xr:uid="{00000000-0005-0000-0000-0000880C0000}"/>
    <cellStyle name="20% - Accent2 2" xfId="1738" xr:uid="{00000000-0005-0000-0000-0000890C0000}"/>
    <cellStyle name="20% - Accent2 2 10" xfId="17059" xr:uid="{00000000-0005-0000-0000-00008A0C0000}"/>
    <cellStyle name="20% - Accent2 2 2" xfId="1739" xr:uid="{00000000-0005-0000-0000-00008B0C0000}"/>
    <cellStyle name="20% - Accent2 2 2 2" xfId="1740" xr:uid="{00000000-0005-0000-0000-00008C0C0000}"/>
    <cellStyle name="20% - Accent2 2 2 2 2" xfId="1741" xr:uid="{00000000-0005-0000-0000-00008D0C0000}"/>
    <cellStyle name="20% - Accent2 2 2 2 2 2" xfId="13111" xr:uid="{00000000-0005-0000-0000-00008E0C0000}"/>
    <cellStyle name="20% - Accent2 2 2 2 2 3" xfId="17062" xr:uid="{00000000-0005-0000-0000-00008F0C0000}"/>
    <cellStyle name="20% - Accent2 2 2 2 3" xfId="1742" xr:uid="{00000000-0005-0000-0000-0000900C0000}"/>
    <cellStyle name="20% - Accent2 2 2 2 3 2" xfId="13112" xr:uid="{00000000-0005-0000-0000-0000910C0000}"/>
    <cellStyle name="20% - Accent2 2 2 2 3 3" xfId="17063" xr:uid="{00000000-0005-0000-0000-0000920C0000}"/>
    <cellStyle name="20% - Accent2 2 2 2 4" xfId="13110" xr:uid="{00000000-0005-0000-0000-0000930C0000}"/>
    <cellStyle name="20% - Accent2 2 2 2 5" xfId="17061" xr:uid="{00000000-0005-0000-0000-0000940C0000}"/>
    <cellStyle name="20% - Accent2 2 2 3" xfId="1743" xr:uid="{00000000-0005-0000-0000-0000950C0000}"/>
    <cellStyle name="20% - Accent2 2 2 3 2" xfId="1744" xr:uid="{00000000-0005-0000-0000-0000960C0000}"/>
    <cellStyle name="20% - Accent2 2 2 3 2 2" xfId="13114" xr:uid="{00000000-0005-0000-0000-0000970C0000}"/>
    <cellStyle name="20% - Accent2 2 2 3 2 3" xfId="17065" xr:uid="{00000000-0005-0000-0000-0000980C0000}"/>
    <cellStyle name="20% - Accent2 2 2 3 3" xfId="1745" xr:uid="{00000000-0005-0000-0000-0000990C0000}"/>
    <cellStyle name="20% - Accent2 2 2 3 3 2" xfId="13115" xr:uid="{00000000-0005-0000-0000-00009A0C0000}"/>
    <cellStyle name="20% - Accent2 2 2 3 3 3" xfId="17066" xr:uid="{00000000-0005-0000-0000-00009B0C0000}"/>
    <cellStyle name="20% - Accent2 2 2 3 4" xfId="13113" xr:uid="{00000000-0005-0000-0000-00009C0C0000}"/>
    <cellStyle name="20% - Accent2 2 2 3 5" xfId="17064" xr:uid="{00000000-0005-0000-0000-00009D0C0000}"/>
    <cellStyle name="20% - Accent2 2 2 4" xfId="1746" xr:uid="{00000000-0005-0000-0000-00009E0C0000}"/>
    <cellStyle name="20% - Accent2 2 2 4 2" xfId="1747" xr:uid="{00000000-0005-0000-0000-00009F0C0000}"/>
    <cellStyle name="20% - Accent2 2 2 4 2 2" xfId="13117" xr:uid="{00000000-0005-0000-0000-0000A00C0000}"/>
    <cellStyle name="20% - Accent2 2 2 4 2 3" xfId="17068" xr:uid="{00000000-0005-0000-0000-0000A10C0000}"/>
    <cellStyle name="20% - Accent2 2 2 4 3" xfId="1748" xr:uid="{00000000-0005-0000-0000-0000A20C0000}"/>
    <cellStyle name="20% - Accent2 2 2 4 3 2" xfId="13118" xr:uid="{00000000-0005-0000-0000-0000A30C0000}"/>
    <cellStyle name="20% - Accent2 2 2 4 3 3" xfId="17069" xr:uid="{00000000-0005-0000-0000-0000A40C0000}"/>
    <cellStyle name="20% - Accent2 2 2 4 4" xfId="13116" xr:uid="{00000000-0005-0000-0000-0000A50C0000}"/>
    <cellStyle name="20% - Accent2 2 2 4 5" xfId="17067" xr:uid="{00000000-0005-0000-0000-0000A60C0000}"/>
    <cellStyle name="20% - Accent2 2 2 5" xfId="1749" xr:uid="{00000000-0005-0000-0000-0000A70C0000}"/>
    <cellStyle name="20% - Accent2 2 2 5 2" xfId="13119" xr:uid="{00000000-0005-0000-0000-0000A80C0000}"/>
    <cellStyle name="20% - Accent2 2 2 5 3" xfId="17070" xr:uid="{00000000-0005-0000-0000-0000A90C0000}"/>
    <cellStyle name="20% - Accent2 2 2 6" xfId="1750" xr:uid="{00000000-0005-0000-0000-0000AA0C0000}"/>
    <cellStyle name="20% - Accent2 2 2 6 2" xfId="13120" xr:uid="{00000000-0005-0000-0000-0000AB0C0000}"/>
    <cellStyle name="20% - Accent2 2 2 6 3" xfId="17071" xr:uid="{00000000-0005-0000-0000-0000AC0C0000}"/>
    <cellStyle name="20% - Accent2 2 2 7" xfId="13109" xr:uid="{00000000-0005-0000-0000-0000AD0C0000}"/>
    <cellStyle name="20% - Accent2 2 2 8" xfId="17060" xr:uid="{00000000-0005-0000-0000-0000AE0C0000}"/>
    <cellStyle name="20% - Accent2 2 2_Volatility" xfId="1751" xr:uid="{00000000-0005-0000-0000-0000AF0C0000}"/>
    <cellStyle name="20% - Accent2 2 3" xfId="1752" xr:uid="{00000000-0005-0000-0000-0000B00C0000}"/>
    <cellStyle name="20% - Accent2 2 3 2" xfId="1753" xr:uid="{00000000-0005-0000-0000-0000B10C0000}"/>
    <cellStyle name="20% - Accent2 2 3 2 2" xfId="1754" xr:uid="{00000000-0005-0000-0000-0000B20C0000}"/>
    <cellStyle name="20% - Accent2 2 3 2 2 2" xfId="13123" xr:uid="{00000000-0005-0000-0000-0000B30C0000}"/>
    <cellStyle name="20% - Accent2 2 3 2 2 3" xfId="17074" xr:uid="{00000000-0005-0000-0000-0000B40C0000}"/>
    <cellStyle name="20% - Accent2 2 3 2 3" xfId="1755" xr:uid="{00000000-0005-0000-0000-0000B50C0000}"/>
    <cellStyle name="20% - Accent2 2 3 2 3 2" xfId="13124" xr:uid="{00000000-0005-0000-0000-0000B60C0000}"/>
    <cellStyle name="20% - Accent2 2 3 2 3 3" xfId="17075" xr:uid="{00000000-0005-0000-0000-0000B70C0000}"/>
    <cellStyle name="20% - Accent2 2 3 2 4" xfId="13122" xr:uid="{00000000-0005-0000-0000-0000B80C0000}"/>
    <cellStyle name="20% - Accent2 2 3 2 5" xfId="17073" xr:uid="{00000000-0005-0000-0000-0000B90C0000}"/>
    <cellStyle name="20% - Accent2 2 3 3" xfId="1756" xr:uid="{00000000-0005-0000-0000-0000BA0C0000}"/>
    <cellStyle name="20% - Accent2 2 3 3 2" xfId="1757" xr:uid="{00000000-0005-0000-0000-0000BB0C0000}"/>
    <cellStyle name="20% - Accent2 2 3 3 2 2" xfId="13126" xr:uid="{00000000-0005-0000-0000-0000BC0C0000}"/>
    <cellStyle name="20% - Accent2 2 3 3 2 3" xfId="17077" xr:uid="{00000000-0005-0000-0000-0000BD0C0000}"/>
    <cellStyle name="20% - Accent2 2 3 3 3" xfId="1758" xr:uid="{00000000-0005-0000-0000-0000BE0C0000}"/>
    <cellStyle name="20% - Accent2 2 3 3 3 2" xfId="13127" xr:uid="{00000000-0005-0000-0000-0000BF0C0000}"/>
    <cellStyle name="20% - Accent2 2 3 3 3 3" xfId="17078" xr:uid="{00000000-0005-0000-0000-0000C00C0000}"/>
    <cellStyle name="20% - Accent2 2 3 3 4" xfId="13125" xr:uid="{00000000-0005-0000-0000-0000C10C0000}"/>
    <cellStyle name="20% - Accent2 2 3 3 5" xfId="17076" xr:uid="{00000000-0005-0000-0000-0000C20C0000}"/>
    <cellStyle name="20% - Accent2 2 3 4" xfId="1759" xr:uid="{00000000-0005-0000-0000-0000C30C0000}"/>
    <cellStyle name="20% - Accent2 2 3 4 2" xfId="13128" xr:uid="{00000000-0005-0000-0000-0000C40C0000}"/>
    <cellStyle name="20% - Accent2 2 3 4 3" xfId="17079" xr:uid="{00000000-0005-0000-0000-0000C50C0000}"/>
    <cellStyle name="20% - Accent2 2 3 5" xfId="1760" xr:uid="{00000000-0005-0000-0000-0000C60C0000}"/>
    <cellStyle name="20% - Accent2 2 3 5 2" xfId="13129" xr:uid="{00000000-0005-0000-0000-0000C70C0000}"/>
    <cellStyle name="20% - Accent2 2 3 5 3" xfId="17080" xr:uid="{00000000-0005-0000-0000-0000C80C0000}"/>
    <cellStyle name="20% - Accent2 2 3 6" xfId="13121" xr:uid="{00000000-0005-0000-0000-0000C90C0000}"/>
    <cellStyle name="20% - Accent2 2 3 7" xfId="17072" xr:uid="{00000000-0005-0000-0000-0000CA0C0000}"/>
    <cellStyle name="20% - Accent2 2 3_Volatility" xfId="1761" xr:uid="{00000000-0005-0000-0000-0000CB0C0000}"/>
    <cellStyle name="20% - Accent2 2 4" xfId="1762" xr:uid="{00000000-0005-0000-0000-0000CC0C0000}"/>
    <cellStyle name="20% - Accent2 2 4 2" xfId="1763" xr:uid="{00000000-0005-0000-0000-0000CD0C0000}"/>
    <cellStyle name="20% - Accent2 2 4 2 2" xfId="13131" xr:uid="{00000000-0005-0000-0000-0000CE0C0000}"/>
    <cellStyle name="20% - Accent2 2 4 2 3" xfId="17082" xr:uid="{00000000-0005-0000-0000-0000CF0C0000}"/>
    <cellStyle name="20% - Accent2 2 4 3" xfId="1764" xr:uid="{00000000-0005-0000-0000-0000D00C0000}"/>
    <cellStyle name="20% - Accent2 2 4 3 2" xfId="13132" xr:uid="{00000000-0005-0000-0000-0000D10C0000}"/>
    <cellStyle name="20% - Accent2 2 4 3 3" xfId="17083" xr:uid="{00000000-0005-0000-0000-0000D20C0000}"/>
    <cellStyle name="20% - Accent2 2 4 4" xfId="13130" xr:uid="{00000000-0005-0000-0000-0000D30C0000}"/>
    <cellStyle name="20% - Accent2 2 4 5" xfId="17081" xr:uid="{00000000-0005-0000-0000-0000D40C0000}"/>
    <cellStyle name="20% - Accent2 2 5" xfId="1765" xr:uid="{00000000-0005-0000-0000-0000D50C0000}"/>
    <cellStyle name="20% - Accent2 2 5 2" xfId="1766" xr:uid="{00000000-0005-0000-0000-0000D60C0000}"/>
    <cellStyle name="20% - Accent2 2 5 2 2" xfId="13134" xr:uid="{00000000-0005-0000-0000-0000D70C0000}"/>
    <cellStyle name="20% - Accent2 2 5 2 3" xfId="17085" xr:uid="{00000000-0005-0000-0000-0000D80C0000}"/>
    <cellStyle name="20% - Accent2 2 5 3" xfId="1767" xr:uid="{00000000-0005-0000-0000-0000D90C0000}"/>
    <cellStyle name="20% - Accent2 2 5 3 2" xfId="13135" xr:uid="{00000000-0005-0000-0000-0000DA0C0000}"/>
    <cellStyle name="20% - Accent2 2 5 3 3" xfId="17086" xr:uid="{00000000-0005-0000-0000-0000DB0C0000}"/>
    <cellStyle name="20% - Accent2 2 5 4" xfId="13133" xr:uid="{00000000-0005-0000-0000-0000DC0C0000}"/>
    <cellStyle name="20% - Accent2 2 5 5" xfId="17084" xr:uid="{00000000-0005-0000-0000-0000DD0C0000}"/>
    <cellStyle name="20% - Accent2 2 6" xfId="1768" xr:uid="{00000000-0005-0000-0000-0000DE0C0000}"/>
    <cellStyle name="20% - Accent2 2 6 2" xfId="1769" xr:uid="{00000000-0005-0000-0000-0000DF0C0000}"/>
    <cellStyle name="20% - Accent2 2 6 2 2" xfId="13137" xr:uid="{00000000-0005-0000-0000-0000E00C0000}"/>
    <cellStyle name="20% - Accent2 2 6 2 3" xfId="17088" xr:uid="{00000000-0005-0000-0000-0000E10C0000}"/>
    <cellStyle name="20% - Accent2 2 6 3" xfId="1770" xr:uid="{00000000-0005-0000-0000-0000E20C0000}"/>
    <cellStyle name="20% - Accent2 2 6 3 2" xfId="13138" xr:uid="{00000000-0005-0000-0000-0000E30C0000}"/>
    <cellStyle name="20% - Accent2 2 6 3 3" xfId="17089" xr:uid="{00000000-0005-0000-0000-0000E40C0000}"/>
    <cellStyle name="20% - Accent2 2 6 4" xfId="13136" xr:uid="{00000000-0005-0000-0000-0000E50C0000}"/>
    <cellStyle name="20% - Accent2 2 6 5" xfId="17087" xr:uid="{00000000-0005-0000-0000-0000E60C0000}"/>
    <cellStyle name="20% - Accent2 2 7" xfId="1771" xr:uid="{00000000-0005-0000-0000-0000E70C0000}"/>
    <cellStyle name="20% - Accent2 2 7 2" xfId="13139" xr:uid="{00000000-0005-0000-0000-0000E80C0000}"/>
    <cellStyle name="20% - Accent2 2 7 3" xfId="17090" xr:uid="{00000000-0005-0000-0000-0000E90C0000}"/>
    <cellStyle name="20% - Accent2 2 8" xfId="1772" xr:uid="{00000000-0005-0000-0000-0000EA0C0000}"/>
    <cellStyle name="20% - Accent2 2 8 2" xfId="13140" xr:uid="{00000000-0005-0000-0000-0000EB0C0000}"/>
    <cellStyle name="20% - Accent2 2 8 3" xfId="17091" xr:uid="{00000000-0005-0000-0000-0000EC0C0000}"/>
    <cellStyle name="20% - Accent2 2 9" xfId="13108" xr:uid="{00000000-0005-0000-0000-0000ED0C0000}"/>
    <cellStyle name="20% - Accent2 2_Volatility" xfId="1773" xr:uid="{00000000-0005-0000-0000-0000EE0C0000}"/>
    <cellStyle name="20% - Accent2 3" xfId="1774" xr:uid="{00000000-0005-0000-0000-0000EF0C0000}"/>
    <cellStyle name="20% - Accent2 3 10" xfId="17092" xr:uid="{00000000-0005-0000-0000-0000F00C0000}"/>
    <cellStyle name="20% - Accent2 3 2" xfId="1775" xr:uid="{00000000-0005-0000-0000-0000F10C0000}"/>
    <cellStyle name="20% - Accent2 3 2 2" xfId="1776" xr:uid="{00000000-0005-0000-0000-0000F20C0000}"/>
    <cellStyle name="20% - Accent2 3 2 2 2" xfId="1777" xr:uid="{00000000-0005-0000-0000-0000F30C0000}"/>
    <cellStyle name="20% - Accent2 3 2 2 2 2" xfId="13144" xr:uid="{00000000-0005-0000-0000-0000F40C0000}"/>
    <cellStyle name="20% - Accent2 3 2 2 2 3" xfId="17095" xr:uid="{00000000-0005-0000-0000-0000F50C0000}"/>
    <cellStyle name="20% - Accent2 3 2 2 3" xfId="1778" xr:uid="{00000000-0005-0000-0000-0000F60C0000}"/>
    <cellStyle name="20% - Accent2 3 2 2 3 2" xfId="13145" xr:uid="{00000000-0005-0000-0000-0000F70C0000}"/>
    <cellStyle name="20% - Accent2 3 2 2 3 3" xfId="17096" xr:uid="{00000000-0005-0000-0000-0000F80C0000}"/>
    <cellStyle name="20% - Accent2 3 2 2 4" xfId="13143" xr:uid="{00000000-0005-0000-0000-0000F90C0000}"/>
    <cellStyle name="20% - Accent2 3 2 2 5" xfId="17094" xr:uid="{00000000-0005-0000-0000-0000FA0C0000}"/>
    <cellStyle name="20% - Accent2 3 2 3" xfId="1779" xr:uid="{00000000-0005-0000-0000-0000FB0C0000}"/>
    <cellStyle name="20% - Accent2 3 2 3 2" xfId="1780" xr:uid="{00000000-0005-0000-0000-0000FC0C0000}"/>
    <cellStyle name="20% - Accent2 3 2 3 2 2" xfId="13147" xr:uid="{00000000-0005-0000-0000-0000FD0C0000}"/>
    <cellStyle name="20% - Accent2 3 2 3 2 3" xfId="17098" xr:uid="{00000000-0005-0000-0000-0000FE0C0000}"/>
    <cellStyle name="20% - Accent2 3 2 3 3" xfId="1781" xr:uid="{00000000-0005-0000-0000-0000FF0C0000}"/>
    <cellStyle name="20% - Accent2 3 2 3 3 2" xfId="13148" xr:uid="{00000000-0005-0000-0000-0000000D0000}"/>
    <cellStyle name="20% - Accent2 3 2 3 3 3" xfId="17099" xr:uid="{00000000-0005-0000-0000-0000010D0000}"/>
    <cellStyle name="20% - Accent2 3 2 3 4" xfId="13146" xr:uid="{00000000-0005-0000-0000-0000020D0000}"/>
    <cellStyle name="20% - Accent2 3 2 3 5" xfId="17097" xr:uid="{00000000-0005-0000-0000-0000030D0000}"/>
    <cellStyle name="20% - Accent2 3 2 4" xfId="1782" xr:uid="{00000000-0005-0000-0000-0000040D0000}"/>
    <cellStyle name="20% - Accent2 3 2 4 2" xfId="1783" xr:uid="{00000000-0005-0000-0000-0000050D0000}"/>
    <cellStyle name="20% - Accent2 3 2 4 2 2" xfId="13150" xr:uid="{00000000-0005-0000-0000-0000060D0000}"/>
    <cellStyle name="20% - Accent2 3 2 4 2 3" xfId="17101" xr:uid="{00000000-0005-0000-0000-0000070D0000}"/>
    <cellStyle name="20% - Accent2 3 2 4 3" xfId="1784" xr:uid="{00000000-0005-0000-0000-0000080D0000}"/>
    <cellStyle name="20% - Accent2 3 2 4 3 2" xfId="13151" xr:uid="{00000000-0005-0000-0000-0000090D0000}"/>
    <cellStyle name="20% - Accent2 3 2 4 3 3" xfId="17102" xr:uid="{00000000-0005-0000-0000-00000A0D0000}"/>
    <cellStyle name="20% - Accent2 3 2 4 4" xfId="13149" xr:uid="{00000000-0005-0000-0000-00000B0D0000}"/>
    <cellStyle name="20% - Accent2 3 2 4 5" xfId="17100" xr:uid="{00000000-0005-0000-0000-00000C0D0000}"/>
    <cellStyle name="20% - Accent2 3 2 5" xfId="1785" xr:uid="{00000000-0005-0000-0000-00000D0D0000}"/>
    <cellStyle name="20% - Accent2 3 2 5 2" xfId="13152" xr:uid="{00000000-0005-0000-0000-00000E0D0000}"/>
    <cellStyle name="20% - Accent2 3 2 5 3" xfId="17103" xr:uid="{00000000-0005-0000-0000-00000F0D0000}"/>
    <cellStyle name="20% - Accent2 3 2 6" xfId="1786" xr:uid="{00000000-0005-0000-0000-0000100D0000}"/>
    <cellStyle name="20% - Accent2 3 2 6 2" xfId="13153" xr:uid="{00000000-0005-0000-0000-0000110D0000}"/>
    <cellStyle name="20% - Accent2 3 2 6 3" xfId="17104" xr:uid="{00000000-0005-0000-0000-0000120D0000}"/>
    <cellStyle name="20% - Accent2 3 2 7" xfId="13142" xr:uid="{00000000-0005-0000-0000-0000130D0000}"/>
    <cellStyle name="20% - Accent2 3 2 8" xfId="17093" xr:uid="{00000000-0005-0000-0000-0000140D0000}"/>
    <cellStyle name="20% - Accent2 3 2_Volatility" xfId="1787" xr:uid="{00000000-0005-0000-0000-0000150D0000}"/>
    <cellStyle name="20% - Accent2 3 3" xfId="1788" xr:uid="{00000000-0005-0000-0000-0000160D0000}"/>
    <cellStyle name="20% - Accent2 3 3 2" xfId="1789" xr:uid="{00000000-0005-0000-0000-0000170D0000}"/>
    <cellStyle name="20% - Accent2 3 3 2 2" xfId="1790" xr:uid="{00000000-0005-0000-0000-0000180D0000}"/>
    <cellStyle name="20% - Accent2 3 3 2 2 2" xfId="13156" xr:uid="{00000000-0005-0000-0000-0000190D0000}"/>
    <cellStyle name="20% - Accent2 3 3 2 2 3" xfId="17107" xr:uid="{00000000-0005-0000-0000-00001A0D0000}"/>
    <cellStyle name="20% - Accent2 3 3 2 3" xfId="1791" xr:uid="{00000000-0005-0000-0000-00001B0D0000}"/>
    <cellStyle name="20% - Accent2 3 3 2 3 2" xfId="13157" xr:uid="{00000000-0005-0000-0000-00001C0D0000}"/>
    <cellStyle name="20% - Accent2 3 3 2 3 3" xfId="17108" xr:uid="{00000000-0005-0000-0000-00001D0D0000}"/>
    <cellStyle name="20% - Accent2 3 3 2 4" xfId="13155" xr:uid="{00000000-0005-0000-0000-00001E0D0000}"/>
    <cellStyle name="20% - Accent2 3 3 2 5" xfId="17106" xr:uid="{00000000-0005-0000-0000-00001F0D0000}"/>
    <cellStyle name="20% - Accent2 3 3 3" xfId="1792" xr:uid="{00000000-0005-0000-0000-0000200D0000}"/>
    <cellStyle name="20% - Accent2 3 3 3 2" xfId="1793" xr:uid="{00000000-0005-0000-0000-0000210D0000}"/>
    <cellStyle name="20% - Accent2 3 3 3 2 2" xfId="13159" xr:uid="{00000000-0005-0000-0000-0000220D0000}"/>
    <cellStyle name="20% - Accent2 3 3 3 2 3" xfId="17110" xr:uid="{00000000-0005-0000-0000-0000230D0000}"/>
    <cellStyle name="20% - Accent2 3 3 3 3" xfId="1794" xr:uid="{00000000-0005-0000-0000-0000240D0000}"/>
    <cellStyle name="20% - Accent2 3 3 3 3 2" xfId="13160" xr:uid="{00000000-0005-0000-0000-0000250D0000}"/>
    <cellStyle name="20% - Accent2 3 3 3 3 3" xfId="17111" xr:uid="{00000000-0005-0000-0000-0000260D0000}"/>
    <cellStyle name="20% - Accent2 3 3 3 4" xfId="13158" xr:uid="{00000000-0005-0000-0000-0000270D0000}"/>
    <cellStyle name="20% - Accent2 3 3 3 5" xfId="17109" xr:uid="{00000000-0005-0000-0000-0000280D0000}"/>
    <cellStyle name="20% - Accent2 3 3 4" xfId="1795" xr:uid="{00000000-0005-0000-0000-0000290D0000}"/>
    <cellStyle name="20% - Accent2 3 3 4 2" xfId="13161" xr:uid="{00000000-0005-0000-0000-00002A0D0000}"/>
    <cellStyle name="20% - Accent2 3 3 4 3" xfId="17112" xr:uid="{00000000-0005-0000-0000-00002B0D0000}"/>
    <cellStyle name="20% - Accent2 3 3 5" xfId="1796" xr:uid="{00000000-0005-0000-0000-00002C0D0000}"/>
    <cellStyle name="20% - Accent2 3 3 5 2" xfId="13162" xr:uid="{00000000-0005-0000-0000-00002D0D0000}"/>
    <cellStyle name="20% - Accent2 3 3 5 3" xfId="17113" xr:uid="{00000000-0005-0000-0000-00002E0D0000}"/>
    <cellStyle name="20% - Accent2 3 3 6" xfId="13154" xr:uid="{00000000-0005-0000-0000-00002F0D0000}"/>
    <cellStyle name="20% - Accent2 3 3 7" xfId="17105" xr:uid="{00000000-0005-0000-0000-0000300D0000}"/>
    <cellStyle name="20% - Accent2 3 3_Volatility" xfId="1797" xr:uid="{00000000-0005-0000-0000-0000310D0000}"/>
    <cellStyle name="20% - Accent2 3 4" xfId="1798" xr:uid="{00000000-0005-0000-0000-0000320D0000}"/>
    <cellStyle name="20% - Accent2 3 4 2" xfId="1799" xr:uid="{00000000-0005-0000-0000-0000330D0000}"/>
    <cellStyle name="20% - Accent2 3 4 2 2" xfId="13164" xr:uid="{00000000-0005-0000-0000-0000340D0000}"/>
    <cellStyle name="20% - Accent2 3 4 2 3" xfId="17115" xr:uid="{00000000-0005-0000-0000-0000350D0000}"/>
    <cellStyle name="20% - Accent2 3 4 3" xfId="1800" xr:uid="{00000000-0005-0000-0000-0000360D0000}"/>
    <cellStyle name="20% - Accent2 3 4 3 2" xfId="13165" xr:uid="{00000000-0005-0000-0000-0000370D0000}"/>
    <cellStyle name="20% - Accent2 3 4 3 3" xfId="17116" xr:uid="{00000000-0005-0000-0000-0000380D0000}"/>
    <cellStyle name="20% - Accent2 3 4 4" xfId="13163" xr:uid="{00000000-0005-0000-0000-0000390D0000}"/>
    <cellStyle name="20% - Accent2 3 4 5" xfId="17114" xr:uid="{00000000-0005-0000-0000-00003A0D0000}"/>
    <cellStyle name="20% - Accent2 3 5" xfId="1801" xr:uid="{00000000-0005-0000-0000-00003B0D0000}"/>
    <cellStyle name="20% - Accent2 3 5 2" xfId="1802" xr:uid="{00000000-0005-0000-0000-00003C0D0000}"/>
    <cellStyle name="20% - Accent2 3 5 2 2" xfId="13167" xr:uid="{00000000-0005-0000-0000-00003D0D0000}"/>
    <cellStyle name="20% - Accent2 3 5 2 3" xfId="17118" xr:uid="{00000000-0005-0000-0000-00003E0D0000}"/>
    <cellStyle name="20% - Accent2 3 5 3" xfId="1803" xr:uid="{00000000-0005-0000-0000-00003F0D0000}"/>
    <cellStyle name="20% - Accent2 3 5 3 2" xfId="13168" xr:uid="{00000000-0005-0000-0000-0000400D0000}"/>
    <cellStyle name="20% - Accent2 3 5 3 3" xfId="17119" xr:uid="{00000000-0005-0000-0000-0000410D0000}"/>
    <cellStyle name="20% - Accent2 3 5 4" xfId="13166" xr:uid="{00000000-0005-0000-0000-0000420D0000}"/>
    <cellStyle name="20% - Accent2 3 5 5" xfId="17117" xr:uid="{00000000-0005-0000-0000-0000430D0000}"/>
    <cellStyle name="20% - Accent2 3 6" xfId="1804" xr:uid="{00000000-0005-0000-0000-0000440D0000}"/>
    <cellStyle name="20% - Accent2 3 6 2" xfId="1805" xr:uid="{00000000-0005-0000-0000-0000450D0000}"/>
    <cellStyle name="20% - Accent2 3 6 2 2" xfId="13170" xr:uid="{00000000-0005-0000-0000-0000460D0000}"/>
    <cellStyle name="20% - Accent2 3 6 2 3" xfId="17121" xr:uid="{00000000-0005-0000-0000-0000470D0000}"/>
    <cellStyle name="20% - Accent2 3 6 3" xfId="1806" xr:uid="{00000000-0005-0000-0000-0000480D0000}"/>
    <cellStyle name="20% - Accent2 3 6 3 2" xfId="13171" xr:uid="{00000000-0005-0000-0000-0000490D0000}"/>
    <cellStyle name="20% - Accent2 3 6 3 3" xfId="17122" xr:uid="{00000000-0005-0000-0000-00004A0D0000}"/>
    <cellStyle name="20% - Accent2 3 6 4" xfId="13169" xr:uid="{00000000-0005-0000-0000-00004B0D0000}"/>
    <cellStyle name="20% - Accent2 3 6 5" xfId="17120" xr:uid="{00000000-0005-0000-0000-00004C0D0000}"/>
    <cellStyle name="20% - Accent2 3 7" xfId="1807" xr:uid="{00000000-0005-0000-0000-00004D0D0000}"/>
    <cellStyle name="20% - Accent2 3 7 2" xfId="13172" xr:uid="{00000000-0005-0000-0000-00004E0D0000}"/>
    <cellStyle name="20% - Accent2 3 7 3" xfId="17123" xr:uid="{00000000-0005-0000-0000-00004F0D0000}"/>
    <cellStyle name="20% - Accent2 3 8" xfId="1808" xr:uid="{00000000-0005-0000-0000-0000500D0000}"/>
    <cellStyle name="20% - Accent2 3 8 2" xfId="13173" xr:uid="{00000000-0005-0000-0000-0000510D0000}"/>
    <cellStyle name="20% - Accent2 3 8 3" xfId="17124" xr:uid="{00000000-0005-0000-0000-0000520D0000}"/>
    <cellStyle name="20% - Accent2 3 9" xfId="13141" xr:uid="{00000000-0005-0000-0000-0000530D0000}"/>
    <cellStyle name="20% - Accent2 3_Volatility" xfId="1809" xr:uid="{00000000-0005-0000-0000-0000540D0000}"/>
    <cellStyle name="20% - Accent2 4" xfId="1810" xr:uid="{00000000-0005-0000-0000-0000550D0000}"/>
    <cellStyle name="20% - Accent2 4 10" xfId="17125" xr:uid="{00000000-0005-0000-0000-0000560D0000}"/>
    <cellStyle name="20% - Accent2 4 2" xfId="1811" xr:uid="{00000000-0005-0000-0000-0000570D0000}"/>
    <cellStyle name="20% - Accent2 4 2 2" xfId="1812" xr:uid="{00000000-0005-0000-0000-0000580D0000}"/>
    <cellStyle name="20% - Accent2 4 2 2 2" xfId="1813" xr:uid="{00000000-0005-0000-0000-0000590D0000}"/>
    <cellStyle name="20% - Accent2 4 2 2 2 2" xfId="13177" xr:uid="{00000000-0005-0000-0000-00005A0D0000}"/>
    <cellStyle name="20% - Accent2 4 2 2 2 3" xfId="17128" xr:uid="{00000000-0005-0000-0000-00005B0D0000}"/>
    <cellStyle name="20% - Accent2 4 2 2 3" xfId="1814" xr:uid="{00000000-0005-0000-0000-00005C0D0000}"/>
    <cellStyle name="20% - Accent2 4 2 2 3 2" xfId="13178" xr:uid="{00000000-0005-0000-0000-00005D0D0000}"/>
    <cellStyle name="20% - Accent2 4 2 2 3 3" xfId="17129" xr:uid="{00000000-0005-0000-0000-00005E0D0000}"/>
    <cellStyle name="20% - Accent2 4 2 2 4" xfId="13176" xr:uid="{00000000-0005-0000-0000-00005F0D0000}"/>
    <cellStyle name="20% - Accent2 4 2 2 5" xfId="17127" xr:uid="{00000000-0005-0000-0000-0000600D0000}"/>
    <cellStyle name="20% - Accent2 4 2 3" xfId="1815" xr:uid="{00000000-0005-0000-0000-0000610D0000}"/>
    <cellStyle name="20% - Accent2 4 2 3 2" xfId="1816" xr:uid="{00000000-0005-0000-0000-0000620D0000}"/>
    <cellStyle name="20% - Accent2 4 2 3 2 2" xfId="13180" xr:uid="{00000000-0005-0000-0000-0000630D0000}"/>
    <cellStyle name="20% - Accent2 4 2 3 2 3" xfId="17131" xr:uid="{00000000-0005-0000-0000-0000640D0000}"/>
    <cellStyle name="20% - Accent2 4 2 3 3" xfId="1817" xr:uid="{00000000-0005-0000-0000-0000650D0000}"/>
    <cellStyle name="20% - Accent2 4 2 3 3 2" xfId="13181" xr:uid="{00000000-0005-0000-0000-0000660D0000}"/>
    <cellStyle name="20% - Accent2 4 2 3 3 3" xfId="17132" xr:uid="{00000000-0005-0000-0000-0000670D0000}"/>
    <cellStyle name="20% - Accent2 4 2 3 4" xfId="13179" xr:uid="{00000000-0005-0000-0000-0000680D0000}"/>
    <cellStyle name="20% - Accent2 4 2 3 5" xfId="17130" xr:uid="{00000000-0005-0000-0000-0000690D0000}"/>
    <cellStyle name="20% - Accent2 4 2 4" xfId="1818" xr:uid="{00000000-0005-0000-0000-00006A0D0000}"/>
    <cellStyle name="20% - Accent2 4 2 4 2" xfId="1819" xr:uid="{00000000-0005-0000-0000-00006B0D0000}"/>
    <cellStyle name="20% - Accent2 4 2 4 2 2" xfId="13183" xr:uid="{00000000-0005-0000-0000-00006C0D0000}"/>
    <cellStyle name="20% - Accent2 4 2 4 2 3" xfId="17134" xr:uid="{00000000-0005-0000-0000-00006D0D0000}"/>
    <cellStyle name="20% - Accent2 4 2 4 3" xfId="1820" xr:uid="{00000000-0005-0000-0000-00006E0D0000}"/>
    <cellStyle name="20% - Accent2 4 2 4 3 2" xfId="13184" xr:uid="{00000000-0005-0000-0000-00006F0D0000}"/>
    <cellStyle name="20% - Accent2 4 2 4 3 3" xfId="17135" xr:uid="{00000000-0005-0000-0000-0000700D0000}"/>
    <cellStyle name="20% - Accent2 4 2 4 4" xfId="13182" xr:uid="{00000000-0005-0000-0000-0000710D0000}"/>
    <cellStyle name="20% - Accent2 4 2 4 5" xfId="17133" xr:uid="{00000000-0005-0000-0000-0000720D0000}"/>
    <cellStyle name="20% - Accent2 4 2 5" xfId="1821" xr:uid="{00000000-0005-0000-0000-0000730D0000}"/>
    <cellStyle name="20% - Accent2 4 2 5 2" xfId="13185" xr:uid="{00000000-0005-0000-0000-0000740D0000}"/>
    <cellStyle name="20% - Accent2 4 2 5 3" xfId="17136" xr:uid="{00000000-0005-0000-0000-0000750D0000}"/>
    <cellStyle name="20% - Accent2 4 2 6" xfId="1822" xr:uid="{00000000-0005-0000-0000-0000760D0000}"/>
    <cellStyle name="20% - Accent2 4 2 6 2" xfId="13186" xr:uid="{00000000-0005-0000-0000-0000770D0000}"/>
    <cellStyle name="20% - Accent2 4 2 6 3" xfId="17137" xr:uid="{00000000-0005-0000-0000-0000780D0000}"/>
    <cellStyle name="20% - Accent2 4 2 7" xfId="13175" xr:uid="{00000000-0005-0000-0000-0000790D0000}"/>
    <cellStyle name="20% - Accent2 4 2 8" xfId="17126" xr:uid="{00000000-0005-0000-0000-00007A0D0000}"/>
    <cellStyle name="20% - Accent2 4 2_Volatility" xfId="1823" xr:uid="{00000000-0005-0000-0000-00007B0D0000}"/>
    <cellStyle name="20% - Accent2 4 3" xfId="1824" xr:uid="{00000000-0005-0000-0000-00007C0D0000}"/>
    <cellStyle name="20% - Accent2 4 3 2" xfId="1825" xr:uid="{00000000-0005-0000-0000-00007D0D0000}"/>
    <cellStyle name="20% - Accent2 4 3 2 2" xfId="1826" xr:uid="{00000000-0005-0000-0000-00007E0D0000}"/>
    <cellStyle name="20% - Accent2 4 3 2 2 2" xfId="13189" xr:uid="{00000000-0005-0000-0000-00007F0D0000}"/>
    <cellStyle name="20% - Accent2 4 3 2 2 3" xfId="17140" xr:uid="{00000000-0005-0000-0000-0000800D0000}"/>
    <cellStyle name="20% - Accent2 4 3 2 3" xfId="1827" xr:uid="{00000000-0005-0000-0000-0000810D0000}"/>
    <cellStyle name="20% - Accent2 4 3 2 3 2" xfId="13190" xr:uid="{00000000-0005-0000-0000-0000820D0000}"/>
    <cellStyle name="20% - Accent2 4 3 2 3 3" xfId="17141" xr:uid="{00000000-0005-0000-0000-0000830D0000}"/>
    <cellStyle name="20% - Accent2 4 3 2 4" xfId="13188" xr:uid="{00000000-0005-0000-0000-0000840D0000}"/>
    <cellStyle name="20% - Accent2 4 3 2 5" xfId="17139" xr:uid="{00000000-0005-0000-0000-0000850D0000}"/>
    <cellStyle name="20% - Accent2 4 3 3" xfId="1828" xr:uid="{00000000-0005-0000-0000-0000860D0000}"/>
    <cellStyle name="20% - Accent2 4 3 3 2" xfId="1829" xr:uid="{00000000-0005-0000-0000-0000870D0000}"/>
    <cellStyle name="20% - Accent2 4 3 3 2 2" xfId="13192" xr:uid="{00000000-0005-0000-0000-0000880D0000}"/>
    <cellStyle name="20% - Accent2 4 3 3 2 3" xfId="17143" xr:uid="{00000000-0005-0000-0000-0000890D0000}"/>
    <cellStyle name="20% - Accent2 4 3 3 3" xfId="1830" xr:uid="{00000000-0005-0000-0000-00008A0D0000}"/>
    <cellStyle name="20% - Accent2 4 3 3 3 2" xfId="13193" xr:uid="{00000000-0005-0000-0000-00008B0D0000}"/>
    <cellStyle name="20% - Accent2 4 3 3 3 3" xfId="17144" xr:uid="{00000000-0005-0000-0000-00008C0D0000}"/>
    <cellStyle name="20% - Accent2 4 3 3 4" xfId="13191" xr:uid="{00000000-0005-0000-0000-00008D0D0000}"/>
    <cellStyle name="20% - Accent2 4 3 3 5" xfId="17142" xr:uid="{00000000-0005-0000-0000-00008E0D0000}"/>
    <cellStyle name="20% - Accent2 4 3 4" xfId="1831" xr:uid="{00000000-0005-0000-0000-00008F0D0000}"/>
    <cellStyle name="20% - Accent2 4 3 4 2" xfId="13194" xr:uid="{00000000-0005-0000-0000-0000900D0000}"/>
    <cellStyle name="20% - Accent2 4 3 4 3" xfId="17145" xr:uid="{00000000-0005-0000-0000-0000910D0000}"/>
    <cellStyle name="20% - Accent2 4 3 5" xfId="1832" xr:uid="{00000000-0005-0000-0000-0000920D0000}"/>
    <cellStyle name="20% - Accent2 4 3 5 2" xfId="13195" xr:uid="{00000000-0005-0000-0000-0000930D0000}"/>
    <cellStyle name="20% - Accent2 4 3 5 3" xfId="17146" xr:uid="{00000000-0005-0000-0000-0000940D0000}"/>
    <cellStyle name="20% - Accent2 4 3 6" xfId="13187" xr:uid="{00000000-0005-0000-0000-0000950D0000}"/>
    <cellStyle name="20% - Accent2 4 3 7" xfId="17138" xr:uid="{00000000-0005-0000-0000-0000960D0000}"/>
    <cellStyle name="20% - Accent2 4 3_Volatility" xfId="1833" xr:uid="{00000000-0005-0000-0000-0000970D0000}"/>
    <cellStyle name="20% - Accent2 4 4" xfId="1834" xr:uid="{00000000-0005-0000-0000-0000980D0000}"/>
    <cellStyle name="20% - Accent2 4 4 2" xfId="1835" xr:uid="{00000000-0005-0000-0000-0000990D0000}"/>
    <cellStyle name="20% - Accent2 4 4 2 2" xfId="13197" xr:uid="{00000000-0005-0000-0000-00009A0D0000}"/>
    <cellStyle name="20% - Accent2 4 4 2 3" xfId="17148" xr:uid="{00000000-0005-0000-0000-00009B0D0000}"/>
    <cellStyle name="20% - Accent2 4 4 3" xfId="1836" xr:uid="{00000000-0005-0000-0000-00009C0D0000}"/>
    <cellStyle name="20% - Accent2 4 4 3 2" xfId="13198" xr:uid="{00000000-0005-0000-0000-00009D0D0000}"/>
    <cellStyle name="20% - Accent2 4 4 3 3" xfId="17149" xr:uid="{00000000-0005-0000-0000-00009E0D0000}"/>
    <cellStyle name="20% - Accent2 4 4 4" xfId="13196" xr:uid="{00000000-0005-0000-0000-00009F0D0000}"/>
    <cellStyle name="20% - Accent2 4 4 5" xfId="17147" xr:uid="{00000000-0005-0000-0000-0000A00D0000}"/>
    <cellStyle name="20% - Accent2 4 5" xfId="1837" xr:uid="{00000000-0005-0000-0000-0000A10D0000}"/>
    <cellStyle name="20% - Accent2 4 5 2" xfId="1838" xr:uid="{00000000-0005-0000-0000-0000A20D0000}"/>
    <cellStyle name="20% - Accent2 4 5 2 2" xfId="13200" xr:uid="{00000000-0005-0000-0000-0000A30D0000}"/>
    <cellStyle name="20% - Accent2 4 5 2 3" xfId="17151" xr:uid="{00000000-0005-0000-0000-0000A40D0000}"/>
    <cellStyle name="20% - Accent2 4 5 3" xfId="1839" xr:uid="{00000000-0005-0000-0000-0000A50D0000}"/>
    <cellStyle name="20% - Accent2 4 5 3 2" xfId="13201" xr:uid="{00000000-0005-0000-0000-0000A60D0000}"/>
    <cellStyle name="20% - Accent2 4 5 3 3" xfId="17152" xr:uid="{00000000-0005-0000-0000-0000A70D0000}"/>
    <cellStyle name="20% - Accent2 4 5 4" xfId="13199" xr:uid="{00000000-0005-0000-0000-0000A80D0000}"/>
    <cellStyle name="20% - Accent2 4 5 5" xfId="17150" xr:uid="{00000000-0005-0000-0000-0000A90D0000}"/>
    <cellStyle name="20% - Accent2 4 6" xfId="1840" xr:uid="{00000000-0005-0000-0000-0000AA0D0000}"/>
    <cellStyle name="20% - Accent2 4 6 2" xfId="1841" xr:uid="{00000000-0005-0000-0000-0000AB0D0000}"/>
    <cellStyle name="20% - Accent2 4 6 2 2" xfId="13203" xr:uid="{00000000-0005-0000-0000-0000AC0D0000}"/>
    <cellStyle name="20% - Accent2 4 6 2 3" xfId="17154" xr:uid="{00000000-0005-0000-0000-0000AD0D0000}"/>
    <cellStyle name="20% - Accent2 4 6 3" xfId="1842" xr:uid="{00000000-0005-0000-0000-0000AE0D0000}"/>
    <cellStyle name="20% - Accent2 4 6 3 2" xfId="13204" xr:uid="{00000000-0005-0000-0000-0000AF0D0000}"/>
    <cellStyle name="20% - Accent2 4 6 3 3" xfId="17155" xr:uid="{00000000-0005-0000-0000-0000B00D0000}"/>
    <cellStyle name="20% - Accent2 4 6 4" xfId="13202" xr:uid="{00000000-0005-0000-0000-0000B10D0000}"/>
    <cellStyle name="20% - Accent2 4 6 5" xfId="17153" xr:uid="{00000000-0005-0000-0000-0000B20D0000}"/>
    <cellStyle name="20% - Accent2 4 7" xfId="1843" xr:uid="{00000000-0005-0000-0000-0000B30D0000}"/>
    <cellStyle name="20% - Accent2 4 7 2" xfId="13205" xr:uid="{00000000-0005-0000-0000-0000B40D0000}"/>
    <cellStyle name="20% - Accent2 4 7 3" xfId="17156" xr:uid="{00000000-0005-0000-0000-0000B50D0000}"/>
    <cellStyle name="20% - Accent2 4 8" xfId="1844" xr:uid="{00000000-0005-0000-0000-0000B60D0000}"/>
    <cellStyle name="20% - Accent2 4 8 2" xfId="13206" xr:uid="{00000000-0005-0000-0000-0000B70D0000}"/>
    <cellStyle name="20% - Accent2 4 8 3" xfId="17157" xr:uid="{00000000-0005-0000-0000-0000B80D0000}"/>
    <cellStyle name="20% - Accent2 4 9" xfId="13174" xr:uid="{00000000-0005-0000-0000-0000B90D0000}"/>
    <cellStyle name="20% - Accent2 4_Volatility" xfId="1845" xr:uid="{00000000-0005-0000-0000-0000BA0D0000}"/>
    <cellStyle name="20% - Accent2 5" xfId="1846" xr:uid="{00000000-0005-0000-0000-0000BB0D0000}"/>
    <cellStyle name="20% - Accent2 5 10" xfId="17158" xr:uid="{00000000-0005-0000-0000-0000BC0D0000}"/>
    <cellStyle name="20% - Accent2 5 2" xfId="1847" xr:uid="{00000000-0005-0000-0000-0000BD0D0000}"/>
    <cellStyle name="20% - Accent2 5 2 2" xfId="1848" xr:uid="{00000000-0005-0000-0000-0000BE0D0000}"/>
    <cellStyle name="20% - Accent2 5 2 2 2" xfId="1849" xr:uid="{00000000-0005-0000-0000-0000BF0D0000}"/>
    <cellStyle name="20% - Accent2 5 2 2 2 2" xfId="13210" xr:uid="{00000000-0005-0000-0000-0000C00D0000}"/>
    <cellStyle name="20% - Accent2 5 2 2 2 3" xfId="17161" xr:uid="{00000000-0005-0000-0000-0000C10D0000}"/>
    <cellStyle name="20% - Accent2 5 2 2 3" xfId="1850" xr:uid="{00000000-0005-0000-0000-0000C20D0000}"/>
    <cellStyle name="20% - Accent2 5 2 2 3 2" xfId="13211" xr:uid="{00000000-0005-0000-0000-0000C30D0000}"/>
    <cellStyle name="20% - Accent2 5 2 2 3 3" xfId="17162" xr:uid="{00000000-0005-0000-0000-0000C40D0000}"/>
    <cellStyle name="20% - Accent2 5 2 2 4" xfId="13209" xr:uid="{00000000-0005-0000-0000-0000C50D0000}"/>
    <cellStyle name="20% - Accent2 5 2 2 5" xfId="17160" xr:uid="{00000000-0005-0000-0000-0000C60D0000}"/>
    <cellStyle name="20% - Accent2 5 2 3" xfId="1851" xr:uid="{00000000-0005-0000-0000-0000C70D0000}"/>
    <cellStyle name="20% - Accent2 5 2 3 2" xfId="1852" xr:uid="{00000000-0005-0000-0000-0000C80D0000}"/>
    <cellStyle name="20% - Accent2 5 2 3 2 2" xfId="13213" xr:uid="{00000000-0005-0000-0000-0000C90D0000}"/>
    <cellStyle name="20% - Accent2 5 2 3 2 3" xfId="17164" xr:uid="{00000000-0005-0000-0000-0000CA0D0000}"/>
    <cellStyle name="20% - Accent2 5 2 3 3" xfId="1853" xr:uid="{00000000-0005-0000-0000-0000CB0D0000}"/>
    <cellStyle name="20% - Accent2 5 2 3 3 2" xfId="13214" xr:uid="{00000000-0005-0000-0000-0000CC0D0000}"/>
    <cellStyle name="20% - Accent2 5 2 3 3 3" xfId="17165" xr:uid="{00000000-0005-0000-0000-0000CD0D0000}"/>
    <cellStyle name="20% - Accent2 5 2 3 4" xfId="13212" xr:uid="{00000000-0005-0000-0000-0000CE0D0000}"/>
    <cellStyle name="20% - Accent2 5 2 3 5" xfId="17163" xr:uid="{00000000-0005-0000-0000-0000CF0D0000}"/>
    <cellStyle name="20% - Accent2 5 2 4" xfId="1854" xr:uid="{00000000-0005-0000-0000-0000D00D0000}"/>
    <cellStyle name="20% - Accent2 5 2 4 2" xfId="1855" xr:uid="{00000000-0005-0000-0000-0000D10D0000}"/>
    <cellStyle name="20% - Accent2 5 2 4 2 2" xfId="13216" xr:uid="{00000000-0005-0000-0000-0000D20D0000}"/>
    <cellStyle name="20% - Accent2 5 2 4 2 3" xfId="17167" xr:uid="{00000000-0005-0000-0000-0000D30D0000}"/>
    <cellStyle name="20% - Accent2 5 2 4 3" xfId="1856" xr:uid="{00000000-0005-0000-0000-0000D40D0000}"/>
    <cellStyle name="20% - Accent2 5 2 4 3 2" xfId="13217" xr:uid="{00000000-0005-0000-0000-0000D50D0000}"/>
    <cellStyle name="20% - Accent2 5 2 4 3 3" xfId="17168" xr:uid="{00000000-0005-0000-0000-0000D60D0000}"/>
    <cellStyle name="20% - Accent2 5 2 4 4" xfId="13215" xr:uid="{00000000-0005-0000-0000-0000D70D0000}"/>
    <cellStyle name="20% - Accent2 5 2 4 5" xfId="17166" xr:uid="{00000000-0005-0000-0000-0000D80D0000}"/>
    <cellStyle name="20% - Accent2 5 2 5" xfId="1857" xr:uid="{00000000-0005-0000-0000-0000D90D0000}"/>
    <cellStyle name="20% - Accent2 5 2 5 2" xfId="13218" xr:uid="{00000000-0005-0000-0000-0000DA0D0000}"/>
    <cellStyle name="20% - Accent2 5 2 5 3" xfId="17169" xr:uid="{00000000-0005-0000-0000-0000DB0D0000}"/>
    <cellStyle name="20% - Accent2 5 2 6" xfId="1858" xr:uid="{00000000-0005-0000-0000-0000DC0D0000}"/>
    <cellStyle name="20% - Accent2 5 2 6 2" xfId="13219" xr:uid="{00000000-0005-0000-0000-0000DD0D0000}"/>
    <cellStyle name="20% - Accent2 5 2 6 3" xfId="17170" xr:uid="{00000000-0005-0000-0000-0000DE0D0000}"/>
    <cellStyle name="20% - Accent2 5 2 7" xfId="13208" xr:uid="{00000000-0005-0000-0000-0000DF0D0000}"/>
    <cellStyle name="20% - Accent2 5 2 8" xfId="17159" xr:uid="{00000000-0005-0000-0000-0000E00D0000}"/>
    <cellStyle name="20% - Accent2 5 2_Volatility" xfId="1859" xr:uid="{00000000-0005-0000-0000-0000E10D0000}"/>
    <cellStyle name="20% - Accent2 5 3" xfId="1860" xr:uid="{00000000-0005-0000-0000-0000E20D0000}"/>
    <cellStyle name="20% - Accent2 5 3 2" xfId="1861" xr:uid="{00000000-0005-0000-0000-0000E30D0000}"/>
    <cellStyle name="20% - Accent2 5 3 2 2" xfId="1862" xr:uid="{00000000-0005-0000-0000-0000E40D0000}"/>
    <cellStyle name="20% - Accent2 5 3 2 2 2" xfId="13222" xr:uid="{00000000-0005-0000-0000-0000E50D0000}"/>
    <cellStyle name="20% - Accent2 5 3 2 2 3" xfId="17173" xr:uid="{00000000-0005-0000-0000-0000E60D0000}"/>
    <cellStyle name="20% - Accent2 5 3 2 3" xfId="1863" xr:uid="{00000000-0005-0000-0000-0000E70D0000}"/>
    <cellStyle name="20% - Accent2 5 3 2 3 2" xfId="13223" xr:uid="{00000000-0005-0000-0000-0000E80D0000}"/>
    <cellStyle name="20% - Accent2 5 3 2 3 3" xfId="17174" xr:uid="{00000000-0005-0000-0000-0000E90D0000}"/>
    <cellStyle name="20% - Accent2 5 3 2 4" xfId="13221" xr:uid="{00000000-0005-0000-0000-0000EA0D0000}"/>
    <cellStyle name="20% - Accent2 5 3 2 5" xfId="17172" xr:uid="{00000000-0005-0000-0000-0000EB0D0000}"/>
    <cellStyle name="20% - Accent2 5 3 3" xfId="1864" xr:uid="{00000000-0005-0000-0000-0000EC0D0000}"/>
    <cellStyle name="20% - Accent2 5 3 3 2" xfId="1865" xr:uid="{00000000-0005-0000-0000-0000ED0D0000}"/>
    <cellStyle name="20% - Accent2 5 3 3 2 2" xfId="13225" xr:uid="{00000000-0005-0000-0000-0000EE0D0000}"/>
    <cellStyle name="20% - Accent2 5 3 3 2 3" xfId="17176" xr:uid="{00000000-0005-0000-0000-0000EF0D0000}"/>
    <cellStyle name="20% - Accent2 5 3 3 3" xfId="1866" xr:uid="{00000000-0005-0000-0000-0000F00D0000}"/>
    <cellStyle name="20% - Accent2 5 3 3 3 2" xfId="13226" xr:uid="{00000000-0005-0000-0000-0000F10D0000}"/>
    <cellStyle name="20% - Accent2 5 3 3 3 3" xfId="17177" xr:uid="{00000000-0005-0000-0000-0000F20D0000}"/>
    <cellStyle name="20% - Accent2 5 3 3 4" xfId="13224" xr:uid="{00000000-0005-0000-0000-0000F30D0000}"/>
    <cellStyle name="20% - Accent2 5 3 3 5" xfId="17175" xr:uid="{00000000-0005-0000-0000-0000F40D0000}"/>
    <cellStyle name="20% - Accent2 5 3 4" xfId="1867" xr:uid="{00000000-0005-0000-0000-0000F50D0000}"/>
    <cellStyle name="20% - Accent2 5 3 4 2" xfId="13227" xr:uid="{00000000-0005-0000-0000-0000F60D0000}"/>
    <cellStyle name="20% - Accent2 5 3 4 3" xfId="17178" xr:uid="{00000000-0005-0000-0000-0000F70D0000}"/>
    <cellStyle name="20% - Accent2 5 3 5" xfId="1868" xr:uid="{00000000-0005-0000-0000-0000F80D0000}"/>
    <cellStyle name="20% - Accent2 5 3 5 2" xfId="13228" xr:uid="{00000000-0005-0000-0000-0000F90D0000}"/>
    <cellStyle name="20% - Accent2 5 3 5 3" xfId="17179" xr:uid="{00000000-0005-0000-0000-0000FA0D0000}"/>
    <cellStyle name="20% - Accent2 5 3 6" xfId="13220" xr:uid="{00000000-0005-0000-0000-0000FB0D0000}"/>
    <cellStyle name="20% - Accent2 5 3 7" xfId="17171" xr:uid="{00000000-0005-0000-0000-0000FC0D0000}"/>
    <cellStyle name="20% - Accent2 5 3_Volatility" xfId="1869" xr:uid="{00000000-0005-0000-0000-0000FD0D0000}"/>
    <cellStyle name="20% - Accent2 5 4" xfId="1870" xr:uid="{00000000-0005-0000-0000-0000FE0D0000}"/>
    <cellStyle name="20% - Accent2 5 4 2" xfId="1871" xr:uid="{00000000-0005-0000-0000-0000FF0D0000}"/>
    <cellStyle name="20% - Accent2 5 4 2 2" xfId="13230" xr:uid="{00000000-0005-0000-0000-0000000E0000}"/>
    <cellStyle name="20% - Accent2 5 4 2 3" xfId="17181" xr:uid="{00000000-0005-0000-0000-0000010E0000}"/>
    <cellStyle name="20% - Accent2 5 4 3" xfId="1872" xr:uid="{00000000-0005-0000-0000-0000020E0000}"/>
    <cellStyle name="20% - Accent2 5 4 3 2" xfId="13231" xr:uid="{00000000-0005-0000-0000-0000030E0000}"/>
    <cellStyle name="20% - Accent2 5 4 3 3" xfId="17182" xr:uid="{00000000-0005-0000-0000-0000040E0000}"/>
    <cellStyle name="20% - Accent2 5 4 4" xfId="13229" xr:uid="{00000000-0005-0000-0000-0000050E0000}"/>
    <cellStyle name="20% - Accent2 5 4 5" xfId="17180" xr:uid="{00000000-0005-0000-0000-0000060E0000}"/>
    <cellStyle name="20% - Accent2 5 5" xfId="1873" xr:uid="{00000000-0005-0000-0000-0000070E0000}"/>
    <cellStyle name="20% - Accent2 5 5 2" xfId="1874" xr:uid="{00000000-0005-0000-0000-0000080E0000}"/>
    <cellStyle name="20% - Accent2 5 5 2 2" xfId="13233" xr:uid="{00000000-0005-0000-0000-0000090E0000}"/>
    <cellStyle name="20% - Accent2 5 5 2 3" xfId="17184" xr:uid="{00000000-0005-0000-0000-00000A0E0000}"/>
    <cellStyle name="20% - Accent2 5 5 3" xfId="1875" xr:uid="{00000000-0005-0000-0000-00000B0E0000}"/>
    <cellStyle name="20% - Accent2 5 5 3 2" xfId="13234" xr:uid="{00000000-0005-0000-0000-00000C0E0000}"/>
    <cellStyle name="20% - Accent2 5 5 3 3" xfId="17185" xr:uid="{00000000-0005-0000-0000-00000D0E0000}"/>
    <cellStyle name="20% - Accent2 5 5 4" xfId="13232" xr:uid="{00000000-0005-0000-0000-00000E0E0000}"/>
    <cellStyle name="20% - Accent2 5 5 5" xfId="17183" xr:uid="{00000000-0005-0000-0000-00000F0E0000}"/>
    <cellStyle name="20% - Accent2 5 6" xfId="1876" xr:uid="{00000000-0005-0000-0000-0000100E0000}"/>
    <cellStyle name="20% - Accent2 5 6 2" xfId="1877" xr:uid="{00000000-0005-0000-0000-0000110E0000}"/>
    <cellStyle name="20% - Accent2 5 6 2 2" xfId="13236" xr:uid="{00000000-0005-0000-0000-0000120E0000}"/>
    <cellStyle name="20% - Accent2 5 6 2 3" xfId="17187" xr:uid="{00000000-0005-0000-0000-0000130E0000}"/>
    <cellStyle name="20% - Accent2 5 6 3" xfId="1878" xr:uid="{00000000-0005-0000-0000-0000140E0000}"/>
    <cellStyle name="20% - Accent2 5 6 3 2" xfId="13237" xr:uid="{00000000-0005-0000-0000-0000150E0000}"/>
    <cellStyle name="20% - Accent2 5 6 3 3" xfId="17188" xr:uid="{00000000-0005-0000-0000-0000160E0000}"/>
    <cellStyle name="20% - Accent2 5 6 4" xfId="13235" xr:uid="{00000000-0005-0000-0000-0000170E0000}"/>
    <cellStyle name="20% - Accent2 5 6 5" xfId="17186" xr:uid="{00000000-0005-0000-0000-0000180E0000}"/>
    <cellStyle name="20% - Accent2 5 7" xfId="1879" xr:uid="{00000000-0005-0000-0000-0000190E0000}"/>
    <cellStyle name="20% - Accent2 5 7 2" xfId="13238" xr:uid="{00000000-0005-0000-0000-00001A0E0000}"/>
    <cellStyle name="20% - Accent2 5 7 3" xfId="17189" xr:uid="{00000000-0005-0000-0000-00001B0E0000}"/>
    <cellStyle name="20% - Accent2 5 8" xfId="1880" xr:uid="{00000000-0005-0000-0000-00001C0E0000}"/>
    <cellStyle name="20% - Accent2 5 8 2" xfId="13239" xr:uid="{00000000-0005-0000-0000-00001D0E0000}"/>
    <cellStyle name="20% - Accent2 5 8 3" xfId="17190" xr:uid="{00000000-0005-0000-0000-00001E0E0000}"/>
    <cellStyle name="20% - Accent2 5 9" xfId="13207" xr:uid="{00000000-0005-0000-0000-00001F0E0000}"/>
    <cellStyle name="20% - Accent2 5_Volatility" xfId="1881" xr:uid="{00000000-0005-0000-0000-0000200E0000}"/>
    <cellStyle name="20% - Accent2 6" xfId="1882" xr:uid="{00000000-0005-0000-0000-0000210E0000}"/>
    <cellStyle name="20% - Accent2 6 10" xfId="17191" xr:uid="{00000000-0005-0000-0000-0000220E0000}"/>
    <cellStyle name="20% - Accent2 6 2" xfId="1883" xr:uid="{00000000-0005-0000-0000-0000230E0000}"/>
    <cellStyle name="20% - Accent2 6 2 2" xfId="1884" xr:uid="{00000000-0005-0000-0000-0000240E0000}"/>
    <cellStyle name="20% - Accent2 6 2 2 2" xfId="1885" xr:uid="{00000000-0005-0000-0000-0000250E0000}"/>
    <cellStyle name="20% - Accent2 6 2 2 2 2" xfId="13243" xr:uid="{00000000-0005-0000-0000-0000260E0000}"/>
    <cellStyle name="20% - Accent2 6 2 2 2 3" xfId="17194" xr:uid="{00000000-0005-0000-0000-0000270E0000}"/>
    <cellStyle name="20% - Accent2 6 2 2 3" xfId="1886" xr:uid="{00000000-0005-0000-0000-0000280E0000}"/>
    <cellStyle name="20% - Accent2 6 2 2 3 2" xfId="13244" xr:uid="{00000000-0005-0000-0000-0000290E0000}"/>
    <cellStyle name="20% - Accent2 6 2 2 3 3" xfId="17195" xr:uid="{00000000-0005-0000-0000-00002A0E0000}"/>
    <cellStyle name="20% - Accent2 6 2 2 4" xfId="13242" xr:uid="{00000000-0005-0000-0000-00002B0E0000}"/>
    <cellStyle name="20% - Accent2 6 2 2 5" xfId="17193" xr:uid="{00000000-0005-0000-0000-00002C0E0000}"/>
    <cellStyle name="20% - Accent2 6 2 3" xfId="1887" xr:uid="{00000000-0005-0000-0000-00002D0E0000}"/>
    <cellStyle name="20% - Accent2 6 2 3 2" xfId="1888" xr:uid="{00000000-0005-0000-0000-00002E0E0000}"/>
    <cellStyle name="20% - Accent2 6 2 3 2 2" xfId="13246" xr:uid="{00000000-0005-0000-0000-00002F0E0000}"/>
    <cellStyle name="20% - Accent2 6 2 3 2 3" xfId="17197" xr:uid="{00000000-0005-0000-0000-0000300E0000}"/>
    <cellStyle name="20% - Accent2 6 2 3 3" xfId="1889" xr:uid="{00000000-0005-0000-0000-0000310E0000}"/>
    <cellStyle name="20% - Accent2 6 2 3 3 2" xfId="13247" xr:uid="{00000000-0005-0000-0000-0000320E0000}"/>
    <cellStyle name="20% - Accent2 6 2 3 3 3" xfId="17198" xr:uid="{00000000-0005-0000-0000-0000330E0000}"/>
    <cellStyle name="20% - Accent2 6 2 3 4" xfId="13245" xr:uid="{00000000-0005-0000-0000-0000340E0000}"/>
    <cellStyle name="20% - Accent2 6 2 3 5" xfId="17196" xr:uid="{00000000-0005-0000-0000-0000350E0000}"/>
    <cellStyle name="20% - Accent2 6 2 4" xfId="1890" xr:uid="{00000000-0005-0000-0000-0000360E0000}"/>
    <cellStyle name="20% - Accent2 6 2 4 2" xfId="1891" xr:uid="{00000000-0005-0000-0000-0000370E0000}"/>
    <cellStyle name="20% - Accent2 6 2 4 2 2" xfId="13249" xr:uid="{00000000-0005-0000-0000-0000380E0000}"/>
    <cellStyle name="20% - Accent2 6 2 4 2 3" xfId="17200" xr:uid="{00000000-0005-0000-0000-0000390E0000}"/>
    <cellStyle name="20% - Accent2 6 2 4 3" xfId="1892" xr:uid="{00000000-0005-0000-0000-00003A0E0000}"/>
    <cellStyle name="20% - Accent2 6 2 4 3 2" xfId="13250" xr:uid="{00000000-0005-0000-0000-00003B0E0000}"/>
    <cellStyle name="20% - Accent2 6 2 4 3 3" xfId="17201" xr:uid="{00000000-0005-0000-0000-00003C0E0000}"/>
    <cellStyle name="20% - Accent2 6 2 4 4" xfId="13248" xr:uid="{00000000-0005-0000-0000-00003D0E0000}"/>
    <cellStyle name="20% - Accent2 6 2 4 5" xfId="17199" xr:uid="{00000000-0005-0000-0000-00003E0E0000}"/>
    <cellStyle name="20% - Accent2 6 2 5" xfId="1893" xr:uid="{00000000-0005-0000-0000-00003F0E0000}"/>
    <cellStyle name="20% - Accent2 6 2 5 2" xfId="13251" xr:uid="{00000000-0005-0000-0000-0000400E0000}"/>
    <cellStyle name="20% - Accent2 6 2 5 3" xfId="17202" xr:uid="{00000000-0005-0000-0000-0000410E0000}"/>
    <cellStyle name="20% - Accent2 6 2 6" xfId="1894" xr:uid="{00000000-0005-0000-0000-0000420E0000}"/>
    <cellStyle name="20% - Accent2 6 2 6 2" xfId="13252" xr:uid="{00000000-0005-0000-0000-0000430E0000}"/>
    <cellStyle name="20% - Accent2 6 2 6 3" xfId="17203" xr:uid="{00000000-0005-0000-0000-0000440E0000}"/>
    <cellStyle name="20% - Accent2 6 2 7" xfId="13241" xr:uid="{00000000-0005-0000-0000-0000450E0000}"/>
    <cellStyle name="20% - Accent2 6 2 8" xfId="17192" xr:uid="{00000000-0005-0000-0000-0000460E0000}"/>
    <cellStyle name="20% - Accent2 6 2_Volatility" xfId="1895" xr:uid="{00000000-0005-0000-0000-0000470E0000}"/>
    <cellStyle name="20% - Accent2 6 3" xfId="1896" xr:uid="{00000000-0005-0000-0000-0000480E0000}"/>
    <cellStyle name="20% - Accent2 6 3 2" xfId="1897" xr:uid="{00000000-0005-0000-0000-0000490E0000}"/>
    <cellStyle name="20% - Accent2 6 3 2 2" xfId="1898" xr:uid="{00000000-0005-0000-0000-00004A0E0000}"/>
    <cellStyle name="20% - Accent2 6 3 2 2 2" xfId="13255" xr:uid="{00000000-0005-0000-0000-00004B0E0000}"/>
    <cellStyle name="20% - Accent2 6 3 2 2 3" xfId="17206" xr:uid="{00000000-0005-0000-0000-00004C0E0000}"/>
    <cellStyle name="20% - Accent2 6 3 2 3" xfId="1899" xr:uid="{00000000-0005-0000-0000-00004D0E0000}"/>
    <cellStyle name="20% - Accent2 6 3 2 3 2" xfId="13256" xr:uid="{00000000-0005-0000-0000-00004E0E0000}"/>
    <cellStyle name="20% - Accent2 6 3 2 3 3" xfId="17207" xr:uid="{00000000-0005-0000-0000-00004F0E0000}"/>
    <cellStyle name="20% - Accent2 6 3 2 4" xfId="13254" xr:uid="{00000000-0005-0000-0000-0000500E0000}"/>
    <cellStyle name="20% - Accent2 6 3 2 5" xfId="17205" xr:uid="{00000000-0005-0000-0000-0000510E0000}"/>
    <cellStyle name="20% - Accent2 6 3 3" xfId="1900" xr:uid="{00000000-0005-0000-0000-0000520E0000}"/>
    <cellStyle name="20% - Accent2 6 3 3 2" xfId="1901" xr:uid="{00000000-0005-0000-0000-0000530E0000}"/>
    <cellStyle name="20% - Accent2 6 3 3 2 2" xfId="13258" xr:uid="{00000000-0005-0000-0000-0000540E0000}"/>
    <cellStyle name="20% - Accent2 6 3 3 2 3" xfId="17209" xr:uid="{00000000-0005-0000-0000-0000550E0000}"/>
    <cellStyle name="20% - Accent2 6 3 3 3" xfId="1902" xr:uid="{00000000-0005-0000-0000-0000560E0000}"/>
    <cellStyle name="20% - Accent2 6 3 3 3 2" xfId="13259" xr:uid="{00000000-0005-0000-0000-0000570E0000}"/>
    <cellStyle name="20% - Accent2 6 3 3 3 3" xfId="17210" xr:uid="{00000000-0005-0000-0000-0000580E0000}"/>
    <cellStyle name="20% - Accent2 6 3 3 4" xfId="13257" xr:uid="{00000000-0005-0000-0000-0000590E0000}"/>
    <cellStyle name="20% - Accent2 6 3 3 5" xfId="17208" xr:uid="{00000000-0005-0000-0000-00005A0E0000}"/>
    <cellStyle name="20% - Accent2 6 3 4" xfId="1903" xr:uid="{00000000-0005-0000-0000-00005B0E0000}"/>
    <cellStyle name="20% - Accent2 6 3 4 2" xfId="13260" xr:uid="{00000000-0005-0000-0000-00005C0E0000}"/>
    <cellStyle name="20% - Accent2 6 3 4 3" xfId="17211" xr:uid="{00000000-0005-0000-0000-00005D0E0000}"/>
    <cellStyle name="20% - Accent2 6 3 5" xfId="1904" xr:uid="{00000000-0005-0000-0000-00005E0E0000}"/>
    <cellStyle name="20% - Accent2 6 3 5 2" xfId="13261" xr:uid="{00000000-0005-0000-0000-00005F0E0000}"/>
    <cellStyle name="20% - Accent2 6 3 5 3" xfId="17212" xr:uid="{00000000-0005-0000-0000-0000600E0000}"/>
    <cellStyle name="20% - Accent2 6 3 6" xfId="13253" xr:uid="{00000000-0005-0000-0000-0000610E0000}"/>
    <cellStyle name="20% - Accent2 6 3 7" xfId="17204" xr:uid="{00000000-0005-0000-0000-0000620E0000}"/>
    <cellStyle name="20% - Accent2 6 3_Volatility" xfId="1905" xr:uid="{00000000-0005-0000-0000-0000630E0000}"/>
    <cellStyle name="20% - Accent2 6 4" xfId="1906" xr:uid="{00000000-0005-0000-0000-0000640E0000}"/>
    <cellStyle name="20% - Accent2 6 4 2" xfId="1907" xr:uid="{00000000-0005-0000-0000-0000650E0000}"/>
    <cellStyle name="20% - Accent2 6 4 2 2" xfId="13263" xr:uid="{00000000-0005-0000-0000-0000660E0000}"/>
    <cellStyle name="20% - Accent2 6 4 2 3" xfId="17214" xr:uid="{00000000-0005-0000-0000-0000670E0000}"/>
    <cellStyle name="20% - Accent2 6 4 3" xfId="1908" xr:uid="{00000000-0005-0000-0000-0000680E0000}"/>
    <cellStyle name="20% - Accent2 6 4 3 2" xfId="13264" xr:uid="{00000000-0005-0000-0000-0000690E0000}"/>
    <cellStyle name="20% - Accent2 6 4 3 3" xfId="17215" xr:uid="{00000000-0005-0000-0000-00006A0E0000}"/>
    <cellStyle name="20% - Accent2 6 4 4" xfId="13262" xr:uid="{00000000-0005-0000-0000-00006B0E0000}"/>
    <cellStyle name="20% - Accent2 6 4 5" xfId="17213" xr:uid="{00000000-0005-0000-0000-00006C0E0000}"/>
    <cellStyle name="20% - Accent2 6 5" xfId="1909" xr:uid="{00000000-0005-0000-0000-00006D0E0000}"/>
    <cellStyle name="20% - Accent2 6 5 2" xfId="1910" xr:uid="{00000000-0005-0000-0000-00006E0E0000}"/>
    <cellStyle name="20% - Accent2 6 5 2 2" xfId="13266" xr:uid="{00000000-0005-0000-0000-00006F0E0000}"/>
    <cellStyle name="20% - Accent2 6 5 2 3" xfId="17217" xr:uid="{00000000-0005-0000-0000-0000700E0000}"/>
    <cellStyle name="20% - Accent2 6 5 3" xfId="1911" xr:uid="{00000000-0005-0000-0000-0000710E0000}"/>
    <cellStyle name="20% - Accent2 6 5 3 2" xfId="13267" xr:uid="{00000000-0005-0000-0000-0000720E0000}"/>
    <cellStyle name="20% - Accent2 6 5 3 3" xfId="17218" xr:uid="{00000000-0005-0000-0000-0000730E0000}"/>
    <cellStyle name="20% - Accent2 6 5 4" xfId="13265" xr:uid="{00000000-0005-0000-0000-0000740E0000}"/>
    <cellStyle name="20% - Accent2 6 5 5" xfId="17216" xr:uid="{00000000-0005-0000-0000-0000750E0000}"/>
    <cellStyle name="20% - Accent2 6 6" xfId="1912" xr:uid="{00000000-0005-0000-0000-0000760E0000}"/>
    <cellStyle name="20% - Accent2 6 6 2" xfId="1913" xr:uid="{00000000-0005-0000-0000-0000770E0000}"/>
    <cellStyle name="20% - Accent2 6 6 2 2" xfId="13269" xr:uid="{00000000-0005-0000-0000-0000780E0000}"/>
    <cellStyle name="20% - Accent2 6 6 2 3" xfId="17220" xr:uid="{00000000-0005-0000-0000-0000790E0000}"/>
    <cellStyle name="20% - Accent2 6 6 3" xfId="1914" xr:uid="{00000000-0005-0000-0000-00007A0E0000}"/>
    <cellStyle name="20% - Accent2 6 6 3 2" xfId="13270" xr:uid="{00000000-0005-0000-0000-00007B0E0000}"/>
    <cellStyle name="20% - Accent2 6 6 3 3" xfId="17221" xr:uid="{00000000-0005-0000-0000-00007C0E0000}"/>
    <cellStyle name="20% - Accent2 6 6 4" xfId="13268" xr:uid="{00000000-0005-0000-0000-00007D0E0000}"/>
    <cellStyle name="20% - Accent2 6 6 5" xfId="17219" xr:uid="{00000000-0005-0000-0000-00007E0E0000}"/>
    <cellStyle name="20% - Accent2 6 7" xfId="1915" xr:uid="{00000000-0005-0000-0000-00007F0E0000}"/>
    <cellStyle name="20% - Accent2 6 7 2" xfId="13271" xr:uid="{00000000-0005-0000-0000-0000800E0000}"/>
    <cellStyle name="20% - Accent2 6 7 3" xfId="17222" xr:uid="{00000000-0005-0000-0000-0000810E0000}"/>
    <cellStyle name="20% - Accent2 6 8" xfId="1916" xr:uid="{00000000-0005-0000-0000-0000820E0000}"/>
    <cellStyle name="20% - Accent2 6 8 2" xfId="13272" xr:uid="{00000000-0005-0000-0000-0000830E0000}"/>
    <cellStyle name="20% - Accent2 6 8 3" xfId="17223" xr:uid="{00000000-0005-0000-0000-0000840E0000}"/>
    <cellStyle name="20% - Accent2 6 9" xfId="13240" xr:uid="{00000000-0005-0000-0000-0000850E0000}"/>
    <cellStyle name="20% - Accent2 6_Volatility" xfId="1917" xr:uid="{00000000-0005-0000-0000-0000860E0000}"/>
    <cellStyle name="20% - Accent2 7" xfId="1918" xr:uid="{00000000-0005-0000-0000-0000870E0000}"/>
    <cellStyle name="20% - Accent2 7 10" xfId="17224" xr:uid="{00000000-0005-0000-0000-0000880E0000}"/>
    <cellStyle name="20% - Accent2 7 2" xfId="1919" xr:uid="{00000000-0005-0000-0000-0000890E0000}"/>
    <cellStyle name="20% - Accent2 7 2 2" xfId="1920" xr:uid="{00000000-0005-0000-0000-00008A0E0000}"/>
    <cellStyle name="20% - Accent2 7 2 2 2" xfId="1921" xr:uid="{00000000-0005-0000-0000-00008B0E0000}"/>
    <cellStyle name="20% - Accent2 7 2 2 2 2" xfId="13276" xr:uid="{00000000-0005-0000-0000-00008C0E0000}"/>
    <cellStyle name="20% - Accent2 7 2 2 2 3" xfId="17227" xr:uid="{00000000-0005-0000-0000-00008D0E0000}"/>
    <cellStyle name="20% - Accent2 7 2 2 3" xfId="1922" xr:uid="{00000000-0005-0000-0000-00008E0E0000}"/>
    <cellStyle name="20% - Accent2 7 2 2 3 2" xfId="13277" xr:uid="{00000000-0005-0000-0000-00008F0E0000}"/>
    <cellStyle name="20% - Accent2 7 2 2 3 3" xfId="17228" xr:uid="{00000000-0005-0000-0000-0000900E0000}"/>
    <cellStyle name="20% - Accent2 7 2 2 4" xfId="13275" xr:uid="{00000000-0005-0000-0000-0000910E0000}"/>
    <cellStyle name="20% - Accent2 7 2 2 5" xfId="17226" xr:uid="{00000000-0005-0000-0000-0000920E0000}"/>
    <cellStyle name="20% - Accent2 7 2 3" xfId="1923" xr:uid="{00000000-0005-0000-0000-0000930E0000}"/>
    <cellStyle name="20% - Accent2 7 2 3 2" xfId="1924" xr:uid="{00000000-0005-0000-0000-0000940E0000}"/>
    <cellStyle name="20% - Accent2 7 2 3 2 2" xfId="13279" xr:uid="{00000000-0005-0000-0000-0000950E0000}"/>
    <cellStyle name="20% - Accent2 7 2 3 2 3" xfId="17230" xr:uid="{00000000-0005-0000-0000-0000960E0000}"/>
    <cellStyle name="20% - Accent2 7 2 3 3" xfId="1925" xr:uid="{00000000-0005-0000-0000-0000970E0000}"/>
    <cellStyle name="20% - Accent2 7 2 3 3 2" xfId="13280" xr:uid="{00000000-0005-0000-0000-0000980E0000}"/>
    <cellStyle name="20% - Accent2 7 2 3 3 3" xfId="17231" xr:uid="{00000000-0005-0000-0000-0000990E0000}"/>
    <cellStyle name="20% - Accent2 7 2 3 4" xfId="13278" xr:uid="{00000000-0005-0000-0000-00009A0E0000}"/>
    <cellStyle name="20% - Accent2 7 2 3 5" xfId="17229" xr:uid="{00000000-0005-0000-0000-00009B0E0000}"/>
    <cellStyle name="20% - Accent2 7 2 4" xfId="1926" xr:uid="{00000000-0005-0000-0000-00009C0E0000}"/>
    <cellStyle name="20% - Accent2 7 2 4 2" xfId="1927" xr:uid="{00000000-0005-0000-0000-00009D0E0000}"/>
    <cellStyle name="20% - Accent2 7 2 4 2 2" xfId="13282" xr:uid="{00000000-0005-0000-0000-00009E0E0000}"/>
    <cellStyle name="20% - Accent2 7 2 4 2 3" xfId="17233" xr:uid="{00000000-0005-0000-0000-00009F0E0000}"/>
    <cellStyle name="20% - Accent2 7 2 4 3" xfId="1928" xr:uid="{00000000-0005-0000-0000-0000A00E0000}"/>
    <cellStyle name="20% - Accent2 7 2 4 3 2" xfId="13283" xr:uid="{00000000-0005-0000-0000-0000A10E0000}"/>
    <cellStyle name="20% - Accent2 7 2 4 3 3" xfId="17234" xr:uid="{00000000-0005-0000-0000-0000A20E0000}"/>
    <cellStyle name="20% - Accent2 7 2 4 4" xfId="13281" xr:uid="{00000000-0005-0000-0000-0000A30E0000}"/>
    <cellStyle name="20% - Accent2 7 2 4 5" xfId="17232" xr:uid="{00000000-0005-0000-0000-0000A40E0000}"/>
    <cellStyle name="20% - Accent2 7 2 5" xfId="1929" xr:uid="{00000000-0005-0000-0000-0000A50E0000}"/>
    <cellStyle name="20% - Accent2 7 2 5 2" xfId="13284" xr:uid="{00000000-0005-0000-0000-0000A60E0000}"/>
    <cellStyle name="20% - Accent2 7 2 5 3" xfId="17235" xr:uid="{00000000-0005-0000-0000-0000A70E0000}"/>
    <cellStyle name="20% - Accent2 7 2 6" xfId="1930" xr:uid="{00000000-0005-0000-0000-0000A80E0000}"/>
    <cellStyle name="20% - Accent2 7 2 6 2" xfId="13285" xr:uid="{00000000-0005-0000-0000-0000A90E0000}"/>
    <cellStyle name="20% - Accent2 7 2 6 3" xfId="17236" xr:uid="{00000000-0005-0000-0000-0000AA0E0000}"/>
    <cellStyle name="20% - Accent2 7 2 7" xfId="13274" xr:uid="{00000000-0005-0000-0000-0000AB0E0000}"/>
    <cellStyle name="20% - Accent2 7 2 8" xfId="17225" xr:uid="{00000000-0005-0000-0000-0000AC0E0000}"/>
    <cellStyle name="20% - Accent2 7 2_Volatility" xfId="1931" xr:uid="{00000000-0005-0000-0000-0000AD0E0000}"/>
    <cellStyle name="20% - Accent2 7 3" xfId="1932" xr:uid="{00000000-0005-0000-0000-0000AE0E0000}"/>
    <cellStyle name="20% - Accent2 7 3 2" xfId="1933" xr:uid="{00000000-0005-0000-0000-0000AF0E0000}"/>
    <cellStyle name="20% - Accent2 7 3 2 2" xfId="1934" xr:uid="{00000000-0005-0000-0000-0000B00E0000}"/>
    <cellStyle name="20% - Accent2 7 3 2 2 2" xfId="13288" xr:uid="{00000000-0005-0000-0000-0000B10E0000}"/>
    <cellStyle name="20% - Accent2 7 3 2 2 3" xfId="17239" xr:uid="{00000000-0005-0000-0000-0000B20E0000}"/>
    <cellStyle name="20% - Accent2 7 3 2 3" xfId="1935" xr:uid="{00000000-0005-0000-0000-0000B30E0000}"/>
    <cellStyle name="20% - Accent2 7 3 2 3 2" xfId="13289" xr:uid="{00000000-0005-0000-0000-0000B40E0000}"/>
    <cellStyle name="20% - Accent2 7 3 2 3 3" xfId="17240" xr:uid="{00000000-0005-0000-0000-0000B50E0000}"/>
    <cellStyle name="20% - Accent2 7 3 2 4" xfId="13287" xr:uid="{00000000-0005-0000-0000-0000B60E0000}"/>
    <cellStyle name="20% - Accent2 7 3 2 5" xfId="17238" xr:uid="{00000000-0005-0000-0000-0000B70E0000}"/>
    <cellStyle name="20% - Accent2 7 3 3" xfId="1936" xr:uid="{00000000-0005-0000-0000-0000B80E0000}"/>
    <cellStyle name="20% - Accent2 7 3 3 2" xfId="1937" xr:uid="{00000000-0005-0000-0000-0000B90E0000}"/>
    <cellStyle name="20% - Accent2 7 3 3 2 2" xfId="13291" xr:uid="{00000000-0005-0000-0000-0000BA0E0000}"/>
    <cellStyle name="20% - Accent2 7 3 3 2 3" xfId="17242" xr:uid="{00000000-0005-0000-0000-0000BB0E0000}"/>
    <cellStyle name="20% - Accent2 7 3 3 3" xfId="1938" xr:uid="{00000000-0005-0000-0000-0000BC0E0000}"/>
    <cellStyle name="20% - Accent2 7 3 3 3 2" xfId="13292" xr:uid="{00000000-0005-0000-0000-0000BD0E0000}"/>
    <cellStyle name="20% - Accent2 7 3 3 3 3" xfId="17243" xr:uid="{00000000-0005-0000-0000-0000BE0E0000}"/>
    <cellStyle name="20% - Accent2 7 3 3 4" xfId="13290" xr:uid="{00000000-0005-0000-0000-0000BF0E0000}"/>
    <cellStyle name="20% - Accent2 7 3 3 5" xfId="17241" xr:uid="{00000000-0005-0000-0000-0000C00E0000}"/>
    <cellStyle name="20% - Accent2 7 3 4" xfId="1939" xr:uid="{00000000-0005-0000-0000-0000C10E0000}"/>
    <cellStyle name="20% - Accent2 7 3 4 2" xfId="13293" xr:uid="{00000000-0005-0000-0000-0000C20E0000}"/>
    <cellStyle name="20% - Accent2 7 3 4 3" xfId="17244" xr:uid="{00000000-0005-0000-0000-0000C30E0000}"/>
    <cellStyle name="20% - Accent2 7 3 5" xfId="1940" xr:uid="{00000000-0005-0000-0000-0000C40E0000}"/>
    <cellStyle name="20% - Accent2 7 3 5 2" xfId="13294" xr:uid="{00000000-0005-0000-0000-0000C50E0000}"/>
    <cellStyle name="20% - Accent2 7 3 5 3" xfId="17245" xr:uid="{00000000-0005-0000-0000-0000C60E0000}"/>
    <cellStyle name="20% - Accent2 7 3 6" xfId="13286" xr:uid="{00000000-0005-0000-0000-0000C70E0000}"/>
    <cellStyle name="20% - Accent2 7 3 7" xfId="17237" xr:uid="{00000000-0005-0000-0000-0000C80E0000}"/>
    <cellStyle name="20% - Accent2 7 3_Volatility" xfId="1941" xr:uid="{00000000-0005-0000-0000-0000C90E0000}"/>
    <cellStyle name="20% - Accent2 7 4" xfId="1942" xr:uid="{00000000-0005-0000-0000-0000CA0E0000}"/>
    <cellStyle name="20% - Accent2 7 4 2" xfId="1943" xr:uid="{00000000-0005-0000-0000-0000CB0E0000}"/>
    <cellStyle name="20% - Accent2 7 4 2 2" xfId="13296" xr:uid="{00000000-0005-0000-0000-0000CC0E0000}"/>
    <cellStyle name="20% - Accent2 7 4 2 3" xfId="17247" xr:uid="{00000000-0005-0000-0000-0000CD0E0000}"/>
    <cellStyle name="20% - Accent2 7 4 3" xfId="1944" xr:uid="{00000000-0005-0000-0000-0000CE0E0000}"/>
    <cellStyle name="20% - Accent2 7 4 3 2" xfId="13297" xr:uid="{00000000-0005-0000-0000-0000CF0E0000}"/>
    <cellStyle name="20% - Accent2 7 4 3 3" xfId="17248" xr:uid="{00000000-0005-0000-0000-0000D00E0000}"/>
    <cellStyle name="20% - Accent2 7 4 4" xfId="13295" xr:uid="{00000000-0005-0000-0000-0000D10E0000}"/>
    <cellStyle name="20% - Accent2 7 4 5" xfId="17246" xr:uid="{00000000-0005-0000-0000-0000D20E0000}"/>
    <cellStyle name="20% - Accent2 7 5" xfId="1945" xr:uid="{00000000-0005-0000-0000-0000D30E0000}"/>
    <cellStyle name="20% - Accent2 7 5 2" xfId="1946" xr:uid="{00000000-0005-0000-0000-0000D40E0000}"/>
    <cellStyle name="20% - Accent2 7 5 2 2" xfId="13299" xr:uid="{00000000-0005-0000-0000-0000D50E0000}"/>
    <cellStyle name="20% - Accent2 7 5 2 3" xfId="17250" xr:uid="{00000000-0005-0000-0000-0000D60E0000}"/>
    <cellStyle name="20% - Accent2 7 5 3" xfId="1947" xr:uid="{00000000-0005-0000-0000-0000D70E0000}"/>
    <cellStyle name="20% - Accent2 7 5 3 2" xfId="13300" xr:uid="{00000000-0005-0000-0000-0000D80E0000}"/>
    <cellStyle name="20% - Accent2 7 5 3 3" xfId="17251" xr:uid="{00000000-0005-0000-0000-0000D90E0000}"/>
    <cellStyle name="20% - Accent2 7 5 4" xfId="13298" xr:uid="{00000000-0005-0000-0000-0000DA0E0000}"/>
    <cellStyle name="20% - Accent2 7 5 5" xfId="17249" xr:uid="{00000000-0005-0000-0000-0000DB0E0000}"/>
    <cellStyle name="20% - Accent2 7 6" xfId="1948" xr:uid="{00000000-0005-0000-0000-0000DC0E0000}"/>
    <cellStyle name="20% - Accent2 7 6 2" xfId="1949" xr:uid="{00000000-0005-0000-0000-0000DD0E0000}"/>
    <cellStyle name="20% - Accent2 7 6 2 2" xfId="13302" xr:uid="{00000000-0005-0000-0000-0000DE0E0000}"/>
    <cellStyle name="20% - Accent2 7 6 2 3" xfId="17253" xr:uid="{00000000-0005-0000-0000-0000DF0E0000}"/>
    <cellStyle name="20% - Accent2 7 6 3" xfId="1950" xr:uid="{00000000-0005-0000-0000-0000E00E0000}"/>
    <cellStyle name="20% - Accent2 7 6 3 2" xfId="13303" xr:uid="{00000000-0005-0000-0000-0000E10E0000}"/>
    <cellStyle name="20% - Accent2 7 6 3 3" xfId="17254" xr:uid="{00000000-0005-0000-0000-0000E20E0000}"/>
    <cellStyle name="20% - Accent2 7 6 4" xfId="13301" xr:uid="{00000000-0005-0000-0000-0000E30E0000}"/>
    <cellStyle name="20% - Accent2 7 6 5" xfId="17252" xr:uid="{00000000-0005-0000-0000-0000E40E0000}"/>
    <cellStyle name="20% - Accent2 7 7" xfId="1951" xr:uid="{00000000-0005-0000-0000-0000E50E0000}"/>
    <cellStyle name="20% - Accent2 7 7 2" xfId="13304" xr:uid="{00000000-0005-0000-0000-0000E60E0000}"/>
    <cellStyle name="20% - Accent2 7 7 3" xfId="17255" xr:uid="{00000000-0005-0000-0000-0000E70E0000}"/>
    <cellStyle name="20% - Accent2 7 8" xfId="1952" xr:uid="{00000000-0005-0000-0000-0000E80E0000}"/>
    <cellStyle name="20% - Accent2 7 8 2" xfId="13305" xr:uid="{00000000-0005-0000-0000-0000E90E0000}"/>
    <cellStyle name="20% - Accent2 7 8 3" xfId="17256" xr:uid="{00000000-0005-0000-0000-0000EA0E0000}"/>
    <cellStyle name="20% - Accent2 7 9" xfId="13273" xr:uid="{00000000-0005-0000-0000-0000EB0E0000}"/>
    <cellStyle name="20% - Accent2 7_Volatility" xfId="1953" xr:uid="{00000000-0005-0000-0000-0000EC0E0000}"/>
    <cellStyle name="20% - Accent2 8" xfId="1954" xr:uid="{00000000-0005-0000-0000-0000ED0E0000}"/>
    <cellStyle name="20% - Accent2 8 10" xfId="17257" xr:uid="{00000000-0005-0000-0000-0000EE0E0000}"/>
    <cellStyle name="20% - Accent2 8 2" xfId="1955" xr:uid="{00000000-0005-0000-0000-0000EF0E0000}"/>
    <cellStyle name="20% - Accent2 8 2 2" xfId="1956" xr:uid="{00000000-0005-0000-0000-0000F00E0000}"/>
    <cellStyle name="20% - Accent2 8 2 2 2" xfId="1957" xr:uid="{00000000-0005-0000-0000-0000F10E0000}"/>
    <cellStyle name="20% - Accent2 8 2 2 2 2" xfId="13309" xr:uid="{00000000-0005-0000-0000-0000F20E0000}"/>
    <cellStyle name="20% - Accent2 8 2 2 2 3" xfId="17260" xr:uid="{00000000-0005-0000-0000-0000F30E0000}"/>
    <cellStyle name="20% - Accent2 8 2 2 3" xfId="1958" xr:uid="{00000000-0005-0000-0000-0000F40E0000}"/>
    <cellStyle name="20% - Accent2 8 2 2 3 2" xfId="13310" xr:uid="{00000000-0005-0000-0000-0000F50E0000}"/>
    <cellStyle name="20% - Accent2 8 2 2 3 3" xfId="17261" xr:uid="{00000000-0005-0000-0000-0000F60E0000}"/>
    <cellStyle name="20% - Accent2 8 2 2 4" xfId="13308" xr:uid="{00000000-0005-0000-0000-0000F70E0000}"/>
    <cellStyle name="20% - Accent2 8 2 2 5" xfId="17259" xr:uid="{00000000-0005-0000-0000-0000F80E0000}"/>
    <cellStyle name="20% - Accent2 8 2 3" xfId="1959" xr:uid="{00000000-0005-0000-0000-0000F90E0000}"/>
    <cellStyle name="20% - Accent2 8 2 3 2" xfId="1960" xr:uid="{00000000-0005-0000-0000-0000FA0E0000}"/>
    <cellStyle name="20% - Accent2 8 2 3 2 2" xfId="13312" xr:uid="{00000000-0005-0000-0000-0000FB0E0000}"/>
    <cellStyle name="20% - Accent2 8 2 3 2 3" xfId="17263" xr:uid="{00000000-0005-0000-0000-0000FC0E0000}"/>
    <cellStyle name="20% - Accent2 8 2 3 3" xfId="1961" xr:uid="{00000000-0005-0000-0000-0000FD0E0000}"/>
    <cellStyle name="20% - Accent2 8 2 3 3 2" xfId="13313" xr:uid="{00000000-0005-0000-0000-0000FE0E0000}"/>
    <cellStyle name="20% - Accent2 8 2 3 3 3" xfId="17264" xr:uid="{00000000-0005-0000-0000-0000FF0E0000}"/>
    <cellStyle name="20% - Accent2 8 2 3 4" xfId="13311" xr:uid="{00000000-0005-0000-0000-0000000F0000}"/>
    <cellStyle name="20% - Accent2 8 2 3 5" xfId="17262" xr:uid="{00000000-0005-0000-0000-0000010F0000}"/>
    <cellStyle name="20% - Accent2 8 2 4" xfId="1962" xr:uid="{00000000-0005-0000-0000-0000020F0000}"/>
    <cellStyle name="20% - Accent2 8 2 4 2" xfId="1963" xr:uid="{00000000-0005-0000-0000-0000030F0000}"/>
    <cellStyle name="20% - Accent2 8 2 4 2 2" xfId="13315" xr:uid="{00000000-0005-0000-0000-0000040F0000}"/>
    <cellStyle name="20% - Accent2 8 2 4 2 3" xfId="17266" xr:uid="{00000000-0005-0000-0000-0000050F0000}"/>
    <cellStyle name="20% - Accent2 8 2 4 3" xfId="1964" xr:uid="{00000000-0005-0000-0000-0000060F0000}"/>
    <cellStyle name="20% - Accent2 8 2 4 3 2" xfId="13316" xr:uid="{00000000-0005-0000-0000-0000070F0000}"/>
    <cellStyle name="20% - Accent2 8 2 4 3 3" xfId="17267" xr:uid="{00000000-0005-0000-0000-0000080F0000}"/>
    <cellStyle name="20% - Accent2 8 2 4 4" xfId="13314" xr:uid="{00000000-0005-0000-0000-0000090F0000}"/>
    <cellStyle name="20% - Accent2 8 2 4 5" xfId="17265" xr:uid="{00000000-0005-0000-0000-00000A0F0000}"/>
    <cellStyle name="20% - Accent2 8 2 5" xfId="1965" xr:uid="{00000000-0005-0000-0000-00000B0F0000}"/>
    <cellStyle name="20% - Accent2 8 2 5 2" xfId="13317" xr:uid="{00000000-0005-0000-0000-00000C0F0000}"/>
    <cellStyle name="20% - Accent2 8 2 5 3" xfId="17268" xr:uid="{00000000-0005-0000-0000-00000D0F0000}"/>
    <cellStyle name="20% - Accent2 8 2 6" xfId="1966" xr:uid="{00000000-0005-0000-0000-00000E0F0000}"/>
    <cellStyle name="20% - Accent2 8 2 6 2" xfId="13318" xr:uid="{00000000-0005-0000-0000-00000F0F0000}"/>
    <cellStyle name="20% - Accent2 8 2 6 3" xfId="17269" xr:uid="{00000000-0005-0000-0000-0000100F0000}"/>
    <cellStyle name="20% - Accent2 8 2 7" xfId="13307" xr:uid="{00000000-0005-0000-0000-0000110F0000}"/>
    <cellStyle name="20% - Accent2 8 2 8" xfId="17258" xr:uid="{00000000-0005-0000-0000-0000120F0000}"/>
    <cellStyle name="20% - Accent2 8 2_Volatility" xfId="1967" xr:uid="{00000000-0005-0000-0000-0000130F0000}"/>
    <cellStyle name="20% - Accent2 8 3" xfId="1968" xr:uid="{00000000-0005-0000-0000-0000140F0000}"/>
    <cellStyle name="20% - Accent2 8 3 2" xfId="1969" xr:uid="{00000000-0005-0000-0000-0000150F0000}"/>
    <cellStyle name="20% - Accent2 8 3 2 2" xfId="1970" xr:uid="{00000000-0005-0000-0000-0000160F0000}"/>
    <cellStyle name="20% - Accent2 8 3 2 2 2" xfId="13321" xr:uid="{00000000-0005-0000-0000-0000170F0000}"/>
    <cellStyle name="20% - Accent2 8 3 2 2 3" xfId="17272" xr:uid="{00000000-0005-0000-0000-0000180F0000}"/>
    <cellStyle name="20% - Accent2 8 3 2 3" xfId="1971" xr:uid="{00000000-0005-0000-0000-0000190F0000}"/>
    <cellStyle name="20% - Accent2 8 3 2 3 2" xfId="13322" xr:uid="{00000000-0005-0000-0000-00001A0F0000}"/>
    <cellStyle name="20% - Accent2 8 3 2 3 3" xfId="17273" xr:uid="{00000000-0005-0000-0000-00001B0F0000}"/>
    <cellStyle name="20% - Accent2 8 3 2 4" xfId="13320" xr:uid="{00000000-0005-0000-0000-00001C0F0000}"/>
    <cellStyle name="20% - Accent2 8 3 2 5" xfId="17271" xr:uid="{00000000-0005-0000-0000-00001D0F0000}"/>
    <cellStyle name="20% - Accent2 8 3 3" xfId="1972" xr:uid="{00000000-0005-0000-0000-00001E0F0000}"/>
    <cellStyle name="20% - Accent2 8 3 3 2" xfId="1973" xr:uid="{00000000-0005-0000-0000-00001F0F0000}"/>
    <cellStyle name="20% - Accent2 8 3 3 2 2" xfId="13324" xr:uid="{00000000-0005-0000-0000-0000200F0000}"/>
    <cellStyle name="20% - Accent2 8 3 3 2 3" xfId="17275" xr:uid="{00000000-0005-0000-0000-0000210F0000}"/>
    <cellStyle name="20% - Accent2 8 3 3 3" xfId="1974" xr:uid="{00000000-0005-0000-0000-0000220F0000}"/>
    <cellStyle name="20% - Accent2 8 3 3 3 2" xfId="13325" xr:uid="{00000000-0005-0000-0000-0000230F0000}"/>
    <cellStyle name="20% - Accent2 8 3 3 3 3" xfId="17276" xr:uid="{00000000-0005-0000-0000-0000240F0000}"/>
    <cellStyle name="20% - Accent2 8 3 3 4" xfId="13323" xr:uid="{00000000-0005-0000-0000-0000250F0000}"/>
    <cellStyle name="20% - Accent2 8 3 3 5" xfId="17274" xr:uid="{00000000-0005-0000-0000-0000260F0000}"/>
    <cellStyle name="20% - Accent2 8 3 4" xfId="1975" xr:uid="{00000000-0005-0000-0000-0000270F0000}"/>
    <cellStyle name="20% - Accent2 8 3 4 2" xfId="13326" xr:uid="{00000000-0005-0000-0000-0000280F0000}"/>
    <cellStyle name="20% - Accent2 8 3 4 3" xfId="17277" xr:uid="{00000000-0005-0000-0000-0000290F0000}"/>
    <cellStyle name="20% - Accent2 8 3 5" xfId="1976" xr:uid="{00000000-0005-0000-0000-00002A0F0000}"/>
    <cellStyle name="20% - Accent2 8 3 5 2" xfId="13327" xr:uid="{00000000-0005-0000-0000-00002B0F0000}"/>
    <cellStyle name="20% - Accent2 8 3 5 3" xfId="17278" xr:uid="{00000000-0005-0000-0000-00002C0F0000}"/>
    <cellStyle name="20% - Accent2 8 3 6" xfId="13319" xr:uid="{00000000-0005-0000-0000-00002D0F0000}"/>
    <cellStyle name="20% - Accent2 8 3 7" xfId="17270" xr:uid="{00000000-0005-0000-0000-00002E0F0000}"/>
    <cellStyle name="20% - Accent2 8 3_Volatility" xfId="1977" xr:uid="{00000000-0005-0000-0000-00002F0F0000}"/>
    <cellStyle name="20% - Accent2 8 4" xfId="1978" xr:uid="{00000000-0005-0000-0000-0000300F0000}"/>
    <cellStyle name="20% - Accent2 8 4 2" xfId="1979" xr:uid="{00000000-0005-0000-0000-0000310F0000}"/>
    <cellStyle name="20% - Accent2 8 4 2 2" xfId="13329" xr:uid="{00000000-0005-0000-0000-0000320F0000}"/>
    <cellStyle name="20% - Accent2 8 4 2 3" xfId="17280" xr:uid="{00000000-0005-0000-0000-0000330F0000}"/>
    <cellStyle name="20% - Accent2 8 4 3" xfId="1980" xr:uid="{00000000-0005-0000-0000-0000340F0000}"/>
    <cellStyle name="20% - Accent2 8 4 3 2" xfId="13330" xr:uid="{00000000-0005-0000-0000-0000350F0000}"/>
    <cellStyle name="20% - Accent2 8 4 3 3" xfId="17281" xr:uid="{00000000-0005-0000-0000-0000360F0000}"/>
    <cellStyle name="20% - Accent2 8 4 4" xfId="13328" xr:uid="{00000000-0005-0000-0000-0000370F0000}"/>
    <cellStyle name="20% - Accent2 8 4 5" xfId="17279" xr:uid="{00000000-0005-0000-0000-0000380F0000}"/>
    <cellStyle name="20% - Accent2 8 5" xfId="1981" xr:uid="{00000000-0005-0000-0000-0000390F0000}"/>
    <cellStyle name="20% - Accent2 8 5 2" xfId="1982" xr:uid="{00000000-0005-0000-0000-00003A0F0000}"/>
    <cellStyle name="20% - Accent2 8 5 2 2" xfId="13332" xr:uid="{00000000-0005-0000-0000-00003B0F0000}"/>
    <cellStyle name="20% - Accent2 8 5 2 3" xfId="17283" xr:uid="{00000000-0005-0000-0000-00003C0F0000}"/>
    <cellStyle name="20% - Accent2 8 5 3" xfId="1983" xr:uid="{00000000-0005-0000-0000-00003D0F0000}"/>
    <cellStyle name="20% - Accent2 8 5 3 2" xfId="13333" xr:uid="{00000000-0005-0000-0000-00003E0F0000}"/>
    <cellStyle name="20% - Accent2 8 5 3 3" xfId="17284" xr:uid="{00000000-0005-0000-0000-00003F0F0000}"/>
    <cellStyle name="20% - Accent2 8 5 4" xfId="13331" xr:uid="{00000000-0005-0000-0000-0000400F0000}"/>
    <cellStyle name="20% - Accent2 8 5 5" xfId="17282" xr:uid="{00000000-0005-0000-0000-0000410F0000}"/>
    <cellStyle name="20% - Accent2 8 6" xfId="1984" xr:uid="{00000000-0005-0000-0000-0000420F0000}"/>
    <cellStyle name="20% - Accent2 8 6 2" xfId="1985" xr:uid="{00000000-0005-0000-0000-0000430F0000}"/>
    <cellStyle name="20% - Accent2 8 6 2 2" xfId="13335" xr:uid="{00000000-0005-0000-0000-0000440F0000}"/>
    <cellStyle name="20% - Accent2 8 6 2 3" xfId="17286" xr:uid="{00000000-0005-0000-0000-0000450F0000}"/>
    <cellStyle name="20% - Accent2 8 6 3" xfId="1986" xr:uid="{00000000-0005-0000-0000-0000460F0000}"/>
    <cellStyle name="20% - Accent2 8 6 3 2" xfId="13336" xr:uid="{00000000-0005-0000-0000-0000470F0000}"/>
    <cellStyle name="20% - Accent2 8 6 3 3" xfId="17287" xr:uid="{00000000-0005-0000-0000-0000480F0000}"/>
    <cellStyle name="20% - Accent2 8 6 4" xfId="13334" xr:uid="{00000000-0005-0000-0000-0000490F0000}"/>
    <cellStyle name="20% - Accent2 8 6 5" xfId="17285" xr:uid="{00000000-0005-0000-0000-00004A0F0000}"/>
    <cellStyle name="20% - Accent2 8 7" xfId="1987" xr:uid="{00000000-0005-0000-0000-00004B0F0000}"/>
    <cellStyle name="20% - Accent2 8 7 2" xfId="13337" xr:uid="{00000000-0005-0000-0000-00004C0F0000}"/>
    <cellStyle name="20% - Accent2 8 7 3" xfId="17288" xr:uid="{00000000-0005-0000-0000-00004D0F0000}"/>
    <cellStyle name="20% - Accent2 8 8" xfId="1988" xr:uid="{00000000-0005-0000-0000-00004E0F0000}"/>
    <cellStyle name="20% - Accent2 8 8 2" xfId="13338" xr:uid="{00000000-0005-0000-0000-00004F0F0000}"/>
    <cellStyle name="20% - Accent2 8 8 3" xfId="17289" xr:uid="{00000000-0005-0000-0000-0000500F0000}"/>
    <cellStyle name="20% - Accent2 8 9" xfId="13306" xr:uid="{00000000-0005-0000-0000-0000510F0000}"/>
    <cellStyle name="20% - Accent2 8_Volatility" xfId="1989" xr:uid="{00000000-0005-0000-0000-0000520F0000}"/>
    <cellStyle name="20% - Accent2 9" xfId="1990" xr:uid="{00000000-0005-0000-0000-0000530F0000}"/>
    <cellStyle name="20% - Accent2 9 10" xfId="17290" xr:uid="{00000000-0005-0000-0000-0000540F0000}"/>
    <cellStyle name="20% - Accent2 9 2" xfId="1991" xr:uid="{00000000-0005-0000-0000-0000550F0000}"/>
    <cellStyle name="20% - Accent2 9 2 2" xfId="1992" xr:uid="{00000000-0005-0000-0000-0000560F0000}"/>
    <cellStyle name="20% - Accent2 9 2 2 2" xfId="1993" xr:uid="{00000000-0005-0000-0000-0000570F0000}"/>
    <cellStyle name="20% - Accent2 9 2 2 2 2" xfId="13342" xr:uid="{00000000-0005-0000-0000-0000580F0000}"/>
    <cellStyle name="20% - Accent2 9 2 2 2 3" xfId="17293" xr:uid="{00000000-0005-0000-0000-0000590F0000}"/>
    <cellStyle name="20% - Accent2 9 2 2 3" xfId="1994" xr:uid="{00000000-0005-0000-0000-00005A0F0000}"/>
    <cellStyle name="20% - Accent2 9 2 2 3 2" xfId="13343" xr:uid="{00000000-0005-0000-0000-00005B0F0000}"/>
    <cellStyle name="20% - Accent2 9 2 2 3 3" xfId="17294" xr:uid="{00000000-0005-0000-0000-00005C0F0000}"/>
    <cellStyle name="20% - Accent2 9 2 2 4" xfId="13341" xr:uid="{00000000-0005-0000-0000-00005D0F0000}"/>
    <cellStyle name="20% - Accent2 9 2 2 5" xfId="17292" xr:uid="{00000000-0005-0000-0000-00005E0F0000}"/>
    <cellStyle name="20% - Accent2 9 2 3" xfId="1995" xr:uid="{00000000-0005-0000-0000-00005F0F0000}"/>
    <cellStyle name="20% - Accent2 9 2 3 2" xfId="1996" xr:uid="{00000000-0005-0000-0000-0000600F0000}"/>
    <cellStyle name="20% - Accent2 9 2 3 2 2" xfId="13345" xr:uid="{00000000-0005-0000-0000-0000610F0000}"/>
    <cellStyle name="20% - Accent2 9 2 3 2 3" xfId="17296" xr:uid="{00000000-0005-0000-0000-0000620F0000}"/>
    <cellStyle name="20% - Accent2 9 2 3 3" xfId="1997" xr:uid="{00000000-0005-0000-0000-0000630F0000}"/>
    <cellStyle name="20% - Accent2 9 2 3 3 2" xfId="13346" xr:uid="{00000000-0005-0000-0000-0000640F0000}"/>
    <cellStyle name="20% - Accent2 9 2 3 3 3" xfId="17297" xr:uid="{00000000-0005-0000-0000-0000650F0000}"/>
    <cellStyle name="20% - Accent2 9 2 3 4" xfId="13344" xr:uid="{00000000-0005-0000-0000-0000660F0000}"/>
    <cellStyle name="20% - Accent2 9 2 3 5" xfId="17295" xr:uid="{00000000-0005-0000-0000-0000670F0000}"/>
    <cellStyle name="20% - Accent2 9 2 4" xfId="1998" xr:uid="{00000000-0005-0000-0000-0000680F0000}"/>
    <cellStyle name="20% - Accent2 9 2 4 2" xfId="1999" xr:uid="{00000000-0005-0000-0000-0000690F0000}"/>
    <cellStyle name="20% - Accent2 9 2 4 2 2" xfId="13348" xr:uid="{00000000-0005-0000-0000-00006A0F0000}"/>
    <cellStyle name="20% - Accent2 9 2 4 2 3" xfId="17299" xr:uid="{00000000-0005-0000-0000-00006B0F0000}"/>
    <cellStyle name="20% - Accent2 9 2 4 3" xfId="2000" xr:uid="{00000000-0005-0000-0000-00006C0F0000}"/>
    <cellStyle name="20% - Accent2 9 2 4 3 2" xfId="13349" xr:uid="{00000000-0005-0000-0000-00006D0F0000}"/>
    <cellStyle name="20% - Accent2 9 2 4 3 3" xfId="17300" xr:uid="{00000000-0005-0000-0000-00006E0F0000}"/>
    <cellStyle name="20% - Accent2 9 2 4 4" xfId="13347" xr:uid="{00000000-0005-0000-0000-00006F0F0000}"/>
    <cellStyle name="20% - Accent2 9 2 4 5" xfId="17298" xr:uid="{00000000-0005-0000-0000-0000700F0000}"/>
    <cellStyle name="20% - Accent2 9 2 5" xfId="2001" xr:uid="{00000000-0005-0000-0000-0000710F0000}"/>
    <cellStyle name="20% - Accent2 9 2 5 2" xfId="13350" xr:uid="{00000000-0005-0000-0000-0000720F0000}"/>
    <cellStyle name="20% - Accent2 9 2 5 3" xfId="17301" xr:uid="{00000000-0005-0000-0000-0000730F0000}"/>
    <cellStyle name="20% - Accent2 9 2 6" xfId="2002" xr:uid="{00000000-0005-0000-0000-0000740F0000}"/>
    <cellStyle name="20% - Accent2 9 2 6 2" xfId="13351" xr:uid="{00000000-0005-0000-0000-0000750F0000}"/>
    <cellStyle name="20% - Accent2 9 2 6 3" xfId="17302" xr:uid="{00000000-0005-0000-0000-0000760F0000}"/>
    <cellStyle name="20% - Accent2 9 2 7" xfId="13340" xr:uid="{00000000-0005-0000-0000-0000770F0000}"/>
    <cellStyle name="20% - Accent2 9 2 8" xfId="17291" xr:uid="{00000000-0005-0000-0000-0000780F0000}"/>
    <cellStyle name="20% - Accent2 9 2_Volatility" xfId="2003" xr:uid="{00000000-0005-0000-0000-0000790F0000}"/>
    <cellStyle name="20% - Accent2 9 3" xfId="2004" xr:uid="{00000000-0005-0000-0000-00007A0F0000}"/>
    <cellStyle name="20% - Accent2 9 3 2" xfId="2005" xr:uid="{00000000-0005-0000-0000-00007B0F0000}"/>
    <cellStyle name="20% - Accent2 9 3 2 2" xfId="2006" xr:uid="{00000000-0005-0000-0000-00007C0F0000}"/>
    <cellStyle name="20% - Accent2 9 3 2 2 2" xfId="13354" xr:uid="{00000000-0005-0000-0000-00007D0F0000}"/>
    <cellStyle name="20% - Accent2 9 3 2 2 3" xfId="17305" xr:uid="{00000000-0005-0000-0000-00007E0F0000}"/>
    <cellStyle name="20% - Accent2 9 3 2 3" xfId="2007" xr:uid="{00000000-0005-0000-0000-00007F0F0000}"/>
    <cellStyle name="20% - Accent2 9 3 2 3 2" xfId="13355" xr:uid="{00000000-0005-0000-0000-0000800F0000}"/>
    <cellStyle name="20% - Accent2 9 3 2 3 3" xfId="17306" xr:uid="{00000000-0005-0000-0000-0000810F0000}"/>
    <cellStyle name="20% - Accent2 9 3 2 4" xfId="13353" xr:uid="{00000000-0005-0000-0000-0000820F0000}"/>
    <cellStyle name="20% - Accent2 9 3 2 5" xfId="17304" xr:uid="{00000000-0005-0000-0000-0000830F0000}"/>
    <cellStyle name="20% - Accent2 9 3 3" xfId="2008" xr:uid="{00000000-0005-0000-0000-0000840F0000}"/>
    <cellStyle name="20% - Accent2 9 3 3 2" xfId="2009" xr:uid="{00000000-0005-0000-0000-0000850F0000}"/>
    <cellStyle name="20% - Accent2 9 3 3 2 2" xfId="13357" xr:uid="{00000000-0005-0000-0000-0000860F0000}"/>
    <cellStyle name="20% - Accent2 9 3 3 2 3" xfId="17308" xr:uid="{00000000-0005-0000-0000-0000870F0000}"/>
    <cellStyle name="20% - Accent2 9 3 3 3" xfId="2010" xr:uid="{00000000-0005-0000-0000-0000880F0000}"/>
    <cellStyle name="20% - Accent2 9 3 3 3 2" xfId="13358" xr:uid="{00000000-0005-0000-0000-0000890F0000}"/>
    <cellStyle name="20% - Accent2 9 3 3 3 3" xfId="17309" xr:uid="{00000000-0005-0000-0000-00008A0F0000}"/>
    <cellStyle name="20% - Accent2 9 3 3 4" xfId="13356" xr:uid="{00000000-0005-0000-0000-00008B0F0000}"/>
    <cellStyle name="20% - Accent2 9 3 3 5" xfId="17307" xr:uid="{00000000-0005-0000-0000-00008C0F0000}"/>
    <cellStyle name="20% - Accent2 9 3 4" xfId="2011" xr:uid="{00000000-0005-0000-0000-00008D0F0000}"/>
    <cellStyle name="20% - Accent2 9 3 4 2" xfId="13359" xr:uid="{00000000-0005-0000-0000-00008E0F0000}"/>
    <cellStyle name="20% - Accent2 9 3 4 3" xfId="17310" xr:uid="{00000000-0005-0000-0000-00008F0F0000}"/>
    <cellStyle name="20% - Accent2 9 3 5" xfId="2012" xr:uid="{00000000-0005-0000-0000-0000900F0000}"/>
    <cellStyle name="20% - Accent2 9 3 5 2" xfId="13360" xr:uid="{00000000-0005-0000-0000-0000910F0000}"/>
    <cellStyle name="20% - Accent2 9 3 5 3" xfId="17311" xr:uid="{00000000-0005-0000-0000-0000920F0000}"/>
    <cellStyle name="20% - Accent2 9 3 6" xfId="13352" xr:uid="{00000000-0005-0000-0000-0000930F0000}"/>
    <cellStyle name="20% - Accent2 9 3 7" xfId="17303" xr:uid="{00000000-0005-0000-0000-0000940F0000}"/>
    <cellStyle name="20% - Accent2 9 3_Volatility" xfId="2013" xr:uid="{00000000-0005-0000-0000-0000950F0000}"/>
    <cellStyle name="20% - Accent2 9 4" xfId="2014" xr:uid="{00000000-0005-0000-0000-0000960F0000}"/>
    <cellStyle name="20% - Accent2 9 4 2" xfId="2015" xr:uid="{00000000-0005-0000-0000-0000970F0000}"/>
    <cellStyle name="20% - Accent2 9 4 2 2" xfId="13362" xr:uid="{00000000-0005-0000-0000-0000980F0000}"/>
    <cellStyle name="20% - Accent2 9 4 2 3" xfId="17313" xr:uid="{00000000-0005-0000-0000-0000990F0000}"/>
    <cellStyle name="20% - Accent2 9 4 3" xfId="2016" xr:uid="{00000000-0005-0000-0000-00009A0F0000}"/>
    <cellStyle name="20% - Accent2 9 4 3 2" xfId="13363" xr:uid="{00000000-0005-0000-0000-00009B0F0000}"/>
    <cellStyle name="20% - Accent2 9 4 3 3" xfId="17314" xr:uid="{00000000-0005-0000-0000-00009C0F0000}"/>
    <cellStyle name="20% - Accent2 9 4 4" xfId="13361" xr:uid="{00000000-0005-0000-0000-00009D0F0000}"/>
    <cellStyle name="20% - Accent2 9 4 5" xfId="17312" xr:uid="{00000000-0005-0000-0000-00009E0F0000}"/>
    <cellStyle name="20% - Accent2 9 5" xfId="2017" xr:uid="{00000000-0005-0000-0000-00009F0F0000}"/>
    <cellStyle name="20% - Accent2 9 5 2" xfId="2018" xr:uid="{00000000-0005-0000-0000-0000A00F0000}"/>
    <cellStyle name="20% - Accent2 9 5 2 2" xfId="13365" xr:uid="{00000000-0005-0000-0000-0000A10F0000}"/>
    <cellStyle name="20% - Accent2 9 5 2 3" xfId="17316" xr:uid="{00000000-0005-0000-0000-0000A20F0000}"/>
    <cellStyle name="20% - Accent2 9 5 3" xfId="2019" xr:uid="{00000000-0005-0000-0000-0000A30F0000}"/>
    <cellStyle name="20% - Accent2 9 5 3 2" xfId="13366" xr:uid="{00000000-0005-0000-0000-0000A40F0000}"/>
    <cellStyle name="20% - Accent2 9 5 3 3" xfId="17317" xr:uid="{00000000-0005-0000-0000-0000A50F0000}"/>
    <cellStyle name="20% - Accent2 9 5 4" xfId="13364" xr:uid="{00000000-0005-0000-0000-0000A60F0000}"/>
    <cellStyle name="20% - Accent2 9 5 5" xfId="17315" xr:uid="{00000000-0005-0000-0000-0000A70F0000}"/>
    <cellStyle name="20% - Accent2 9 6" xfId="2020" xr:uid="{00000000-0005-0000-0000-0000A80F0000}"/>
    <cellStyle name="20% - Accent2 9 6 2" xfId="2021" xr:uid="{00000000-0005-0000-0000-0000A90F0000}"/>
    <cellStyle name="20% - Accent2 9 6 2 2" xfId="13368" xr:uid="{00000000-0005-0000-0000-0000AA0F0000}"/>
    <cellStyle name="20% - Accent2 9 6 2 3" xfId="17319" xr:uid="{00000000-0005-0000-0000-0000AB0F0000}"/>
    <cellStyle name="20% - Accent2 9 6 3" xfId="2022" xr:uid="{00000000-0005-0000-0000-0000AC0F0000}"/>
    <cellStyle name="20% - Accent2 9 6 3 2" xfId="13369" xr:uid="{00000000-0005-0000-0000-0000AD0F0000}"/>
    <cellStyle name="20% - Accent2 9 6 3 3" xfId="17320" xr:uid="{00000000-0005-0000-0000-0000AE0F0000}"/>
    <cellStyle name="20% - Accent2 9 6 4" xfId="13367" xr:uid="{00000000-0005-0000-0000-0000AF0F0000}"/>
    <cellStyle name="20% - Accent2 9 6 5" xfId="17318" xr:uid="{00000000-0005-0000-0000-0000B00F0000}"/>
    <cellStyle name="20% - Accent2 9 7" xfId="2023" xr:uid="{00000000-0005-0000-0000-0000B10F0000}"/>
    <cellStyle name="20% - Accent2 9 7 2" xfId="13370" xr:uid="{00000000-0005-0000-0000-0000B20F0000}"/>
    <cellStyle name="20% - Accent2 9 7 3" xfId="17321" xr:uid="{00000000-0005-0000-0000-0000B30F0000}"/>
    <cellStyle name="20% - Accent2 9 8" xfId="2024" xr:uid="{00000000-0005-0000-0000-0000B40F0000}"/>
    <cellStyle name="20% - Accent2 9 8 2" xfId="13371" xr:uid="{00000000-0005-0000-0000-0000B50F0000}"/>
    <cellStyle name="20% - Accent2 9 8 3" xfId="17322" xr:uid="{00000000-0005-0000-0000-0000B60F0000}"/>
    <cellStyle name="20% - Accent2 9 9" xfId="13339" xr:uid="{00000000-0005-0000-0000-0000B70F0000}"/>
    <cellStyle name="20% - Accent2 9_Volatility" xfId="2025" xr:uid="{00000000-0005-0000-0000-0000B80F0000}"/>
    <cellStyle name="20% - Accent3 10" xfId="2026" xr:uid="{00000000-0005-0000-0000-0000B90F0000}"/>
    <cellStyle name="20% - Accent3 10 10" xfId="17323" xr:uid="{00000000-0005-0000-0000-0000BA0F0000}"/>
    <cellStyle name="20% - Accent3 10 2" xfId="2027" xr:uid="{00000000-0005-0000-0000-0000BB0F0000}"/>
    <cellStyle name="20% - Accent3 10 2 2" xfId="2028" xr:uid="{00000000-0005-0000-0000-0000BC0F0000}"/>
    <cellStyle name="20% - Accent3 10 2 2 2" xfId="2029" xr:uid="{00000000-0005-0000-0000-0000BD0F0000}"/>
    <cellStyle name="20% - Accent3 10 2 2 2 2" xfId="13375" xr:uid="{00000000-0005-0000-0000-0000BE0F0000}"/>
    <cellStyle name="20% - Accent3 10 2 2 2 3" xfId="17326" xr:uid="{00000000-0005-0000-0000-0000BF0F0000}"/>
    <cellStyle name="20% - Accent3 10 2 2 3" xfId="2030" xr:uid="{00000000-0005-0000-0000-0000C00F0000}"/>
    <cellStyle name="20% - Accent3 10 2 2 3 2" xfId="13376" xr:uid="{00000000-0005-0000-0000-0000C10F0000}"/>
    <cellStyle name="20% - Accent3 10 2 2 3 3" xfId="17327" xr:uid="{00000000-0005-0000-0000-0000C20F0000}"/>
    <cellStyle name="20% - Accent3 10 2 2 4" xfId="13374" xr:uid="{00000000-0005-0000-0000-0000C30F0000}"/>
    <cellStyle name="20% - Accent3 10 2 2 5" xfId="17325" xr:uid="{00000000-0005-0000-0000-0000C40F0000}"/>
    <cellStyle name="20% - Accent3 10 2 3" xfId="2031" xr:uid="{00000000-0005-0000-0000-0000C50F0000}"/>
    <cellStyle name="20% - Accent3 10 2 3 2" xfId="2032" xr:uid="{00000000-0005-0000-0000-0000C60F0000}"/>
    <cellStyle name="20% - Accent3 10 2 3 2 2" xfId="13378" xr:uid="{00000000-0005-0000-0000-0000C70F0000}"/>
    <cellStyle name="20% - Accent3 10 2 3 2 3" xfId="17329" xr:uid="{00000000-0005-0000-0000-0000C80F0000}"/>
    <cellStyle name="20% - Accent3 10 2 3 3" xfId="2033" xr:uid="{00000000-0005-0000-0000-0000C90F0000}"/>
    <cellStyle name="20% - Accent3 10 2 3 3 2" xfId="13379" xr:uid="{00000000-0005-0000-0000-0000CA0F0000}"/>
    <cellStyle name="20% - Accent3 10 2 3 3 3" xfId="17330" xr:uid="{00000000-0005-0000-0000-0000CB0F0000}"/>
    <cellStyle name="20% - Accent3 10 2 3 4" xfId="13377" xr:uid="{00000000-0005-0000-0000-0000CC0F0000}"/>
    <cellStyle name="20% - Accent3 10 2 3 5" xfId="17328" xr:uid="{00000000-0005-0000-0000-0000CD0F0000}"/>
    <cellStyle name="20% - Accent3 10 2 4" xfId="2034" xr:uid="{00000000-0005-0000-0000-0000CE0F0000}"/>
    <cellStyle name="20% - Accent3 10 2 4 2" xfId="2035" xr:uid="{00000000-0005-0000-0000-0000CF0F0000}"/>
    <cellStyle name="20% - Accent3 10 2 4 2 2" xfId="13381" xr:uid="{00000000-0005-0000-0000-0000D00F0000}"/>
    <cellStyle name="20% - Accent3 10 2 4 2 3" xfId="17332" xr:uid="{00000000-0005-0000-0000-0000D10F0000}"/>
    <cellStyle name="20% - Accent3 10 2 4 3" xfId="2036" xr:uid="{00000000-0005-0000-0000-0000D20F0000}"/>
    <cellStyle name="20% - Accent3 10 2 4 3 2" xfId="13382" xr:uid="{00000000-0005-0000-0000-0000D30F0000}"/>
    <cellStyle name="20% - Accent3 10 2 4 3 3" xfId="17333" xr:uid="{00000000-0005-0000-0000-0000D40F0000}"/>
    <cellStyle name="20% - Accent3 10 2 4 4" xfId="13380" xr:uid="{00000000-0005-0000-0000-0000D50F0000}"/>
    <cellStyle name="20% - Accent3 10 2 4 5" xfId="17331" xr:uid="{00000000-0005-0000-0000-0000D60F0000}"/>
    <cellStyle name="20% - Accent3 10 2 5" xfId="2037" xr:uid="{00000000-0005-0000-0000-0000D70F0000}"/>
    <cellStyle name="20% - Accent3 10 2 5 2" xfId="13383" xr:uid="{00000000-0005-0000-0000-0000D80F0000}"/>
    <cellStyle name="20% - Accent3 10 2 5 3" xfId="17334" xr:uid="{00000000-0005-0000-0000-0000D90F0000}"/>
    <cellStyle name="20% - Accent3 10 2 6" xfId="2038" xr:uid="{00000000-0005-0000-0000-0000DA0F0000}"/>
    <cellStyle name="20% - Accent3 10 2 6 2" xfId="13384" xr:uid="{00000000-0005-0000-0000-0000DB0F0000}"/>
    <cellStyle name="20% - Accent3 10 2 6 3" xfId="17335" xr:uid="{00000000-0005-0000-0000-0000DC0F0000}"/>
    <cellStyle name="20% - Accent3 10 2 7" xfId="13373" xr:uid="{00000000-0005-0000-0000-0000DD0F0000}"/>
    <cellStyle name="20% - Accent3 10 2 8" xfId="17324" xr:uid="{00000000-0005-0000-0000-0000DE0F0000}"/>
    <cellStyle name="20% - Accent3 10 2_Volatility" xfId="2039" xr:uid="{00000000-0005-0000-0000-0000DF0F0000}"/>
    <cellStyle name="20% - Accent3 10 3" xfId="2040" xr:uid="{00000000-0005-0000-0000-0000E00F0000}"/>
    <cellStyle name="20% - Accent3 10 3 2" xfId="2041" xr:uid="{00000000-0005-0000-0000-0000E10F0000}"/>
    <cellStyle name="20% - Accent3 10 3 2 2" xfId="2042" xr:uid="{00000000-0005-0000-0000-0000E20F0000}"/>
    <cellStyle name="20% - Accent3 10 3 2 2 2" xfId="13387" xr:uid="{00000000-0005-0000-0000-0000E30F0000}"/>
    <cellStyle name="20% - Accent3 10 3 2 2 3" xfId="17338" xr:uid="{00000000-0005-0000-0000-0000E40F0000}"/>
    <cellStyle name="20% - Accent3 10 3 2 3" xfId="2043" xr:uid="{00000000-0005-0000-0000-0000E50F0000}"/>
    <cellStyle name="20% - Accent3 10 3 2 3 2" xfId="13388" xr:uid="{00000000-0005-0000-0000-0000E60F0000}"/>
    <cellStyle name="20% - Accent3 10 3 2 3 3" xfId="17339" xr:uid="{00000000-0005-0000-0000-0000E70F0000}"/>
    <cellStyle name="20% - Accent3 10 3 2 4" xfId="13386" xr:uid="{00000000-0005-0000-0000-0000E80F0000}"/>
    <cellStyle name="20% - Accent3 10 3 2 5" xfId="17337" xr:uid="{00000000-0005-0000-0000-0000E90F0000}"/>
    <cellStyle name="20% - Accent3 10 3 3" xfId="2044" xr:uid="{00000000-0005-0000-0000-0000EA0F0000}"/>
    <cellStyle name="20% - Accent3 10 3 3 2" xfId="2045" xr:uid="{00000000-0005-0000-0000-0000EB0F0000}"/>
    <cellStyle name="20% - Accent3 10 3 3 2 2" xfId="13390" xr:uid="{00000000-0005-0000-0000-0000EC0F0000}"/>
    <cellStyle name="20% - Accent3 10 3 3 2 3" xfId="17341" xr:uid="{00000000-0005-0000-0000-0000ED0F0000}"/>
    <cellStyle name="20% - Accent3 10 3 3 3" xfId="2046" xr:uid="{00000000-0005-0000-0000-0000EE0F0000}"/>
    <cellStyle name="20% - Accent3 10 3 3 3 2" xfId="13391" xr:uid="{00000000-0005-0000-0000-0000EF0F0000}"/>
    <cellStyle name="20% - Accent3 10 3 3 3 3" xfId="17342" xr:uid="{00000000-0005-0000-0000-0000F00F0000}"/>
    <cellStyle name="20% - Accent3 10 3 3 4" xfId="13389" xr:uid="{00000000-0005-0000-0000-0000F10F0000}"/>
    <cellStyle name="20% - Accent3 10 3 3 5" xfId="17340" xr:uid="{00000000-0005-0000-0000-0000F20F0000}"/>
    <cellStyle name="20% - Accent3 10 3 4" xfId="2047" xr:uid="{00000000-0005-0000-0000-0000F30F0000}"/>
    <cellStyle name="20% - Accent3 10 3 4 2" xfId="13392" xr:uid="{00000000-0005-0000-0000-0000F40F0000}"/>
    <cellStyle name="20% - Accent3 10 3 4 3" xfId="17343" xr:uid="{00000000-0005-0000-0000-0000F50F0000}"/>
    <cellStyle name="20% - Accent3 10 3 5" xfId="2048" xr:uid="{00000000-0005-0000-0000-0000F60F0000}"/>
    <cellStyle name="20% - Accent3 10 3 5 2" xfId="13393" xr:uid="{00000000-0005-0000-0000-0000F70F0000}"/>
    <cellStyle name="20% - Accent3 10 3 5 3" xfId="17344" xr:uid="{00000000-0005-0000-0000-0000F80F0000}"/>
    <cellStyle name="20% - Accent3 10 3 6" xfId="13385" xr:uid="{00000000-0005-0000-0000-0000F90F0000}"/>
    <cellStyle name="20% - Accent3 10 3 7" xfId="17336" xr:uid="{00000000-0005-0000-0000-0000FA0F0000}"/>
    <cellStyle name="20% - Accent3 10 3_Volatility" xfId="2049" xr:uid="{00000000-0005-0000-0000-0000FB0F0000}"/>
    <cellStyle name="20% - Accent3 10 4" xfId="2050" xr:uid="{00000000-0005-0000-0000-0000FC0F0000}"/>
    <cellStyle name="20% - Accent3 10 4 2" xfId="2051" xr:uid="{00000000-0005-0000-0000-0000FD0F0000}"/>
    <cellStyle name="20% - Accent3 10 4 2 2" xfId="13395" xr:uid="{00000000-0005-0000-0000-0000FE0F0000}"/>
    <cellStyle name="20% - Accent3 10 4 2 3" xfId="17346" xr:uid="{00000000-0005-0000-0000-0000FF0F0000}"/>
    <cellStyle name="20% - Accent3 10 4 3" xfId="2052" xr:uid="{00000000-0005-0000-0000-000000100000}"/>
    <cellStyle name="20% - Accent3 10 4 3 2" xfId="13396" xr:uid="{00000000-0005-0000-0000-000001100000}"/>
    <cellStyle name="20% - Accent3 10 4 3 3" xfId="17347" xr:uid="{00000000-0005-0000-0000-000002100000}"/>
    <cellStyle name="20% - Accent3 10 4 4" xfId="13394" xr:uid="{00000000-0005-0000-0000-000003100000}"/>
    <cellStyle name="20% - Accent3 10 4 5" xfId="17345" xr:uid="{00000000-0005-0000-0000-000004100000}"/>
    <cellStyle name="20% - Accent3 10 5" xfId="2053" xr:uid="{00000000-0005-0000-0000-000005100000}"/>
    <cellStyle name="20% - Accent3 10 5 2" xfId="2054" xr:uid="{00000000-0005-0000-0000-000006100000}"/>
    <cellStyle name="20% - Accent3 10 5 2 2" xfId="13398" xr:uid="{00000000-0005-0000-0000-000007100000}"/>
    <cellStyle name="20% - Accent3 10 5 2 3" xfId="17349" xr:uid="{00000000-0005-0000-0000-000008100000}"/>
    <cellStyle name="20% - Accent3 10 5 3" xfId="2055" xr:uid="{00000000-0005-0000-0000-000009100000}"/>
    <cellStyle name="20% - Accent3 10 5 3 2" xfId="13399" xr:uid="{00000000-0005-0000-0000-00000A100000}"/>
    <cellStyle name="20% - Accent3 10 5 3 3" xfId="17350" xr:uid="{00000000-0005-0000-0000-00000B100000}"/>
    <cellStyle name="20% - Accent3 10 5 4" xfId="13397" xr:uid="{00000000-0005-0000-0000-00000C100000}"/>
    <cellStyle name="20% - Accent3 10 5 5" xfId="17348" xr:uid="{00000000-0005-0000-0000-00000D100000}"/>
    <cellStyle name="20% - Accent3 10 6" xfId="2056" xr:uid="{00000000-0005-0000-0000-00000E100000}"/>
    <cellStyle name="20% - Accent3 10 6 2" xfId="2057" xr:uid="{00000000-0005-0000-0000-00000F100000}"/>
    <cellStyle name="20% - Accent3 10 6 2 2" xfId="13401" xr:uid="{00000000-0005-0000-0000-000010100000}"/>
    <cellStyle name="20% - Accent3 10 6 2 3" xfId="17352" xr:uid="{00000000-0005-0000-0000-000011100000}"/>
    <cellStyle name="20% - Accent3 10 6 3" xfId="2058" xr:uid="{00000000-0005-0000-0000-000012100000}"/>
    <cellStyle name="20% - Accent3 10 6 3 2" xfId="13402" xr:uid="{00000000-0005-0000-0000-000013100000}"/>
    <cellStyle name="20% - Accent3 10 6 3 3" xfId="17353" xr:uid="{00000000-0005-0000-0000-000014100000}"/>
    <cellStyle name="20% - Accent3 10 6 4" xfId="13400" xr:uid="{00000000-0005-0000-0000-000015100000}"/>
    <cellStyle name="20% - Accent3 10 6 5" xfId="17351" xr:uid="{00000000-0005-0000-0000-000016100000}"/>
    <cellStyle name="20% - Accent3 10 7" xfId="2059" xr:uid="{00000000-0005-0000-0000-000017100000}"/>
    <cellStyle name="20% - Accent3 10 7 2" xfId="13403" xr:uid="{00000000-0005-0000-0000-000018100000}"/>
    <cellStyle name="20% - Accent3 10 7 3" xfId="17354" xr:uid="{00000000-0005-0000-0000-000019100000}"/>
    <cellStyle name="20% - Accent3 10 8" xfId="2060" xr:uid="{00000000-0005-0000-0000-00001A100000}"/>
    <cellStyle name="20% - Accent3 10 8 2" xfId="13404" xr:uid="{00000000-0005-0000-0000-00001B100000}"/>
    <cellStyle name="20% - Accent3 10 8 3" xfId="17355" xr:uid="{00000000-0005-0000-0000-00001C100000}"/>
    <cellStyle name="20% - Accent3 10 9" xfId="13372" xr:uid="{00000000-0005-0000-0000-00001D100000}"/>
    <cellStyle name="20% - Accent3 10_Volatility" xfId="2061" xr:uid="{00000000-0005-0000-0000-00001E100000}"/>
    <cellStyle name="20% - Accent3 11" xfId="2062" xr:uid="{00000000-0005-0000-0000-00001F100000}"/>
    <cellStyle name="20% - Accent3 11 10" xfId="17356" xr:uid="{00000000-0005-0000-0000-000020100000}"/>
    <cellStyle name="20% - Accent3 11 2" xfId="2063" xr:uid="{00000000-0005-0000-0000-000021100000}"/>
    <cellStyle name="20% - Accent3 11 2 2" xfId="2064" xr:uid="{00000000-0005-0000-0000-000022100000}"/>
    <cellStyle name="20% - Accent3 11 2 2 2" xfId="2065" xr:uid="{00000000-0005-0000-0000-000023100000}"/>
    <cellStyle name="20% - Accent3 11 2 2 2 2" xfId="13408" xr:uid="{00000000-0005-0000-0000-000024100000}"/>
    <cellStyle name="20% - Accent3 11 2 2 2 3" xfId="17359" xr:uid="{00000000-0005-0000-0000-000025100000}"/>
    <cellStyle name="20% - Accent3 11 2 2 3" xfId="2066" xr:uid="{00000000-0005-0000-0000-000026100000}"/>
    <cellStyle name="20% - Accent3 11 2 2 3 2" xfId="13409" xr:uid="{00000000-0005-0000-0000-000027100000}"/>
    <cellStyle name="20% - Accent3 11 2 2 3 3" xfId="17360" xr:uid="{00000000-0005-0000-0000-000028100000}"/>
    <cellStyle name="20% - Accent3 11 2 2 4" xfId="13407" xr:uid="{00000000-0005-0000-0000-000029100000}"/>
    <cellStyle name="20% - Accent3 11 2 2 5" xfId="17358" xr:uid="{00000000-0005-0000-0000-00002A100000}"/>
    <cellStyle name="20% - Accent3 11 2 3" xfId="2067" xr:uid="{00000000-0005-0000-0000-00002B100000}"/>
    <cellStyle name="20% - Accent3 11 2 3 2" xfId="2068" xr:uid="{00000000-0005-0000-0000-00002C100000}"/>
    <cellStyle name="20% - Accent3 11 2 3 2 2" xfId="13411" xr:uid="{00000000-0005-0000-0000-00002D100000}"/>
    <cellStyle name="20% - Accent3 11 2 3 2 3" xfId="17362" xr:uid="{00000000-0005-0000-0000-00002E100000}"/>
    <cellStyle name="20% - Accent3 11 2 3 3" xfId="2069" xr:uid="{00000000-0005-0000-0000-00002F100000}"/>
    <cellStyle name="20% - Accent3 11 2 3 3 2" xfId="13412" xr:uid="{00000000-0005-0000-0000-000030100000}"/>
    <cellStyle name="20% - Accent3 11 2 3 3 3" xfId="17363" xr:uid="{00000000-0005-0000-0000-000031100000}"/>
    <cellStyle name="20% - Accent3 11 2 3 4" xfId="13410" xr:uid="{00000000-0005-0000-0000-000032100000}"/>
    <cellStyle name="20% - Accent3 11 2 3 5" xfId="17361" xr:uid="{00000000-0005-0000-0000-000033100000}"/>
    <cellStyle name="20% - Accent3 11 2 4" xfId="2070" xr:uid="{00000000-0005-0000-0000-000034100000}"/>
    <cellStyle name="20% - Accent3 11 2 4 2" xfId="2071" xr:uid="{00000000-0005-0000-0000-000035100000}"/>
    <cellStyle name="20% - Accent3 11 2 4 2 2" xfId="13414" xr:uid="{00000000-0005-0000-0000-000036100000}"/>
    <cellStyle name="20% - Accent3 11 2 4 2 3" xfId="17365" xr:uid="{00000000-0005-0000-0000-000037100000}"/>
    <cellStyle name="20% - Accent3 11 2 4 3" xfId="2072" xr:uid="{00000000-0005-0000-0000-000038100000}"/>
    <cellStyle name="20% - Accent3 11 2 4 3 2" xfId="13415" xr:uid="{00000000-0005-0000-0000-000039100000}"/>
    <cellStyle name="20% - Accent3 11 2 4 3 3" xfId="17366" xr:uid="{00000000-0005-0000-0000-00003A100000}"/>
    <cellStyle name="20% - Accent3 11 2 4 4" xfId="13413" xr:uid="{00000000-0005-0000-0000-00003B100000}"/>
    <cellStyle name="20% - Accent3 11 2 4 5" xfId="17364" xr:uid="{00000000-0005-0000-0000-00003C100000}"/>
    <cellStyle name="20% - Accent3 11 2 5" xfId="2073" xr:uid="{00000000-0005-0000-0000-00003D100000}"/>
    <cellStyle name="20% - Accent3 11 2 5 2" xfId="13416" xr:uid="{00000000-0005-0000-0000-00003E100000}"/>
    <cellStyle name="20% - Accent3 11 2 5 3" xfId="17367" xr:uid="{00000000-0005-0000-0000-00003F100000}"/>
    <cellStyle name="20% - Accent3 11 2 6" xfId="2074" xr:uid="{00000000-0005-0000-0000-000040100000}"/>
    <cellStyle name="20% - Accent3 11 2 6 2" xfId="13417" xr:uid="{00000000-0005-0000-0000-000041100000}"/>
    <cellStyle name="20% - Accent3 11 2 6 3" xfId="17368" xr:uid="{00000000-0005-0000-0000-000042100000}"/>
    <cellStyle name="20% - Accent3 11 2 7" xfId="13406" xr:uid="{00000000-0005-0000-0000-000043100000}"/>
    <cellStyle name="20% - Accent3 11 2 8" xfId="17357" xr:uid="{00000000-0005-0000-0000-000044100000}"/>
    <cellStyle name="20% - Accent3 11 2_Volatility" xfId="2075" xr:uid="{00000000-0005-0000-0000-000045100000}"/>
    <cellStyle name="20% - Accent3 11 3" xfId="2076" xr:uid="{00000000-0005-0000-0000-000046100000}"/>
    <cellStyle name="20% - Accent3 11 3 2" xfId="2077" xr:uid="{00000000-0005-0000-0000-000047100000}"/>
    <cellStyle name="20% - Accent3 11 3 2 2" xfId="2078" xr:uid="{00000000-0005-0000-0000-000048100000}"/>
    <cellStyle name="20% - Accent3 11 3 2 2 2" xfId="13420" xr:uid="{00000000-0005-0000-0000-000049100000}"/>
    <cellStyle name="20% - Accent3 11 3 2 2 3" xfId="17371" xr:uid="{00000000-0005-0000-0000-00004A100000}"/>
    <cellStyle name="20% - Accent3 11 3 2 3" xfId="2079" xr:uid="{00000000-0005-0000-0000-00004B100000}"/>
    <cellStyle name="20% - Accent3 11 3 2 3 2" xfId="13421" xr:uid="{00000000-0005-0000-0000-00004C100000}"/>
    <cellStyle name="20% - Accent3 11 3 2 3 3" xfId="17372" xr:uid="{00000000-0005-0000-0000-00004D100000}"/>
    <cellStyle name="20% - Accent3 11 3 2 4" xfId="13419" xr:uid="{00000000-0005-0000-0000-00004E100000}"/>
    <cellStyle name="20% - Accent3 11 3 2 5" xfId="17370" xr:uid="{00000000-0005-0000-0000-00004F100000}"/>
    <cellStyle name="20% - Accent3 11 3 3" xfId="2080" xr:uid="{00000000-0005-0000-0000-000050100000}"/>
    <cellStyle name="20% - Accent3 11 3 3 2" xfId="2081" xr:uid="{00000000-0005-0000-0000-000051100000}"/>
    <cellStyle name="20% - Accent3 11 3 3 2 2" xfId="13423" xr:uid="{00000000-0005-0000-0000-000052100000}"/>
    <cellStyle name="20% - Accent3 11 3 3 2 3" xfId="17374" xr:uid="{00000000-0005-0000-0000-000053100000}"/>
    <cellStyle name="20% - Accent3 11 3 3 3" xfId="2082" xr:uid="{00000000-0005-0000-0000-000054100000}"/>
    <cellStyle name="20% - Accent3 11 3 3 3 2" xfId="13424" xr:uid="{00000000-0005-0000-0000-000055100000}"/>
    <cellStyle name="20% - Accent3 11 3 3 3 3" xfId="17375" xr:uid="{00000000-0005-0000-0000-000056100000}"/>
    <cellStyle name="20% - Accent3 11 3 3 4" xfId="13422" xr:uid="{00000000-0005-0000-0000-000057100000}"/>
    <cellStyle name="20% - Accent3 11 3 3 5" xfId="17373" xr:uid="{00000000-0005-0000-0000-000058100000}"/>
    <cellStyle name="20% - Accent3 11 3 4" xfId="2083" xr:uid="{00000000-0005-0000-0000-000059100000}"/>
    <cellStyle name="20% - Accent3 11 3 4 2" xfId="13425" xr:uid="{00000000-0005-0000-0000-00005A100000}"/>
    <cellStyle name="20% - Accent3 11 3 4 3" xfId="17376" xr:uid="{00000000-0005-0000-0000-00005B100000}"/>
    <cellStyle name="20% - Accent3 11 3 5" xfId="2084" xr:uid="{00000000-0005-0000-0000-00005C100000}"/>
    <cellStyle name="20% - Accent3 11 3 5 2" xfId="13426" xr:uid="{00000000-0005-0000-0000-00005D100000}"/>
    <cellStyle name="20% - Accent3 11 3 5 3" xfId="17377" xr:uid="{00000000-0005-0000-0000-00005E100000}"/>
    <cellStyle name="20% - Accent3 11 3 6" xfId="13418" xr:uid="{00000000-0005-0000-0000-00005F100000}"/>
    <cellStyle name="20% - Accent3 11 3 7" xfId="17369" xr:uid="{00000000-0005-0000-0000-000060100000}"/>
    <cellStyle name="20% - Accent3 11 3_Volatility" xfId="2085" xr:uid="{00000000-0005-0000-0000-000061100000}"/>
    <cellStyle name="20% - Accent3 11 4" xfId="2086" xr:uid="{00000000-0005-0000-0000-000062100000}"/>
    <cellStyle name="20% - Accent3 11 4 2" xfId="2087" xr:uid="{00000000-0005-0000-0000-000063100000}"/>
    <cellStyle name="20% - Accent3 11 4 2 2" xfId="13428" xr:uid="{00000000-0005-0000-0000-000064100000}"/>
    <cellStyle name="20% - Accent3 11 4 2 3" xfId="17379" xr:uid="{00000000-0005-0000-0000-000065100000}"/>
    <cellStyle name="20% - Accent3 11 4 3" xfId="2088" xr:uid="{00000000-0005-0000-0000-000066100000}"/>
    <cellStyle name="20% - Accent3 11 4 3 2" xfId="13429" xr:uid="{00000000-0005-0000-0000-000067100000}"/>
    <cellStyle name="20% - Accent3 11 4 3 3" xfId="17380" xr:uid="{00000000-0005-0000-0000-000068100000}"/>
    <cellStyle name="20% - Accent3 11 4 4" xfId="13427" xr:uid="{00000000-0005-0000-0000-000069100000}"/>
    <cellStyle name="20% - Accent3 11 4 5" xfId="17378" xr:uid="{00000000-0005-0000-0000-00006A100000}"/>
    <cellStyle name="20% - Accent3 11 5" xfId="2089" xr:uid="{00000000-0005-0000-0000-00006B100000}"/>
    <cellStyle name="20% - Accent3 11 5 2" xfId="2090" xr:uid="{00000000-0005-0000-0000-00006C100000}"/>
    <cellStyle name="20% - Accent3 11 5 2 2" xfId="13431" xr:uid="{00000000-0005-0000-0000-00006D100000}"/>
    <cellStyle name="20% - Accent3 11 5 2 3" xfId="17382" xr:uid="{00000000-0005-0000-0000-00006E100000}"/>
    <cellStyle name="20% - Accent3 11 5 3" xfId="2091" xr:uid="{00000000-0005-0000-0000-00006F100000}"/>
    <cellStyle name="20% - Accent3 11 5 3 2" xfId="13432" xr:uid="{00000000-0005-0000-0000-000070100000}"/>
    <cellStyle name="20% - Accent3 11 5 3 3" xfId="17383" xr:uid="{00000000-0005-0000-0000-000071100000}"/>
    <cellStyle name="20% - Accent3 11 5 4" xfId="13430" xr:uid="{00000000-0005-0000-0000-000072100000}"/>
    <cellStyle name="20% - Accent3 11 5 5" xfId="17381" xr:uid="{00000000-0005-0000-0000-000073100000}"/>
    <cellStyle name="20% - Accent3 11 6" xfId="2092" xr:uid="{00000000-0005-0000-0000-000074100000}"/>
    <cellStyle name="20% - Accent3 11 6 2" xfId="2093" xr:uid="{00000000-0005-0000-0000-000075100000}"/>
    <cellStyle name="20% - Accent3 11 6 2 2" xfId="13434" xr:uid="{00000000-0005-0000-0000-000076100000}"/>
    <cellStyle name="20% - Accent3 11 6 2 3" xfId="17385" xr:uid="{00000000-0005-0000-0000-000077100000}"/>
    <cellStyle name="20% - Accent3 11 6 3" xfId="2094" xr:uid="{00000000-0005-0000-0000-000078100000}"/>
    <cellStyle name="20% - Accent3 11 6 3 2" xfId="13435" xr:uid="{00000000-0005-0000-0000-000079100000}"/>
    <cellStyle name="20% - Accent3 11 6 3 3" xfId="17386" xr:uid="{00000000-0005-0000-0000-00007A100000}"/>
    <cellStyle name="20% - Accent3 11 6 4" xfId="13433" xr:uid="{00000000-0005-0000-0000-00007B100000}"/>
    <cellStyle name="20% - Accent3 11 6 5" xfId="17384" xr:uid="{00000000-0005-0000-0000-00007C100000}"/>
    <cellStyle name="20% - Accent3 11 7" xfId="2095" xr:uid="{00000000-0005-0000-0000-00007D100000}"/>
    <cellStyle name="20% - Accent3 11 7 2" xfId="13436" xr:uid="{00000000-0005-0000-0000-00007E100000}"/>
    <cellStyle name="20% - Accent3 11 7 3" xfId="17387" xr:uid="{00000000-0005-0000-0000-00007F100000}"/>
    <cellStyle name="20% - Accent3 11 8" xfId="2096" xr:uid="{00000000-0005-0000-0000-000080100000}"/>
    <cellStyle name="20% - Accent3 11 8 2" xfId="13437" xr:uid="{00000000-0005-0000-0000-000081100000}"/>
    <cellStyle name="20% - Accent3 11 8 3" xfId="17388" xr:uid="{00000000-0005-0000-0000-000082100000}"/>
    <cellStyle name="20% - Accent3 11 9" xfId="13405" xr:uid="{00000000-0005-0000-0000-000083100000}"/>
    <cellStyle name="20% - Accent3 11_Volatility" xfId="2097" xr:uid="{00000000-0005-0000-0000-000084100000}"/>
    <cellStyle name="20% - Accent3 12" xfId="2098" xr:uid="{00000000-0005-0000-0000-000085100000}"/>
    <cellStyle name="20% - Accent3 12 10" xfId="17389" xr:uid="{00000000-0005-0000-0000-000086100000}"/>
    <cellStyle name="20% - Accent3 12 2" xfId="2099" xr:uid="{00000000-0005-0000-0000-000087100000}"/>
    <cellStyle name="20% - Accent3 12 2 2" xfId="2100" xr:uid="{00000000-0005-0000-0000-000088100000}"/>
    <cellStyle name="20% - Accent3 12 2 2 2" xfId="2101" xr:uid="{00000000-0005-0000-0000-000089100000}"/>
    <cellStyle name="20% - Accent3 12 2 2 2 2" xfId="13441" xr:uid="{00000000-0005-0000-0000-00008A100000}"/>
    <cellStyle name="20% - Accent3 12 2 2 2 3" xfId="17392" xr:uid="{00000000-0005-0000-0000-00008B100000}"/>
    <cellStyle name="20% - Accent3 12 2 2 3" xfId="2102" xr:uid="{00000000-0005-0000-0000-00008C100000}"/>
    <cellStyle name="20% - Accent3 12 2 2 3 2" xfId="13442" xr:uid="{00000000-0005-0000-0000-00008D100000}"/>
    <cellStyle name="20% - Accent3 12 2 2 3 3" xfId="17393" xr:uid="{00000000-0005-0000-0000-00008E100000}"/>
    <cellStyle name="20% - Accent3 12 2 2 4" xfId="13440" xr:uid="{00000000-0005-0000-0000-00008F100000}"/>
    <cellStyle name="20% - Accent3 12 2 2 5" xfId="17391" xr:uid="{00000000-0005-0000-0000-000090100000}"/>
    <cellStyle name="20% - Accent3 12 2 3" xfId="2103" xr:uid="{00000000-0005-0000-0000-000091100000}"/>
    <cellStyle name="20% - Accent3 12 2 3 2" xfId="2104" xr:uid="{00000000-0005-0000-0000-000092100000}"/>
    <cellStyle name="20% - Accent3 12 2 3 2 2" xfId="13444" xr:uid="{00000000-0005-0000-0000-000093100000}"/>
    <cellStyle name="20% - Accent3 12 2 3 2 3" xfId="17395" xr:uid="{00000000-0005-0000-0000-000094100000}"/>
    <cellStyle name="20% - Accent3 12 2 3 3" xfId="2105" xr:uid="{00000000-0005-0000-0000-000095100000}"/>
    <cellStyle name="20% - Accent3 12 2 3 3 2" xfId="13445" xr:uid="{00000000-0005-0000-0000-000096100000}"/>
    <cellStyle name="20% - Accent3 12 2 3 3 3" xfId="17396" xr:uid="{00000000-0005-0000-0000-000097100000}"/>
    <cellStyle name="20% - Accent3 12 2 3 4" xfId="13443" xr:uid="{00000000-0005-0000-0000-000098100000}"/>
    <cellStyle name="20% - Accent3 12 2 3 5" xfId="17394" xr:uid="{00000000-0005-0000-0000-000099100000}"/>
    <cellStyle name="20% - Accent3 12 2 4" xfId="2106" xr:uid="{00000000-0005-0000-0000-00009A100000}"/>
    <cellStyle name="20% - Accent3 12 2 4 2" xfId="2107" xr:uid="{00000000-0005-0000-0000-00009B100000}"/>
    <cellStyle name="20% - Accent3 12 2 4 2 2" xfId="13447" xr:uid="{00000000-0005-0000-0000-00009C100000}"/>
    <cellStyle name="20% - Accent3 12 2 4 2 3" xfId="17398" xr:uid="{00000000-0005-0000-0000-00009D100000}"/>
    <cellStyle name="20% - Accent3 12 2 4 3" xfId="2108" xr:uid="{00000000-0005-0000-0000-00009E100000}"/>
    <cellStyle name="20% - Accent3 12 2 4 3 2" xfId="13448" xr:uid="{00000000-0005-0000-0000-00009F100000}"/>
    <cellStyle name="20% - Accent3 12 2 4 3 3" xfId="17399" xr:uid="{00000000-0005-0000-0000-0000A0100000}"/>
    <cellStyle name="20% - Accent3 12 2 4 4" xfId="13446" xr:uid="{00000000-0005-0000-0000-0000A1100000}"/>
    <cellStyle name="20% - Accent3 12 2 4 5" xfId="17397" xr:uid="{00000000-0005-0000-0000-0000A2100000}"/>
    <cellStyle name="20% - Accent3 12 2 5" xfId="2109" xr:uid="{00000000-0005-0000-0000-0000A3100000}"/>
    <cellStyle name="20% - Accent3 12 2 5 2" xfId="13449" xr:uid="{00000000-0005-0000-0000-0000A4100000}"/>
    <cellStyle name="20% - Accent3 12 2 5 3" xfId="17400" xr:uid="{00000000-0005-0000-0000-0000A5100000}"/>
    <cellStyle name="20% - Accent3 12 2 6" xfId="2110" xr:uid="{00000000-0005-0000-0000-0000A6100000}"/>
    <cellStyle name="20% - Accent3 12 2 6 2" xfId="13450" xr:uid="{00000000-0005-0000-0000-0000A7100000}"/>
    <cellStyle name="20% - Accent3 12 2 6 3" xfId="17401" xr:uid="{00000000-0005-0000-0000-0000A8100000}"/>
    <cellStyle name="20% - Accent3 12 2 7" xfId="13439" xr:uid="{00000000-0005-0000-0000-0000A9100000}"/>
    <cellStyle name="20% - Accent3 12 2 8" xfId="17390" xr:uid="{00000000-0005-0000-0000-0000AA100000}"/>
    <cellStyle name="20% - Accent3 12 2_Volatility" xfId="2111" xr:uid="{00000000-0005-0000-0000-0000AB100000}"/>
    <cellStyle name="20% - Accent3 12 3" xfId="2112" xr:uid="{00000000-0005-0000-0000-0000AC100000}"/>
    <cellStyle name="20% - Accent3 12 3 2" xfId="2113" xr:uid="{00000000-0005-0000-0000-0000AD100000}"/>
    <cellStyle name="20% - Accent3 12 3 2 2" xfId="2114" xr:uid="{00000000-0005-0000-0000-0000AE100000}"/>
    <cellStyle name="20% - Accent3 12 3 2 2 2" xfId="13453" xr:uid="{00000000-0005-0000-0000-0000AF100000}"/>
    <cellStyle name="20% - Accent3 12 3 2 2 3" xfId="17404" xr:uid="{00000000-0005-0000-0000-0000B0100000}"/>
    <cellStyle name="20% - Accent3 12 3 2 3" xfId="2115" xr:uid="{00000000-0005-0000-0000-0000B1100000}"/>
    <cellStyle name="20% - Accent3 12 3 2 3 2" xfId="13454" xr:uid="{00000000-0005-0000-0000-0000B2100000}"/>
    <cellStyle name="20% - Accent3 12 3 2 3 3" xfId="17405" xr:uid="{00000000-0005-0000-0000-0000B3100000}"/>
    <cellStyle name="20% - Accent3 12 3 2 4" xfId="13452" xr:uid="{00000000-0005-0000-0000-0000B4100000}"/>
    <cellStyle name="20% - Accent3 12 3 2 5" xfId="17403" xr:uid="{00000000-0005-0000-0000-0000B5100000}"/>
    <cellStyle name="20% - Accent3 12 3 3" xfId="2116" xr:uid="{00000000-0005-0000-0000-0000B6100000}"/>
    <cellStyle name="20% - Accent3 12 3 3 2" xfId="2117" xr:uid="{00000000-0005-0000-0000-0000B7100000}"/>
    <cellStyle name="20% - Accent3 12 3 3 2 2" xfId="13456" xr:uid="{00000000-0005-0000-0000-0000B8100000}"/>
    <cellStyle name="20% - Accent3 12 3 3 2 3" xfId="17407" xr:uid="{00000000-0005-0000-0000-0000B9100000}"/>
    <cellStyle name="20% - Accent3 12 3 3 3" xfId="2118" xr:uid="{00000000-0005-0000-0000-0000BA100000}"/>
    <cellStyle name="20% - Accent3 12 3 3 3 2" xfId="13457" xr:uid="{00000000-0005-0000-0000-0000BB100000}"/>
    <cellStyle name="20% - Accent3 12 3 3 3 3" xfId="17408" xr:uid="{00000000-0005-0000-0000-0000BC100000}"/>
    <cellStyle name="20% - Accent3 12 3 3 4" xfId="13455" xr:uid="{00000000-0005-0000-0000-0000BD100000}"/>
    <cellStyle name="20% - Accent3 12 3 3 5" xfId="17406" xr:uid="{00000000-0005-0000-0000-0000BE100000}"/>
    <cellStyle name="20% - Accent3 12 3 4" xfId="2119" xr:uid="{00000000-0005-0000-0000-0000BF100000}"/>
    <cellStyle name="20% - Accent3 12 3 4 2" xfId="13458" xr:uid="{00000000-0005-0000-0000-0000C0100000}"/>
    <cellStyle name="20% - Accent3 12 3 4 3" xfId="17409" xr:uid="{00000000-0005-0000-0000-0000C1100000}"/>
    <cellStyle name="20% - Accent3 12 3 5" xfId="2120" xr:uid="{00000000-0005-0000-0000-0000C2100000}"/>
    <cellStyle name="20% - Accent3 12 3 5 2" xfId="13459" xr:uid="{00000000-0005-0000-0000-0000C3100000}"/>
    <cellStyle name="20% - Accent3 12 3 5 3" xfId="17410" xr:uid="{00000000-0005-0000-0000-0000C4100000}"/>
    <cellStyle name="20% - Accent3 12 3 6" xfId="13451" xr:uid="{00000000-0005-0000-0000-0000C5100000}"/>
    <cellStyle name="20% - Accent3 12 3 7" xfId="17402" xr:uid="{00000000-0005-0000-0000-0000C6100000}"/>
    <cellStyle name="20% - Accent3 12 3_Volatility" xfId="2121" xr:uid="{00000000-0005-0000-0000-0000C7100000}"/>
    <cellStyle name="20% - Accent3 12 4" xfId="2122" xr:uid="{00000000-0005-0000-0000-0000C8100000}"/>
    <cellStyle name="20% - Accent3 12 4 2" xfId="2123" xr:uid="{00000000-0005-0000-0000-0000C9100000}"/>
    <cellStyle name="20% - Accent3 12 4 2 2" xfId="13461" xr:uid="{00000000-0005-0000-0000-0000CA100000}"/>
    <cellStyle name="20% - Accent3 12 4 2 3" xfId="17412" xr:uid="{00000000-0005-0000-0000-0000CB100000}"/>
    <cellStyle name="20% - Accent3 12 4 3" xfId="2124" xr:uid="{00000000-0005-0000-0000-0000CC100000}"/>
    <cellStyle name="20% - Accent3 12 4 3 2" xfId="13462" xr:uid="{00000000-0005-0000-0000-0000CD100000}"/>
    <cellStyle name="20% - Accent3 12 4 3 3" xfId="17413" xr:uid="{00000000-0005-0000-0000-0000CE100000}"/>
    <cellStyle name="20% - Accent3 12 4 4" xfId="13460" xr:uid="{00000000-0005-0000-0000-0000CF100000}"/>
    <cellStyle name="20% - Accent3 12 4 5" xfId="17411" xr:uid="{00000000-0005-0000-0000-0000D0100000}"/>
    <cellStyle name="20% - Accent3 12 5" xfId="2125" xr:uid="{00000000-0005-0000-0000-0000D1100000}"/>
    <cellStyle name="20% - Accent3 12 5 2" xfId="2126" xr:uid="{00000000-0005-0000-0000-0000D2100000}"/>
    <cellStyle name="20% - Accent3 12 5 2 2" xfId="13464" xr:uid="{00000000-0005-0000-0000-0000D3100000}"/>
    <cellStyle name="20% - Accent3 12 5 2 3" xfId="17415" xr:uid="{00000000-0005-0000-0000-0000D4100000}"/>
    <cellStyle name="20% - Accent3 12 5 3" xfId="2127" xr:uid="{00000000-0005-0000-0000-0000D5100000}"/>
    <cellStyle name="20% - Accent3 12 5 3 2" xfId="13465" xr:uid="{00000000-0005-0000-0000-0000D6100000}"/>
    <cellStyle name="20% - Accent3 12 5 3 3" xfId="17416" xr:uid="{00000000-0005-0000-0000-0000D7100000}"/>
    <cellStyle name="20% - Accent3 12 5 4" xfId="13463" xr:uid="{00000000-0005-0000-0000-0000D8100000}"/>
    <cellStyle name="20% - Accent3 12 5 5" xfId="17414" xr:uid="{00000000-0005-0000-0000-0000D9100000}"/>
    <cellStyle name="20% - Accent3 12 6" xfId="2128" xr:uid="{00000000-0005-0000-0000-0000DA100000}"/>
    <cellStyle name="20% - Accent3 12 6 2" xfId="2129" xr:uid="{00000000-0005-0000-0000-0000DB100000}"/>
    <cellStyle name="20% - Accent3 12 6 2 2" xfId="13467" xr:uid="{00000000-0005-0000-0000-0000DC100000}"/>
    <cellStyle name="20% - Accent3 12 6 2 3" xfId="17418" xr:uid="{00000000-0005-0000-0000-0000DD100000}"/>
    <cellStyle name="20% - Accent3 12 6 3" xfId="2130" xr:uid="{00000000-0005-0000-0000-0000DE100000}"/>
    <cellStyle name="20% - Accent3 12 6 3 2" xfId="13468" xr:uid="{00000000-0005-0000-0000-0000DF100000}"/>
    <cellStyle name="20% - Accent3 12 6 3 3" xfId="17419" xr:uid="{00000000-0005-0000-0000-0000E0100000}"/>
    <cellStyle name="20% - Accent3 12 6 4" xfId="13466" xr:uid="{00000000-0005-0000-0000-0000E1100000}"/>
    <cellStyle name="20% - Accent3 12 6 5" xfId="17417" xr:uid="{00000000-0005-0000-0000-0000E2100000}"/>
    <cellStyle name="20% - Accent3 12 7" xfId="2131" xr:uid="{00000000-0005-0000-0000-0000E3100000}"/>
    <cellStyle name="20% - Accent3 12 7 2" xfId="13469" xr:uid="{00000000-0005-0000-0000-0000E4100000}"/>
    <cellStyle name="20% - Accent3 12 7 3" xfId="17420" xr:uid="{00000000-0005-0000-0000-0000E5100000}"/>
    <cellStyle name="20% - Accent3 12 8" xfId="2132" xr:uid="{00000000-0005-0000-0000-0000E6100000}"/>
    <cellStyle name="20% - Accent3 12 8 2" xfId="13470" xr:uid="{00000000-0005-0000-0000-0000E7100000}"/>
    <cellStyle name="20% - Accent3 12 8 3" xfId="17421" xr:uid="{00000000-0005-0000-0000-0000E8100000}"/>
    <cellStyle name="20% - Accent3 12 9" xfId="13438" xr:uid="{00000000-0005-0000-0000-0000E9100000}"/>
    <cellStyle name="20% - Accent3 12_Volatility" xfId="2133" xr:uid="{00000000-0005-0000-0000-0000EA100000}"/>
    <cellStyle name="20% - Accent3 13" xfId="2134" xr:uid="{00000000-0005-0000-0000-0000EB100000}"/>
    <cellStyle name="20% - Accent3 13 10" xfId="17422" xr:uid="{00000000-0005-0000-0000-0000EC100000}"/>
    <cellStyle name="20% - Accent3 13 2" xfId="2135" xr:uid="{00000000-0005-0000-0000-0000ED100000}"/>
    <cellStyle name="20% - Accent3 13 2 2" xfId="2136" xr:uid="{00000000-0005-0000-0000-0000EE100000}"/>
    <cellStyle name="20% - Accent3 13 2 2 2" xfId="2137" xr:uid="{00000000-0005-0000-0000-0000EF100000}"/>
    <cellStyle name="20% - Accent3 13 2 2 2 2" xfId="13474" xr:uid="{00000000-0005-0000-0000-0000F0100000}"/>
    <cellStyle name="20% - Accent3 13 2 2 2 3" xfId="17425" xr:uid="{00000000-0005-0000-0000-0000F1100000}"/>
    <cellStyle name="20% - Accent3 13 2 2 3" xfId="2138" xr:uid="{00000000-0005-0000-0000-0000F2100000}"/>
    <cellStyle name="20% - Accent3 13 2 2 3 2" xfId="13475" xr:uid="{00000000-0005-0000-0000-0000F3100000}"/>
    <cellStyle name="20% - Accent3 13 2 2 3 3" xfId="17426" xr:uid="{00000000-0005-0000-0000-0000F4100000}"/>
    <cellStyle name="20% - Accent3 13 2 2 4" xfId="13473" xr:uid="{00000000-0005-0000-0000-0000F5100000}"/>
    <cellStyle name="20% - Accent3 13 2 2 5" xfId="17424" xr:uid="{00000000-0005-0000-0000-0000F6100000}"/>
    <cellStyle name="20% - Accent3 13 2 3" xfId="2139" xr:uid="{00000000-0005-0000-0000-0000F7100000}"/>
    <cellStyle name="20% - Accent3 13 2 3 2" xfId="2140" xr:uid="{00000000-0005-0000-0000-0000F8100000}"/>
    <cellStyle name="20% - Accent3 13 2 3 2 2" xfId="13477" xr:uid="{00000000-0005-0000-0000-0000F9100000}"/>
    <cellStyle name="20% - Accent3 13 2 3 2 3" xfId="17428" xr:uid="{00000000-0005-0000-0000-0000FA100000}"/>
    <cellStyle name="20% - Accent3 13 2 3 3" xfId="2141" xr:uid="{00000000-0005-0000-0000-0000FB100000}"/>
    <cellStyle name="20% - Accent3 13 2 3 3 2" xfId="13478" xr:uid="{00000000-0005-0000-0000-0000FC100000}"/>
    <cellStyle name="20% - Accent3 13 2 3 3 3" xfId="17429" xr:uid="{00000000-0005-0000-0000-0000FD100000}"/>
    <cellStyle name="20% - Accent3 13 2 3 4" xfId="13476" xr:uid="{00000000-0005-0000-0000-0000FE100000}"/>
    <cellStyle name="20% - Accent3 13 2 3 5" xfId="17427" xr:uid="{00000000-0005-0000-0000-0000FF100000}"/>
    <cellStyle name="20% - Accent3 13 2 4" xfId="2142" xr:uid="{00000000-0005-0000-0000-000000110000}"/>
    <cellStyle name="20% - Accent3 13 2 4 2" xfId="2143" xr:uid="{00000000-0005-0000-0000-000001110000}"/>
    <cellStyle name="20% - Accent3 13 2 4 2 2" xfId="13480" xr:uid="{00000000-0005-0000-0000-000002110000}"/>
    <cellStyle name="20% - Accent3 13 2 4 2 3" xfId="17431" xr:uid="{00000000-0005-0000-0000-000003110000}"/>
    <cellStyle name="20% - Accent3 13 2 4 3" xfId="2144" xr:uid="{00000000-0005-0000-0000-000004110000}"/>
    <cellStyle name="20% - Accent3 13 2 4 3 2" xfId="13481" xr:uid="{00000000-0005-0000-0000-000005110000}"/>
    <cellStyle name="20% - Accent3 13 2 4 3 3" xfId="17432" xr:uid="{00000000-0005-0000-0000-000006110000}"/>
    <cellStyle name="20% - Accent3 13 2 4 4" xfId="13479" xr:uid="{00000000-0005-0000-0000-000007110000}"/>
    <cellStyle name="20% - Accent3 13 2 4 5" xfId="17430" xr:uid="{00000000-0005-0000-0000-000008110000}"/>
    <cellStyle name="20% - Accent3 13 2 5" xfId="2145" xr:uid="{00000000-0005-0000-0000-000009110000}"/>
    <cellStyle name="20% - Accent3 13 2 5 2" xfId="13482" xr:uid="{00000000-0005-0000-0000-00000A110000}"/>
    <cellStyle name="20% - Accent3 13 2 5 3" xfId="17433" xr:uid="{00000000-0005-0000-0000-00000B110000}"/>
    <cellStyle name="20% - Accent3 13 2 6" xfId="2146" xr:uid="{00000000-0005-0000-0000-00000C110000}"/>
    <cellStyle name="20% - Accent3 13 2 6 2" xfId="13483" xr:uid="{00000000-0005-0000-0000-00000D110000}"/>
    <cellStyle name="20% - Accent3 13 2 6 3" xfId="17434" xr:uid="{00000000-0005-0000-0000-00000E110000}"/>
    <cellStyle name="20% - Accent3 13 2 7" xfId="13472" xr:uid="{00000000-0005-0000-0000-00000F110000}"/>
    <cellStyle name="20% - Accent3 13 2 8" xfId="17423" xr:uid="{00000000-0005-0000-0000-000010110000}"/>
    <cellStyle name="20% - Accent3 13 2_Volatility" xfId="2147" xr:uid="{00000000-0005-0000-0000-000011110000}"/>
    <cellStyle name="20% - Accent3 13 3" xfId="2148" xr:uid="{00000000-0005-0000-0000-000012110000}"/>
    <cellStyle name="20% - Accent3 13 3 2" xfId="2149" xr:uid="{00000000-0005-0000-0000-000013110000}"/>
    <cellStyle name="20% - Accent3 13 3 2 2" xfId="2150" xr:uid="{00000000-0005-0000-0000-000014110000}"/>
    <cellStyle name="20% - Accent3 13 3 2 2 2" xfId="13486" xr:uid="{00000000-0005-0000-0000-000015110000}"/>
    <cellStyle name="20% - Accent3 13 3 2 2 3" xfId="17437" xr:uid="{00000000-0005-0000-0000-000016110000}"/>
    <cellStyle name="20% - Accent3 13 3 2 3" xfId="2151" xr:uid="{00000000-0005-0000-0000-000017110000}"/>
    <cellStyle name="20% - Accent3 13 3 2 3 2" xfId="13487" xr:uid="{00000000-0005-0000-0000-000018110000}"/>
    <cellStyle name="20% - Accent3 13 3 2 3 3" xfId="17438" xr:uid="{00000000-0005-0000-0000-000019110000}"/>
    <cellStyle name="20% - Accent3 13 3 2 4" xfId="13485" xr:uid="{00000000-0005-0000-0000-00001A110000}"/>
    <cellStyle name="20% - Accent3 13 3 2 5" xfId="17436" xr:uid="{00000000-0005-0000-0000-00001B110000}"/>
    <cellStyle name="20% - Accent3 13 3 3" xfId="2152" xr:uid="{00000000-0005-0000-0000-00001C110000}"/>
    <cellStyle name="20% - Accent3 13 3 3 2" xfId="2153" xr:uid="{00000000-0005-0000-0000-00001D110000}"/>
    <cellStyle name="20% - Accent3 13 3 3 2 2" xfId="13489" xr:uid="{00000000-0005-0000-0000-00001E110000}"/>
    <cellStyle name="20% - Accent3 13 3 3 2 3" xfId="17440" xr:uid="{00000000-0005-0000-0000-00001F110000}"/>
    <cellStyle name="20% - Accent3 13 3 3 3" xfId="2154" xr:uid="{00000000-0005-0000-0000-000020110000}"/>
    <cellStyle name="20% - Accent3 13 3 3 3 2" xfId="13490" xr:uid="{00000000-0005-0000-0000-000021110000}"/>
    <cellStyle name="20% - Accent3 13 3 3 3 3" xfId="17441" xr:uid="{00000000-0005-0000-0000-000022110000}"/>
    <cellStyle name="20% - Accent3 13 3 3 4" xfId="13488" xr:uid="{00000000-0005-0000-0000-000023110000}"/>
    <cellStyle name="20% - Accent3 13 3 3 5" xfId="17439" xr:uid="{00000000-0005-0000-0000-000024110000}"/>
    <cellStyle name="20% - Accent3 13 3 4" xfId="2155" xr:uid="{00000000-0005-0000-0000-000025110000}"/>
    <cellStyle name="20% - Accent3 13 3 4 2" xfId="13491" xr:uid="{00000000-0005-0000-0000-000026110000}"/>
    <cellStyle name="20% - Accent3 13 3 4 3" xfId="17442" xr:uid="{00000000-0005-0000-0000-000027110000}"/>
    <cellStyle name="20% - Accent3 13 3 5" xfId="2156" xr:uid="{00000000-0005-0000-0000-000028110000}"/>
    <cellStyle name="20% - Accent3 13 3 5 2" xfId="13492" xr:uid="{00000000-0005-0000-0000-000029110000}"/>
    <cellStyle name="20% - Accent3 13 3 5 3" xfId="17443" xr:uid="{00000000-0005-0000-0000-00002A110000}"/>
    <cellStyle name="20% - Accent3 13 3 6" xfId="13484" xr:uid="{00000000-0005-0000-0000-00002B110000}"/>
    <cellStyle name="20% - Accent3 13 3 7" xfId="17435" xr:uid="{00000000-0005-0000-0000-00002C110000}"/>
    <cellStyle name="20% - Accent3 13 3_Volatility" xfId="2157" xr:uid="{00000000-0005-0000-0000-00002D110000}"/>
    <cellStyle name="20% - Accent3 13 4" xfId="2158" xr:uid="{00000000-0005-0000-0000-00002E110000}"/>
    <cellStyle name="20% - Accent3 13 4 2" xfId="2159" xr:uid="{00000000-0005-0000-0000-00002F110000}"/>
    <cellStyle name="20% - Accent3 13 4 2 2" xfId="13494" xr:uid="{00000000-0005-0000-0000-000030110000}"/>
    <cellStyle name="20% - Accent3 13 4 2 3" xfId="17445" xr:uid="{00000000-0005-0000-0000-000031110000}"/>
    <cellStyle name="20% - Accent3 13 4 3" xfId="2160" xr:uid="{00000000-0005-0000-0000-000032110000}"/>
    <cellStyle name="20% - Accent3 13 4 3 2" xfId="13495" xr:uid="{00000000-0005-0000-0000-000033110000}"/>
    <cellStyle name="20% - Accent3 13 4 3 3" xfId="17446" xr:uid="{00000000-0005-0000-0000-000034110000}"/>
    <cellStyle name="20% - Accent3 13 4 4" xfId="13493" xr:uid="{00000000-0005-0000-0000-000035110000}"/>
    <cellStyle name="20% - Accent3 13 4 5" xfId="17444" xr:uid="{00000000-0005-0000-0000-000036110000}"/>
    <cellStyle name="20% - Accent3 13 5" xfId="2161" xr:uid="{00000000-0005-0000-0000-000037110000}"/>
    <cellStyle name="20% - Accent3 13 5 2" xfId="2162" xr:uid="{00000000-0005-0000-0000-000038110000}"/>
    <cellStyle name="20% - Accent3 13 5 2 2" xfId="13497" xr:uid="{00000000-0005-0000-0000-000039110000}"/>
    <cellStyle name="20% - Accent3 13 5 2 3" xfId="17448" xr:uid="{00000000-0005-0000-0000-00003A110000}"/>
    <cellStyle name="20% - Accent3 13 5 3" xfId="2163" xr:uid="{00000000-0005-0000-0000-00003B110000}"/>
    <cellStyle name="20% - Accent3 13 5 3 2" xfId="13498" xr:uid="{00000000-0005-0000-0000-00003C110000}"/>
    <cellStyle name="20% - Accent3 13 5 3 3" xfId="17449" xr:uid="{00000000-0005-0000-0000-00003D110000}"/>
    <cellStyle name="20% - Accent3 13 5 4" xfId="13496" xr:uid="{00000000-0005-0000-0000-00003E110000}"/>
    <cellStyle name="20% - Accent3 13 5 5" xfId="17447" xr:uid="{00000000-0005-0000-0000-00003F110000}"/>
    <cellStyle name="20% - Accent3 13 6" xfId="2164" xr:uid="{00000000-0005-0000-0000-000040110000}"/>
    <cellStyle name="20% - Accent3 13 6 2" xfId="2165" xr:uid="{00000000-0005-0000-0000-000041110000}"/>
    <cellStyle name="20% - Accent3 13 6 2 2" xfId="13500" xr:uid="{00000000-0005-0000-0000-000042110000}"/>
    <cellStyle name="20% - Accent3 13 6 2 3" xfId="17451" xr:uid="{00000000-0005-0000-0000-000043110000}"/>
    <cellStyle name="20% - Accent3 13 6 3" xfId="2166" xr:uid="{00000000-0005-0000-0000-000044110000}"/>
    <cellStyle name="20% - Accent3 13 6 3 2" xfId="13501" xr:uid="{00000000-0005-0000-0000-000045110000}"/>
    <cellStyle name="20% - Accent3 13 6 3 3" xfId="17452" xr:uid="{00000000-0005-0000-0000-000046110000}"/>
    <cellStyle name="20% - Accent3 13 6 4" xfId="13499" xr:uid="{00000000-0005-0000-0000-000047110000}"/>
    <cellStyle name="20% - Accent3 13 6 5" xfId="17450" xr:uid="{00000000-0005-0000-0000-000048110000}"/>
    <cellStyle name="20% - Accent3 13 7" xfId="2167" xr:uid="{00000000-0005-0000-0000-000049110000}"/>
    <cellStyle name="20% - Accent3 13 7 2" xfId="13502" xr:uid="{00000000-0005-0000-0000-00004A110000}"/>
    <cellStyle name="20% - Accent3 13 7 3" xfId="17453" xr:uid="{00000000-0005-0000-0000-00004B110000}"/>
    <cellStyle name="20% - Accent3 13 8" xfId="2168" xr:uid="{00000000-0005-0000-0000-00004C110000}"/>
    <cellStyle name="20% - Accent3 13 8 2" xfId="13503" xr:uid="{00000000-0005-0000-0000-00004D110000}"/>
    <cellStyle name="20% - Accent3 13 8 3" xfId="17454" xr:uid="{00000000-0005-0000-0000-00004E110000}"/>
    <cellStyle name="20% - Accent3 13 9" xfId="13471" xr:uid="{00000000-0005-0000-0000-00004F110000}"/>
    <cellStyle name="20% - Accent3 13_Volatility" xfId="2169" xr:uid="{00000000-0005-0000-0000-000050110000}"/>
    <cellStyle name="20% - Accent3 14" xfId="2170" xr:uid="{00000000-0005-0000-0000-000051110000}"/>
    <cellStyle name="20% - Accent3 14 10" xfId="17455" xr:uid="{00000000-0005-0000-0000-000052110000}"/>
    <cellStyle name="20% - Accent3 14 2" xfId="2171" xr:uid="{00000000-0005-0000-0000-000053110000}"/>
    <cellStyle name="20% - Accent3 14 2 2" xfId="2172" xr:uid="{00000000-0005-0000-0000-000054110000}"/>
    <cellStyle name="20% - Accent3 14 2 2 2" xfId="2173" xr:uid="{00000000-0005-0000-0000-000055110000}"/>
    <cellStyle name="20% - Accent3 14 2 2 2 2" xfId="13507" xr:uid="{00000000-0005-0000-0000-000056110000}"/>
    <cellStyle name="20% - Accent3 14 2 2 2 3" xfId="17458" xr:uid="{00000000-0005-0000-0000-000057110000}"/>
    <cellStyle name="20% - Accent3 14 2 2 3" xfId="2174" xr:uid="{00000000-0005-0000-0000-000058110000}"/>
    <cellStyle name="20% - Accent3 14 2 2 3 2" xfId="13508" xr:uid="{00000000-0005-0000-0000-000059110000}"/>
    <cellStyle name="20% - Accent3 14 2 2 3 3" xfId="17459" xr:uid="{00000000-0005-0000-0000-00005A110000}"/>
    <cellStyle name="20% - Accent3 14 2 2 4" xfId="13506" xr:uid="{00000000-0005-0000-0000-00005B110000}"/>
    <cellStyle name="20% - Accent3 14 2 2 5" xfId="17457" xr:uid="{00000000-0005-0000-0000-00005C110000}"/>
    <cellStyle name="20% - Accent3 14 2 3" xfId="2175" xr:uid="{00000000-0005-0000-0000-00005D110000}"/>
    <cellStyle name="20% - Accent3 14 2 3 2" xfId="2176" xr:uid="{00000000-0005-0000-0000-00005E110000}"/>
    <cellStyle name="20% - Accent3 14 2 3 2 2" xfId="13510" xr:uid="{00000000-0005-0000-0000-00005F110000}"/>
    <cellStyle name="20% - Accent3 14 2 3 2 3" xfId="17461" xr:uid="{00000000-0005-0000-0000-000060110000}"/>
    <cellStyle name="20% - Accent3 14 2 3 3" xfId="2177" xr:uid="{00000000-0005-0000-0000-000061110000}"/>
    <cellStyle name="20% - Accent3 14 2 3 3 2" xfId="13511" xr:uid="{00000000-0005-0000-0000-000062110000}"/>
    <cellStyle name="20% - Accent3 14 2 3 3 3" xfId="17462" xr:uid="{00000000-0005-0000-0000-000063110000}"/>
    <cellStyle name="20% - Accent3 14 2 3 4" xfId="13509" xr:uid="{00000000-0005-0000-0000-000064110000}"/>
    <cellStyle name="20% - Accent3 14 2 3 5" xfId="17460" xr:uid="{00000000-0005-0000-0000-000065110000}"/>
    <cellStyle name="20% - Accent3 14 2 4" xfId="2178" xr:uid="{00000000-0005-0000-0000-000066110000}"/>
    <cellStyle name="20% - Accent3 14 2 4 2" xfId="2179" xr:uid="{00000000-0005-0000-0000-000067110000}"/>
    <cellStyle name="20% - Accent3 14 2 4 2 2" xfId="13513" xr:uid="{00000000-0005-0000-0000-000068110000}"/>
    <cellStyle name="20% - Accent3 14 2 4 2 3" xfId="17464" xr:uid="{00000000-0005-0000-0000-000069110000}"/>
    <cellStyle name="20% - Accent3 14 2 4 3" xfId="2180" xr:uid="{00000000-0005-0000-0000-00006A110000}"/>
    <cellStyle name="20% - Accent3 14 2 4 3 2" xfId="13514" xr:uid="{00000000-0005-0000-0000-00006B110000}"/>
    <cellStyle name="20% - Accent3 14 2 4 3 3" xfId="17465" xr:uid="{00000000-0005-0000-0000-00006C110000}"/>
    <cellStyle name="20% - Accent3 14 2 4 4" xfId="13512" xr:uid="{00000000-0005-0000-0000-00006D110000}"/>
    <cellStyle name="20% - Accent3 14 2 4 5" xfId="17463" xr:uid="{00000000-0005-0000-0000-00006E110000}"/>
    <cellStyle name="20% - Accent3 14 2 5" xfId="2181" xr:uid="{00000000-0005-0000-0000-00006F110000}"/>
    <cellStyle name="20% - Accent3 14 2 5 2" xfId="13515" xr:uid="{00000000-0005-0000-0000-000070110000}"/>
    <cellStyle name="20% - Accent3 14 2 5 3" xfId="17466" xr:uid="{00000000-0005-0000-0000-000071110000}"/>
    <cellStyle name="20% - Accent3 14 2 6" xfId="2182" xr:uid="{00000000-0005-0000-0000-000072110000}"/>
    <cellStyle name="20% - Accent3 14 2 6 2" xfId="13516" xr:uid="{00000000-0005-0000-0000-000073110000}"/>
    <cellStyle name="20% - Accent3 14 2 6 3" xfId="17467" xr:uid="{00000000-0005-0000-0000-000074110000}"/>
    <cellStyle name="20% - Accent3 14 2 7" xfId="13505" xr:uid="{00000000-0005-0000-0000-000075110000}"/>
    <cellStyle name="20% - Accent3 14 2 8" xfId="17456" xr:uid="{00000000-0005-0000-0000-000076110000}"/>
    <cellStyle name="20% - Accent3 14 2_Volatility" xfId="2183" xr:uid="{00000000-0005-0000-0000-000077110000}"/>
    <cellStyle name="20% - Accent3 14 3" xfId="2184" xr:uid="{00000000-0005-0000-0000-000078110000}"/>
    <cellStyle name="20% - Accent3 14 3 2" xfId="2185" xr:uid="{00000000-0005-0000-0000-000079110000}"/>
    <cellStyle name="20% - Accent3 14 3 2 2" xfId="2186" xr:uid="{00000000-0005-0000-0000-00007A110000}"/>
    <cellStyle name="20% - Accent3 14 3 2 2 2" xfId="13519" xr:uid="{00000000-0005-0000-0000-00007B110000}"/>
    <cellStyle name="20% - Accent3 14 3 2 2 3" xfId="17470" xr:uid="{00000000-0005-0000-0000-00007C110000}"/>
    <cellStyle name="20% - Accent3 14 3 2 3" xfId="2187" xr:uid="{00000000-0005-0000-0000-00007D110000}"/>
    <cellStyle name="20% - Accent3 14 3 2 3 2" xfId="13520" xr:uid="{00000000-0005-0000-0000-00007E110000}"/>
    <cellStyle name="20% - Accent3 14 3 2 3 3" xfId="17471" xr:uid="{00000000-0005-0000-0000-00007F110000}"/>
    <cellStyle name="20% - Accent3 14 3 2 4" xfId="13518" xr:uid="{00000000-0005-0000-0000-000080110000}"/>
    <cellStyle name="20% - Accent3 14 3 2 5" xfId="17469" xr:uid="{00000000-0005-0000-0000-000081110000}"/>
    <cellStyle name="20% - Accent3 14 3 3" xfId="2188" xr:uid="{00000000-0005-0000-0000-000082110000}"/>
    <cellStyle name="20% - Accent3 14 3 3 2" xfId="2189" xr:uid="{00000000-0005-0000-0000-000083110000}"/>
    <cellStyle name="20% - Accent3 14 3 3 2 2" xfId="13522" xr:uid="{00000000-0005-0000-0000-000084110000}"/>
    <cellStyle name="20% - Accent3 14 3 3 2 3" xfId="17473" xr:uid="{00000000-0005-0000-0000-000085110000}"/>
    <cellStyle name="20% - Accent3 14 3 3 3" xfId="2190" xr:uid="{00000000-0005-0000-0000-000086110000}"/>
    <cellStyle name="20% - Accent3 14 3 3 3 2" xfId="13523" xr:uid="{00000000-0005-0000-0000-000087110000}"/>
    <cellStyle name="20% - Accent3 14 3 3 3 3" xfId="17474" xr:uid="{00000000-0005-0000-0000-000088110000}"/>
    <cellStyle name="20% - Accent3 14 3 3 4" xfId="13521" xr:uid="{00000000-0005-0000-0000-000089110000}"/>
    <cellStyle name="20% - Accent3 14 3 3 5" xfId="17472" xr:uid="{00000000-0005-0000-0000-00008A110000}"/>
    <cellStyle name="20% - Accent3 14 3 4" xfId="2191" xr:uid="{00000000-0005-0000-0000-00008B110000}"/>
    <cellStyle name="20% - Accent3 14 3 4 2" xfId="13524" xr:uid="{00000000-0005-0000-0000-00008C110000}"/>
    <cellStyle name="20% - Accent3 14 3 4 3" xfId="17475" xr:uid="{00000000-0005-0000-0000-00008D110000}"/>
    <cellStyle name="20% - Accent3 14 3 5" xfId="2192" xr:uid="{00000000-0005-0000-0000-00008E110000}"/>
    <cellStyle name="20% - Accent3 14 3 5 2" xfId="13525" xr:uid="{00000000-0005-0000-0000-00008F110000}"/>
    <cellStyle name="20% - Accent3 14 3 5 3" xfId="17476" xr:uid="{00000000-0005-0000-0000-000090110000}"/>
    <cellStyle name="20% - Accent3 14 3 6" xfId="13517" xr:uid="{00000000-0005-0000-0000-000091110000}"/>
    <cellStyle name="20% - Accent3 14 3 7" xfId="17468" xr:uid="{00000000-0005-0000-0000-000092110000}"/>
    <cellStyle name="20% - Accent3 14 3_Volatility" xfId="2193" xr:uid="{00000000-0005-0000-0000-000093110000}"/>
    <cellStyle name="20% - Accent3 14 4" xfId="2194" xr:uid="{00000000-0005-0000-0000-000094110000}"/>
    <cellStyle name="20% - Accent3 14 4 2" xfId="2195" xr:uid="{00000000-0005-0000-0000-000095110000}"/>
    <cellStyle name="20% - Accent3 14 4 2 2" xfId="13527" xr:uid="{00000000-0005-0000-0000-000096110000}"/>
    <cellStyle name="20% - Accent3 14 4 2 3" xfId="17478" xr:uid="{00000000-0005-0000-0000-000097110000}"/>
    <cellStyle name="20% - Accent3 14 4 3" xfId="2196" xr:uid="{00000000-0005-0000-0000-000098110000}"/>
    <cellStyle name="20% - Accent3 14 4 3 2" xfId="13528" xr:uid="{00000000-0005-0000-0000-000099110000}"/>
    <cellStyle name="20% - Accent3 14 4 3 3" xfId="17479" xr:uid="{00000000-0005-0000-0000-00009A110000}"/>
    <cellStyle name="20% - Accent3 14 4 4" xfId="13526" xr:uid="{00000000-0005-0000-0000-00009B110000}"/>
    <cellStyle name="20% - Accent3 14 4 5" xfId="17477" xr:uid="{00000000-0005-0000-0000-00009C110000}"/>
    <cellStyle name="20% - Accent3 14 5" xfId="2197" xr:uid="{00000000-0005-0000-0000-00009D110000}"/>
    <cellStyle name="20% - Accent3 14 5 2" xfId="2198" xr:uid="{00000000-0005-0000-0000-00009E110000}"/>
    <cellStyle name="20% - Accent3 14 5 2 2" xfId="13530" xr:uid="{00000000-0005-0000-0000-00009F110000}"/>
    <cellStyle name="20% - Accent3 14 5 2 3" xfId="17481" xr:uid="{00000000-0005-0000-0000-0000A0110000}"/>
    <cellStyle name="20% - Accent3 14 5 3" xfId="2199" xr:uid="{00000000-0005-0000-0000-0000A1110000}"/>
    <cellStyle name="20% - Accent3 14 5 3 2" xfId="13531" xr:uid="{00000000-0005-0000-0000-0000A2110000}"/>
    <cellStyle name="20% - Accent3 14 5 3 3" xfId="17482" xr:uid="{00000000-0005-0000-0000-0000A3110000}"/>
    <cellStyle name="20% - Accent3 14 5 4" xfId="13529" xr:uid="{00000000-0005-0000-0000-0000A4110000}"/>
    <cellStyle name="20% - Accent3 14 5 5" xfId="17480" xr:uid="{00000000-0005-0000-0000-0000A5110000}"/>
    <cellStyle name="20% - Accent3 14 6" xfId="2200" xr:uid="{00000000-0005-0000-0000-0000A6110000}"/>
    <cellStyle name="20% - Accent3 14 6 2" xfId="2201" xr:uid="{00000000-0005-0000-0000-0000A7110000}"/>
    <cellStyle name="20% - Accent3 14 6 2 2" xfId="13533" xr:uid="{00000000-0005-0000-0000-0000A8110000}"/>
    <cellStyle name="20% - Accent3 14 6 2 3" xfId="17484" xr:uid="{00000000-0005-0000-0000-0000A9110000}"/>
    <cellStyle name="20% - Accent3 14 6 3" xfId="2202" xr:uid="{00000000-0005-0000-0000-0000AA110000}"/>
    <cellStyle name="20% - Accent3 14 6 3 2" xfId="13534" xr:uid="{00000000-0005-0000-0000-0000AB110000}"/>
    <cellStyle name="20% - Accent3 14 6 3 3" xfId="17485" xr:uid="{00000000-0005-0000-0000-0000AC110000}"/>
    <cellStyle name="20% - Accent3 14 6 4" xfId="13532" xr:uid="{00000000-0005-0000-0000-0000AD110000}"/>
    <cellStyle name="20% - Accent3 14 6 5" xfId="17483" xr:uid="{00000000-0005-0000-0000-0000AE110000}"/>
    <cellStyle name="20% - Accent3 14 7" xfId="2203" xr:uid="{00000000-0005-0000-0000-0000AF110000}"/>
    <cellStyle name="20% - Accent3 14 7 2" xfId="13535" xr:uid="{00000000-0005-0000-0000-0000B0110000}"/>
    <cellStyle name="20% - Accent3 14 7 3" xfId="17486" xr:uid="{00000000-0005-0000-0000-0000B1110000}"/>
    <cellStyle name="20% - Accent3 14 8" xfId="2204" xr:uid="{00000000-0005-0000-0000-0000B2110000}"/>
    <cellStyle name="20% - Accent3 14 8 2" xfId="13536" xr:uid="{00000000-0005-0000-0000-0000B3110000}"/>
    <cellStyle name="20% - Accent3 14 8 3" xfId="17487" xr:uid="{00000000-0005-0000-0000-0000B4110000}"/>
    <cellStyle name="20% - Accent3 14 9" xfId="13504" xr:uid="{00000000-0005-0000-0000-0000B5110000}"/>
    <cellStyle name="20% - Accent3 14_Volatility" xfId="2205" xr:uid="{00000000-0005-0000-0000-0000B6110000}"/>
    <cellStyle name="20% - Accent3 15" xfId="2206" xr:uid="{00000000-0005-0000-0000-0000B7110000}"/>
    <cellStyle name="20% - Accent3 15 10" xfId="17488" xr:uid="{00000000-0005-0000-0000-0000B8110000}"/>
    <cellStyle name="20% - Accent3 15 2" xfId="2207" xr:uid="{00000000-0005-0000-0000-0000B9110000}"/>
    <cellStyle name="20% - Accent3 15 2 2" xfId="2208" xr:uid="{00000000-0005-0000-0000-0000BA110000}"/>
    <cellStyle name="20% - Accent3 15 2 2 2" xfId="2209" xr:uid="{00000000-0005-0000-0000-0000BB110000}"/>
    <cellStyle name="20% - Accent3 15 2 2 2 2" xfId="13540" xr:uid="{00000000-0005-0000-0000-0000BC110000}"/>
    <cellStyle name="20% - Accent3 15 2 2 2 3" xfId="17491" xr:uid="{00000000-0005-0000-0000-0000BD110000}"/>
    <cellStyle name="20% - Accent3 15 2 2 3" xfId="2210" xr:uid="{00000000-0005-0000-0000-0000BE110000}"/>
    <cellStyle name="20% - Accent3 15 2 2 3 2" xfId="13541" xr:uid="{00000000-0005-0000-0000-0000BF110000}"/>
    <cellStyle name="20% - Accent3 15 2 2 3 3" xfId="17492" xr:uid="{00000000-0005-0000-0000-0000C0110000}"/>
    <cellStyle name="20% - Accent3 15 2 2 4" xfId="13539" xr:uid="{00000000-0005-0000-0000-0000C1110000}"/>
    <cellStyle name="20% - Accent3 15 2 2 5" xfId="17490" xr:uid="{00000000-0005-0000-0000-0000C2110000}"/>
    <cellStyle name="20% - Accent3 15 2 3" xfId="2211" xr:uid="{00000000-0005-0000-0000-0000C3110000}"/>
    <cellStyle name="20% - Accent3 15 2 3 2" xfId="2212" xr:uid="{00000000-0005-0000-0000-0000C4110000}"/>
    <cellStyle name="20% - Accent3 15 2 3 2 2" xfId="13543" xr:uid="{00000000-0005-0000-0000-0000C5110000}"/>
    <cellStyle name="20% - Accent3 15 2 3 2 3" xfId="17494" xr:uid="{00000000-0005-0000-0000-0000C6110000}"/>
    <cellStyle name="20% - Accent3 15 2 3 3" xfId="2213" xr:uid="{00000000-0005-0000-0000-0000C7110000}"/>
    <cellStyle name="20% - Accent3 15 2 3 3 2" xfId="13544" xr:uid="{00000000-0005-0000-0000-0000C8110000}"/>
    <cellStyle name="20% - Accent3 15 2 3 3 3" xfId="17495" xr:uid="{00000000-0005-0000-0000-0000C9110000}"/>
    <cellStyle name="20% - Accent3 15 2 3 4" xfId="13542" xr:uid="{00000000-0005-0000-0000-0000CA110000}"/>
    <cellStyle name="20% - Accent3 15 2 3 5" xfId="17493" xr:uid="{00000000-0005-0000-0000-0000CB110000}"/>
    <cellStyle name="20% - Accent3 15 2 4" xfId="2214" xr:uid="{00000000-0005-0000-0000-0000CC110000}"/>
    <cellStyle name="20% - Accent3 15 2 4 2" xfId="2215" xr:uid="{00000000-0005-0000-0000-0000CD110000}"/>
    <cellStyle name="20% - Accent3 15 2 4 2 2" xfId="13546" xr:uid="{00000000-0005-0000-0000-0000CE110000}"/>
    <cellStyle name="20% - Accent3 15 2 4 2 3" xfId="17497" xr:uid="{00000000-0005-0000-0000-0000CF110000}"/>
    <cellStyle name="20% - Accent3 15 2 4 3" xfId="2216" xr:uid="{00000000-0005-0000-0000-0000D0110000}"/>
    <cellStyle name="20% - Accent3 15 2 4 3 2" xfId="13547" xr:uid="{00000000-0005-0000-0000-0000D1110000}"/>
    <cellStyle name="20% - Accent3 15 2 4 3 3" xfId="17498" xr:uid="{00000000-0005-0000-0000-0000D2110000}"/>
    <cellStyle name="20% - Accent3 15 2 4 4" xfId="13545" xr:uid="{00000000-0005-0000-0000-0000D3110000}"/>
    <cellStyle name="20% - Accent3 15 2 4 5" xfId="17496" xr:uid="{00000000-0005-0000-0000-0000D4110000}"/>
    <cellStyle name="20% - Accent3 15 2 5" xfId="2217" xr:uid="{00000000-0005-0000-0000-0000D5110000}"/>
    <cellStyle name="20% - Accent3 15 2 5 2" xfId="13548" xr:uid="{00000000-0005-0000-0000-0000D6110000}"/>
    <cellStyle name="20% - Accent3 15 2 5 3" xfId="17499" xr:uid="{00000000-0005-0000-0000-0000D7110000}"/>
    <cellStyle name="20% - Accent3 15 2 6" xfId="2218" xr:uid="{00000000-0005-0000-0000-0000D8110000}"/>
    <cellStyle name="20% - Accent3 15 2 6 2" xfId="13549" xr:uid="{00000000-0005-0000-0000-0000D9110000}"/>
    <cellStyle name="20% - Accent3 15 2 6 3" xfId="17500" xr:uid="{00000000-0005-0000-0000-0000DA110000}"/>
    <cellStyle name="20% - Accent3 15 2 7" xfId="13538" xr:uid="{00000000-0005-0000-0000-0000DB110000}"/>
    <cellStyle name="20% - Accent3 15 2 8" xfId="17489" xr:uid="{00000000-0005-0000-0000-0000DC110000}"/>
    <cellStyle name="20% - Accent3 15 2_Volatility" xfId="2219" xr:uid="{00000000-0005-0000-0000-0000DD110000}"/>
    <cellStyle name="20% - Accent3 15 3" xfId="2220" xr:uid="{00000000-0005-0000-0000-0000DE110000}"/>
    <cellStyle name="20% - Accent3 15 3 2" xfId="2221" xr:uid="{00000000-0005-0000-0000-0000DF110000}"/>
    <cellStyle name="20% - Accent3 15 3 2 2" xfId="2222" xr:uid="{00000000-0005-0000-0000-0000E0110000}"/>
    <cellStyle name="20% - Accent3 15 3 2 2 2" xfId="13552" xr:uid="{00000000-0005-0000-0000-0000E1110000}"/>
    <cellStyle name="20% - Accent3 15 3 2 2 3" xfId="17503" xr:uid="{00000000-0005-0000-0000-0000E2110000}"/>
    <cellStyle name="20% - Accent3 15 3 2 3" xfId="2223" xr:uid="{00000000-0005-0000-0000-0000E3110000}"/>
    <cellStyle name="20% - Accent3 15 3 2 3 2" xfId="13553" xr:uid="{00000000-0005-0000-0000-0000E4110000}"/>
    <cellStyle name="20% - Accent3 15 3 2 3 3" xfId="17504" xr:uid="{00000000-0005-0000-0000-0000E5110000}"/>
    <cellStyle name="20% - Accent3 15 3 2 4" xfId="13551" xr:uid="{00000000-0005-0000-0000-0000E6110000}"/>
    <cellStyle name="20% - Accent3 15 3 2 5" xfId="17502" xr:uid="{00000000-0005-0000-0000-0000E7110000}"/>
    <cellStyle name="20% - Accent3 15 3 3" xfId="2224" xr:uid="{00000000-0005-0000-0000-0000E8110000}"/>
    <cellStyle name="20% - Accent3 15 3 3 2" xfId="2225" xr:uid="{00000000-0005-0000-0000-0000E9110000}"/>
    <cellStyle name="20% - Accent3 15 3 3 2 2" xfId="13555" xr:uid="{00000000-0005-0000-0000-0000EA110000}"/>
    <cellStyle name="20% - Accent3 15 3 3 2 3" xfId="17506" xr:uid="{00000000-0005-0000-0000-0000EB110000}"/>
    <cellStyle name="20% - Accent3 15 3 3 3" xfId="2226" xr:uid="{00000000-0005-0000-0000-0000EC110000}"/>
    <cellStyle name="20% - Accent3 15 3 3 3 2" xfId="13556" xr:uid="{00000000-0005-0000-0000-0000ED110000}"/>
    <cellStyle name="20% - Accent3 15 3 3 3 3" xfId="17507" xr:uid="{00000000-0005-0000-0000-0000EE110000}"/>
    <cellStyle name="20% - Accent3 15 3 3 4" xfId="13554" xr:uid="{00000000-0005-0000-0000-0000EF110000}"/>
    <cellStyle name="20% - Accent3 15 3 3 5" xfId="17505" xr:uid="{00000000-0005-0000-0000-0000F0110000}"/>
    <cellStyle name="20% - Accent3 15 3 4" xfId="2227" xr:uid="{00000000-0005-0000-0000-0000F1110000}"/>
    <cellStyle name="20% - Accent3 15 3 4 2" xfId="13557" xr:uid="{00000000-0005-0000-0000-0000F2110000}"/>
    <cellStyle name="20% - Accent3 15 3 4 3" xfId="17508" xr:uid="{00000000-0005-0000-0000-0000F3110000}"/>
    <cellStyle name="20% - Accent3 15 3 5" xfId="2228" xr:uid="{00000000-0005-0000-0000-0000F4110000}"/>
    <cellStyle name="20% - Accent3 15 3 5 2" xfId="13558" xr:uid="{00000000-0005-0000-0000-0000F5110000}"/>
    <cellStyle name="20% - Accent3 15 3 5 3" xfId="17509" xr:uid="{00000000-0005-0000-0000-0000F6110000}"/>
    <cellStyle name="20% - Accent3 15 3 6" xfId="13550" xr:uid="{00000000-0005-0000-0000-0000F7110000}"/>
    <cellStyle name="20% - Accent3 15 3 7" xfId="17501" xr:uid="{00000000-0005-0000-0000-0000F8110000}"/>
    <cellStyle name="20% - Accent3 15 3_Volatility" xfId="2229" xr:uid="{00000000-0005-0000-0000-0000F9110000}"/>
    <cellStyle name="20% - Accent3 15 4" xfId="2230" xr:uid="{00000000-0005-0000-0000-0000FA110000}"/>
    <cellStyle name="20% - Accent3 15 4 2" xfId="2231" xr:uid="{00000000-0005-0000-0000-0000FB110000}"/>
    <cellStyle name="20% - Accent3 15 4 2 2" xfId="13560" xr:uid="{00000000-0005-0000-0000-0000FC110000}"/>
    <cellStyle name="20% - Accent3 15 4 2 3" xfId="17511" xr:uid="{00000000-0005-0000-0000-0000FD110000}"/>
    <cellStyle name="20% - Accent3 15 4 3" xfId="2232" xr:uid="{00000000-0005-0000-0000-0000FE110000}"/>
    <cellStyle name="20% - Accent3 15 4 3 2" xfId="13561" xr:uid="{00000000-0005-0000-0000-0000FF110000}"/>
    <cellStyle name="20% - Accent3 15 4 3 3" xfId="17512" xr:uid="{00000000-0005-0000-0000-000000120000}"/>
    <cellStyle name="20% - Accent3 15 4 4" xfId="13559" xr:uid="{00000000-0005-0000-0000-000001120000}"/>
    <cellStyle name="20% - Accent3 15 4 5" xfId="17510" xr:uid="{00000000-0005-0000-0000-000002120000}"/>
    <cellStyle name="20% - Accent3 15 5" xfId="2233" xr:uid="{00000000-0005-0000-0000-000003120000}"/>
    <cellStyle name="20% - Accent3 15 5 2" xfId="2234" xr:uid="{00000000-0005-0000-0000-000004120000}"/>
    <cellStyle name="20% - Accent3 15 5 2 2" xfId="13563" xr:uid="{00000000-0005-0000-0000-000005120000}"/>
    <cellStyle name="20% - Accent3 15 5 2 3" xfId="17514" xr:uid="{00000000-0005-0000-0000-000006120000}"/>
    <cellStyle name="20% - Accent3 15 5 3" xfId="2235" xr:uid="{00000000-0005-0000-0000-000007120000}"/>
    <cellStyle name="20% - Accent3 15 5 3 2" xfId="13564" xr:uid="{00000000-0005-0000-0000-000008120000}"/>
    <cellStyle name="20% - Accent3 15 5 3 3" xfId="17515" xr:uid="{00000000-0005-0000-0000-000009120000}"/>
    <cellStyle name="20% - Accent3 15 5 4" xfId="13562" xr:uid="{00000000-0005-0000-0000-00000A120000}"/>
    <cellStyle name="20% - Accent3 15 5 5" xfId="17513" xr:uid="{00000000-0005-0000-0000-00000B120000}"/>
    <cellStyle name="20% - Accent3 15 6" xfId="2236" xr:uid="{00000000-0005-0000-0000-00000C120000}"/>
    <cellStyle name="20% - Accent3 15 6 2" xfId="2237" xr:uid="{00000000-0005-0000-0000-00000D120000}"/>
    <cellStyle name="20% - Accent3 15 6 2 2" xfId="13566" xr:uid="{00000000-0005-0000-0000-00000E120000}"/>
    <cellStyle name="20% - Accent3 15 6 2 3" xfId="17517" xr:uid="{00000000-0005-0000-0000-00000F120000}"/>
    <cellStyle name="20% - Accent3 15 6 3" xfId="2238" xr:uid="{00000000-0005-0000-0000-000010120000}"/>
    <cellStyle name="20% - Accent3 15 6 3 2" xfId="13567" xr:uid="{00000000-0005-0000-0000-000011120000}"/>
    <cellStyle name="20% - Accent3 15 6 3 3" xfId="17518" xr:uid="{00000000-0005-0000-0000-000012120000}"/>
    <cellStyle name="20% - Accent3 15 6 4" xfId="13565" xr:uid="{00000000-0005-0000-0000-000013120000}"/>
    <cellStyle name="20% - Accent3 15 6 5" xfId="17516" xr:uid="{00000000-0005-0000-0000-000014120000}"/>
    <cellStyle name="20% - Accent3 15 7" xfId="2239" xr:uid="{00000000-0005-0000-0000-000015120000}"/>
    <cellStyle name="20% - Accent3 15 7 2" xfId="13568" xr:uid="{00000000-0005-0000-0000-000016120000}"/>
    <cellStyle name="20% - Accent3 15 7 3" xfId="17519" xr:uid="{00000000-0005-0000-0000-000017120000}"/>
    <cellStyle name="20% - Accent3 15 8" xfId="2240" xr:uid="{00000000-0005-0000-0000-000018120000}"/>
    <cellStyle name="20% - Accent3 15 8 2" xfId="13569" xr:uid="{00000000-0005-0000-0000-000019120000}"/>
    <cellStyle name="20% - Accent3 15 8 3" xfId="17520" xr:uid="{00000000-0005-0000-0000-00001A120000}"/>
    <cellStyle name="20% - Accent3 15 9" xfId="13537" xr:uid="{00000000-0005-0000-0000-00001B120000}"/>
    <cellStyle name="20% - Accent3 15_Volatility" xfId="2241" xr:uid="{00000000-0005-0000-0000-00001C120000}"/>
    <cellStyle name="20% - Accent3 16" xfId="2242" xr:uid="{00000000-0005-0000-0000-00001D120000}"/>
    <cellStyle name="20% - Accent3 16 2" xfId="13570" xr:uid="{00000000-0005-0000-0000-00001E120000}"/>
    <cellStyle name="20% - Accent3 16 3" xfId="17521" xr:uid="{00000000-0005-0000-0000-00001F120000}"/>
    <cellStyle name="20% - Accent3 17" xfId="2243" xr:uid="{00000000-0005-0000-0000-000020120000}"/>
    <cellStyle name="20% - Accent3 17 2" xfId="13571" xr:uid="{00000000-0005-0000-0000-000021120000}"/>
    <cellStyle name="20% - Accent3 17 3" xfId="17522" xr:uid="{00000000-0005-0000-0000-000022120000}"/>
    <cellStyle name="20% - Accent3 18" xfId="2244" xr:uid="{00000000-0005-0000-0000-000023120000}"/>
    <cellStyle name="20% - Accent3 18 2" xfId="13572" xr:uid="{00000000-0005-0000-0000-000024120000}"/>
    <cellStyle name="20% - Accent3 18 3" xfId="17523" xr:uid="{00000000-0005-0000-0000-000025120000}"/>
    <cellStyle name="20% - Accent3 19" xfId="2245" xr:uid="{00000000-0005-0000-0000-000026120000}"/>
    <cellStyle name="20% - Accent3 19 2" xfId="13573" xr:uid="{00000000-0005-0000-0000-000027120000}"/>
    <cellStyle name="20% - Accent3 19 3" xfId="17524" xr:uid="{00000000-0005-0000-0000-000028120000}"/>
    <cellStyle name="20% - Accent3 2" xfId="2246" xr:uid="{00000000-0005-0000-0000-000029120000}"/>
    <cellStyle name="20% - Accent3 2 10" xfId="17525" xr:uid="{00000000-0005-0000-0000-00002A120000}"/>
    <cellStyle name="20% - Accent3 2 2" xfId="2247" xr:uid="{00000000-0005-0000-0000-00002B120000}"/>
    <cellStyle name="20% - Accent3 2 2 2" xfId="2248" xr:uid="{00000000-0005-0000-0000-00002C120000}"/>
    <cellStyle name="20% - Accent3 2 2 2 2" xfId="2249" xr:uid="{00000000-0005-0000-0000-00002D120000}"/>
    <cellStyle name="20% - Accent3 2 2 2 2 2" xfId="13577" xr:uid="{00000000-0005-0000-0000-00002E120000}"/>
    <cellStyle name="20% - Accent3 2 2 2 2 3" xfId="17528" xr:uid="{00000000-0005-0000-0000-00002F120000}"/>
    <cellStyle name="20% - Accent3 2 2 2 3" xfId="2250" xr:uid="{00000000-0005-0000-0000-000030120000}"/>
    <cellStyle name="20% - Accent3 2 2 2 3 2" xfId="13578" xr:uid="{00000000-0005-0000-0000-000031120000}"/>
    <cellStyle name="20% - Accent3 2 2 2 3 3" xfId="17529" xr:uid="{00000000-0005-0000-0000-000032120000}"/>
    <cellStyle name="20% - Accent3 2 2 2 4" xfId="13576" xr:uid="{00000000-0005-0000-0000-000033120000}"/>
    <cellStyle name="20% - Accent3 2 2 2 5" xfId="17527" xr:uid="{00000000-0005-0000-0000-000034120000}"/>
    <cellStyle name="20% - Accent3 2 2 3" xfId="2251" xr:uid="{00000000-0005-0000-0000-000035120000}"/>
    <cellStyle name="20% - Accent3 2 2 3 2" xfId="2252" xr:uid="{00000000-0005-0000-0000-000036120000}"/>
    <cellStyle name="20% - Accent3 2 2 3 2 2" xfId="13580" xr:uid="{00000000-0005-0000-0000-000037120000}"/>
    <cellStyle name="20% - Accent3 2 2 3 2 3" xfId="17531" xr:uid="{00000000-0005-0000-0000-000038120000}"/>
    <cellStyle name="20% - Accent3 2 2 3 3" xfId="2253" xr:uid="{00000000-0005-0000-0000-000039120000}"/>
    <cellStyle name="20% - Accent3 2 2 3 3 2" xfId="13581" xr:uid="{00000000-0005-0000-0000-00003A120000}"/>
    <cellStyle name="20% - Accent3 2 2 3 3 3" xfId="17532" xr:uid="{00000000-0005-0000-0000-00003B120000}"/>
    <cellStyle name="20% - Accent3 2 2 3 4" xfId="13579" xr:uid="{00000000-0005-0000-0000-00003C120000}"/>
    <cellStyle name="20% - Accent3 2 2 3 5" xfId="17530" xr:uid="{00000000-0005-0000-0000-00003D120000}"/>
    <cellStyle name="20% - Accent3 2 2 4" xfId="2254" xr:uid="{00000000-0005-0000-0000-00003E120000}"/>
    <cellStyle name="20% - Accent3 2 2 4 2" xfId="2255" xr:uid="{00000000-0005-0000-0000-00003F120000}"/>
    <cellStyle name="20% - Accent3 2 2 4 2 2" xfId="13583" xr:uid="{00000000-0005-0000-0000-000040120000}"/>
    <cellStyle name="20% - Accent3 2 2 4 2 3" xfId="17534" xr:uid="{00000000-0005-0000-0000-000041120000}"/>
    <cellStyle name="20% - Accent3 2 2 4 3" xfId="2256" xr:uid="{00000000-0005-0000-0000-000042120000}"/>
    <cellStyle name="20% - Accent3 2 2 4 3 2" xfId="13584" xr:uid="{00000000-0005-0000-0000-000043120000}"/>
    <cellStyle name="20% - Accent3 2 2 4 3 3" xfId="17535" xr:uid="{00000000-0005-0000-0000-000044120000}"/>
    <cellStyle name="20% - Accent3 2 2 4 4" xfId="13582" xr:uid="{00000000-0005-0000-0000-000045120000}"/>
    <cellStyle name="20% - Accent3 2 2 4 5" xfId="17533" xr:uid="{00000000-0005-0000-0000-000046120000}"/>
    <cellStyle name="20% - Accent3 2 2 5" xfId="2257" xr:uid="{00000000-0005-0000-0000-000047120000}"/>
    <cellStyle name="20% - Accent3 2 2 5 2" xfId="13585" xr:uid="{00000000-0005-0000-0000-000048120000}"/>
    <cellStyle name="20% - Accent3 2 2 5 3" xfId="17536" xr:uid="{00000000-0005-0000-0000-000049120000}"/>
    <cellStyle name="20% - Accent3 2 2 6" xfId="2258" xr:uid="{00000000-0005-0000-0000-00004A120000}"/>
    <cellStyle name="20% - Accent3 2 2 6 2" xfId="13586" xr:uid="{00000000-0005-0000-0000-00004B120000}"/>
    <cellStyle name="20% - Accent3 2 2 6 3" xfId="17537" xr:uid="{00000000-0005-0000-0000-00004C120000}"/>
    <cellStyle name="20% - Accent3 2 2 7" xfId="13575" xr:uid="{00000000-0005-0000-0000-00004D120000}"/>
    <cellStyle name="20% - Accent3 2 2 8" xfId="17526" xr:uid="{00000000-0005-0000-0000-00004E120000}"/>
    <cellStyle name="20% - Accent3 2 2_Volatility" xfId="2259" xr:uid="{00000000-0005-0000-0000-00004F120000}"/>
    <cellStyle name="20% - Accent3 2 3" xfId="2260" xr:uid="{00000000-0005-0000-0000-000050120000}"/>
    <cellStyle name="20% - Accent3 2 3 2" xfId="2261" xr:uid="{00000000-0005-0000-0000-000051120000}"/>
    <cellStyle name="20% - Accent3 2 3 2 2" xfId="2262" xr:uid="{00000000-0005-0000-0000-000052120000}"/>
    <cellStyle name="20% - Accent3 2 3 2 2 2" xfId="13589" xr:uid="{00000000-0005-0000-0000-000053120000}"/>
    <cellStyle name="20% - Accent3 2 3 2 2 3" xfId="17540" xr:uid="{00000000-0005-0000-0000-000054120000}"/>
    <cellStyle name="20% - Accent3 2 3 2 3" xfId="2263" xr:uid="{00000000-0005-0000-0000-000055120000}"/>
    <cellStyle name="20% - Accent3 2 3 2 3 2" xfId="13590" xr:uid="{00000000-0005-0000-0000-000056120000}"/>
    <cellStyle name="20% - Accent3 2 3 2 3 3" xfId="17541" xr:uid="{00000000-0005-0000-0000-000057120000}"/>
    <cellStyle name="20% - Accent3 2 3 2 4" xfId="13588" xr:uid="{00000000-0005-0000-0000-000058120000}"/>
    <cellStyle name="20% - Accent3 2 3 2 5" xfId="17539" xr:uid="{00000000-0005-0000-0000-000059120000}"/>
    <cellStyle name="20% - Accent3 2 3 3" xfId="2264" xr:uid="{00000000-0005-0000-0000-00005A120000}"/>
    <cellStyle name="20% - Accent3 2 3 3 2" xfId="2265" xr:uid="{00000000-0005-0000-0000-00005B120000}"/>
    <cellStyle name="20% - Accent3 2 3 3 2 2" xfId="13592" xr:uid="{00000000-0005-0000-0000-00005C120000}"/>
    <cellStyle name="20% - Accent3 2 3 3 2 3" xfId="17543" xr:uid="{00000000-0005-0000-0000-00005D120000}"/>
    <cellStyle name="20% - Accent3 2 3 3 3" xfId="2266" xr:uid="{00000000-0005-0000-0000-00005E120000}"/>
    <cellStyle name="20% - Accent3 2 3 3 3 2" xfId="13593" xr:uid="{00000000-0005-0000-0000-00005F120000}"/>
    <cellStyle name="20% - Accent3 2 3 3 3 3" xfId="17544" xr:uid="{00000000-0005-0000-0000-000060120000}"/>
    <cellStyle name="20% - Accent3 2 3 3 4" xfId="13591" xr:uid="{00000000-0005-0000-0000-000061120000}"/>
    <cellStyle name="20% - Accent3 2 3 3 5" xfId="17542" xr:uid="{00000000-0005-0000-0000-000062120000}"/>
    <cellStyle name="20% - Accent3 2 3 4" xfId="2267" xr:uid="{00000000-0005-0000-0000-000063120000}"/>
    <cellStyle name="20% - Accent3 2 3 4 2" xfId="13594" xr:uid="{00000000-0005-0000-0000-000064120000}"/>
    <cellStyle name="20% - Accent3 2 3 4 3" xfId="17545" xr:uid="{00000000-0005-0000-0000-000065120000}"/>
    <cellStyle name="20% - Accent3 2 3 5" xfId="2268" xr:uid="{00000000-0005-0000-0000-000066120000}"/>
    <cellStyle name="20% - Accent3 2 3 5 2" xfId="13595" xr:uid="{00000000-0005-0000-0000-000067120000}"/>
    <cellStyle name="20% - Accent3 2 3 5 3" xfId="17546" xr:uid="{00000000-0005-0000-0000-000068120000}"/>
    <cellStyle name="20% - Accent3 2 3 6" xfId="13587" xr:uid="{00000000-0005-0000-0000-000069120000}"/>
    <cellStyle name="20% - Accent3 2 3 7" xfId="17538" xr:uid="{00000000-0005-0000-0000-00006A120000}"/>
    <cellStyle name="20% - Accent3 2 3_Volatility" xfId="2269" xr:uid="{00000000-0005-0000-0000-00006B120000}"/>
    <cellStyle name="20% - Accent3 2 4" xfId="2270" xr:uid="{00000000-0005-0000-0000-00006C120000}"/>
    <cellStyle name="20% - Accent3 2 4 2" xfId="2271" xr:uid="{00000000-0005-0000-0000-00006D120000}"/>
    <cellStyle name="20% - Accent3 2 4 2 2" xfId="13597" xr:uid="{00000000-0005-0000-0000-00006E120000}"/>
    <cellStyle name="20% - Accent3 2 4 2 3" xfId="17548" xr:uid="{00000000-0005-0000-0000-00006F120000}"/>
    <cellStyle name="20% - Accent3 2 4 3" xfId="2272" xr:uid="{00000000-0005-0000-0000-000070120000}"/>
    <cellStyle name="20% - Accent3 2 4 3 2" xfId="13598" xr:uid="{00000000-0005-0000-0000-000071120000}"/>
    <cellStyle name="20% - Accent3 2 4 3 3" xfId="17549" xr:uid="{00000000-0005-0000-0000-000072120000}"/>
    <cellStyle name="20% - Accent3 2 4 4" xfId="13596" xr:uid="{00000000-0005-0000-0000-000073120000}"/>
    <cellStyle name="20% - Accent3 2 4 5" xfId="17547" xr:uid="{00000000-0005-0000-0000-000074120000}"/>
    <cellStyle name="20% - Accent3 2 5" xfId="2273" xr:uid="{00000000-0005-0000-0000-000075120000}"/>
    <cellStyle name="20% - Accent3 2 5 2" xfId="2274" xr:uid="{00000000-0005-0000-0000-000076120000}"/>
    <cellStyle name="20% - Accent3 2 5 2 2" xfId="13600" xr:uid="{00000000-0005-0000-0000-000077120000}"/>
    <cellStyle name="20% - Accent3 2 5 2 3" xfId="17551" xr:uid="{00000000-0005-0000-0000-000078120000}"/>
    <cellStyle name="20% - Accent3 2 5 3" xfId="2275" xr:uid="{00000000-0005-0000-0000-000079120000}"/>
    <cellStyle name="20% - Accent3 2 5 3 2" xfId="13601" xr:uid="{00000000-0005-0000-0000-00007A120000}"/>
    <cellStyle name="20% - Accent3 2 5 3 3" xfId="17552" xr:uid="{00000000-0005-0000-0000-00007B120000}"/>
    <cellStyle name="20% - Accent3 2 5 4" xfId="13599" xr:uid="{00000000-0005-0000-0000-00007C120000}"/>
    <cellStyle name="20% - Accent3 2 5 5" xfId="17550" xr:uid="{00000000-0005-0000-0000-00007D120000}"/>
    <cellStyle name="20% - Accent3 2 6" xfId="2276" xr:uid="{00000000-0005-0000-0000-00007E120000}"/>
    <cellStyle name="20% - Accent3 2 6 2" xfId="2277" xr:uid="{00000000-0005-0000-0000-00007F120000}"/>
    <cellStyle name="20% - Accent3 2 6 2 2" xfId="13603" xr:uid="{00000000-0005-0000-0000-000080120000}"/>
    <cellStyle name="20% - Accent3 2 6 2 3" xfId="17554" xr:uid="{00000000-0005-0000-0000-000081120000}"/>
    <cellStyle name="20% - Accent3 2 6 3" xfId="2278" xr:uid="{00000000-0005-0000-0000-000082120000}"/>
    <cellStyle name="20% - Accent3 2 6 3 2" xfId="13604" xr:uid="{00000000-0005-0000-0000-000083120000}"/>
    <cellStyle name="20% - Accent3 2 6 3 3" xfId="17555" xr:uid="{00000000-0005-0000-0000-000084120000}"/>
    <cellStyle name="20% - Accent3 2 6 4" xfId="13602" xr:uid="{00000000-0005-0000-0000-000085120000}"/>
    <cellStyle name="20% - Accent3 2 6 5" xfId="17553" xr:uid="{00000000-0005-0000-0000-000086120000}"/>
    <cellStyle name="20% - Accent3 2 7" xfId="2279" xr:uid="{00000000-0005-0000-0000-000087120000}"/>
    <cellStyle name="20% - Accent3 2 7 2" xfId="13605" xr:uid="{00000000-0005-0000-0000-000088120000}"/>
    <cellStyle name="20% - Accent3 2 7 3" xfId="17556" xr:uid="{00000000-0005-0000-0000-000089120000}"/>
    <cellStyle name="20% - Accent3 2 8" xfId="2280" xr:uid="{00000000-0005-0000-0000-00008A120000}"/>
    <cellStyle name="20% - Accent3 2 8 2" xfId="13606" xr:uid="{00000000-0005-0000-0000-00008B120000}"/>
    <cellStyle name="20% - Accent3 2 8 3" xfId="17557" xr:uid="{00000000-0005-0000-0000-00008C120000}"/>
    <cellStyle name="20% - Accent3 2 9" xfId="13574" xr:uid="{00000000-0005-0000-0000-00008D120000}"/>
    <cellStyle name="20% - Accent3 2_Volatility" xfId="2281" xr:uid="{00000000-0005-0000-0000-00008E120000}"/>
    <cellStyle name="20% - Accent3 3" xfId="2282" xr:uid="{00000000-0005-0000-0000-00008F120000}"/>
    <cellStyle name="20% - Accent3 3 10" xfId="17558" xr:uid="{00000000-0005-0000-0000-000090120000}"/>
    <cellStyle name="20% - Accent3 3 2" xfId="2283" xr:uid="{00000000-0005-0000-0000-000091120000}"/>
    <cellStyle name="20% - Accent3 3 2 2" xfId="2284" xr:uid="{00000000-0005-0000-0000-000092120000}"/>
    <cellStyle name="20% - Accent3 3 2 2 2" xfId="2285" xr:uid="{00000000-0005-0000-0000-000093120000}"/>
    <cellStyle name="20% - Accent3 3 2 2 2 2" xfId="13610" xr:uid="{00000000-0005-0000-0000-000094120000}"/>
    <cellStyle name="20% - Accent3 3 2 2 2 3" xfId="17561" xr:uid="{00000000-0005-0000-0000-000095120000}"/>
    <cellStyle name="20% - Accent3 3 2 2 3" xfId="2286" xr:uid="{00000000-0005-0000-0000-000096120000}"/>
    <cellStyle name="20% - Accent3 3 2 2 3 2" xfId="13611" xr:uid="{00000000-0005-0000-0000-000097120000}"/>
    <cellStyle name="20% - Accent3 3 2 2 3 3" xfId="17562" xr:uid="{00000000-0005-0000-0000-000098120000}"/>
    <cellStyle name="20% - Accent3 3 2 2 4" xfId="13609" xr:uid="{00000000-0005-0000-0000-000099120000}"/>
    <cellStyle name="20% - Accent3 3 2 2 5" xfId="17560" xr:uid="{00000000-0005-0000-0000-00009A120000}"/>
    <cellStyle name="20% - Accent3 3 2 3" xfId="2287" xr:uid="{00000000-0005-0000-0000-00009B120000}"/>
    <cellStyle name="20% - Accent3 3 2 3 2" xfId="2288" xr:uid="{00000000-0005-0000-0000-00009C120000}"/>
    <cellStyle name="20% - Accent3 3 2 3 2 2" xfId="13613" xr:uid="{00000000-0005-0000-0000-00009D120000}"/>
    <cellStyle name="20% - Accent3 3 2 3 2 3" xfId="17564" xr:uid="{00000000-0005-0000-0000-00009E120000}"/>
    <cellStyle name="20% - Accent3 3 2 3 3" xfId="2289" xr:uid="{00000000-0005-0000-0000-00009F120000}"/>
    <cellStyle name="20% - Accent3 3 2 3 3 2" xfId="13614" xr:uid="{00000000-0005-0000-0000-0000A0120000}"/>
    <cellStyle name="20% - Accent3 3 2 3 3 3" xfId="17565" xr:uid="{00000000-0005-0000-0000-0000A1120000}"/>
    <cellStyle name="20% - Accent3 3 2 3 4" xfId="13612" xr:uid="{00000000-0005-0000-0000-0000A2120000}"/>
    <cellStyle name="20% - Accent3 3 2 3 5" xfId="17563" xr:uid="{00000000-0005-0000-0000-0000A3120000}"/>
    <cellStyle name="20% - Accent3 3 2 4" xfId="2290" xr:uid="{00000000-0005-0000-0000-0000A4120000}"/>
    <cellStyle name="20% - Accent3 3 2 4 2" xfId="2291" xr:uid="{00000000-0005-0000-0000-0000A5120000}"/>
    <cellStyle name="20% - Accent3 3 2 4 2 2" xfId="13616" xr:uid="{00000000-0005-0000-0000-0000A6120000}"/>
    <cellStyle name="20% - Accent3 3 2 4 2 3" xfId="17567" xr:uid="{00000000-0005-0000-0000-0000A7120000}"/>
    <cellStyle name="20% - Accent3 3 2 4 3" xfId="2292" xr:uid="{00000000-0005-0000-0000-0000A8120000}"/>
    <cellStyle name="20% - Accent3 3 2 4 3 2" xfId="13617" xr:uid="{00000000-0005-0000-0000-0000A9120000}"/>
    <cellStyle name="20% - Accent3 3 2 4 3 3" xfId="17568" xr:uid="{00000000-0005-0000-0000-0000AA120000}"/>
    <cellStyle name="20% - Accent3 3 2 4 4" xfId="13615" xr:uid="{00000000-0005-0000-0000-0000AB120000}"/>
    <cellStyle name="20% - Accent3 3 2 4 5" xfId="17566" xr:uid="{00000000-0005-0000-0000-0000AC120000}"/>
    <cellStyle name="20% - Accent3 3 2 5" xfId="2293" xr:uid="{00000000-0005-0000-0000-0000AD120000}"/>
    <cellStyle name="20% - Accent3 3 2 5 2" xfId="13618" xr:uid="{00000000-0005-0000-0000-0000AE120000}"/>
    <cellStyle name="20% - Accent3 3 2 5 3" xfId="17569" xr:uid="{00000000-0005-0000-0000-0000AF120000}"/>
    <cellStyle name="20% - Accent3 3 2 6" xfId="2294" xr:uid="{00000000-0005-0000-0000-0000B0120000}"/>
    <cellStyle name="20% - Accent3 3 2 6 2" xfId="13619" xr:uid="{00000000-0005-0000-0000-0000B1120000}"/>
    <cellStyle name="20% - Accent3 3 2 6 3" xfId="17570" xr:uid="{00000000-0005-0000-0000-0000B2120000}"/>
    <cellStyle name="20% - Accent3 3 2 7" xfId="13608" xr:uid="{00000000-0005-0000-0000-0000B3120000}"/>
    <cellStyle name="20% - Accent3 3 2 8" xfId="17559" xr:uid="{00000000-0005-0000-0000-0000B4120000}"/>
    <cellStyle name="20% - Accent3 3 2_Volatility" xfId="2295" xr:uid="{00000000-0005-0000-0000-0000B5120000}"/>
    <cellStyle name="20% - Accent3 3 3" xfId="2296" xr:uid="{00000000-0005-0000-0000-0000B6120000}"/>
    <cellStyle name="20% - Accent3 3 3 2" xfId="2297" xr:uid="{00000000-0005-0000-0000-0000B7120000}"/>
    <cellStyle name="20% - Accent3 3 3 2 2" xfId="2298" xr:uid="{00000000-0005-0000-0000-0000B8120000}"/>
    <cellStyle name="20% - Accent3 3 3 2 2 2" xfId="13622" xr:uid="{00000000-0005-0000-0000-0000B9120000}"/>
    <cellStyle name="20% - Accent3 3 3 2 2 3" xfId="17573" xr:uid="{00000000-0005-0000-0000-0000BA120000}"/>
    <cellStyle name="20% - Accent3 3 3 2 3" xfId="2299" xr:uid="{00000000-0005-0000-0000-0000BB120000}"/>
    <cellStyle name="20% - Accent3 3 3 2 3 2" xfId="13623" xr:uid="{00000000-0005-0000-0000-0000BC120000}"/>
    <cellStyle name="20% - Accent3 3 3 2 3 3" xfId="17574" xr:uid="{00000000-0005-0000-0000-0000BD120000}"/>
    <cellStyle name="20% - Accent3 3 3 2 4" xfId="13621" xr:uid="{00000000-0005-0000-0000-0000BE120000}"/>
    <cellStyle name="20% - Accent3 3 3 2 5" xfId="17572" xr:uid="{00000000-0005-0000-0000-0000BF120000}"/>
    <cellStyle name="20% - Accent3 3 3 3" xfId="2300" xr:uid="{00000000-0005-0000-0000-0000C0120000}"/>
    <cellStyle name="20% - Accent3 3 3 3 2" xfId="2301" xr:uid="{00000000-0005-0000-0000-0000C1120000}"/>
    <cellStyle name="20% - Accent3 3 3 3 2 2" xfId="13625" xr:uid="{00000000-0005-0000-0000-0000C2120000}"/>
    <cellStyle name="20% - Accent3 3 3 3 2 3" xfId="17576" xr:uid="{00000000-0005-0000-0000-0000C3120000}"/>
    <cellStyle name="20% - Accent3 3 3 3 3" xfId="2302" xr:uid="{00000000-0005-0000-0000-0000C4120000}"/>
    <cellStyle name="20% - Accent3 3 3 3 3 2" xfId="13626" xr:uid="{00000000-0005-0000-0000-0000C5120000}"/>
    <cellStyle name="20% - Accent3 3 3 3 3 3" xfId="17577" xr:uid="{00000000-0005-0000-0000-0000C6120000}"/>
    <cellStyle name="20% - Accent3 3 3 3 4" xfId="13624" xr:uid="{00000000-0005-0000-0000-0000C7120000}"/>
    <cellStyle name="20% - Accent3 3 3 3 5" xfId="17575" xr:uid="{00000000-0005-0000-0000-0000C8120000}"/>
    <cellStyle name="20% - Accent3 3 3 4" xfId="2303" xr:uid="{00000000-0005-0000-0000-0000C9120000}"/>
    <cellStyle name="20% - Accent3 3 3 4 2" xfId="13627" xr:uid="{00000000-0005-0000-0000-0000CA120000}"/>
    <cellStyle name="20% - Accent3 3 3 4 3" xfId="17578" xr:uid="{00000000-0005-0000-0000-0000CB120000}"/>
    <cellStyle name="20% - Accent3 3 3 5" xfId="2304" xr:uid="{00000000-0005-0000-0000-0000CC120000}"/>
    <cellStyle name="20% - Accent3 3 3 5 2" xfId="13628" xr:uid="{00000000-0005-0000-0000-0000CD120000}"/>
    <cellStyle name="20% - Accent3 3 3 5 3" xfId="17579" xr:uid="{00000000-0005-0000-0000-0000CE120000}"/>
    <cellStyle name="20% - Accent3 3 3 6" xfId="13620" xr:uid="{00000000-0005-0000-0000-0000CF120000}"/>
    <cellStyle name="20% - Accent3 3 3 7" xfId="17571" xr:uid="{00000000-0005-0000-0000-0000D0120000}"/>
    <cellStyle name="20% - Accent3 3 3_Volatility" xfId="2305" xr:uid="{00000000-0005-0000-0000-0000D1120000}"/>
    <cellStyle name="20% - Accent3 3 4" xfId="2306" xr:uid="{00000000-0005-0000-0000-0000D2120000}"/>
    <cellStyle name="20% - Accent3 3 4 2" xfId="2307" xr:uid="{00000000-0005-0000-0000-0000D3120000}"/>
    <cellStyle name="20% - Accent3 3 4 2 2" xfId="13630" xr:uid="{00000000-0005-0000-0000-0000D4120000}"/>
    <cellStyle name="20% - Accent3 3 4 2 3" xfId="17581" xr:uid="{00000000-0005-0000-0000-0000D5120000}"/>
    <cellStyle name="20% - Accent3 3 4 3" xfId="2308" xr:uid="{00000000-0005-0000-0000-0000D6120000}"/>
    <cellStyle name="20% - Accent3 3 4 3 2" xfId="13631" xr:uid="{00000000-0005-0000-0000-0000D7120000}"/>
    <cellStyle name="20% - Accent3 3 4 3 3" xfId="17582" xr:uid="{00000000-0005-0000-0000-0000D8120000}"/>
    <cellStyle name="20% - Accent3 3 4 4" xfId="13629" xr:uid="{00000000-0005-0000-0000-0000D9120000}"/>
    <cellStyle name="20% - Accent3 3 4 5" xfId="17580" xr:uid="{00000000-0005-0000-0000-0000DA120000}"/>
    <cellStyle name="20% - Accent3 3 5" xfId="2309" xr:uid="{00000000-0005-0000-0000-0000DB120000}"/>
    <cellStyle name="20% - Accent3 3 5 2" xfId="2310" xr:uid="{00000000-0005-0000-0000-0000DC120000}"/>
    <cellStyle name="20% - Accent3 3 5 2 2" xfId="13633" xr:uid="{00000000-0005-0000-0000-0000DD120000}"/>
    <cellStyle name="20% - Accent3 3 5 2 3" xfId="17584" xr:uid="{00000000-0005-0000-0000-0000DE120000}"/>
    <cellStyle name="20% - Accent3 3 5 3" xfId="2311" xr:uid="{00000000-0005-0000-0000-0000DF120000}"/>
    <cellStyle name="20% - Accent3 3 5 3 2" xfId="13634" xr:uid="{00000000-0005-0000-0000-0000E0120000}"/>
    <cellStyle name="20% - Accent3 3 5 3 3" xfId="17585" xr:uid="{00000000-0005-0000-0000-0000E1120000}"/>
    <cellStyle name="20% - Accent3 3 5 4" xfId="13632" xr:uid="{00000000-0005-0000-0000-0000E2120000}"/>
    <cellStyle name="20% - Accent3 3 5 5" xfId="17583" xr:uid="{00000000-0005-0000-0000-0000E3120000}"/>
    <cellStyle name="20% - Accent3 3 6" xfId="2312" xr:uid="{00000000-0005-0000-0000-0000E4120000}"/>
    <cellStyle name="20% - Accent3 3 6 2" xfId="2313" xr:uid="{00000000-0005-0000-0000-0000E5120000}"/>
    <cellStyle name="20% - Accent3 3 6 2 2" xfId="13636" xr:uid="{00000000-0005-0000-0000-0000E6120000}"/>
    <cellStyle name="20% - Accent3 3 6 2 3" xfId="17587" xr:uid="{00000000-0005-0000-0000-0000E7120000}"/>
    <cellStyle name="20% - Accent3 3 6 3" xfId="2314" xr:uid="{00000000-0005-0000-0000-0000E8120000}"/>
    <cellStyle name="20% - Accent3 3 6 3 2" xfId="13637" xr:uid="{00000000-0005-0000-0000-0000E9120000}"/>
    <cellStyle name="20% - Accent3 3 6 3 3" xfId="17588" xr:uid="{00000000-0005-0000-0000-0000EA120000}"/>
    <cellStyle name="20% - Accent3 3 6 4" xfId="13635" xr:uid="{00000000-0005-0000-0000-0000EB120000}"/>
    <cellStyle name="20% - Accent3 3 6 5" xfId="17586" xr:uid="{00000000-0005-0000-0000-0000EC120000}"/>
    <cellStyle name="20% - Accent3 3 7" xfId="2315" xr:uid="{00000000-0005-0000-0000-0000ED120000}"/>
    <cellStyle name="20% - Accent3 3 7 2" xfId="13638" xr:uid="{00000000-0005-0000-0000-0000EE120000}"/>
    <cellStyle name="20% - Accent3 3 7 3" xfId="17589" xr:uid="{00000000-0005-0000-0000-0000EF120000}"/>
    <cellStyle name="20% - Accent3 3 8" xfId="2316" xr:uid="{00000000-0005-0000-0000-0000F0120000}"/>
    <cellStyle name="20% - Accent3 3 8 2" xfId="13639" xr:uid="{00000000-0005-0000-0000-0000F1120000}"/>
    <cellStyle name="20% - Accent3 3 8 3" xfId="17590" xr:uid="{00000000-0005-0000-0000-0000F2120000}"/>
    <cellStyle name="20% - Accent3 3 9" xfId="13607" xr:uid="{00000000-0005-0000-0000-0000F3120000}"/>
    <cellStyle name="20% - Accent3 3_Volatility" xfId="2317" xr:uid="{00000000-0005-0000-0000-0000F4120000}"/>
    <cellStyle name="20% - Accent3 4" xfId="2318" xr:uid="{00000000-0005-0000-0000-0000F5120000}"/>
    <cellStyle name="20% - Accent3 4 10" xfId="17591" xr:uid="{00000000-0005-0000-0000-0000F6120000}"/>
    <cellStyle name="20% - Accent3 4 2" xfId="2319" xr:uid="{00000000-0005-0000-0000-0000F7120000}"/>
    <cellStyle name="20% - Accent3 4 2 2" xfId="2320" xr:uid="{00000000-0005-0000-0000-0000F8120000}"/>
    <cellStyle name="20% - Accent3 4 2 2 2" xfId="2321" xr:uid="{00000000-0005-0000-0000-0000F9120000}"/>
    <cellStyle name="20% - Accent3 4 2 2 2 2" xfId="13643" xr:uid="{00000000-0005-0000-0000-0000FA120000}"/>
    <cellStyle name="20% - Accent3 4 2 2 2 3" xfId="17594" xr:uid="{00000000-0005-0000-0000-0000FB120000}"/>
    <cellStyle name="20% - Accent3 4 2 2 3" xfId="2322" xr:uid="{00000000-0005-0000-0000-0000FC120000}"/>
    <cellStyle name="20% - Accent3 4 2 2 3 2" xfId="13644" xr:uid="{00000000-0005-0000-0000-0000FD120000}"/>
    <cellStyle name="20% - Accent3 4 2 2 3 3" xfId="17595" xr:uid="{00000000-0005-0000-0000-0000FE120000}"/>
    <cellStyle name="20% - Accent3 4 2 2 4" xfId="13642" xr:uid="{00000000-0005-0000-0000-0000FF120000}"/>
    <cellStyle name="20% - Accent3 4 2 2 5" xfId="17593" xr:uid="{00000000-0005-0000-0000-000000130000}"/>
    <cellStyle name="20% - Accent3 4 2 3" xfId="2323" xr:uid="{00000000-0005-0000-0000-000001130000}"/>
    <cellStyle name="20% - Accent3 4 2 3 2" xfId="2324" xr:uid="{00000000-0005-0000-0000-000002130000}"/>
    <cellStyle name="20% - Accent3 4 2 3 2 2" xfId="13646" xr:uid="{00000000-0005-0000-0000-000003130000}"/>
    <cellStyle name="20% - Accent3 4 2 3 2 3" xfId="17597" xr:uid="{00000000-0005-0000-0000-000004130000}"/>
    <cellStyle name="20% - Accent3 4 2 3 3" xfId="2325" xr:uid="{00000000-0005-0000-0000-000005130000}"/>
    <cellStyle name="20% - Accent3 4 2 3 3 2" xfId="13647" xr:uid="{00000000-0005-0000-0000-000006130000}"/>
    <cellStyle name="20% - Accent3 4 2 3 3 3" xfId="17598" xr:uid="{00000000-0005-0000-0000-000007130000}"/>
    <cellStyle name="20% - Accent3 4 2 3 4" xfId="13645" xr:uid="{00000000-0005-0000-0000-000008130000}"/>
    <cellStyle name="20% - Accent3 4 2 3 5" xfId="17596" xr:uid="{00000000-0005-0000-0000-000009130000}"/>
    <cellStyle name="20% - Accent3 4 2 4" xfId="2326" xr:uid="{00000000-0005-0000-0000-00000A130000}"/>
    <cellStyle name="20% - Accent3 4 2 4 2" xfId="2327" xr:uid="{00000000-0005-0000-0000-00000B130000}"/>
    <cellStyle name="20% - Accent3 4 2 4 2 2" xfId="13649" xr:uid="{00000000-0005-0000-0000-00000C130000}"/>
    <cellStyle name="20% - Accent3 4 2 4 2 3" xfId="17600" xr:uid="{00000000-0005-0000-0000-00000D130000}"/>
    <cellStyle name="20% - Accent3 4 2 4 3" xfId="2328" xr:uid="{00000000-0005-0000-0000-00000E130000}"/>
    <cellStyle name="20% - Accent3 4 2 4 3 2" xfId="13650" xr:uid="{00000000-0005-0000-0000-00000F130000}"/>
    <cellStyle name="20% - Accent3 4 2 4 3 3" xfId="17601" xr:uid="{00000000-0005-0000-0000-000010130000}"/>
    <cellStyle name="20% - Accent3 4 2 4 4" xfId="13648" xr:uid="{00000000-0005-0000-0000-000011130000}"/>
    <cellStyle name="20% - Accent3 4 2 4 5" xfId="17599" xr:uid="{00000000-0005-0000-0000-000012130000}"/>
    <cellStyle name="20% - Accent3 4 2 5" xfId="2329" xr:uid="{00000000-0005-0000-0000-000013130000}"/>
    <cellStyle name="20% - Accent3 4 2 5 2" xfId="13651" xr:uid="{00000000-0005-0000-0000-000014130000}"/>
    <cellStyle name="20% - Accent3 4 2 5 3" xfId="17602" xr:uid="{00000000-0005-0000-0000-000015130000}"/>
    <cellStyle name="20% - Accent3 4 2 6" xfId="2330" xr:uid="{00000000-0005-0000-0000-000016130000}"/>
    <cellStyle name="20% - Accent3 4 2 6 2" xfId="13652" xr:uid="{00000000-0005-0000-0000-000017130000}"/>
    <cellStyle name="20% - Accent3 4 2 6 3" xfId="17603" xr:uid="{00000000-0005-0000-0000-000018130000}"/>
    <cellStyle name="20% - Accent3 4 2 7" xfId="13641" xr:uid="{00000000-0005-0000-0000-000019130000}"/>
    <cellStyle name="20% - Accent3 4 2 8" xfId="17592" xr:uid="{00000000-0005-0000-0000-00001A130000}"/>
    <cellStyle name="20% - Accent3 4 2_Volatility" xfId="2331" xr:uid="{00000000-0005-0000-0000-00001B130000}"/>
    <cellStyle name="20% - Accent3 4 3" xfId="2332" xr:uid="{00000000-0005-0000-0000-00001C130000}"/>
    <cellStyle name="20% - Accent3 4 3 2" xfId="2333" xr:uid="{00000000-0005-0000-0000-00001D130000}"/>
    <cellStyle name="20% - Accent3 4 3 2 2" xfId="2334" xr:uid="{00000000-0005-0000-0000-00001E130000}"/>
    <cellStyle name="20% - Accent3 4 3 2 2 2" xfId="13655" xr:uid="{00000000-0005-0000-0000-00001F130000}"/>
    <cellStyle name="20% - Accent3 4 3 2 2 3" xfId="17606" xr:uid="{00000000-0005-0000-0000-000020130000}"/>
    <cellStyle name="20% - Accent3 4 3 2 3" xfId="2335" xr:uid="{00000000-0005-0000-0000-000021130000}"/>
    <cellStyle name="20% - Accent3 4 3 2 3 2" xfId="13656" xr:uid="{00000000-0005-0000-0000-000022130000}"/>
    <cellStyle name="20% - Accent3 4 3 2 3 3" xfId="17607" xr:uid="{00000000-0005-0000-0000-000023130000}"/>
    <cellStyle name="20% - Accent3 4 3 2 4" xfId="13654" xr:uid="{00000000-0005-0000-0000-000024130000}"/>
    <cellStyle name="20% - Accent3 4 3 2 5" xfId="17605" xr:uid="{00000000-0005-0000-0000-000025130000}"/>
    <cellStyle name="20% - Accent3 4 3 3" xfId="2336" xr:uid="{00000000-0005-0000-0000-000026130000}"/>
    <cellStyle name="20% - Accent3 4 3 3 2" xfId="2337" xr:uid="{00000000-0005-0000-0000-000027130000}"/>
    <cellStyle name="20% - Accent3 4 3 3 2 2" xfId="13658" xr:uid="{00000000-0005-0000-0000-000028130000}"/>
    <cellStyle name="20% - Accent3 4 3 3 2 3" xfId="17609" xr:uid="{00000000-0005-0000-0000-000029130000}"/>
    <cellStyle name="20% - Accent3 4 3 3 3" xfId="2338" xr:uid="{00000000-0005-0000-0000-00002A130000}"/>
    <cellStyle name="20% - Accent3 4 3 3 3 2" xfId="13659" xr:uid="{00000000-0005-0000-0000-00002B130000}"/>
    <cellStyle name="20% - Accent3 4 3 3 3 3" xfId="17610" xr:uid="{00000000-0005-0000-0000-00002C130000}"/>
    <cellStyle name="20% - Accent3 4 3 3 4" xfId="13657" xr:uid="{00000000-0005-0000-0000-00002D130000}"/>
    <cellStyle name="20% - Accent3 4 3 3 5" xfId="17608" xr:uid="{00000000-0005-0000-0000-00002E130000}"/>
    <cellStyle name="20% - Accent3 4 3 4" xfId="2339" xr:uid="{00000000-0005-0000-0000-00002F130000}"/>
    <cellStyle name="20% - Accent3 4 3 4 2" xfId="13660" xr:uid="{00000000-0005-0000-0000-000030130000}"/>
    <cellStyle name="20% - Accent3 4 3 4 3" xfId="17611" xr:uid="{00000000-0005-0000-0000-000031130000}"/>
    <cellStyle name="20% - Accent3 4 3 5" xfId="2340" xr:uid="{00000000-0005-0000-0000-000032130000}"/>
    <cellStyle name="20% - Accent3 4 3 5 2" xfId="13661" xr:uid="{00000000-0005-0000-0000-000033130000}"/>
    <cellStyle name="20% - Accent3 4 3 5 3" xfId="17612" xr:uid="{00000000-0005-0000-0000-000034130000}"/>
    <cellStyle name="20% - Accent3 4 3 6" xfId="13653" xr:uid="{00000000-0005-0000-0000-000035130000}"/>
    <cellStyle name="20% - Accent3 4 3 7" xfId="17604" xr:uid="{00000000-0005-0000-0000-000036130000}"/>
    <cellStyle name="20% - Accent3 4 3_Volatility" xfId="2341" xr:uid="{00000000-0005-0000-0000-000037130000}"/>
    <cellStyle name="20% - Accent3 4 4" xfId="2342" xr:uid="{00000000-0005-0000-0000-000038130000}"/>
    <cellStyle name="20% - Accent3 4 4 2" xfId="2343" xr:uid="{00000000-0005-0000-0000-000039130000}"/>
    <cellStyle name="20% - Accent3 4 4 2 2" xfId="13663" xr:uid="{00000000-0005-0000-0000-00003A130000}"/>
    <cellStyle name="20% - Accent3 4 4 2 3" xfId="17614" xr:uid="{00000000-0005-0000-0000-00003B130000}"/>
    <cellStyle name="20% - Accent3 4 4 3" xfId="2344" xr:uid="{00000000-0005-0000-0000-00003C130000}"/>
    <cellStyle name="20% - Accent3 4 4 3 2" xfId="13664" xr:uid="{00000000-0005-0000-0000-00003D130000}"/>
    <cellStyle name="20% - Accent3 4 4 3 3" xfId="17615" xr:uid="{00000000-0005-0000-0000-00003E130000}"/>
    <cellStyle name="20% - Accent3 4 4 4" xfId="13662" xr:uid="{00000000-0005-0000-0000-00003F130000}"/>
    <cellStyle name="20% - Accent3 4 4 5" xfId="17613" xr:uid="{00000000-0005-0000-0000-000040130000}"/>
    <cellStyle name="20% - Accent3 4 5" xfId="2345" xr:uid="{00000000-0005-0000-0000-000041130000}"/>
    <cellStyle name="20% - Accent3 4 5 2" xfId="2346" xr:uid="{00000000-0005-0000-0000-000042130000}"/>
    <cellStyle name="20% - Accent3 4 5 2 2" xfId="13666" xr:uid="{00000000-0005-0000-0000-000043130000}"/>
    <cellStyle name="20% - Accent3 4 5 2 3" xfId="17617" xr:uid="{00000000-0005-0000-0000-000044130000}"/>
    <cellStyle name="20% - Accent3 4 5 3" xfId="2347" xr:uid="{00000000-0005-0000-0000-000045130000}"/>
    <cellStyle name="20% - Accent3 4 5 3 2" xfId="13667" xr:uid="{00000000-0005-0000-0000-000046130000}"/>
    <cellStyle name="20% - Accent3 4 5 3 3" xfId="17618" xr:uid="{00000000-0005-0000-0000-000047130000}"/>
    <cellStyle name="20% - Accent3 4 5 4" xfId="13665" xr:uid="{00000000-0005-0000-0000-000048130000}"/>
    <cellStyle name="20% - Accent3 4 5 5" xfId="17616" xr:uid="{00000000-0005-0000-0000-000049130000}"/>
    <cellStyle name="20% - Accent3 4 6" xfId="2348" xr:uid="{00000000-0005-0000-0000-00004A130000}"/>
    <cellStyle name="20% - Accent3 4 6 2" xfId="2349" xr:uid="{00000000-0005-0000-0000-00004B130000}"/>
    <cellStyle name="20% - Accent3 4 6 2 2" xfId="13669" xr:uid="{00000000-0005-0000-0000-00004C130000}"/>
    <cellStyle name="20% - Accent3 4 6 2 3" xfId="17620" xr:uid="{00000000-0005-0000-0000-00004D130000}"/>
    <cellStyle name="20% - Accent3 4 6 3" xfId="2350" xr:uid="{00000000-0005-0000-0000-00004E130000}"/>
    <cellStyle name="20% - Accent3 4 6 3 2" xfId="13670" xr:uid="{00000000-0005-0000-0000-00004F130000}"/>
    <cellStyle name="20% - Accent3 4 6 3 3" xfId="17621" xr:uid="{00000000-0005-0000-0000-000050130000}"/>
    <cellStyle name="20% - Accent3 4 6 4" xfId="13668" xr:uid="{00000000-0005-0000-0000-000051130000}"/>
    <cellStyle name="20% - Accent3 4 6 5" xfId="17619" xr:uid="{00000000-0005-0000-0000-000052130000}"/>
    <cellStyle name="20% - Accent3 4 7" xfId="2351" xr:uid="{00000000-0005-0000-0000-000053130000}"/>
    <cellStyle name="20% - Accent3 4 7 2" xfId="13671" xr:uid="{00000000-0005-0000-0000-000054130000}"/>
    <cellStyle name="20% - Accent3 4 7 3" xfId="17622" xr:uid="{00000000-0005-0000-0000-000055130000}"/>
    <cellStyle name="20% - Accent3 4 8" xfId="2352" xr:uid="{00000000-0005-0000-0000-000056130000}"/>
    <cellStyle name="20% - Accent3 4 8 2" xfId="13672" xr:uid="{00000000-0005-0000-0000-000057130000}"/>
    <cellStyle name="20% - Accent3 4 8 3" xfId="17623" xr:uid="{00000000-0005-0000-0000-000058130000}"/>
    <cellStyle name="20% - Accent3 4 9" xfId="13640" xr:uid="{00000000-0005-0000-0000-000059130000}"/>
    <cellStyle name="20% - Accent3 4_Volatility" xfId="2353" xr:uid="{00000000-0005-0000-0000-00005A130000}"/>
    <cellStyle name="20% - Accent3 5" xfId="2354" xr:uid="{00000000-0005-0000-0000-00005B130000}"/>
    <cellStyle name="20% - Accent3 5 10" xfId="17624" xr:uid="{00000000-0005-0000-0000-00005C130000}"/>
    <cellStyle name="20% - Accent3 5 2" xfId="2355" xr:uid="{00000000-0005-0000-0000-00005D130000}"/>
    <cellStyle name="20% - Accent3 5 2 2" xfId="2356" xr:uid="{00000000-0005-0000-0000-00005E130000}"/>
    <cellStyle name="20% - Accent3 5 2 2 2" xfId="2357" xr:uid="{00000000-0005-0000-0000-00005F130000}"/>
    <cellStyle name="20% - Accent3 5 2 2 2 2" xfId="13676" xr:uid="{00000000-0005-0000-0000-000060130000}"/>
    <cellStyle name="20% - Accent3 5 2 2 2 3" xfId="17627" xr:uid="{00000000-0005-0000-0000-000061130000}"/>
    <cellStyle name="20% - Accent3 5 2 2 3" xfId="2358" xr:uid="{00000000-0005-0000-0000-000062130000}"/>
    <cellStyle name="20% - Accent3 5 2 2 3 2" xfId="13677" xr:uid="{00000000-0005-0000-0000-000063130000}"/>
    <cellStyle name="20% - Accent3 5 2 2 3 3" xfId="17628" xr:uid="{00000000-0005-0000-0000-000064130000}"/>
    <cellStyle name="20% - Accent3 5 2 2 4" xfId="13675" xr:uid="{00000000-0005-0000-0000-000065130000}"/>
    <cellStyle name="20% - Accent3 5 2 2 5" xfId="17626" xr:uid="{00000000-0005-0000-0000-000066130000}"/>
    <cellStyle name="20% - Accent3 5 2 3" xfId="2359" xr:uid="{00000000-0005-0000-0000-000067130000}"/>
    <cellStyle name="20% - Accent3 5 2 3 2" xfId="2360" xr:uid="{00000000-0005-0000-0000-000068130000}"/>
    <cellStyle name="20% - Accent3 5 2 3 2 2" xfId="13679" xr:uid="{00000000-0005-0000-0000-000069130000}"/>
    <cellStyle name="20% - Accent3 5 2 3 2 3" xfId="17630" xr:uid="{00000000-0005-0000-0000-00006A130000}"/>
    <cellStyle name="20% - Accent3 5 2 3 3" xfId="2361" xr:uid="{00000000-0005-0000-0000-00006B130000}"/>
    <cellStyle name="20% - Accent3 5 2 3 3 2" xfId="13680" xr:uid="{00000000-0005-0000-0000-00006C130000}"/>
    <cellStyle name="20% - Accent3 5 2 3 3 3" xfId="17631" xr:uid="{00000000-0005-0000-0000-00006D130000}"/>
    <cellStyle name="20% - Accent3 5 2 3 4" xfId="13678" xr:uid="{00000000-0005-0000-0000-00006E130000}"/>
    <cellStyle name="20% - Accent3 5 2 3 5" xfId="17629" xr:uid="{00000000-0005-0000-0000-00006F130000}"/>
    <cellStyle name="20% - Accent3 5 2 4" xfId="2362" xr:uid="{00000000-0005-0000-0000-000070130000}"/>
    <cellStyle name="20% - Accent3 5 2 4 2" xfId="2363" xr:uid="{00000000-0005-0000-0000-000071130000}"/>
    <cellStyle name="20% - Accent3 5 2 4 2 2" xfId="13682" xr:uid="{00000000-0005-0000-0000-000072130000}"/>
    <cellStyle name="20% - Accent3 5 2 4 2 3" xfId="17633" xr:uid="{00000000-0005-0000-0000-000073130000}"/>
    <cellStyle name="20% - Accent3 5 2 4 3" xfId="2364" xr:uid="{00000000-0005-0000-0000-000074130000}"/>
    <cellStyle name="20% - Accent3 5 2 4 3 2" xfId="13683" xr:uid="{00000000-0005-0000-0000-000075130000}"/>
    <cellStyle name="20% - Accent3 5 2 4 3 3" xfId="17634" xr:uid="{00000000-0005-0000-0000-000076130000}"/>
    <cellStyle name="20% - Accent3 5 2 4 4" xfId="13681" xr:uid="{00000000-0005-0000-0000-000077130000}"/>
    <cellStyle name="20% - Accent3 5 2 4 5" xfId="17632" xr:uid="{00000000-0005-0000-0000-000078130000}"/>
    <cellStyle name="20% - Accent3 5 2 5" xfId="2365" xr:uid="{00000000-0005-0000-0000-000079130000}"/>
    <cellStyle name="20% - Accent3 5 2 5 2" xfId="13684" xr:uid="{00000000-0005-0000-0000-00007A130000}"/>
    <cellStyle name="20% - Accent3 5 2 5 3" xfId="17635" xr:uid="{00000000-0005-0000-0000-00007B130000}"/>
    <cellStyle name="20% - Accent3 5 2 6" xfId="2366" xr:uid="{00000000-0005-0000-0000-00007C130000}"/>
    <cellStyle name="20% - Accent3 5 2 6 2" xfId="13685" xr:uid="{00000000-0005-0000-0000-00007D130000}"/>
    <cellStyle name="20% - Accent3 5 2 6 3" xfId="17636" xr:uid="{00000000-0005-0000-0000-00007E130000}"/>
    <cellStyle name="20% - Accent3 5 2 7" xfId="13674" xr:uid="{00000000-0005-0000-0000-00007F130000}"/>
    <cellStyle name="20% - Accent3 5 2 8" xfId="17625" xr:uid="{00000000-0005-0000-0000-000080130000}"/>
    <cellStyle name="20% - Accent3 5 2_Volatility" xfId="2367" xr:uid="{00000000-0005-0000-0000-000081130000}"/>
    <cellStyle name="20% - Accent3 5 3" xfId="2368" xr:uid="{00000000-0005-0000-0000-000082130000}"/>
    <cellStyle name="20% - Accent3 5 3 2" xfId="2369" xr:uid="{00000000-0005-0000-0000-000083130000}"/>
    <cellStyle name="20% - Accent3 5 3 2 2" xfId="2370" xr:uid="{00000000-0005-0000-0000-000084130000}"/>
    <cellStyle name="20% - Accent3 5 3 2 2 2" xfId="13688" xr:uid="{00000000-0005-0000-0000-000085130000}"/>
    <cellStyle name="20% - Accent3 5 3 2 2 3" xfId="17639" xr:uid="{00000000-0005-0000-0000-000086130000}"/>
    <cellStyle name="20% - Accent3 5 3 2 3" xfId="2371" xr:uid="{00000000-0005-0000-0000-000087130000}"/>
    <cellStyle name="20% - Accent3 5 3 2 3 2" xfId="13689" xr:uid="{00000000-0005-0000-0000-000088130000}"/>
    <cellStyle name="20% - Accent3 5 3 2 3 3" xfId="17640" xr:uid="{00000000-0005-0000-0000-000089130000}"/>
    <cellStyle name="20% - Accent3 5 3 2 4" xfId="13687" xr:uid="{00000000-0005-0000-0000-00008A130000}"/>
    <cellStyle name="20% - Accent3 5 3 2 5" xfId="17638" xr:uid="{00000000-0005-0000-0000-00008B130000}"/>
    <cellStyle name="20% - Accent3 5 3 3" xfId="2372" xr:uid="{00000000-0005-0000-0000-00008C130000}"/>
    <cellStyle name="20% - Accent3 5 3 3 2" xfId="2373" xr:uid="{00000000-0005-0000-0000-00008D130000}"/>
    <cellStyle name="20% - Accent3 5 3 3 2 2" xfId="13691" xr:uid="{00000000-0005-0000-0000-00008E130000}"/>
    <cellStyle name="20% - Accent3 5 3 3 2 3" xfId="17642" xr:uid="{00000000-0005-0000-0000-00008F130000}"/>
    <cellStyle name="20% - Accent3 5 3 3 3" xfId="2374" xr:uid="{00000000-0005-0000-0000-000090130000}"/>
    <cellStyle name="20% - Accent3 5 3 3 3 2" xfId="13692" xr:uid="{00000000-0005-0000-0000-000091130000}"/>
    <cellStyle name="20% - Accent3 5 3 3 3 3" xfId="17643" xr:uid="{00000000-0005-0000-0000-000092130000}"/>
    <cellStyle name="20% - Accent3 5 3 3 4" xfId="13690" xr:uid="{00000000-0005-0000-0000-000093130000}"/>
    <cellStyle name="20% - Accent3 5 3 3 5" xfId="17641" xr:uid="{00000000-0005-0000-0000-000094130000}"/>
    <cellStyle name="20% - Accent3 5 3 4" xfId="2375" xr:uid="{00000000-0005-0000-0000-000095130000}"/>
    <cellStyle name="20% - Accent3 5 3 4 2" xfId="13693" xr:uid="{00000000-0005-0000-0000-000096130000}"/>
    <cellStyle name="20% - Accent3 5 3 4 3" xfId="17644" xr:uid="{00000000-0005-0000-0000-000097130000}"/>
    <cellStyle name="20% - Accent3 5 3 5" xfId="2376" xr:uid="{00000000-0005-0000-0000-000098130000}"/>
    <cellStyle name="20% - Accent3 5 3 5 2" xfId="13694" xr:uid="{00000000-0005-0000-0000-000099130000}"/>
    <cellStyle name="20% - Accent3 5 3 5 3" xfId="17645" xr:uid="{00000000-0005-0000-0000-00009A130000}"/>
    <cellStyle name="20% - Accent3 5 3 6" xfId="13686" xr:uid="{00000000-0005-0000-0000-00009B130000}"/>
    <cellStyle name="20% - Accent3 5 3 7" xfId="17637" xr:uid="{00000000-0005-0000-0000-00009C130000}"/>
    <cellStyle name="20% - Accent3 5 3_Volatility" xfId="2377" xr:uid="{00000000-0005-0000-0000-00009D130000}"/>
    <cellStyle name="20% - Accent3 5 4" xfId="2378" xr:uid="{00000000-0005-0000-0000-00009E130000}"/>
    <cellStyle name="20% - Accent3 5 4 2" xfId="2379" xr:uid="{00000000-0005-0000-0000-00009F130000}"/>
    <cellStyle name="20% - Accent3 5 4 2 2" xfId="13696" xr:uid="{00000000-0005-0000-0000-0000A0130000}"/>
    <cellStyle name="20% - Accent3 5 4 2 3" xfId="17647" xr:uid="{00000000-0005-0000-0000-0000A1130000}"/>
    <cellStyle name="20% - Accent3 5 4 3" xfId="2380" xr:uid="{00000000-0005-0000-0000-0000A2130000}"/>
    <cellStyle name="20% - Accent3 5 4 3 2" xfId="13697" xr:uid="{00000000-0005-0000-0000-0000A3130000}"/>
    <cellStyle name="20% - Accent3 5 4 3 3" xfId="17648" xr:uid="{00000000-0005-0000-0000-0000A4130000}"/>
    <cellStyle name="20% - Accent3 5 4 4" xfId="13695" xr:uid="{00000000-0005-0000-0000-0000A5130000}"/>
    <cellStyle name="20% - Accent3 5 4 5" xfId="17646" xr:uid="{00000000-0005-0000-0000-0000A6130000}"/>
    <cellStyle name="20% - Accent3 5 5" xfId="2381" xr:uid="{00000000-0005-0000-0000-0000A7130000}"/>
    <cellStyle name="20% - Accent3 5 5 2" xfId="2382" xr:uid="{00000000-0005-0000-0000-0000A8130000}"/>
    <cellStyle name="20% - Accent3 5 5 2 2" xfId="13699" xr:uid="{00000000-0005-0000-0000-0000A9130000}"/>
    <cellStyle name="20% - Accent3 5 5 2 3" xfId="17650" xr:uid="{00000000-0005-0000-0000-0000AA130000}"/>
    <cellStyle name="20% - Accent3 5 5 3" xfId="2383" xr:uid="{00000000-0005-0000-0000-0000AB130000}"/>
    <cellStyle name="20% - Accent3 5 5 3 2" xfId="13700" xr:uid="{00000000-0005-0000-0000-0000AC130000}"/>
    <cellStyle name="20% - Accent3 5 5 3 3" xfId="17651" xr:uid="{00000000-0005-0000-0000-0000AD130000}"/>
    <cellStyle name="20% - Accent3 5 5 4" xfId="13698" xr:uid="{00000000-0005-0000-0000-0000AE130000}"/>
    <cellStyle name="20% - Accent3 5 5 5" xfId="17649" xr:uid="{00000000-0005-0000-0000-0000AF130000}"/>
    <cellStyle name="20% - Accent3 5 6" xfId="2384" xr:uid="{00000000-0005-0000-0000-0000B0130000}"/>
    <cellStyle name="20% - Accent3 5 6 2" xfId="2385" xr:uid="{00000000-0005-0000-0000-0000B1130000}"/>
    <cellStyle name="20% - Accent3 5 6 2 2" xfId="13702" xr:uid="{00000000-0005-0000-0000-0000B2130000}"/>
    <cellStyle name="20% - Accent3 5 6 2 3" xfId="17653" xr:uid="{00000000-0005-0000-0000-0000B3130000}"/>
    <cellStyle name="20% - Accent3 5 6 3" xfId="2386" xr:uid="{00000000-0005-0000-0000-0000B4130000}"/>
    <cellStyle name="20% - Accent3 5 6 3 2" xfId="13703" xr:uid="{00000000-0005-0000-0000-0000B5130000}"/>
    <cellStyle name="20% - Accent3 5 6 3 3" xfId="17654" xr:uid="{00000000-0005-0000-0000-0000B6130000}"/>
    <cellStyle name="20% - Accent3 5 6 4" xfId="13701" xr:uid="{00000000-0005-0000-0000-0000B7130000}"/>
    <cellStyle name="20% - Accent3 5 6 5" xfId="17652" xr:uid="{00000000-0005-0000-0000-0000B8130000}"/>
    <cellStyle name="20% - Accent3 5 7" xfId="2387" xr:uid="{00000000-0005-0000-0000-0000B9130000}"/>
    <cellStyle name="20% - Accent3 5 7 2" xfId="13704" xr:uid="{00000000-0005-0000-0000-0000BA130000}"/>
    <cellStyle name="20% - Accent3 5 7 3" xfId="17655" xr:uid="{00000000-0005-0000-0000-0000BB130000}"/>
    <cellStyle name="20% - Accent3 5 8" xfId="2388" xr:uid="{00000000-0005-0000-0000-0000BC130000}"/>
    <cellStyle name="20% - Accent3 5 8 2" xfId="13705" xr:uid="{00000000-0005-0000-0000-0000BD130000}"/>
    <cellStyle name="20% - Accent3 5 8 3" xfId="17656" xr:uid="{00000000-0005-0000-0000-0000BE130000}"/>
    <cellStyle name="20% - Accent3 5 9" xfId="13673" xr:uid="{00000000-0005-0000-0000-0000BF130000}"/>
    <cellStyle name="20% - Accent3 5_Volatility" xfId="2389" xr:uid="{00000000-0005-0000-0000-0000C0130000}"/>
    <cellStyle name="20% - Accent3 6" xfId="2390" xr:uid="{00000000-0005-0000-0000-0000C1130000}"/>
    <cellStyle name="20% - Accent3 6 10" xfId="17657" xr:uid="{00000000-0005-0000-0000-0000C2130000}"/>
    <cellStyle name="20% - Accent3 6 2" xfId="2391" xr:uid="{00000000-0005-0000-0000-0000C3130000}"/>
    <cellStyle name="20% - Accent3 6 2 2" xfId="2392" xr:uid="{00000000-0005-0000-0000-0000C4130000}"/>
    <cellStyle name="20% - Accent3 6 2 2 2" xfId="2393" xr:uid="{00000000-0005-0000-0000-0000C5130000}"/>
    <cellStyle name="20% - Accent3 6 2 2 2 2" xfId="13709" xr:uid="{00000000-0005-0000-0000-0000C6130000}"/>
    <cellStyle name="20% - Accent3 6 2 2 2 3" xfId="17660" xr:uid="{00000000-0005-0000-0000-0000C7130000}"/>
    <cellStyle name="20% - Accent3 6 2 2 3" xfId="2394" xr:uid="{00000000-0005-0000-0000-0000C8130000}"/>
    <cellStyle name="20% - Accent3 6 2 2 3 2" xfId="13710" xr:uid="{00000000-0005-0000-0000-0000C9130000}"/>
    <cellStyle name="20% - Accent3 6 2 2 3 3" xfId="17661" xr:uid="{00000000-0005-0000-0000-0000CA130000}"/>
    <cellStyle name="20% - Accent3 6 2 2 4" xfId="13708" xr:uid="{00000000-0005-0000-0000-0000CB130000}"/>
    <cellStyle name="20% - Accent3 6 2 2 5" xfId="17659" xr:uid="{00000000-0005-0000-0000-0000CC130000}"/>
    <cellStyle name="20% - Accent3 6 2 3" xfId="2395" xr:uid="{00000000-0005-0000-0000-0000CD130000}"/>
    <cellStyle name="20% - Accent3 6 2 3 2" xfId="2396" xr:uid="{00000000-0005-0000-0000-0000CE130000}"/>
    <cellStyle name="20% - Accent3 6 2 3 2 2" xfId="13712" xr:uid="{00000000-0005-0000-0000-0000CF130000}"/>
    <cellStyle name="20% - Accent3 6 2 3 2 3" xfId="17663" xr:uid="{00000000-0005-0000-0000-0000D0130000}"/>
    <cellStyle name="20% - Accent3 6 2 3 3" xfId="2397" xr:uid="{00000000-0005-0000-0000-0000D1130000}"/>
    <cellStyle name="20% - Accent3 6 2 3 3 2" xfId="13713" xr:uid="{00000000-0005-0000-0000-0000D2130000}"/>
    <cellStyle name="20% - Accent3 6 2 3 3 3" xfId="17664" xr:uid="{00000000-0005-0000-0000-0000D3130000}"/>
    <cellStyle name="20% - Accent3 6 2 3 4" xfId="13711" xr:uid="{00000000-0005-0000-0000-0000D4130000}"/>
    <cellStyle name="20% - Accent3 6 2 3 5" xfId="17662" xr:uid="{00000000-0005-0000-0000-0000D5130000}"/>
    <cellStyle name="20% - Accent3 6 2 4" xfId="2398" xr:uid="{00000000-0005-0000-0000-0000D6130000}"/>
    <cellStyle name="20% - Accent3 6 2 4 2" xfId="2399" xr:uid="{00000000-0005-0000-0000-0000D7130000}"/>
    <cellStyle name="20% - Accent3 6 2 4 2 2" xfId="13715" xr:uid="{00000000-0005-0000-0000-0000D8130000}"/>
    <cellStyle name="20% - Accent3 6 2 4 2 3" xfId="17666" xr:uid="{00000000-0005-0000-0000-0000D9130000}"/>
    <cellStyle name="20% - Accent3 6 2 4 3" xfId="2400" xr:uid="{00000000-0005-0000-0000-0000DA130000}"/>
    <cellStyle name="20% - Accent3 6 2 4 3 2" xfId="13716" xr:uid="{00000000-0005-0000-0000-0000DB130000}"/>
    <cellStyle name="20% - Accent3 6 2 4 3 3" xfId="17667" xr:uid="{00000000-0005-0000-0000-0000DC130000}"/>
    <cellStyle name="20% - Accent3 6 2 4 4" xfId="13714" xr:uid="{00000000-0005-0000-0000-0000DD130000}"/>
    <cellStyle name="20% - Accent3 6 2 4 5" xfId="17665" xr:uid="{00000000-0005-0000-0000-0000DE130000}"/>
    <cellStyle name="20% - Accent3 6 2 5" xfId="2401" xr:uid="{00000000-0005-0000-0000-0000DF130000}"/>
    <cellStyle name="20% - Accent3 6 2 5 2" xfId="13717" xr:uid="{00000000-0005-0000-0000-0000E0130000}"/>
    <cellStyle name="20% - Accent3 6 2 5 3" xfId="17668" xr:uid="{00000000-0005-0000-0000-0000E1130000}"/>
    <cellStyle name="20% - Accent3 6 2 6" xfId="2402" xr:uid="{00000000-0005-0000-0000-0000E2130000}"/>
    <cellStyle name="20% - Accent3 6 2 6 2" xfId="13718" xr:uid="{00000000-0005-0000-0000-0000E3130000}"/>
    <cellStyle name="20% - Accent3 6 2 6 3" xfId="17669" xr:uid="{00000000-0005-0000-0000-0000E4130000}"/>
    <cellStyle name="20% - Accent3 6 2 7" xfId="13707" xr:uid="{00000000-0005-0000-0000-0000E5130000}"/>
    <cellStyle name="20% - Accent3 6 2 8" xfId="17658" xr:uid="{00000000-0005-0000-0000-0000E6130000}"/>
    <cellStyle name="20% - Accent3 6 2_Volatility" xfId="2403" xr:uid="{00000000-0005-0000-0000-0000E7130000}"/>
    <cellStyle name="20% - Accent3 6 3" xfId="2404" xr:uid="{00000000-0005-0000-0000-0000E8130000}"/>
    <cellStyle name="20% - Accent3 6 3 2" xfId="2405" xr:uid="{00000000-0005-0000-0000-0000E9130000}"/>
    <cellStyle name="20% - Accent3 6 3 2 2" xfId="2406" xr:uid="{00000000-0005-0000-0000-0000EA130000}"/>
    <cellStyle name="20% - Accent3 6 3 2 2 2" xfId="13721" xr:uid="{00000000-0005-0000-0000-0000EB130000}"/>
    <cellStyle name="20% - Accent3 6 3 2 2 3" xfId="17672" xr:uid="{00000000-0005-0000-0000-0000EC130000}"/>
    <cellStyle name="20% - Accent3 6 3 2 3" xfId="2407" xr:uid="{00000000-0005-0000-0000-0000ED130000}"/>
    <cellStyle name="20% - Accent3 6 3 2 3 2" xfId="13722" xr:uid="{00000000-0005-0000-0000-0000EE130000}"/>
    <cellStyle name="20% - Accent3 6 3 2 3 3" xfId="17673" xr:uid="{00000000-0005-0000-0000-0000EF130000}"/>
    <cellStyle name="20% - Accent3 6 3 2 4" xfId="13720" xr:uid="{00000000-0005-0000-0000-0000F0130000}"/>
    <cellStyle name="20% - Accent3 6 3 2 5" xfId="17671" xr:uid="{00000000-0005-0000-0000-0000F1130000}"/>
    <cellStyle name="20% - Accent3 6 3 3" xfId="2408" xr:uid="{00000000-0005-0000-0000-0000F2130000}"/>
    <cellStyle name="20% - Accent3 6 3 3 2" xfId="2409" xr:uid="{00000000-0005-0000-0000-0000F3130000}"/>
    <cellStyle name="20% - Accent3 6 3 3 2 2" xfId="13724" xr:uid="{00000000-0005-0000-0000-0000F4130000}"/>
    <cellStyle name="20% - Accent3 6 3 3 2 3" xfId="17675" xr:uid="{00000000-0005-0000-0000-0000F5130000}"/>
    <cellStyle name="20% - Accent3 6 3 3 3" xfId="2410" xr:uid="{00000000-0005-0000-0000-0000F6130000}"/>
    <cellStyle name="20% - Accent3 6 3 3 3 2" xfId="13725" xr:uid="{00000000-0005-0000-0000-0000F7130000}"/>
    <cellStyle name="20% - Accent3 6 3 3 3 3" xfId="17676" xr:uid="{00000000-0005-0000-0000-0000F8130000}"/>
    <cellStyle name="20% - Accent3 6 3 3 4" xfId="13723" xr:uid="{00000000-0005-0000-0000-0000F9130000}"/>
    <cellStyle name="20% - Accent3 6 3 3 5" xfId="17674" xr:uid="{00000000-0005-0000-0000-0000FA130000}"/>
    <cellStyle name="20% - Accent3 6 3 4" xfId="2411" xr:uid="{00000000-0005-0000-0000-0000FB130000}"/>
    <cellStyle name="20% - Accent3 6 3 4 2" xfId="13726" xr:uid="{00000000-0005-0000-0000-0000FC130000}"/>
    <cellStyle name="20% - Accent3 6 3 4 3" xfId="17677" xr:uid="{00000000-0005-0000-0000-0000FD130000}"/>
    <cellStyle name="20% - Accent3 6 3 5" xfId="2412" xr:uid="{00000000-0005-0000-0000-0000FE130000}"/>
    <cellStyle name="20% - Accent3 6 3 5 2" xfId="13727" xr:uid="{00000000-0005-0000-0000-0000FF130000}"/>
    <cellStyle name="20% - Accent3 6 3 5 3" xfId="17678" xr:uid="{00000000-0005-0000-0000-000000140000}"/>
    <cellStyle name="20% - Accent3 6 3 6" xfId="13719" xr:uid="{00000000-0005-0000-0000-000001140000}"/>
    <cellStyle name="20% - Accent3 6 3 7" xfId="17670" xr:uid="{00000000-0005-0000-0000-000002140000}"/>
    <cellStyle name="20% - Accent3 6 3_Volatility" xfId="2413" xr:uid="{00000000-0005-0000-0000-000003140000}"/>
    <cellStyle name="20% - Accent3 6 4" xfId="2414" xr:uid="{00000000-0005-0000-0000-000004140000}"/>
    <cellStyle name="20% - Accent3 6 4 2" xfId="2415" xr:uid="{00000000-0005-0000-0000-000005140000}"/>
    <cellStyle name="20% - Accent3 6 4 2 2" xfId="13729" xr:uid="{00000000-0005-0000-0000-000006140000}"/>
    <cellStyle name="20% - Accent3 6 4 2 3" xfId="17680" xr:uid="{00000000-0005-0000-0000-000007140000}"/>
    <cellStyle name="20% - Accent3 6 4 3" xfId="2416" xr:uid="{00000000-0005-0000-0000-000008140000}"/>
    <cellStyle name="20% - Accent3 6 4 3 2" xfId="13730" xr:uid="{00000000-0005-0000-0000-000009140000}"/>
    <cellStyle name="20% - Accent3 6 4 3 3" xfId="17681" xr:uid="{00000000-0005-0000-0000-00000A140000}"/>
    <cellStyle name="20% - Accent3 6 4 4" xfId="13728" xr:uid="{00000000-0005-0000-0000-00000B140000}"/>
    <cellStyle name="20% - Accent3 6 4 5" xfId="17679" xr:uid="{00000000-0005-0000-0000-00000C140000}"/>
    <cellStyle name="20% - Accent3 6 5" xfId="2417" xr:uid="{00000000-0005-0000-0000-00000D140000}"/>
    <cellStyle name="20% - Accent3 6 5 2" xfId="2418" xr:uid="{00000000-0005-0000-0000-00000E140000}"/>
    <cellStyle name="20% - Accent3 6 5 2 2" xfId="13732" xr:uid="{00000000-0005-0000-0000-00000F140000}"/>
    <cellStyle name="20% - Accent3 6 5 2 3" xfId="17683" xr:uid="{00000000-0005-0000-0000-000010140000}"/>
    <cellStyle name="20% - Accent3 6 5 3" xfId="2419" xr:uid="{00000000-0005-0000-0000-000011140000}"/>
    <cellStyle name="20% - Accent3 6 5 3 2" xfId="13733" xr:uid="{00000000-0005-0000-0000-000012140000}"/>
    <cellStyle name="20% - Accent3 6 5 3 3" xfId="17684" xr:uid="{00000000-0005-0000-0000-000013140000}"/>
    <cellStyle name="20% - Accent3 6 5 4" xfId="13731" xr:uid="{00000000-0005-0000-0000-000014140000}"/>
    <cellStyle name="20% - Accent3 6 5 5" xfId="17682" xr:uid="{00000000-0005-0000-0000-000015140000}"/>
    <cellStyle name="20% - Accent3 6 6" xfId="2420" xr:uid="{00000000-0005-0000-0000-000016140000}"/>
    <cellStyle name="20% - Accent3 6 6 2" xfId="2421" xr:uid="{00000000-0005-0000-0000-000017140000}"/>
    <cellStyle name="20% - Accent3 6 6 2 2" xfId="13735" xr:uid="{00000000-0005-0000-0000-000018140000}"/>
    <cellStyle name="20% - Accent3 6 6 2 3" xfId="17686" xr:uid="{00000000-0005-0000-0000-000019140000}"/>
    <cellStyle name="20% - Accent3 6 6 3" xfId="2422" xr:uid="{00000000-0005-0000-0000-00001A140000}"/>
    <cellStyle name="20% - Accent3 6 6 3 2" xfId="13736" xr:uid="{00000000-0005-0000-0000-00001B140000}"/>
    <cellStyle name="20% - Accent3 6 6 3 3" xfId="17687" xr:uid="{00000000-0005-0000-0000-00001C140000}"/>
    <cellStyle name="20% - Accent3 6 6 4" xfId="13734" xr:uid="{00000000-0005-0000-0000-00001D140000}"/>
    <cellStyle name="20% - Accent3 6 6 5" xfId="17685" xr:uid="{00000000-0005-0000-0000-00001E140000}"/>
    <cellStyle name="20% - Accent3 6 7" xfId="2423" xr:uid="{00000000-0005-0000-0000-00001F140000}"/>
    <cellStyle name="20% - Accent3 6 7 2" xfId="13737" xr:uid="{00000000-0005-0000-0000-000020140000}"/>
    <cellStyle name="20% - Accent3 6 7 3" xfId="17688" xr:uid="{00000000-0005-0000-0000-000021140000}"/>
    <cellStyle name="20% - Accent3 6 8" xfId="2424" xr:uid="{00000000-0005-0000-0000-000022140000}"/>
    <cellStyle name="20% - Accent3 6 8 2" xfId="13738" xr:uid="{00000000-0005-0000-0000-000023140000}"/>
    <cellStyle name="20% - Accent3 6 8 3" xfId="17689" xr:uid="{00000000-0005-0000-0000-000024140000}"/>
    <cellStyle name="20% - Accent3 6 9" xfId="13706" xr:uid="{00000000-0005-0000-0000-000025140000}"/>
    <cellStyle name="20% - Accent3 6_Volatility" xfId="2425" xr:uid="{00000000-0005-0000-0000-000026140000}"/>
    <cellStyle name="20% - Accent3 7" xfId="2426" xr:uid="{00000000-0005-0000-0000-000027140000}"/>
    <cellStyle name="20% - Accent3 7 10" xfId="17690" xr:uid="{00000000-0005-0000-0000-000028140000}"/>
    <cellStyle name="20% - Accent3 7 2" xfId="2427" xr:uid="{00000000-0005-0000-0000-000029140000}"/>
    <cellStyle name="20% - Accent3 7 2 2" xfId="2428" xr:uid="{00000000-0005-0000-0000-00002A140000}"/>
    <cellStyle name="20% - Accent3 7 2 2 2" xfId="2429" xr:uid="{00000000-0005-0000-0000-00002B140000}"/>
    <cellStyle name="20% - Accent3 7 2 2 2 2" xfId="13742" xr:uid="{00000000-0005-0000-0000-00002C140000}"/>
    <cellStyle name="20% - Accent3 7 2 2 2 3" xfId="17693" xr:uid="{00000000-0005-0000-0000-00002D140000}"/>
    <cellStyle name="20% - Accent3 7 2 2 3" xfId="2430" xr:uid="{00000000-0005-0000-0000-00002E140000}"/>
    <cellStyle name="20% - Accent3 7 2 2 3 2" xfId="13743" xr:uid="{00000000-0005-0000-0000-00002F140000}"/>
    <cellStyle name="20% - Accent3 7 2 2 3 3" xfId="17694" xr:uid="{00000000-0005-0000-0000-000030140000}"/>
    <cellStyle name="20% - Accent3 7 2 2 4" xfId="13741" xr:uid="{00000000-0005-0000-0000-000031140000}"/>
    <cellStyle name="20% - Accent3 7 2 2 5" xfId="17692" xr:uid="{00000000-0005-0000-0000-000032140000}"/>
    <cellStyle name="20% - Accent3 7 2 3" xfId="2431" xr:uid="{00000000-0005-0000-0000-000033140000}"/>
    <cellStyle name="20% - Accent3 7 2 3 2" xfId="2432" xr:uid="{00000000-0005-0000-0000-000034140000}"/>
    <cellStyle name="20% - Accent3 7 2 3 2 2" xfId="13745" xr:uid="{00000000-0005-0000-0000-000035140000}"/>
    <cellStyle name="20% - Accent3 7 2 3 2 3" xfId="17696" xr:uid="{00000000-0005-0000-0000-000036140000}"/>
    <cellStyle name="20% - Accent3 7 2 3 3" xfId="2433" xr:uid="{00000000-0005-0000-0000-000037140000}"/>
    <cellStyle name="20% - Accent3 7 2 3 3 2" xfId="13746" xr:uid="{00000000-0005-0000-0000-000038140000}"/>
    <cellStyle name="20% - Accent3 7 2 3 3 3" xfId="17697" xr:uid="{00000000-0005-0000-0000-000039140000}"/>
    <cellStyle name="20% - Accent3 7 2 3 4" xfId="13744" xr:uid="{00000000-0005-0000-0000-00003A140000}"/>
    <cellStyle name="20% - Accent3 7 2 3 5" xfId="17695" xr:uid="{00000000-0005-0000-0000-00003B140000}"/>
    <cellStyle name="20% - Accent3 7 2 4" xfId="2434" xr:uid="{00000000-0005-0000-0000-00003C140000}"/>
    <cellStyle name="20% - Accent3 7 2 4 2" xfId="2435" xr:uid="{00000000-0005-0000-0000-00003D140000}"/>
    <cellStyle name="20% - Accent3 7 2 4 2 2" xfId="13748" xr:uid="{00000000-0005-0000-0000-00003E140000}"/>
    <cellStyle name="20% - Accent3 7 2 4 2 3" xfId="17699" xr:uid="{00000000-0005-0000-0000-00003F140000}"/>
    <cellStyle name="20% - Accent3 7 2 4 3" xfId="2436" xr:uid="{00000000-0005-0000-0000-000040140000}"/>
    <cellStyle name="20% - Accent3 7 2 4 3 2" xfId="13749" xr:uid="{00000000-0005-0000-0000-000041140000}"/>
    <cellStyle name="20% - Accent3 7 2 4 3 3" xfId="17700" xr:uid="{00000000-0005-0000-0000-000042140000}"/>
    <cellStyle name="20% - Accent3 7 2 4 4" xfId="13747" xr:uid="{00000000-0005-0000-0000-000043140000}"/>
    <cellStyle name="20% - Accent3 7 2 4 5" xfId="17698" xr:uid="{00000000-0005-0000-0000-000044140000}"/>
    <cellStyle name="20% - Accent3 7 2 5" xfId="2437" xr:uid="{00000000-0005-0000-0000-000045140000}"/>
    <cellStyle name="20% - Accent3 7 2 5 2" xfId="13750" xr:uid="{00000000-0005-0000-0000-000046140000}"/>
    <cellStyle name="20% - Accent3 7 2 5 3" xfId="17701" xr:uid="{00000000-0005-0000-0000-000047140000}"/>
    <cellStyle name="20% - Accent3 7 2 6" xfId="2438" xr:uid="{00000000-0005-0000-0000-000048140000}"/>
    <cellStyle name="20% - Accent3 7 2 6 2" xfId="13751" xr:uid="{00000000-0005-0000-0000-000049140000}"/>
    <cellStyle name="20% - Accent3 7 2 6 3" xfId="17702" xr:uid="{00000000-0005-0000-0000-00004A140000}"/>
    <cellStyle name="20% - Accent3 7 2 7" xfId="13740" xr:uid="{00000000-0005-0000-0000-00004B140000}"/>
    <cellStyle name="20% - Accent3 7 2 8" xfId="17691" xr:uid="{00000000-0005-0000-0000-00004C140000}"/>
    <cellStyle name="20% - Accent3 7 2_Volatility" xfId="2439" xr:uid="{00000000-0005-0000-0000-00004D140000}"/>
    <cellStyle name="20% - Accent3 7 3" xfId="2440" xr:uid="{00000000-0005-0000-0000-00004E140000}"/>
    <cellStyle name="20% - Accent3 7 3 2" xfId="2441" xr:uid="{00000000-0005-0000-0000-00004F140000}"/>
    <cellStyle name="20% - Accent3 7 3 2 2" xfId="2442" xr:uid="{00000000-0005-0000-0000-000050140000}"/>
    <cellStyle name="20% - Accent3 7 3 2 2 2" xfId="13754" xr:uid="{00000000-0005-0000-0000-000051140000}"/>
    <cellStyle name="20% - Accent3 7 3 2 2 3" xfId="17705" xr:uid="{00000000-0005-0000-0000-000052140000}"/>
    <cellStyle name="20% - Accent3 7 3 2 3" xfId="2443" xr:uid="{00000000-0005-0000-0000-000053140000}"/>
    <cellStyle name="20% - Accent3 7 3 2 3 2" xfId="13755" xr:uid="{00000000-0005-0000-0000-000054140000}"/>
    <cellStyle name="20% - Accent3 7 3 2 3 3" xfId="17706" xr:uid="{00000000-0005-0000-0000-000055140000}"/>
    <cellStyle name="20% - Accent3 7 3 2 4" xfId="13753" xr:uid="{00000000-0005-0000-0000-000056140000}"/>
    <cellStyle name="20% - Accent3 7 3 2 5" xfId="17704" xr:uid="{00000000-0005-0000-0000-000057140000}"/>
    <cellStyle name="20% - Accent3 7 3 3" xfId="2444" xr:uid="{00000000-0005-0000-0000-000058140000}"/>
    <cellStyle name="20% - Accent3 7 3 3 2" xfId="2445" xr:uid="{00000000-0005-0000-0000-000059140000}"/>
    <cellStyle name="20% - Accent3 7 3 3 2 2" xfId="13757" xr:uid="{00000000-0005-0000-0000-00005A140000}"/>
    <cellStyle name="20% - Accent3 7 3 3 2 3" xfId="17708" xr:uid="{00000000-0005-0000-0000-00005B140000}"/>
    <cellStyle name="20% - Accent3 7 3 3 3" xfId="2446" xr:uid="{00000000-0005-0000-0000-00005C140000}"/>
    <cellStyle name="20% - Accent3 7 3 3 3 2" xfId="13758" xr:uid="{00000000-0005-0000-0000-00005D140000}"/>
    <cellStyle name="20% - Accent3 7 3 3 3 3" xfId="17709" xr:uid="{00000000-0005-0000-0000-00005E140000}"/>
    <cellStyle name="20% - Accent3 7 3 3 4" xfId="13756" xr:uid="{00000000-0005-0000-0000-00005F140000}"/>
    <cellStyle name="20% - Accent3 7 3 3 5" xfId="17707" xr:uid="{00000000-0005-0000-0000-000060140000}"/>
    <cellStyle name="20% - Accent3 7 3 4" xfId="2447" xr:uid="{00000000-0005-0000-0000-000061140000}"/>
    <cellStyle name="20% - Accent3 7 3 4 2" xfId="13759" xr:uid="{00000000-0005-0000-0000-000062140000}"/>
    <cellStyle name="20% - Accent3 7 3 4 3" xfId="17710" xr:uid="{00000000-0005-0000-0000-000063140000}"/>
    <cellStyle name="20% - Accent3 7 3 5" xfId="2448" xr:uid="{00000000-0005-0000-0000-000064140000}"/>
    <cellStyle name="20% - Accent3 7 3 5 2" xfId="13760" xr:uid="{00000000-0005-0000-0000-000065140000}"/>
    <cellStyle name="20% - Accent3 7 3 5 3" xfId="17711" xr:uid="{00000000-0005-0000-0000-000066140000}"/>
    <cellStyle name="20% - Accent3 7 3 6" xfId="13752" xr:uid="{00000000-0005-0000-0000-000067140000}"/>
    <cellStyle name="20% - Accent3 7 3 7" xfId="17703" xr:uid="{00000000-0005-0000-0000-000068140000}"/>
    <cellStyle name="20% - Accent3 7 3_Volatility" xfId="2449" xr:uid="{00000000-0005-0000-0000-000069140000}"/>
    <cellStyle name="20% - Accent3 7 4" xfId="2450" xr:uid="{00000000-0005-0000-0000-00006A140000}"/>
    <cellStyle name="20% - Accent3 7 4 2" xfId="2451" xr:uid="{00000000-0005-0000-0000-00006B140000}"/>
    <cellStyle name="20% - Accent3 7 4 2 2" xfId="13762" xr:uid="{00000000-0005-0000-0000-00006C140000}"/>
    <cellStyle name="20% - Accent3 7 4 2 3" xfId="17713" xr:uid="{00000000-0005-0000-0000-00006D140000}"/>
    <cellStyle name="20% - Accent3 7 4 3" xfId="2452" xr:uid="{00000000-0005-0000-0000-00006E140000}"/>
    <cellStyle name="20% - Accent3 7 4 3 2" xfId="13763" xr:uid="{00000000-0005-0000-0000-00006F140000}"/>
    <cellStyle name="20% - Accent3 7 4 3 3" xfId="17714" xr:uid="{00000000-0005-0000-0000-000070140000}"/>
    <cellStyle name="20% - Accent3 7 4 4" xfId="13761" xr:uid="{00000000-0005-0000-0000-000071140000}"/>
    <cellStyle name="20% - Accent3 7 4 5" xfId="17712" xr:uid="{00000000-0005-0000-0000-000072140000}"/>
    <cellStyle name="20% - Accent3 7 5" xfId="2453" xr:uid="{00000000-0005-0000-0000-000073140000}"/>
    <cellStyle name="20% - Accent3 7 5 2" xfId="2454" xr:uid="{00000000-0005-0000-0000-000074140000}"/>
    <cellStyle name="20% - Accent3 7 5 2 2" xfId="13765" xr:uid="{00000000-0005-0000-0000-000075140000}"/>
    <cellStyle name="20% - Accent3 7 5 2 3" xfId="17716" xr:uid="{00000000-0005-0000-0000-000076140000}"/>
    <cellStyle name="20% - Accent3 7 5 3" xfId="2455" xr:uid="{00000000-0005-0000-0000-000077140000}"/>
    <cellStyle name="20% - Accent3 7 5 3 2" xfId="13766" xr:uid="{00000000-0005-0000-0000-000078140000}"/>
    <cellStyle name="20% - Accent3 7 5 3 3" xfId="17717" xr:uid="{00000000-0005-0000-0000-000079140000}"/>
    <cellStyle name="20% - Accent3 7 5 4" xfId="13764" xr:uid="{00000000-0005-0000-0000-00007A140000}"/>
    <cellStyle name="20% - Accent3 7 5 5" xfId="17715" xr:uid="{00000000-0005-0000-0000-00007B140000}"/>
    <cellStyle name="20% - Accent3 7 6" xfId="2456" xr:uid="{00000000-0005-0000-0000-00007C140000}"/>
    <cellStyle name="20% - Accent3 7 6 2" xfId="2457" xr:uid="{00000000-0005-0000-0000-00007D140000}"/>
    <cellStyle name="20% - Accent3 7 6 2 2" xfId="13768" xr:uid="{00000000-0005-0000-0000-00007E140000}"/>
    <cellStyle name="20% - Accent3 7 6 2 3" xfId="17719" xr:uid="{00000000-0005-0000-0000-00007F140000}"/>
    <cellStyle name="20% - Accent3 7 6 3" xfId="2458" xr:uid="{00000000-0005-0000-0000-000080140000}"/>
    <cellStyle name="20% - Accent3 7 6 3 2" xfId="13769" xr:uid="{00000000-0005-0000-0000-000081140000}"/>
    <cellStyle name="20% - Accent3 7 6 3 3" xfId="17720" xr:uid="{00000000-0005-0000-0000-000082140000}"/>
    <cellStyle name="20% - Accent3 7 6 4" xfId="13767" xr:uid="{00000000-0005-0000-0000-000083140000}"/>
    <cellStyle name="20% - Accent3 7 6 5" xfId="17718" xr:uid="{00000000-0005-0000-0000-000084140000}"/>
    <cellStyle name="20% - Accent3 7 7" xfId="2459" xr:uid="{00000000-0005-0000-0000-000085140000}"/>
    <cellStyle name="20% - Accent3 7 7 2" xfId="13770" xr:uid="{00000000-0005-0000-0000-000086140000}"/>
    <cellStyle name="20% - Accent3 7 7 3" xfId="17721" xr:uid="{00000000-0005-0000-0000-000087140000}"/>
    <cellStyle name="20% - Accent3 7 8" xfId="2460" xr:uid="{00000000-0005-0000-0000-000088140000}"/>
    <cellStyle name="20% - Accent3 7 8 2" xfId="13771" xr:uid="{00000000-0005-0000-0000-000089140000}"/>
    <cellStyle name="20% - Accent3 7 8 3" xfId="17722" xr:uid="{00000000-0005-0000-0000-00008A140000}"/>
    <cellStyle name="20% - Accent3 7 9" xfId="13739" xr:uid="{00000000-0005-0000-0000-00008B140000}"/>
    <cellStyle name="20% - Accent3 7_Volatility" xfId="2461" xr:uid="{00000000-0005-0000-0000-00008C140000}"/>
    <cellStyle name="20% - Accent3 8" xfId="2462" xr:uid="{00000000-0005-0000-0000-00008D140000}"/>
    <cellStyle name="20% - Accent3 8 10" xfId="17723" xr:uid="{00000000-0005-0000-0000-00008E140000}"/>
    <cellStyle name="20% - Accent3 8 2" xfId="2463" xr:uid="{00000000-0005-0000-0000-00008F140000}"/>
    <cellStyle name="20% - Accent3 8 2 2" xfId="2464" xr:uid="{00000000-0005-0000-0000-000090140000}"/>
    <cellStyle name="20% - Accent3 8 2 2 2" xfId="2465" xr:uid="{00000000-0005-0000-0000-000091140000}"/>
    <cellStyle name="20% - Accent3 8 2 2 2 2" xfId="13775" xr:uid="{00000000-0005-0000-0000-000092140000}"/>
    <cellStyle name="20% - Accent3 8 2 2 2 3" xfId="17726" xr:uid="{00000000-0005-0000-0000-000093140000}"/>
    <cellStyle name="20% - Accent3 8 2 2 3" xfId="2466" xr:uid="{00000000-0005-0000-0000-000094140000}"/>
    <cellStyle name="20% - Accent3 8 2 2 3 2" xfId="13776" xr:uid="{00000000-0005-0000-0000-000095140000}"/>
    <cellStyle name="20% - Accent3 8 2 2 3 3" xfId="17727" xr:uid="{00000000-0005-0000-0000-000096140000}"/>
    <cellStyle name="20% - Accent3 8 2 2 4" xfId="13774" xr:uid="{00000000-0005-0000-0000-000097140000}"/>
    <cellStyle name="20% - Accent3 8 2 2 5" xfId="17725" xr:uid="{00000000-0005-0000-0000-000098140000}"/>
    <cellStyle name="20% - Accent3 8 2 3" xfId="2467" xr:uid="{00000000-0005-0000-0000-000099140000}"/>
    <cellStyle name="20% - Accent3 8 2 3 2" xfId="2468" xr:uid="{00000000-0005-0000-0000-00009A140000}"/>
    <cellStyle name="20% - Accent3 8 2 3 2 2" xfId="13778" xr:uid="{00000000-0005-0000-0000-00009B140000}"/>
    <cellStyle name="20% - Accent3 8 2 3 2 3" xfId="17729" xr:uid="{00000000-0005-0000-0000-00009C140000}"/>
    <cellStyle name="20% - Accent3 8 2 3 3" xfId="2469" xr:uid="{00000000-0005-0000-0000-00009D140000}"/>
    <cellStyle name="20% - Accent3 8 2 3 3 2" xfId="13779" xr:uid="{00000000-0005-0000-0000-00009E140000}"/>
    <cellStyle name="20% - Accent3 8 2 3 3 3" xfId="17730" xr:uid="{00000000-0005-0000-0000-00009F140000}"/>
    <cellStyle name="20% - Accent3 8 2 3 4" xfId="13777" xr:uid="{00000000-0005-0000-0000-0000A0140000}"/>
    <cellStyle name="20% - Accent3 8 2 3 5" xfId="17728" xr:uid="{00000000-0005-0000-0000-0000A1140000}"/>
    <cellStyle name="20% - Accent3 8 2 4" xfId="2470" xr:uid="{00000000-0005-0000-0000-0000A2140000}"/>
    <cellStyle name="20% - Accent3 8 2 4 2" xfId="2471" xr:uid="{00000000-0005-0000-0000-0000A3140000}"/>
    <cellStyle name="20% - Accent3 8 2 4 2 2" xfId="13781" xr:uid="{00000000-0005-0000-0000-0000A4140000}"/>
    <cellStyle name="20% - Accent3 8 2 4 2 3" xfId="17732" xr:uid="{00000000-0005-0000-0000-0000A5140000}"/>
    <cellStyle name="20% - Accent3 8 2 4 3" xfId="2472" xr:uid="{00000000-0005-0000-0000-0000A6140000}"/>
    <cellStyle name="20% - Accent3 8 2 4 3 2" xfId="13782" xr:uid="{00000000-0005-0000-0000-0000A7140000}"/>
    <cellStyle name="20% - Accent3 8 2 4 3 3" xfId="17733" xr:uid="{00000000-0005-0000-0000-0000A8140000}"/>
    <cellStyle name="20% - Accent3 8 2 4 4" xfId="13780" xr:uid="{00000000-0005-0000-0000-0000A9140000}"/>
    <cellStyle name="20% - Accent3 8 2 4 5" xfId="17731" xr:uid="{00000000-0005-0000-0000-0000AA140000}"/>
    <cellStyle name="20% - Accent3 8 2 5" xfId="2473" xr:uid="{00000000-0005-0000-0000-0000AB140000}"/>
    <cellStyle name="20% - Accent3 8 2 5 2" xfId="13783" xr:uid="{00000000-0005-0000-0000-0000AC140000}"/>
    <cellStyle name="20% - Accent3 8 2 5 3" xfId="17734" xr:uid="{00000000-0005-0000-0000-0000AD140000}"/>
    <cellStyle name="20% - Accent3 8 2 6" xfId="2474" xr:uid="{00000000-0005-0000-0000-0000AE140000}"/>
    <cellStyle name="20% - Accent3 8 2 6 2" xfId="13784" xr:uid="{00000000-0005-0000-0000-0000AF140000}"/>
    <cellStyle name="20% - Accent3 8 2 6 3" xfId="17735" xr:uid="{00000000-0005-0000-0000-0000B0140000}"/>
    <cellStyle name="20% - Accent3 8 2 7" xfId="13773" xr:uid="{00000000-0005-0000-0000-0000B1140000}"/>
    <cellStyle name="20% - Accent3 8 2 8" xfId="17724" xr:uid="{00000000-0005-0000-0000-0000B2140000}"/>
    <cellStyle name="20% - Accent3 8 2_Volatility" xfId="2475" xr:uid="{00000000-0005-0000-0000-0000B3140000}"/>
    <cellStyle name="20% - Accent3 8 3" xfId="2476" xr:uid="{00000000-0005-0000-0000-0000B4140000}"/>
    <cellStyle name="20% - Accent3 8 3 2" xfId="2477" xr:uid="{00000000-0005-0000-0000-0000B5140000}"/>
    <cellStyle name="20% - Accent3 8 3 2 2" xfId="2478" xr:uid="{00000000-0005-0000-0000-0000B6140000}"/>
    <cellStyle name="20% - Accent3 8 3 2 2 2" xfId="13787" xr:uid="{00000000-0005-0000-0000-0000B7140000}"/>
    <cellStyle name="20% - Accent3 8 3 2 2 3" xfId="17738" xr:uid="{00000000-0005-0000-0000-0000B8140000}"/>
    <cellStyle name="20% - Accent3 8 3 2 3" xfId="2479" xr:uid="{00000000-0005-0000-0000-0000B9140000}"/>
    <cellStyle name="20% - Accent3 8 3 2 3 2" xfId="13788" xr:uid="{00000000-0005-0000-0000-0000BA140000}"/>
    <cellStyle name="20% - Accent3 8 3 2 3 3" xfId="17739" xr:uid="{00000000-0005-0000-0000-0000BB140000}"/>
    <cellStyle name="20% - Accent3 8 3 2 4" xfId="13786" xr:uid="{00000000-0005-0000-0000-0000BC140000}"/>
    <cellStyle name="20% - Accent3 8 3 2 5" xfId="17737" xr:uid="{00000000-0005-0000-0000-0000BD140000}"/>
    <cellStyle name="20% - Accent3 8 3 3" xfId="2480" xr:uid="{00000000-0005-0000-0000-0000BE140000}"/>
    <cellStyle name="20% - Accent3 8 3 3 2" xfId="2481" xr:uid="{00000000-0005-0000-0000-0000BF140000}"/>
    <cellStyle name="20% - Accent3 8 3 3 2 2" xfId="13790" xr:uid="{00000000-0005-0000-0000-0000C0140000}"/>
    <cellStyle name="20% - Accent3 8 3 3 2 3" xfId="17741" xr:uid="{00000000-0005-0000-0000-0000C1140000}"/>
    <cellStyle name="20% - Accent3 8 3 3 3" xfId="2482" xr:uid="{00000000-0005-0000-0000-0000C2140000}"/>
    <cellStyle name="20% - Accent3 8 3 3 3 2" xfId="13791" xr:uid="{00000000-0005-0000-0000-0000C3140000}"/>
    <cellStyle name="20% - Accent3 8 3 3 3 3" xfId="17742" xr:uid="{00000000-0005-0000-0000-0000C4140000}"/>
    <cellStyle name="20% - Accent3 8 3 3 4" xfId="13789" xr:uid="{00000000-0005-0000-0000-0000C5140000}"/>
    <cellStyle name="20% - Accent3 8 3 3 5" xfId="17740" xr:uid="{00000000-0005-0000-0000-0000C6140000}"/>
    <cellStyle name="20% - Accent3 8 3 4" xfId="2483" xr:uid="{00000000-0005-0000-0000-0000C7140000}"/>
    <cellStyle name="20% - Accent3 8 3 4 2" xfId="13792" xr:uid="{00000000-0005-0000-0000-0000C8140000}"/>
    <cellStyle name="20% - Accent3 8 3 4 3" xfId="17743" xr:uid="{00000000-0005-0000-0000-0000C9140000}"/>
    <cellStyle name="20% - Accent3 8 3 5" xfId="2484" xr:uid="{00000000-0005-0000-0000-0000CA140000}"/>
    <cellStyle name="20% - Accent3 8 3 5 2" xfId="13793" xr:uid="{00000000-0005-0000-0000-0000CB140000}"/>
    <cellStyle name="20% - Accent3 8 3 5 3" xfId="17744" xr:uid="{00000000-0005-0000-0000-0000CC140000}"/>
    <cellStyle name="20% - Accent3 8 3 6" xfId="13785" xr:uid="{00000000-0005-0000-0000-0000CD140000}"/>
    <cellStyle name="20% - Accent3 8 3 7" xfId="17736" xr:uid="{00000000-0005-0000-0000-0000CE140000}"/>
    <cellStyle name="20% - Accent3 8 3_Volatility" xfId="2485" xr:uid="{00000000-0005-0000-0000-0000CF140000}"/>
    <cellStyle name="20% - Accent3 8 4" xfId="2486" xr:uid="{00000000-0005-0000-0000-0000D0140000}"/>
    <cellStyle name="20% - Accent3 8 4 2" xfId="2487" xr:uid="{00000000-0005-0000-0000-0000D1140000}"/>
    <cellStyle name="20% - Accent3 8 4 2 2" xfId="13795" xr:uid="{00000000-0005-0000-0000-0000D2140000}"/>
    <cellStyle name="20% - Accent3 8 4 2 3" xfId="17746" xr:uid="{00000000-0005-0000-0000-0000D3140000}"/>
    <cellStyle name="20% - Accent3 8 4 3" xfId="2488" xr:uid="{00000000-0005-0000-0000-0000D4140000}"/>
    <cellStyle name="20% - Accent3 8 4 3 2" xfId="13796" xr:uid="{00000000-0005-0000-0000-0000D5140000}"/>
    <cellStyle name="20% - Accent3 8 4 3 3" xfId="17747" xr:uid="{00000000-0005-0000-0000-0000D6140000}"/>
    <cellStyle name="20% - Accent3 8 4 4" xfId="13794" xr:uid="{00000000-0005-0000-0000-0000D7140000}"/>
    <cellStyle name="20% - Accent3 8 4 5" xfId="17745" xr:uid="{00000000-0005-0000-0000-0000D8140000}"/>
    <cellStyle name="20% - Accent3 8 5" xfId="2489" xr:uid="{00000000-0005-0000-0000-0000D9140000}"/>
    <cellStyle name="20% - Accent3 8 5 2" xfId="2490" xr:uid="{00000000-0005-0000-0000-0000DA140000}"/>
    <cellStyle name="20% - Accent3 8 5 2 2" xfId="13798" xr:uid="{00000000-0005-0000-0000-0000DB140000}"/>
    <cellStyle name="20% - Accent3 8 5 2 3" xfId="17749" xr:uid="{00000000-0005-0000-0000-0000DC140000}"/>
    <cellStyle name="20% - Accent3 8 5 3" xfId="2491" xr:uid="{00000000-0005-0000-0000-0000DD140000}"/>
    <cellStyle name="20% - Accent3 8 5 3 2" xfId="13799" xr:uid="{00000000-0005-0000-0000-0000DE140000}"/>
    <cellStyle name="20% - Accent3 8 5 3 3" xfId="17750" xr:uid="{00000000-0005-0000-0000-0000DF140000}"/>
    <cellStyle name="20% - Accent3 8 5 4" xfId="13797" xr:uid="{00000000-0005-0000-0000-0000E0140000}"/>
    <cellStyle name="20% - Accent3 8 5 5" xfId="17748" xr:uid="{00000000-0005-0000-0000-0000E1140000}"/>
    <cellStyle name="20% - Accent3 8 6" xfId="2492" xr:uid="{00000000-0005-0000-0000-0000E2140000}"/>
    <cellStyle name="20% - Accent3 8 6 2" xfId="2493" xr:uid="{00000000-0005-0000-0000-0000E3140000}"/>
    <cellStyle name="20% - Accent3 8 6 2 2" xfId="13801" xr:uid="{00000000-0005-0000-0000-0000E4140000}"/>
    <cellStyle name="20% - Accent3 8 6 2 3" xfId="17752" xr:uid="{00000000-0005-0000-0000-0000E5140000}"/>
    <cellStyle name="20% - Accent3 8 6 3" xfId="2494" xr:uid="{00000000-0005-0000-0000-0000E6140000}"/>
    <cellStyle name="20% - Accent3 8 6 3 2" xfId="13802" xr:uid="{00000000-0005-0000-0000-0000E7140000}"/>
    <cellStyle name="20% - Accent3 8 6 3 3" xfId="17753" xr:uid="{00000000-0005-0000-0000-0000E8140000}"/>
    <cellStyle name="20% - Accent3 8 6 4" xfId="13800" xr:uid="{00000000-0005-0000-0000-0000E9140000}"/>
    <cellStyle name="20% - Accent3 8 6 5" xfId="17751" xr:uid="{00000000-0005-0000-0000-0000EA140000}"/>
    <cellStyle name="20% - Accent3 8 7" xfId="2495" xr:uid="{00000000-0005-0000-0000-0000EB140000}"/>
    <cellStyle name="20% - Accent3 8 7 2" xfId="13803" xr:uid="{00000000-0005-0000-0000-0000EC140000}"/>
    <cellStyle name="20% - Accent3 8 7 3" xfId="17754" xr:uid="{00000000-0005-0000-0000-0000ED140000}"/>
    <cellStyle name="20% - Accent3 8 8" xfId="2496" xr:uid="{00000000-0005-0000-0000-0000EE140000}"/>
    <cellStyle name="20% - Accent3 8 8 2" xfId="13804" xr:uid="{00000000-0005-0000-0000-0000EF140000}"/>
    <cellStyle name="20% - Accent3 8 8 3" xfId="17755" xr:uid="{00000000-0005-0000-0000-0000F0140000}"/>
    <cellStyle name="20% - Accent3 8 9" xfId="13772" xr:uid="{00000000-0005-0000-0000-0000F1140000}"/>
    <cellStyle name="20% - Accent3 8_Volatility" xfId="2497" xr:uid="{00000000-0005-0000-0000-0000F2140000}"/>
    <cellStyle name="20% - Accent3 9" xfId="2498" xr:uid="{00000000-0005-0000-0000-0000F3140000}"/>
    <cellStyle name="20% - Accent3 9 10" xfId="17756" xr:uid="{00000000-0005-0000-0000-0000F4140000}"/>
    <cellStyle name="20% - Accent3 9 2" xfId="2499" xr:uid="{00000000-0005-0000-0000-0000F5140000}"/>
    <cellStyle name="20% - Accent3 9 2 2" xfId="2500" xr:uid="{00000000-0005-0000-0000-0000F6140000}"/>
    <cellStyle name="20% - Accent3 9 2 2 2" xfId="2501" xr:uid="{00000000-0005-0000-0000-0000F7140000}"/>
    <cellStyle name="20% - Accent3 9 2 2 2 2" xfId="13808" xr:uid="{00000000-0005-0000-0000-0000F8140000}"/>
    <cellStyle name="20% - Accent3 9 2 2 2 3" xfId="17759" xr:uid="{00000000-0005-0000-0000-0000F9140000}"/>
    <cellStyle name="20% - Accent3 9 2 2 3" xfId="2502" xr:uid="{00000000-0005-0000-0000-0000FA140000}"/>
    <cellStyle name="20% - Accent3 9 2 2 3 2" xfId="13809" xr:uid="{00000000-0005-0000-0000-0000FB140000}"/>
    <cellStyle name="20% - Accent3 9 2 2 3 3" xfId="17760" xr:uid="{00000000-0005-0000-0000-0000FC140000}"/>
    <cellStyle name="20% - Accent3 9 2 2 4" xfId="13807" xr:uid="{00000000-0005-0000-0000-0000FD140000}"/>
    <cellStyle name="20% - Accent3 9 2 2 5" xfId="17758" xr:uid="{00000000-0005-0000-0000-0000FE140000}"/>
    <cellStyle name="20% - Accent3 9 2 3" xfId="2503" xr:uid="{00000000-0005-0000-0000-0000FF140000}"/>
    <cellStyle name="20% - Accent3 9 2 3 2" xfId="2504" xr:uid="{00000000-0005-0000-0000-000000150000}"/>
    <cellStyle name="20% - Accent3 9 2 3 2 2" xfId="13811" xr:uid="{00000000-0005-0000-0000-000001150000}"/>
    <cellStyle name="20% - Accent3 9 2 3 2 3" xfId="17762" xr:uid="{00000000-0005-0000-0000-000002150000}"/>
    <cellStyle name="20% - Accent3 9 2 3 3" xfId="2505" xr:uid="{00000000-0005-0000-0000-000003150000}"/>
    <cellStyle name="20% - Accent3 9 2 3 3 2" xfId="13812" xr:uid="{00000000-0005-0000-0000-000004150000}"/>
    <cellStyle name="20% - Accent3 9 2 3 3 3" xfId="17763" xr:uid="{00000000-0005-0000-0000-000005150000}"/>
    <cellStyle name="20% - Accent3 9 2 3 4" xfId="13810" xr:uid="{00000000-0005-0000-0000-000006150000}"/>
    <cellStyle name="20% - Accent3 9 2 3 5" xfId="17761" xr:uid="{00000000-0005-0000-0000-000007150000}"/>
    <cellStyle name="20% - Accent3 9 2 4" xfId="2506" xr:uid="{00000000-0005-0000-0000-000008150000}"/>
    <cellStyle name="20% - Accent3 9 2 4 2" xfId="2507" xr:uid="{00000000-0005-0000-0000-000009150000}"/>
    <cellStyle name="20% - Accent3 9 2 4 2 2" xfId="13814" xr:uid="{00000000-0005-0000-0000-00000A150000}"/>
    <cellStyle name="20% - Accent3 9 2 4 2 3" xfId="17765" xr:uid="{00000000-0005-0000-0000-00000B150000}"/>
    <cellStyle name="20% - Accent3 9 2 4 3" xfId="2508" xr:uid="{00000000-0005-0000-0000-00000C150000}"/>
    <cellStyle name="20% - Accent3 9 2 4 3 2" xfId="13815" xr:uid="{00000000-0005-0000-0000-00000D150000}"/>
    <cellStyle name="20% - Accent3 9 2 4 3 3" xfId="17766" xr:uid="{00000000-0005-0000-0000-00000E150000}"/>
    <cellStyle name="20% - Accent3 9 2 4 4" xfId="13813" xr:uid="{00000000-0005-0000-0000-00000F150000}"/>
    <cellStyle name="20% - Accent3 9 2 4 5" xfId="17764" xr:uid="{00000000-0005-0000-0000-000010150000}"/>
    <cellStyle name="20% - Accent3 9 2 5" xfId="2509" xr:uid="{00000000-0005-0000-0000-000011150000}"/>
    <cellStyle name="20% - Accent3 9 2 5 2" xfId="13816" xr:uid="{00000000-0005-0000-0000-000012150000}"/>
    <cellStyle name="20% - Accent3 9 2 5 3" xfId="17767" xr:uid="{00000000-0005-0000-0000-000013150000}"/>
    <cellStyle name="20% - Accent3 9 2 6" xfId="2510" xr:uid="{00000000-0005-0000-0000-000014150000}"/>
    <cellStyle name="20% - Accent3 9 2 6 2" xfId="13817" xr:uid="{00000000-0005-0000-0000-000015150000}"/>
    <cellStyle name="20% - Accent3 9 2 6 3" xfId="17768" xr:uid="{00000000-0005-0000-0000-000016150000}"/>
    <cellStyle name="20% - Accent3 9 2 7" xfId="13806" xr:uid="{00000000-0005-0000-0000-000017150000}"/>
    <cellStyle name="20% - Accent3 9 2 8" xfId="17757" xr:uid="{00000000-0005-0000-0000-000018150000}"/>
    <cellStyle name="20% - Accent3 9 2_Volatility" xfId="2511" xr:uid="{00000000-0005-0000-0000-000019150000}"/>
    <cellStyle name="20% - Accent3 9 3" xfId="2512" xr:uid="{00000000-0005-0000-0000-00001A150000}"/>
    <cellStyle name="20% - Accent3 9 3 2" xfId="2513" xr:uid="{00000000-0005-0000-0000-00001B150000}"/>
    <cellStyle name="20% - Accent3 9 3 2 2" xfId="2514" xr:uid="{00000000-0005-0000-0000-00001C150000}"/>
    <cellStyle name="20% - Accent3 9 3 2 2 2" xfId="13820" xr:uid="{00000000-0005-0000-0000-00001D150000}"/>
    <cellStyle name="20% - Accent3 9 3 2 2 3" xfId="17771" xr:uid="{00000000-0005-0000-0000-00001E150000}"/>
    <cellStyle name="20% - Accent3 9 3 2 3" xfId="2515" xr:uid="{00000000-0005-0000-0000-00001F150000}"/>
    <cellStyle name="20% - Accent3 9 3 2 3 2" xfId="13821" xr:uid="{00000000-0005-0000-0000-000020150000}"/>
    <cellStyle name="20% - Accent3 9 3 2 3 3" xfId="17772" xr:uid="{00000000-0005-0000-0000-000021150000}"/>
    <cellStyle name="20% - Accent3 9 3 2 4" xfId="13819" xr:uid="{00000000-0005-0000-0000-000022150000}"/>
    <cellStyle name="20% - Accent3 9 3 2 5" xfId="17770" xr:uid="{00000000-0005-0000-0000-000023150000}"/>
    <cellStyle name="20% - Accent3 9 3 3" xfId="2516" xr:uid="{00000000-0005-0000-0000-000024150000}"/>
    <cellStyle name="20% - Accent3 9 3 3 2" xfId="2517" xr:uid="{00000000-0005-0000-0000-000025150000}"/>
    <cellStyle name="20% - Accent3 9 3 3 2 2" xfId="13823" xr:uid="{00000000-0005-0000-0000-000026150000}"/>
    <cellStyle name="20% - Accent3 9 3 3 2 3" xfId="17774" xr:uid="{00000000-0005-0000-0000-000027150000}"/>
    <cellStyle name="20% - Accent3 9 3 3 3" xfId="2518" xr:uid="{00000000-0005-0000-0000-000028150000}"/>
    <cellStyle name="20% - Accent3 9 3 3 3 2" xfId="13824" xr:uid="{00000000-0005-0000-0000-000029150000}"/>
    <cellStyle name="20% - Accent3 9 3 3 3 3" xfId="17775" xr:uid="{00000000-0005-0000-0000-00002A150000}"/>
    <cellStyle name="20% - Accent3 9 3 3 4" xfId="13822" xr:uid="{00000000-0005-0000-0000-00002B150000}"/>
    <cellStyle name="20% - Accent3 9 3 3 5" xfId="17773" xr:uid="{00000000-0005-0000-0000-00002C150000}"/>
    <cellStyle name="20% - Accent3 9 3 4" xfId="2519" xr:uid="{00000000-0005-0000-0000-00002D150000}"/>
    <cellStyle name="20% - Accent3 9 3 4 2" xfId="13825" xr:uid="{00000000-0005-0000-0000-00002E150000}"/>
    <cellStyle name="20% - Accent3 9 3 4 3" xfId="17776" xr:uid="{00000000-0005-0000-0000-00002F150000}"/>
    <cellStyle name="20% - Accent3 9 3 5" xfId="2520" xr:uid="{00000000-0005-0000-0000-000030150000}"/>
    <cellStyle name="20% - Accent3 9 3 5 2" xfId="13826" xr:uid="{00000000-0005-0000-0000-000031150000}"/>
    <cellStyle name="20% - Accent3 9 3 5 3" xfId="17777" xr:uid="{00000000-0005-0000-0000-000032150000}"/>
    <cellStyle name="20% - Accent3 9 3 6" xfId="13818" xr:uid="{00000000-0005-0000-0000-000033150000}"/>
    <cellStyle name="20% - Accent3 9 3 7" xfId="17769" xr:uid="{00000000-0005-0000-0000-000034150000}"/>
    <cellStyle name="20% - Accent3 9 3_Volatility" xfId="2521" xr:uid="{00000000-0005-0000-0000-000035150000}"/>
    <cellStyle name="20% - Accent3 9 4" xfId="2522" xr:uid="{00000000-0005-0000-0000-000036150000}"/>
    <cellStyle name="20% - Accent3 9 4 2" xfId="2523" xr:uid="{00000000-0005-0000-0000-000037150000}"/>
    <cellStyle name="20% - Accent3 9 4 2 2" xfId="13828" xr:uid="{00000000-0005-0000-0000-000038150000}"/>
    <cellStyle name="20% - Accent3 9 4 2 3" xfId="17779" xr:uid="{00000000-0005-0000-0000-000039150000}"/>
    <cellStyle name="20% - Accent3 9 4 3" xfId="2524" xr:uid="{00000000-0005-0000-0000-00003A150000}"/>
    <cellStyle name="20% - Accent3 9 4 3 2" xfId="13829" xr:uid="{00000000-0005-0000-0000-00003B150000}"/>
    <cellStyle name="20% - Accent3 9 4 3 3" xfId="17780" xr:uid="{00000000-0005-0000-0000-00003C150000}"/>
    <cellStyle name="20% - Accent3 9 4 4" xfId="13827" xr:uid="{00000000-0005-0000-0000-00003D150000}"/>
    <cellStyle name="20% - Accent3 9 4 5" xfId="17778" xr:uid="{00000000-0005-0000-0000-00003E150000}"/>
    <cellStyle name="20% - Accent3 9 5" xfId="2525" xr:uid="{00000000-0005-0000-0000-00003F150000}"/>
    <cellStyle name="20% - Accent3 9 5 2" xfId="2526" xr:uid="{00000000-0005-0000-0000-000040150000}"/>
    <cellStyle name="20% - Accent3 9 5 2 2" xfId="13831" xr:uid="{00000000-0005-0000-0000-000041150000}"/>
    <cellStyle name="20% - Accent3 9 5 2 3" xfId="17782" xr:uid="{00000000-0005-0000-0000-000042150000}"/>
    <cellStyle name="20% - Accent3 9 5 3" xfId="2527" xr:uid="{00000000-0005-0000-0000-000043150000}"/>
    <cellStyle name="20% - Accent3 9 5 3 2" xfId="13832" xr:uid="{00000000-0005-0000-0000-000044150000}"/>
    <cellStyle name="20% - Accent3 9 5 3 3" xfId="17783" xr:uid="{00000000-0005-0000-0000-000045150000}"/>
    <cellStyle name="20% - Accent3 9 5 4" xfId="13830" xr:uid="{00000000-0005-0000-0000-000046150000}"/>
    <cellStyle name="20% - Accent3 9 5 5" xfId="17781" xr:uid="{00000000-0005-0000-0000-000047150000}"/>
    <cellStyle name="20% - Accent3 9 6" xfId="2528" xr:uid="{00000000-0005-0000-0000-000048150000}"/>
    <cellStyle name="20% - Accent3 9 6 2" xfId="2529" xr:uid="{00000000-0005-0000-0000-000049150000}"/>
    <cellStyle name="20% - Accent3 9 6 2 2" xfId="13834" xr:uid="{00000000-0005-0000-0000-00004A150000}"/>
    <cellStyle name="20% - Accent3 9 6 2 3" xfId="17785" xr:uid="{00000000-0005-0000-0000-00004B150000}"/>
    <cellStyle name="20% - Accent3 9 6 3" xfId="2530" xr:uid="{00000000-0005-0000-0000-00004C150000}"/>
    <cellStyle name="20% - Accent3 9 6 3 2" xfId="13835" xr:uid="{00000000-0005-0000-0000-00004D150000}"/>
    <cellStyle name="20% - Accent3 9 6 3 3" xfId="17786" xr:uid="{00000000-0005-0000-0000-00004E150000}"/>
    <cellStyle name="20% - Accent3 9 6 4" xfId="13833" xr:uid="{00000000-0005-0000-0000-00004F150000}"/>
    <cellStyle name="20% - Accent3 9 6 5" xfId="17784" xr:uid="{00000000-0005-0000-0000-000050150000}"/>
    <cellStyle name="20% - Accent3 9 7" xfId="2531" xr:uid="{00000000-0005-0000-0000-000051150000}"/>
    <cellStyle name="20% - Accent3 9 7 2" xfId="13836" xr:uid="{00000000-0005-0000-0000-000052150000}"/>
    <cellStyle name="20% - Accent3 9 7 3" xfId="17787" xr:uid="{00000000-0005-0000-0000-000053150000}"/>
    <cellStyle name="20% - Accent3 9 8" xfId="2532" xr:uid="{00000000-0005-0000-0000-000054150000}"/>
    <cellStyle name="20% - Accent3 9 8 2" xfId="13837" xr:uid="{00000000-0005-0000-0000-000055150000}"/>
    <cellStyle name="20% - Accent3 9 8 3" xfId="17788" xr:uid="{00000000-0005-0000-0000-000056150000}"/>
    <cellStyle name="20% - Accent3 9 9" xfId="13805" xr:uid="{00000000-0005-0000-0000-000057150000}"/>
    <cellStyle name="20% - Accent3 9_Volatility" xfId="2533" xr:uid="{00000000-0005-0000-0000-000058150000}"/>
    <cellStyle name="20% - Accent4 10" xfId="2534" xr:uid="{00000000-0005-0000-0000-000059150000}"/>
    <cellStyle name="20% - Accent4 10 10" xfId="17789" xr:uid="{00000000-0005-0000-0000-00005A150000}"/>
    <cellStyle name="20% - Accent4 10 2" xfId="2535" xr:uid="{00000000-0005-0000-0000-00005B150000}"/>
    <cellStyle name="20% - Accent4 10 2 2" xfId="2536" xr:uid="{00000000-0005-0000-0000-00005C150000}"/>
    <cellStyle name="20% - Accent4 10 2 2 2" xfId="2537" xr:uid="{00000000-0005-0000-0000-00005D150000}"/>
    <cellStyle name="20% - Accent4 10 2 2 2 2" xfId="13841" xr:uid="{00000000-0005-0000-0000-00005E150000}"/>
    <cellStyle name="20% - Accent4 10 2 2 2 3" xfId="17792" xr:uid="{00000000-0005-0000-0000-00005F150000}"/>
    <cellStyle name="20% - Accent4 10 2 2 3" xfId="2538" xr:uid="{00000000-0005-0000-0000-000060150000}"/>
    <cellStyle name="20% - Accent4 10 2 2 3 2" xfId="13842" xr:uid="{00000000-0005-0000-0000-000061150000}"/>
    <cellStyle name="20% - Accent4 10 2 2 3 3" xfId="17793" xr:uid="{00000000-0005-0000-0000-000062150000}"/>
    <cellStyle name="20% - Accent4 10 2 2 4" xfId="13840" xr:uid="{00000000-0005-0000-0000-000063150000}"/>
    <cellStyle name="20% - Accent4 10 2 2 5" xfId="17791" xr:uid="{00000000-0005-0000-0000-000064150000}"/>
    <cellStyle name="20% - Accent4 10 2 3" xfId="2539" xr:uid="{00000000-0005-0000-0000-000065150000}"/>
    <cellStyle name="20% - Accent4 10 2 3 2" xfId="2540" xr:uid="{00000000-0005-0000-0000-000066150000}"/>
    <cellStyle name="20% - Accent4 10 2 3 2 2" xfId="13844" xr:uid="{00000000-0005-0000-0000-000067150000}"/>
    <cellStyle name="20% - Accent4 10 2 3 2 3" xfId="17795" xr:uid="{00000000-0005-0000-0000-000068150000}"/>
    <cellStyle name="20% - Accent4 10 2 3 3" xfId="2541" xr:uid="{00000000-0005-0000-0000-000069150000}"/>
    <cellStyle name="20% - Accent4 10 2 3 3 2" xfId="13845" xr:uid="{00000000-0005-0000-0000-00006A150000}"/>
    <cellStyle name="20% - Accent4 10 2 3 3 3" xfId="17796" xr:uid="{00000000-0005-0000-0000-00006B150000}"/>
    <cellStyle name="20% - Accent4 10 2 3 4" xfId="13843" xr:uid="{00000000-0005-0000-0000-00006C150000}"/>
    <cellStyle name="20% - Accent4 10 2 3 5" xfId="17794" xr:uid="{00000000-0005-0000-0000-00006D150000}"/>
    <cellStyle name="20% - Accent4 10 2 4" xfId="2542" xr:uid="{00000000-0005-0000-0000-00006E150000}"/>
    <cellStyle name="20% - Accent4 10 2 4 2" xfId="2543" xr:uid="{00000000-0005-0000-0000-00006F150000}"/>
    <cellStyle name="20% - Accent4 10 2 4 2 2" xfId="13847" xr:uid="{00000000-0005-0000-0000-000070150000}"/>
    <cellStyle name="20% - Accent4 10 2 4 2 3" xfId="17798" xr:uid="{00000000-0005-0000-0000-000071150000}"/>
    <cellStyle name="20% - Accent4 10 2 4 3" xfId="2544" xr:uid="{00000000-0005-0000-0000-000072150000}"/>
    <cellStyle name="20% - Accent4 10 2 4 3 2" xfId="13848" xr:uid="{00000000-0005-0000-0000-000073150000}"/>
    <cellStyle name="20% - Accent4 10 2 4 3 3" xfId="17799" xr:uid="{00000000-0005-0000-0000-000074150000}"/>
    <cellStyle name="20% - Accent4 10 2 4 4" xfId="13846" xr:uid="{00000000-0005-0000-0000-000075150000}"/>
    <cellStyle name="20% - Accent4 10 2 4 5" xfId="17797" xr:uid="{00000000-0005-0000-0000-000076150000}"/>
    <cellStyle name="20% - Accent4 10 2 5" xfId="2545" xr:uid="{00000000-0005-0000-0000-000077150000}"/>
    <cellStyle name="20% - Accent4 10 2 5 2" xfId="13849" xr:uid="{00000000-0005-0000-0000-000078150000}"/>
    <cellStyle name="20% - Accent4 10 2 5 3" xfId="17800" xr:uid="{00000000-0005-0000-0000-000079150000}"/>
    <cellStyle name="20% - Accent4 10 2 6" xfId="2546" xr:uid="{00000000-0005-0000-0000-00007A150000}"/>
    <cellStyle name="20% - Accent4 10 2 6 2" xfId="13850" xr:uid="{00000000-0005-0000-0000-00007B150000}"/>
    <cellStyle name="20% - Accent4 10 2 6 3" xfId="17801" xr:uid="{00000000-0005-0000-0000-00007C150000}"/>
    <cellStyle name="20% - Accent4 10 2 7" xfId="13839" xr:uid="{00000000-0005-0000-0000-00007D150000}"/>
    <cellStyle name="20% - Accent4 10 2 8" xfId="17790" xr:uid="{00000000-0005-0000-0000-00007E150000}"/>
    <cellStyle name="20% - Accent4 10 2_Volatility" xfId="2547" xr:uid="{00000000-0005-0000-0000-00007F150000}"/>
    <cellStyle name="20% - Accent4 10 3" xfId="2548" xr:uid="{00000000-0005-0000-0000-000080150000}"/>
    <cellStyle name="20% - Accent4 10 3 2" xfId="2549" xr:uid="{00000000-0005-0000-0000-000081150000}"/>
    <cellStyle name="20% - Accent4 10 3 2 2" xfId="2550" xr:uid="{00000000-0005-0000-0000-000082150000}"/>
    <cellStyle name="20% - Accent4 10 3 2 2 2" xfId="13853" xr:uid="{00000000-0005-0000-0000-000083150000}"/>
    <cellStyle name="20% - Accent4 10 3 2 2 3" xfId="17804" xr:uid="{00000000-0005-0000-0000-000084150000}"/>
    <cellStyle name="20% - Accent4 10 3 2 3" xfId="2551" xr:uid="{00000000-0005-0000-0000-000085150000}"/>
    <cellStyle name="20% - Accent4 10 3 2 3 2" xfId="13854" xr:uid="{00000000-0005-0000-0000-000086150000}"/>
    <cellStyle name="20% - Accent4 10 3 2 3 3" xfId="17805" xr:uid="{00000000-0005-0000-0000-000087150000}"/>
    <cellStyle name="20% - Accent4 10 3 2 4" xfId="13852" xr:uid="{00000000-0005-0000-0000-000088150000}"/>
    <cellStyle name="20% - Accent4 10 3 2 5" xfId="17803" xr:uid="{00000000-0005-0000-0000-000089150000}"/>
    <cellStyle name="20% - Accent4 10 3 3" xfId="2552" xr:uid="{00000000-0005-0000-0000-00008A150000}"/>
    <cellStyle name="20% - Accent4 10 3 3 2" xfId="2553" xr:uid="{00000000-0005-0000-0000-00008B150000}"/>
    <cellStyle name="20% - Accent4 10 3 3 2 2" xfId="13856" xr:uid="{00000000-0005-0000-0000-00008C150000}"/>
    <cellStyle name="20% - Accent4 10 3 3 2 3" xfId="17807" xr:uid="{00000000-0005-0000-0000-00008D150000}"/>
    <cellStyle name="20% - Accent4 10 3 3 3" xfId="2554" xr:uid="{00000000-0005-0000-0000-00008E150000}"/>
    <cellStyle name="20% - Accent4 10 3 3 3 2" xfId="13857" xr:uid="{00000000-0005-0000-0000-00008F150000}"/>
    <cellStyle name="20% - Accent4 10 3 3 3 3" xfId="17808" xr:uid="{00000000-0005-0000-0000-000090150000}"/>
    <cellStyle name="20% - Accent4 10 3 3 4" xfId="13855" xr:uid="{00000000-0005-0000-0000-000091150000}"/>
    <cellStyle name="20% - Accent4 10 3 3 5" xfId="17806" xr:uid="{00000000-0005-0000-0000-000092150000}"/>
    <cellStyle name="20% - Accent4 10 3 4" xfId="2555" xr:uid="{00000000-0005-0000-0000-000093150000}"/>
    <cellStyle name="20% - Accent4 10 3 4 2" xfId="13858" xr:uid="{00000000-0005-0000-0000-000094150000}"/>
    <cellStyle name="20% - Accent4 10 3 4 3" xfId="17809" xr:uid="{00000000-0005-0000-0000-000095150000}"/>
    <cellStyle name="20% - Accent4 10 3 5" xfId="2556" xr:uid="{00000000-0005-0000-0000-000096150000}"/>
    <cellStyle name="20% - Accent4 10 3 5 2" xfId="13859" xr:uid="{00000000-0005-0000-0000-000097150000}"/>
    <cellStyle name="20% - Accent4 10 3 5 3" xfId="17810" xr:uid="{00000000-0005-0000-0000-000098150000}"/>
    <cellStyle name="20% - Accent4 10 3 6" xfId="13851" xr:uid="{00000000-0005-0000-0000-000099150000}"/>
    <cellStyle name="20% - Accent4 10 3 7" xfId="17802" xr:uid="{00000000-0005-0000-0000-00009A150000}"/>
    <cellStyle name="20% - Accent4 10 3_Volatility" xfId="2557" xr:uid="{00000000-0005-0000-0000-00009B150000}"/>
    <cellStyle name="20% - Accent4 10 4" xfId="2558" xr:uid="{00000000-0005-0000-0000-00009C150000}"/>
    <cellStyle name="20% - Accent4 10 4 2" xfId="2559" xr:uid="{00000000-0005-0000-0000-00009D150000}"/>
    <cellStyle name="20% - Accent4 10 4 2 2" xfId="13861" xr:uid="{00000000-0005-0000-0000-00009E150000}"/>
    <cellStyle name="20% - Accent4 10 4 2 3" xfId="17812" xr:uid="{00000000-0005-0000-0000-00009F150000}"/>
    <cellStyle name="20% - Accent4 10 4 3" xfId="2560" xr:uid="{00000000-0005-0000-0000-0000A0150000}"/>
    <cellStyle name="20% - Accent4 10 4 3 2" xfId="13862" xr:uid="{00000000-0005-0000-0000-0000A1150000}"/>
    <cellStyle name="20% - Accent4 10 4 3 3" xfId="17813" xr:uid="{00000000-0005-0000-0000-0000A2150000}"/>
    <cellStyle name="20% - Accent4 10 4 4" xfId="13860" xr:uid="{00000000-0005-0000-0000-0000A3150000}"/>
    <cellStyle name="20% - Accent4 10 4 5" xfId="17811" xr:uid="{00000000-0005-0000-0000-0000A4150000}"/>
    <cellStyle name="20% - Accent4 10 5" xfId="2561" xr:uid="{00000000-0005-0000-0000-0000A5150000}"/>
    <cellStyle name="20% - Accent4 10 5 2" xfId="2562" xr:uid="{00000000-0005-0000-0000-0000A6150000}"/>
    <cellStyle name="20% - Accent4 10 5 2 2" xfId="13864" xr:uid="{00000000-0005-0000-0000-0000A7150000}"/>
    <cellStyle name="20% - Accent4 10 5 2 3" xfId="17815" xr:uid="{00000000-0005-0000-0000-0000A8150000}"/>
    <cellStyle name="20% - Accent4 10 5 3" xfId="2563" xr:uid="{00000000-0005-0000-0000-0000A9150000}"/>
    <cellStyle name="20% - Accent4 10 5 3 2" xfId="13865" xr:uid="{00000000-0005-0000-0000-0000AA150000}"/>
    <cellStyle name="20% - Accent4 10 5 3 3" xfId="17816" xr:uid="{00000000-0005-0000-0000-0000AB150000}"/>
    <cellStyle name="20% - Accent4 10 5 4" xfId="13863" xr:uid="{00000000-0005-0000-0000-0000AC150000}"/>
    <cellStyle name="20% - Accent4 10 5 5" xfId="17814" xr:uid="{00000000-0005-0000-0000-0000AD150000}"/>
    <cellStyle name="20% - Accent4 10 6" xfId="2564" xr:uid="{00000000-0005-0000-0000-0000AE150000}"/>
    <cellStyle name="20% - Accent4 10 6 2" xfId="2565" xr:uid="{00000000-0005-0000-0000-0000AF150000}"/>
    <cellStyle name="20% - Accent4 10 6 2 2" xfId="13867" xr:uid="{00000000-0005-0000-0000-0000B0150000}"/>
    <cellStyle name="20% - Accent4 10 6 2 3" xfId="17818" xr:uid="{00000000-0005-0000-0000-0000B1150000}"/>
    <cellStyle name="20% - Accent4 10 6 3" xfId="2566" xr:uid="{00000000-0005-0000-0000-0000B2150000}"/>
    <cellStyle name="20% - Accent4 10 6 3 2" xfId="13868" xr:uid="{00000000-0005-0000-0000-0000B3150000}"/>
    <cellStyle name="20% - Accent4 10 6 3 3" xfId="17819" xr:uid="{00000000-0005-0000-0000-0000B4150000}"/>
    <cellStyle name="20% - Accent4 10 6 4" xfId="13866" xr:uid="{00000000-0005-0000-0000-0000B5150000}"/>
    <cellStyle name="20% - Accent4 10 6 5" xfId="17817" xr:uid="{00000000-0005-0000-0000-0000B6150000}"/>
    <cellStyle name="20% - Accent4 10 7" xfId="2567" xr:uid="{00000000-0005-0000-0000-0000B7150000}"/>
    <cellStyle name="20% - Accent4 10 7 2" xfId="13869" xr:uid="{00000000-0005-0000-0000-0000B8150000}"/>
    <cellStyle name="20% - Accent4 10 7 3" xfId="17820" xr:uid="{00000000-0005-0000-0000-0000B9150000}"/>
    <cellStyle name="20% - Accent4 10 8" xfId="2568" xr:uid="{00000000-0005-0000-0000-0000BA150000}"/>
    <cellStyle name="20% - Accent4 10 8 2" xfId="13870" xr:uid="{00000000-0005-0000-0000-0000BB150000}"/>
    <cellStyle name="20% - Accent4 10 8 3" xfId="17821" xr:uid="{00000000-0005-0000-0000-0000BC150000}"/>
    <cellStyle name="20% - Accent4 10 9" xfId="13838" xr:uid="{00000000-0005-0000-0000-0000BD150000}"/>
    <cellStyle name="20% - Accent4 10_Volatility" xfId="2569" xr:uid="{00000000-0005-0000-0000-0000BE150000}"/>
    <cellStyle name="20% - Accent4 11" xfId="2570" xr:uid="{00000000-0005-0000-0000-0000BF150000}"/>
    <cellStyle name="20% - Accent4 11 10" xfId="17822" xr:uid="{00000000-0005-0000-0000-0000C0150000}"/>
    <cellStyle name="20% - Accent4 11 2" xfId="2571" xr:uid="{00000000-0005-0000-0000-0000C1150000}"/>
    <cellStyle name="20% - Accent4 11 2 2" xfId="2572" xr:uid="{00000000-0005-0000-0000-0000C2150000}"/>
    <cellStyle name="20% - Accent4 11 2 2 2" xfId="2573" xr:uid="{00000000-0005-0000-0000-0000C3150000}"/>
    <cellStyle name="20% - Accent4 11 2 2 2 2" xfId="13874" xr:uid="{00000000-0005-0000-0000-0000C4150000}"/>
    <cellStyle name="20% - Accent4 11 2 2 2 3" xfId="17825" xr:uid="{00000000-0005-0000-0000-0000C5150000}"/>
    <cellStyle name="20% - Accent4 11 2 2 3" xfId="2574" xr:uid="{00000000-0005-0000-0000-0000C6150000}"/>
    <cellStyle name="20% - Accent4 11 2 2 3 2" xfId="13875" xr:uid="{00000000-0005-0000-0000-0000C7150000}"/>
    <cellStyle name="20% - Accent4 11 2 2 3 3" xfId="17826" xr:uid="{00000000-0005-0000-0000-0000C8150000}"/>
    <cellStyle name="20% - Accent4 11 2 2 4" xfId="13873" xr:uid="{00000000-0005-0000-0000-0000C9150000}"/>
    <cellStyle name="20% - Accent4 11 2 2 5" xfId="17824" xr:uid="{00000000-0005-0000-0000-0000CA150000}"/>
    <cellStyle name="20% - Accent4 11 2 3" xfId="2575" xr:uid="{00000000-0005-0000-0000-0000CB150000}"/>
    <cellStyle name="20% - Accent4 11 2 3 2" xfId="2576" xr:uid="{00000000-0005-0000-0000-0000CC150000}"/>
    <cellStyle name="20% - Accent4 11 2 3 2 2" xfId="13877" xr:uid="{00000000-0005-0000-0000-0000CD150000}"/>
    <cellStyle name="20% - Accent4 11 2 3 2 3" xfId="17828" xr:uid="{00000000-0005-0000-0000-0000CE150000}"/>
    <cellStyle name="20% - Accent4 11 2 3 3" xfId="2577" xr:uid="{00000000-0005-0000-0000-0000CF150000}"/>
    <cellStyle name="20% - Accent4 11 2 3 3 2" xfId="13878" xr:uid="{00000000-0005-0000-0000-0000D0150000}"/>
    <cellStyle name="20% - Accent4 11 2 3 3 3" xfId="17829" xr:uid="{00000000-0005-0000-0000-0000D1150000}"/>
    <cellStyle name="20% - Accent4 11 2 3 4" xfId="13876" xr:uid="{00000000-0005-0000-0000-0000D2150000}"/>
    <cellStyle name="20% - Accent4 11 2 3 5" xfId="17827" xr:uid="{00000000-0005-0000-0000-0000D3150000}"/>
    <cellStyle name="20% - Accent4 11 2 4" xfId="2578" xr:uid="{00000000-0005-0000-0000-0000D4150000}"/>
    <cellStyle name="20% - Accent4 11 2 4 2" xfId="2579" xr:uid="{00000000-0005-0000-0000-0000D5150000}"/>
    <cellStyle name="20% - Accent4 11 2 4 2 2" xfId="13880" xr:uid="{00000000-0005-0000-0000-0000D6150000}"/>
    <cellStyle name="20% - Accent4 11 2 4 2 3" xfId="17831" xr:uid="{00000000-0005-0000-0000-0000D7150000}"/>
    <cellStyle name="20% - Accent4 11 2 4 3" xfId="2580" xr:uid="{00000000-0005-0000-0000-0000D8150000}"/>
    <cellStyle name="20% - Accent4 11 2 4 3 2" xfId="13881" xr:uid="{00000000-0005-0000-0000-0000D9150000}"/>
    <cellStyle name="20% - Accent4 11 2 4 3 3" xfId="17832" xr:uid="{00000000-0005-0000-0000-0000DA150000}"/>
    <cellStyle name="20% - Accent4 11 2 4 4" xfId="13879" xr:uid="{00000000-0005-0000-0000-0000DB150000}"/>
    <cellStyle name="20% - Accent4 11 2 4 5" xfId="17830" xr:uid="{00000000-0005-0000-0000-0000DC150000}"/>
    <cellStyle name="20% - Accent4 11 2 5" xfId="2581" xr:uid="{00000000-0005-0000-0000-0000DD150000}"/>
    <cellStyle name="20% - Accent4 11 2 5 2" xfId="13882" xr:uid="{00000000-0005-0000-0000-0000DE150000}"/>
    <cellStyle name="20% - Accent4 11 2 5 3" xfId="17833" xr:uid="{00000000-0005-0000-0000-0000DF150000}"/>
    <cellStyle name="20% - Accent4 11 2 6" xfId="2582" xr:uid="{00000000-0005-0000-0000-0000E0150000}"/>
    <cellStyle name="20% - Accent4 11 2 6 2" xfId="13883" xr:uid="{00000000-0005-0000-0000-0000E1150000}"/>
    <cellStyle name="20% - Accent4 11 2 6 3" xfId="17834" xr:uid="{00000000-0005-0000-0000-0000E2150000}"/>
    <cellStyle name="20% - Accent4 11 2 7" xfId="13872" xr:uid="{00000000-0005-0000-0000-0000E3150000}"/>
    <cellStyle name="20% - Accent4 11 2 8" xfId="17823" xr:uid="{00000000-0005-0000-0000-0000E4150000}"/>
    <cellStyle name="20% - Accent4 11 2_Volatility" xfId="2583" xr:uid="{00000000-0005-0000-0000-0000E5150000}"/>
    <cellStyle name="20% - Accent4 11 3" xfId="2584" xr:uid="{00000000-0005-0000-0000-0000E6150000}"/>
    <cellStyle name="20% - Accent4 11 3 2" xfId="2585" xr:uid="{00000000-0005-0000-0000-0000E7150000}"/>
    <cellStyle name="20% - Accent4 11 3 2 2" xfId="2586" xr:uid="{00000000-0005-0000-0000-0000E8150000}"/>
    <cellStyle name="20% - Accent4 11 3 2 2 2" xfId="13886" xr:uid="{00000000-0005-0000-0000-0000E9150000}"/>
    <cellStyle name="20% - Accent4 11 3 2 2 3" xfId="17837" xr:uid="{00000000-0005-0000-0000-0000EA150000}"/>
    <cellStyle name="20% - Accent4 11 3 2 3" xfId="2587" xr:uid="{00000000-0005-0000-0000-0000EB150000}"/>
    <cellStyle name="20% - Accent4 11 3 2 3 2" xfId="13887" xr:uid="{00000000-0005-0000-0000-0000EC150000}"/>
    <cellStyle name="20% - Accent4 11 3 2 3 3" xfId="17838" xr:uid="{00000000-0005-0000-0000-0000ED150000}"/>
    <cellStyle name="20% - Accent4 11 3 2 4" xfId="13885" xr:uid="{00000000-0005-0000-0000-0000EE150000}"/>
    <cellStyle name="20% - Accent4 11 3 2 5" xfId="17836" xr:uid="{00000000-0005-0000-0000-0000EF150000}"/>
    <cellStyle name="20% - Accent4 11 3 3" xfId="2588" xr:uid="{00000000-0005-0000-0000-0000F0150000}"/>
    <cellStyle name="20% - Accent4 11 3 3 2" xfId="2589" xr:uid="{00000000-0005-0000-0000-0000F1150000}"/>
    <cellStyle name="20% - Accent4 11 3 3 2 2" xfId="13889" xr:uid="{00000000-0005-0000-0000-0000F2150000}"/>
    <cellStyle name="20% - Accent4 11 3 3 2 3" xfId="17840" xr:uid="{00000000-0005-0000-0000-0000F3150000}"/>
    <cellStyle name="20% - Accent4 11 3 3 3" xfId="2590" xr:uid="{00000000-0005-0000-0000-0000F4150000}"/>
    <cellStyle name="20% - Accent4 11 3 3 3 2" xfId="13890" xr:uid="{00000000-0005-0000-0000-0000F5150000}"/>
    <cellStyle name="20% - Accent4 11 3 3 3 3" xfId="17841" xr:uid="{00000000-0005-0000-0000-0000F6150000}"/>
    <cellStyle name="20% - Accent4 11 3 3 4" xfId="13888" xr:uid="{00000000-0005-0000-0000-0000F7150000}"/>
    <cellStyle name="20% - Accent4 11 3 3 5" xfId="17839" xr:uid="{00000000-0005-0000-0000-0000F8150000}"/>
    <cellStyle name="20% - Accent4 11 3 4" xfId="2591" xr:uid="{00000000-0005-0000-0000-0000F9150000}"/>
    <cellStyle name="20% - Accent4 11 3 4 2" xfId="13891" xr:uid="{00000000-0005-0000-0000-0000FA150000}"/>
    <cellStyle name="20% - Accent4 11 3 4 3" xfId="17842" xr:uid="{00000000-0005-0000-0000-0000FB150000}"/>
    <cellStyle name="20% - Accent4 11 3 5" xfId="2592" xr:uid="{00000000-0005-0000-0000-0000FC150000}"/>
    <cellStyle name="20% - Accent4 11 3 5 2" xfId="13892" xr:uid="{00000000-0005-0000-0000-0000FD150000}"/>
    <cellStyle name="20% - Accent4 11 3 5 3" xfId="17843" xr:uid="{00000000-0005-0000-0000-0000FE150000}"/>
    <cellStyle name="20% - Accent4 11 3 6" xfId="13884" xr:uid="{00000000-0005-0000-0000-0000FF150000}"/>
    <cellStyle name="20% - Accent4 11 3 7" xfId="17835" xr:uid="{00000000-0005-0000-0000-000000160000}"/>
    <cellStyle name="20% - Accent4 11 3_Volatility" xfId="2593" xr:uid="{00000000-0005-0000-0000-000001160000}"/>
    <cellStyle name="20% - Accent4 11 4" xfId="2594" xr:uid="{00000000-0005-0000-0000-000002160000}"/>
    <cellStyle name="20% - Accent4 11 4 2" xfId="2595" xr:uid="{00000000-0005-0000-0000-000003160000}"/>
    <cellStyle name="20% - Accent4 11 4 2 2" xfId="13894" xr:uid="{00000000-0005-0000-0000-000004160000}"/>
    <cellStyle name="20% - Accent4 11 4 2 3" xfId="17845" xr:uid="{00000000-0005-0000-0000-000005160000}"/>
    <cellStyle name="20% - Accent4 11 4 3" xfId="2596" xr:uid="{00000000-0005-0000-0000-000006160000}"/>
    <cellStyle name="20% - Accent4 11 4 3 2" xfId="13895" xr:uid="{00000000-0005-0000-0000-000007160000}"/>
    <cellStyle name="20% - Accent4 11 4 3 3" xfId="17846" xr:uid="{00000000-0005-0000-0000-000008160000}"/>
    <cellStyle name="20% - Accent4 11 4 4" xfId="13893" xr:uid="{00000000-0005-0000-0000-000009160000}"/>
    <cellStyle name="20% - Accent4 11 4 5" xfId="17844" xr:uid="{00000000-0005-0000-0000-00000A160000}"/>
    <cellStyle name="20% - Accent4 11 5" xfId="2597" xr:uid="{00000000-0005-0000-0000-00000B160000}"/>
    <cellStyle name="20% - Accent4 11 5 2" xfId="2598" xr:uid="{00000000-0005-0000-0000-00000C160000}"/>
    <cellStyle name="20% - Accent4 11 5 2 2" xfId="13897" xr:uid="{00000000-0005-0000-0000-00000D160000}"/>
    <cellStyle name="20% - Accent4 11 5 2 3" xfId="17848" xr:uid="{00000000-0005-0000-0000-00000E160000}"/>
    <cellStyle name="20% - Accent4 11 5 3" xfId="2599" xr:uid="{00000000-0005-0000-0000-00000F160000}"/>
    <cellStyle name="20% - Accent4 11 5 3 2" xfId="13898" xr:uid="{00000000-0005-0000-0000-000010160000}"/>
    <cellStyle name="20% - Accent4 11 5 3 3" xfId="17849" xr:uid="{00000000-0005-0000-0000-000011160000}"/>
    <cellStyle name="20% - Accent4 11 5 4" xfId="13896" xr:uid="{00000000-0005-0000-0000-000012160000}"/>
    <cellStyle name="20% - Accent4 11 5 5" xfId="17847" xr:uid="{00000000-0005-0000-0000-000013160000}"/>
    <cellStyle name="20% - Accent4 11 6" xfId="2600" xr:uid="{00000000-0005-0000-0000-000014160000}"/>
    <cellStyle name="20% - Accent4 11 6 2" xfId="2601" xr:uid="{00000000-0005-0000-0000-000015160000}"/>
    <cellStyle name="20% - Accent4 11 6 2 2" xfId="13900" xr:uid="{00000000-0005-0000-0000-000016160000}"/>
    <cellStyle name="20% - Accent4 11 6 2 3" xfId="17851" xr:uid="{00000000-0005-0000-0000-000017160000}"/>
    <cellStyle name="20% - Accent4 11 6 3" xfId="2602" xr:uid="{00000000-0005-0000-0000-000018160000}"/>
    <cellStyle name="20% - Accent4 11 6 3 2" xfId="13901" xr:uid="{00000000-0005-0000-0000-000019160000}"/>
    <cellStyle name="20% - Accent4 11 6 3 3" xfId="17852" xr:uid="{00000000-0005-0000-0000-00001A160000}"/>
    <cellStyle name="20% - Accent4 11 6 4" xfId="13899" xr:uid="{00000000-0005-0000-0000-00001B160000}"/>
    <cellStyle name="20% - Accent4 11 6 5" xfId="17850" xr:uid="{00000000-0005-0000-0000-00001C160000}"/>
    <cellStyle name="20% - Accent4 11 7" xfId="2603" xr:uid="{00000000-0005-0000-0000-00001D160000}"/>
    <cellStyle name="20% - Accent4 11 7 2" xfId="13902" xr:uid="{00000000-0005-0000-0000-00001E160000}"/>
    <cellStyle name="20% - Accent4 11 7 3" xfId="17853" xr:uid="{00000000-0005-0000-0000-00001F160000}"/>
    <cellStyle name="20% - Accent4 11 8" xfId="2604" xr:uid="{00000000-0005-0000-0000-000020160000}"/>
    <cellStyle name="20% - Accent4 11 8 2" xfId="13903" xr:uid="{00000000-0005-0000-0000-000021160000}"/>
    <cellStyle name="20% - Accent4 11 8 3" xfId="17854" xr:uid="{00000000-0005-0000-0000-000022160000}"/>
    <cellStyle name="20% - Accent4 11 9" xfId="13871" xr:uid="{00000000-0005-0000-0000-000023160000}"/>
    <cellStyle name="20% - Accent4 11_Volatility" xfId="2605" xr:uid="{00000000-0005-0000-0000-000024160000}"/>
    <cellStyle name="20% - Accent4 12" xfId="2606" xr:uid="{00000000-0005-0000-0000-000025160000}"/>
    <cellStyle name="20% - Accent4 12 10" xfId="17855" xr:uid="{00000000-0005-0000-0000-000026160000}"/>
    <cellStyle name="20% - Accent4 12 2" xfId="2607" xr:uid="{00000000-0005-0000-0000-000027160000}"/>
    <cellStyle name="20% - Accent4 12 2 2" xfId="2608" xr:uid="{00000000-0005-0000-0000-000028160000}"/>
    <cellStyle name="20% - Accent4 12 2 2 2" xfId="2609" xr:uid="{00000000-0005-0000-0000-000029160000}"/>
    <cellStyle name="20% - Accent4 12 2 2 2 2" xfId="13907" xr:uid="{00000000-0005-0000-0000-00002A160000}"/>
    <cellStyle name="20% - Accent4 12 2 2 2 3" xfId="17858" xr:uid="{00000000-0005-0000-0000-00002B160000}"/>
    <cellStyle name="20% - Accent4 12 2 2 3" xfId="2610" xr:uid="{00000000-0005-0000-0000-00002C160000}"/>
    <cellStyle name="20% - Accent4 12 2 2 3 2" xfId="13908" xr:uid="{00000000-0005-0000-0000-00002D160000}"/>
    <cellStyle name="20% - Accent4 12 2 2 3 3" xfId="17859" xr:uid="{00000000-0005-0000-0000-00002E160000}"/>
    <cellStyle name="20% - Accent4 12 2 2 4" xfId="13906" xr:uid="{00000000-0005-0000-0000-00002F160000}"/>
    <cellStyle name="20% - Accent4 12 2 2 5" xfId="17857" xr:uid="{00000000-0005-0000-0000-000030160000}"/>
    <cellStyle name="20% - Accent4 12 2 3" xfId="2611" xr:uid="{00000000-0005-0000-0000-000031160000}"/>
    <cellStyle name="20% - Accent4 12 2 3 2" xfId="2612" xr:uid="{00000000-0005-0000-0000-000032160000}"/>
    <cellStyle name="20% - Accent4 12 2 3 2 2" xfId="13910" xr:uid="{00000000-0005-0000-0000-000033160000}"/>
    <cellStyle name="20% - Accent4 12 2 3 2 3" xfId="17861" xr:uid="{00000000-0005-0000-0000-000034160000}"/>
    <cellStyle name="20% - Accent4 12 2 3 3" xfId="2613" xr:uid="{00000000-0005-0000-0000-000035160000}"/>
    <cellStyle name="20% - Accent4 12 2 3 3 2" xfId="13911" xr:uid="{00000000-0005-0000-0000-000036160000}"/>
    <cellStyle name="20% - Accent4 12 2 3 3 3" xfId="17862" xr:uid="{00000000-0005-0000-0000-000037160000}"/>
    <cellStyle name="20% - Accent4 12 2 3 4" xfId="13909" xr:uid="{00000000-0005-0000-0000-000038160000}"/>
    <cellStyle name="20% - Accent4 12 2 3 5" xfId="17860" xr:uid="{00000000-0005-0000-0000-000039160000}"/>
    <cellStyle name="20% - Accent4 12 2 4" xfId="2614" xr:uid="{00000000-0005-0000-0000-00003A160000}"/>
    <cellStyle name="20% - Accent4 12 2 4 2" xfId="2615" xr:uid="{00000000-0005-0000-0000-00003B160000}"/>
    <cellStyle name="20% - Accent4 12 2 4 2 2" xfId="13913" xr:uid="{00000000-0005-0000-0000-00003C160000}"/>
    <cellStyle name="20% - Accent4 12 2 4 2 3" xfId="17864" xr:uid="{00000000-0005-0000-0000-00003D160000}"/>
    <cellStyle name="20% - Accent4 12 2 4 3" xfId="2616" xr:uid="{00000000-0005-0000-0000-00003E160000}"/>
    <cellStyle name="20% - Accent4 12 2 4 3 2" xfId="13914" xr:uid="{00000000-0005-0000-0000-00003F160000}"/>
    <cellStyle name="20% - Accent4 12 2 4 3 3" xfId="17865" xr:uid="{00000000-0005-0000-0000-000040160000}"/>
    <cellStyle name="20% - Accent4 12 2 4 4" xfId="13912" xr:uid="{00000000-0005-0000-0000-000041160000}"/>
    <cellStyle name="20% - Accent4 12 2 4 5" xfId="17863" xr:uid="{00000000-0005-0000-0000-000042160000}"/>
    <cellStyle name="20% - Accent4 12 2 5" xfId="2617" xr:uid="{00000000-0005-0000-0000-000043160000}"/>
    <cellStyle name="20% - Accent4 12 2 5 2" xfId="13915" xr:uid="{00000000-0005-0000-0000-000044160000}"/>
    <cellStyle name="20% - Accent4 12 2 5 3" xfId="17866" xr:uid="{00000000-0005-0000-0000-000045160000}"/>
    <cellStyle name="20% - Accent4 12 2 6" xfId="2618" xr:uid="{00000000-0005-0000-0000-000046160000}"/>
    <cellStyle name="20% - Accent4 12 2 6 2" xfId="13916" xr:uid="{00000000-0005-0000-0000-000047160000}"/>
    <cellStyle name="20% - Accent4 12 2 6 3" xfId="17867" xr:uid="{00000000-0005-0000-0000-000048160000}"/>
    <cellStyle name="20% - Accent4 12 2 7" xfId="13905" xr:uid="{00000000-0005-0000-0000-000049160000}"/>
    <cellStyle name="20% - Accent4 12 2 8" xfId="17856" xr:uid="{00000000-0005-0000-0000-00004A160000}"/>
    <cellStyle name="20% - Accent4 12 2_Volatility" xfId="2619" xr:uid="{00000000-0005-0000-0000-00004B160000}"/>
    <cellStyle name="20% - Accent4 12 3" xfId="2620" xr:uid="{00000000-0005-0000-0000-00004C160000}"/>
    <cellStyle name="20% - Accent4 12 3 2" xfId="2621" xr:uid="{00000000-0005-0000-0000-00004D160000}"/>
    <cellStyle name="20% - Accent4 12 3 2 2" xfId="2622" xr:uid="{00000000-0005-0000-0000-00004E160000}"/>
    <cellStyle name="20% - Accent4 12 3 2 2 2" xfId="13919" xr:uid="{00000000-0005-0000-0000-00004F160000}"/>
    <cellStyle name="20% - Accent4 12 3 2 2 3" xfId="17870" xr:uid="{00000000-0005-0000-0000-000050160000}"/>
    <cellStyle name="20% - Accent4 12 3 2 3" xfId="2623" xr:uid="{00000000-0005-0000-0000-000051160000}"/>
    <cellStyle name="20% - Accent4 12 3 2 3 2" xfId="13920" xr:uid="{00000000-0005-0000-0000-000052160000}"/>
    <cellStyle name="20% - Accent4 12 3 2 3 3" xfId="17871" xr:uid="{00000000-0005-0000-0000-000053160000}"/>
    <cellStyle name="20% - Accent4 12 3 2 4" xfId="13918" xr:uid="{00000000-0005-0000-0000-000054160000}"/>
    <cellStyle name="20% - Accent4 12 3 2 5" xfId="17869" xr:uid="{00000000-0005-0000-0000-000055160000}"/>
    <cellStyle name="20% - Accent4 12 3 3" xfId="2624" xr:uid="{00000000-0005-0000-0000-000056160000}"/>
    <cellStyle name="20% - Accent4 12 3 3 2" xfId="2625" xr:uid="{00000000-0005-0000-0000-000057160000}"/>
    <cellStyle name="20% - Accent4 12 3 3 2 2" xfId="13922" xr:uid="{00000000-0005-0000-0000-000058160000}"/>
    <cellStyle name="20% - Accent4 12 3 3 2 3" xfId="17873" xr:uid="{00000000-0005-0000-0000-000059160000}"/>
    <cellStyle name="20% - Accent4 12 3 3 3" xfId="2626" xr:uid="{00000000-0005-0000-0000-00005A160000}"/>
    <cellStyle name="20% - Accent4 12 3 3 3 2" xfId="13923" xr:uid="{00000000-0005-0000-0000-00005B160000}"/>
    <cellStyle name="20% - Accent4 12 3 3 3 3" xfId="17874" xr:uid="{00000000-0005-0000-0000-00005C160000}"/>
    <cellStyle name="20% - Accent4 12 3 3 4" xfId="13921" xr:uid="{00000000-0005-0000-0000-00005D160000}"/>
    <cellStyle name="20% - Accent4 12 3 3 5" xfId="17872" xr:uid="{00000000-0005-0000-0000-00005E160000}"/>
    <cellStyle name="20% - Accent4 12 3 4" xfId="2627" xr:uid="{00000000-0005-0000-0000-00005F160000}"/>
    <cellStyle name="20% - Accent4 12 3 4 2" xfId="13924" xr:uid="{00000000-0005-0000-0000-000060160000}"/>
    <cellStyle name="20% - Accent4 12 3 4 3" xfId="17875" xr:uid="{00000000-0005-0000-0000-000061160000}"/>
    <cellStyle name="20% - Accent4 12 3 5" xfId="2628" xr:uid="{00000000-0005-0000-0000-000062160000}"/>
    <cellStyle name="20% - Accent4 12 3 5 2" xfId="13925" xr:uid="{00000000-0005-0000-0000-000063160000}"/>
    <cellStyle name="20% - Accent4 12 3 5 3" xfId="17876" xr:uid="{00000000-0005-0000-0000-000064160000}"/>
    <cellStyle name="20% - Accent4 12 3 6" xfId="13917" xr:uid="{00000000-0005-0000-0000-000065160000}"/>
    <cellStyle name="20% - Accent4 12 3 7" xfId="17868" xr:uid="{00000000-0005-0000-0000-000066160000}"/>
    <cellStyle name="20% - Accent4 12 3_Volatility" xfId="2629" xr:uid="{00000000-0005-0000-0000-000067160000}"/>
    <cellStyle name="20% - Accent4 12 4" xfId="2630" xr:uid="{00000000-0005-0000-0000-000068160000}"/>
    <cellStyle name="20% - Accent4 12 4 2" xfId="2631" xr:uid="{00000000-0005-0000-0000-000069160000}"/>
    <cellStyle name="20% - Accent4 12 4 2 2" xfId="13927" xr:uid="{00000000-0005-0000-0000-00006A160000}"/>
    <cellStyle name="20% - Accent4 12 4 2 3" xfId="17878" xr:uid="{00000000-0005-0000-0000-00006B160000}"/>
    <cellStyle name="20% - Accent4 12 4 3" xfId="2632" xr:uid="{00000000-0005-0000-0000-00006C160000}"/>
    <cellStyle name="20% - Accent4 12 4 3 2" xfId="13928" xr:uid="{00000000-0005-0000-0000-00006D160000}"/>
    <cellStyle name="20% - Accent4 12 4 3 3" xfId="17879" xr:uid="{00000000-0005-0000-0000-00006E160000}"/>
    <cellStyle name="20% - Accent4 12 4 4" xfId="13926" xr:uid="{00000000-0005-0000-0000-00006F160000}"/>
    <cellStyle name="20% - Accent4 12 4 5" xfId="17877" xr:uid="{00000000-0005-0000-0000-000070160000}"/>
    <cellStyle name="20% - Accent4 12 5" xfId="2633" xr:uid="{00000000-0005-0000-0000-000071160000}"/>
    <cellStyle name="20% - Accent4 12 5 2" xfId="2634" xr:uid="{00000000-0005-0000-0000-000072160000}"/>
    <cellStyle name="20% - Accent4 12 5 2 2" xfId="13930" xr:uid="{00000000-0005-0000-0000-000073160000}"/>
    <cellStyle name="20% - Accent4 12 5 2 3" xfId="17881" xr:uid="{00000000-0005-0000-0000-000074160000}"/>
    <cellStyle name="20% - Accent4 12 5 3" xfId="2635" xr:uid="{00000000-0005-0000-0000-000075160000}"/>
    <cellStyle name="20% - Accent4 12 5 3 2" xfId="13931" xr:uid="{00000000-0005-0000-0000-000076160000}"/>
    <cellStyle name="20% - Accent4 12 5 3 3" xfId="17882" xr:uid="{00000000-0005-0000-0000-000077160000}"/>
    <cellStyle name="20% - Accent4 12 5 4" xfId="13929" xr:uid="{00000000-0005-0000-0000-000078160000}"/>
    <cellStyle name="20% - Accent4 12 5 5" xfId="17880" xr:uid="{00000000-0005-0000-0000-000079160000}"/>
    <cellStyle name="20% - Accent4 12 6" xfId="2636" xr:uid="{00000000-0005-0000-0000-00007A160000}"/>
    <cellStyle name="20% - Accent4 12 6 2" xfId="2637" xr:uid="{00000000-0005-0000-0000-00007B160000}"/>
    <cellStyle name="20% - Accent4 12 6 2 2" xfId="13933" xr:uid="{00000000-0005-0000-0000-00007C160000}"/>
    <cellStyle name="20% - Accent4 12 6 2 3" xfId="17884" xr:uid="{00000000-0005-0000-0000-00007D160000}"/>
    <cellStyle name="20% - Accent4 12 6 3" xfId="2638" xr:uid="{00000000-0005-0000-0000-00007E160000}"/>
    <cellStyle name="20% - Accent4 12 6 3 2" xfId="13934" xr:uid="{00000000-0005-0000-0000-00007F160000}"/>
    <cellStyle name="20% - Accent4 12 6 3 3" xfId="17885" xr:uid="{00000000-0005-0000-0000-000080160000}"/>
    <cellStyle name="20% - Accent4 12 6 4" xfId="13932" xr:uid="{00000000-0005-0000-0000-000081160000}"/>
    <cellStyle name="20% - Accent4 12 6 5" xfId="17883" xr:uid="{00000000-0005-0000-0000-000082160000}"/>
    <cellStyle name="20% - Accent4 12 7" xfId="2639" xr:uid="{00000000-0005-0000-0000-000083160000}"/>
    <cellStyle name="20% - Accent4 12 7 2" xfId="13935" xr:uid="{00000000-0005-0000-0000-000084160000}"/>
    <cellStyle name="20% - Accent4 12 7 3" xfId="17886" xr:uid="{00000000-0005-0000-0000-000085160000}"/>
    <cellStyle name="20% - Accent4 12 8" xfId="2640" xr:uid="{00000000-0005-0000-0000-000086160000}"/>
    <cellStyle name="20% - Accent4 12 8 2" xfId="13936" xr:uid="{00000000-0005-0000-0000-000087160000}"/>
    <cellStyle name="20% - Accent4 12 8 3" xfId="17887" xr:uid="{00000000-0005-0000-0000-000088160000}"/>
    <cellStyle name="20% - Accent4 12 9" xfId="13904" xr:uid="{00000000-0005-0000-0000-000089160000}"/>
    <cellStyle name="20% - Accent4 12_Volatility" xfId="2641" xr:uid="{00000000-0005-0000-0000-00008A160000}"/>
    <cellStyle name="20% - Accent4 13" xfId="2642" xr:uid="{00000000-0005-0000-0000-00008B160000}"/>
    <cellStyle name="20% - Accent4 13 10" xfId="17888" xr:uid="{00000000-0005-0000-0000-00008C160000}"/>
    <cellStyle name="20% - Accent4 13 2" xfId="2643" xr:uid="{00000000-0005-0000-0000-00008D160000}"/>
    <cellStyle name="20% - Accent4 13 2 2" xfId="2644" xr:uid="{00000000-0005-0000-0000-00008E160000}"/>
    <cellStyle name="20% - Accent4 13 2 2 2" xfId="2645" xr:uid="{00000000-0005-0000-0000-00008F160000}"/>
    <cellStyle name="20% - Accent4 13 2 2 2 2" xfId="13940" xr:uid="{00000000-0005-0000-0000-000090160000}"/>
    <cellStyle name="20% - Accent4 13 2 2 2 3" xfId="17891" xr:uid="{00000000-0005-0000-0000-000091160000}"/>
    <cellStyle name="20% - Accent4 13 2 2 3" xfId="2646" xr:uid="{00000000-0005-0000-0000-000092160000}"/>
    <cellStyle name="20% - Accent4 13 2 2 3 2" xfId="13941" xr:uid="{00000000-0005-0000-0000-000093160000}"/>
    <cellStyle name="20% - Accent4 13 2 2 3 3" xfId="17892" xr:uid="{00000000-0005-0000-0000-000094160000}"/>
    <cellStyle name="20% - Accent4 13 2 2 4" xfId="13939" xr:uid="{00000000-0005-0000-0000-000095160000}"/>
    <cellStyle name="20% - Accent4 13 2 2 5" xfId="17890" xr:uid="{00000000-0005-0000-0000-000096160000}"/>
    <cellStyle name="20% - Accent4 13 2 3" xfId="2647" xr:uid="{00000000-0005-0000-0000-000097160000}"/>
    <cellStyle name="20% - Accent4 13 2 3 2" xfId="2648" xr:uid="{00000000-0005-0000-0000-000098160000}"/>
    <cellStyle name="20% - Accent4 13 2 3 2 2" xfId="13943" xr:uid="{00000000-0005-0000-0000-000099160000}"/>
    <cellStyle name="20% - Accent4 13 2 3 2 3" xfId="17894" xr:uid="{00000000-0005-0000-0000-00009A160000}"/>
    <cellStyle name="20% - Accent4 13 2 3 3" xfId="2649" xr:uid="{00000000-0005-0000-0000-00009B160000}"/>
    <cellStyle name="20% - Accent4 13 2 3 3 2" xfId="13944" xr:uid="{00000000-0005-0000-0000-00009C160000}"/>
    <cellStyle name="20% - Accent4 13 2 3 3 3" xfId="17895" xr:uid="{00000000-0005-0000-0000-00009D160000}"/>
    <cellStyle name="20% - Accent4 13 2 3 4" xfId="13942" xr:uid="{00000000-0005-0000-0000-00009E160000}"/>
    <cellStyle name="20% - Accent4 13 2 3 5" xfId="17893" xr:uid="{00000000-0005-0000-0000-00009F160000}"/>
    <cellStyle name="20% - Accent4 13 2 4" xfId="2650" xr:uid="{00000000-0005-0000-0000-0000A0160000}"/>
    <cellStyle name="20% - Accent4 13 2 4 2" xfId="2651" xr:uid="{00000000-0005-0000-0000-0000A1160000}"/>
    <cellStyle name="20% - Accent4 13 2 4 2 2" xfId="13946" xr:uid="{00000000-0005-0000-0000-0000A2160000}"/>
    <cellStyle name="20% - Accent4 13 2 4 2 3" xfId="17897" xr:uid="{00000000-0005-0000-0000-0000A3160000}"/>
    <cellStyle name="20% - Accent4 13 2 4 3" xfId="2652" xr:uid="{00000000-0005-0000-0000-0000A4160000}"/>
    <cellStyle name="20% - Accent4 13 2 4 3 2" xfId="13947" xr:uid="{00000000-0005-0000-0000-0000A5160000}"/>
    <cellStyle name="20% - Accent4 13 2 4 3 3" xfId="17898" xr:uid="{00000000-0005-0000-0000-0000A6160000}"/>
    <cellStyle name="20% - Accent4 13 2 4 4" xfId="13945" xr:uid="{00000000-0005-0000-0000-0000A7160000}"/>
    <cellStyle name="20% - Accent4 13 2 4 5" xfId="17896" xr:uid="{00000000-0005-0000-0000-0000A8160000}"/>
    <cellStyle name="20% - Accent4 13 2 5" xfId="2653" xr:uid="{00000000-0005-0000-0000-0000A9160000}"/>
    <cellStyle name="20% - Accent4 13 2 5 2" xfId="13948" xr:uid="{00000000-0005-0000-0000-0000AA160000}"/>
    <cellStyle name="20% - Accent4 13 2 5 3" xfId="17899" xr:uid="{00000000-0005-0000-0000-0000AB160000}"/>
    <cellStyle name="20% - Accent4 13 2 6" xfId="2654" xr:uid="{00000000-0005-0000-0000-0000AC160000}"/>
    <cellStyle name="20% - Accent4 13 2 6 2" xfId="13949" xr:uid="{00000000-0005-0000-0000-0000AD160000}"/>
    <cellStyle name="20% - Accent4 13 2 6 3" xfId="17900" xr:uid="{00000000-0005-0000-0000-0000AE160000}"/>
    <cellStyle name="20% - Accent4 13 2 7" xfId="13938" xr:uid="{00000000-0005-0000-0000-0000AF160000}"/>
    <cellStyle name="20% - Accent4 13 2 8" xfId="17889" xr:uid="{00000000-0005-0000-0000-0000B0160000}"/>
    <cellStyle name="20% - Accent4 13 2_Volatility" xfId="2655" xr:uid="{00000000-0005-0000-0000-0000B1160000}"/>
    <cellStyle name="20% - Accent4 13 3" xfId="2656" xr:uid="{00000000-0005-0000-0000-0000B2160000}"/>
    <cellStyle name="20% - Accent4 13 3 2" xfId="2657" xr:uid="{00000000-0005-0000-0000-0000B3160000}"/>
    <cellStyle name="20% - Accent4 13 3 2 2" xfId="2658" xr:uid="{00000000-0005-0000-0000-0000B4160000}"/>
    <cellStyle name="20% - Accent4 13 3 2 2 2" xfId="13952" xr:uid="{00000000-0005-0000-0000-0000B5160000}"/>
    <cellStyle name="20% - Accent4 13 3 2 2 3" xfId="17903" xr:uid="{00000000-0005-0000-0000-0000B6160000}"/>
    <cellStyle name="20% - Accent4 13 3 2 3" xfId="2659" xr:uid="{00000000-0005-0000-0000-0000B7160000}"/>
    <cellStyle name="20% - Accent4 13 3 2 3 2" xfId="13953" xr:uid="{00000000-0005-0000-0000-0000B8160000}"/>
    <cellStyle name="20% - Accent4 13 3 2 3 3" xfId="17904" xr:uid="{00000000-0005-0000-0000-0000B9160000}"/>
    <cellStyle name="20% - Accent4 13 3 2 4" xfId="13951" xr:uid="{00000000-0005-0000-0000-0000BA160000}"/>
    <cellStyle name="20% - Accent4 13 3 2 5" xfId="17902" xr:uid="{00000000-0005-0000-0000-0000BB160000}"/>
    <cellStyle name="20% - Accent4 13 3 3" xfId="2660" xr:uid="{00000000-0005-0000-0000-0000BC160000}"/>
    <cellStyle name="20% - Accent4 13 3 3 2" xfId="2661" xr:uid="{00000000-0005-0000-0000-0000BD160000}"/>
    <cellStyle name="20% - Accent4 13 3 3 2 2" xfId="13955" xr:uid="{00000000-0005-0000-0000-0000BE160000}"/>
    <cellStyle name="20% - Accent4 13 3 3 2 3" xfId="17906" xr:uid="{00000000-0005-0000-0000-0000BF160000}"/>
    <cellStyle name="20% - Accent4 13 3 3 3" xfId="2662" xr:uid="{00000000-0005-0000-0000-0000C0160000}"/>
    <cellStyle name="20% - Accent4 13 3 3 3 2" xfId="13956" xr:uid="{00000000-0005-0000-0000-0000C1160000}"/>
    <cellStyle name="20% - Accent4 13 3 3 3 3" xfId="17907" xr:uid="{00000000-0005-0000-0000-0000C2160000}"/>
    <cellStyle name="20% - Accent4 13 3 3 4" xfId="13954" xr:uid="{00000000-0005-0000-0000-0000C3160000}"/>
    <cellStyle name="20% - Accent4 13 3 3 5" xfId="17905" xr:uid="{00000000-0005-0000-0000-0000C4160000}"/>
    <cellStyle name="20% - Accent4 13 3 4" xfId="2663" xr:uid="{00000000-0005-0000-0000-0000C5160000}"/>
    <cellStyle name="20% - Accent4 13 3 4 2" xfId="13957" xr:uid="{00000000-0005-0000-0000-0000C6160000}"/>
    <cellStyle name="20% - Accent4 13 3 4 3" xfId="17908" xr:uid="{00000000-0005-0000-0000-0000C7160000}"/>
    <cellStyle name="20% - Accent4 13 3 5" xfId="2664" xr:uid="{00000000-0005-0000-0000-0000C8160000}"/>
    <cellStyle name="20% - Accent4 13 3 5 2" xfId="13958" xr:uid="{00000000-0005-0000-0000-0000C9160000}"/>
    <cellStyle name="20% - Accent4 13 3 5 3" xfId="17909" xr:uid="{00000000-0005-0000-0000-0000CA160000}"/>
    <cellStyle name="20% - Accent4 13 3 6" xfId="13950" xr:uid="{00000000-0005-0000-0000-0000CB160000}"/>
    <cellStyle name="20% - Accent4 13 3 7" xfId="17901" xr:uid="{00000000-0005-0000-0000-0000CC160000}"/>
    <cellStyle name="20% - Accent4 13 3_Volatility" xfId="2665" xr:uid="{00000000-0005-0000-0000-0000CD160000}"/>
    <cellStyle name="20% - Accent4 13 4" xfId="2666" xr:uid="{00000000-0005-0000-0000-0000CE160000}"/>
    <cellStyle name="20% - Accent4 13 4 2" xfId="2667" xr:uid="{00000000-0005-0000-0000-0000CF160000}"/>
    <cellStyle name="20% - Accent4 13 4 2 2" xfId="13960" xr:uid="{00000000-0005-0000-0000-0000D0160000}"/>
    <cellStyle name="20% - Accent4 13 4 2 3" xfId="17911" xr:uid="{00000000-0005-0000-0000-0000D1160000}"/>
    <cellStyle name="20% - Accent4 13 4 3" xfId="2668" xr:uid="{00000000-0005-0000-0000-0000D2160000}"/>
    <cellStyle name="20% - Accent4 13 4 3 2" xfId="13961" xr:uid="{00000000-0005-0000-0000-0000D3160000}"/>
    <cellStyle name="20% - Accent4 13 4 3 3" xfId="17912" xr:uid="{00000000-0005-0000-0000-0000D4160000}"/>
    <cellStyle name="20% - Accent4 13 4 4" xfId="13959" xr:uid="{00000000-0005-0000-0000-0000D5160000}"/>
    <cellStyle name="20% - Accent4 13 4 5" xfId="17910" xr:uid="{00000000-0005-0000-0000-0000D6160000}"/>
    <cellStyle name="20% - Accent4 13 5" xfId="2669" xr:uid="{00000000-0005-0000-0000-0000D7160000}"/>
    <cellStyle name="20% - Accent4 13 5 2" xfId="2670" xr:uid="{00000000-0005-0000-0000-0000D8160000}"/>
    <cellStyle name="20% - Accent4 13 5 2 2" xfId="13963" xr:uid="{00000000-0005-0000-0000-0000D9160000}"/>
    <cellStyle name="20% - Accent4 13 5 2 3" xfId="17914" xr:uid="{00000000-0005-0000-0000-0000DA160000}"/>
    <cellStyle name="20% - Accent4 13 5 3" xfId="2671" xr:uid="{00000000-0005-0000-0000-0000DB160000}"/>
    <cellStyle name="20% - Accent4 13 5 3 2" xfId="13964" xr:uid="{00000000-0005-0000-0000-0000DC160000}"/>
    <cellStyle name="20% - Accent4 13 5 3 3" xfId="17915" xr:uid="{00000000-0005-0000-0000-0000DD160000}"/>
    <cellStyle name="20% - Accent4 13 5 4" xfId="13962" xr:uid="{00000000-0005-0000-0000-0000DE160000}"/>
    <cellStyle name="20% - Accent4 13 5 5" xfId="17913" xr:uid="{00000000-0005-0000-0000-0000DF160000}"/>
    <cellStyle name="20% - Accent4 13 6" xfId="2672" xr:uid="{00000000-0005-0000-0000-0000E0160000}"/>
    <cellStyle name="20% - Accent4 13 6 2" xfId="2673" xr:uid="{00000000-0005-0000-0000-0000E1160000}"/>
    <cellStyle name="20% - Accent4 13 6 2 2" xfId="13966" xr:uid="{00000000-0005-0000-0000-0000E2160000}"/>
    <cellStyle name="20% - Accent4 13 6 2 3" xfId="17917" xr:uid="{00000000-0005-0000-0000-0000E3160000}"/>
    <cellStyle name="20% - Accent4 13 6 3" xfId="2674" xr:uid="{00000000-0005-0000-0000-0000E4160000}"/>
    <cellStyle name="20% - Accent4 13 6 3 2" xfId="13967" xr:uid="{00000000-0005-0000-0000-0000E5160000}"/>
    <cellStyle name="20% - Accent4 13 6 3 3" xfId="17918" xr:uid="{00000000-0005-0000-0000-0000E6160000}"/>
    <cellStyle name="20% - Accent4 13 6 4" xfId="13965" xr:uid="{00000000-0005-0000-0000-0000E7160000}"/>
    <cellStyle name="20% - Accent4 13 6 5" xfId="17916" xr:uid="{00000000-0005-0000-0000-0000E8160000}"/>
    <cellStyle name="20% - Accent4 13 7" xfId="2675" xr:uid="{00000000-0005-0000-0000-0000E9160000}"/>
    <cellStyle name="20% - Accent4 13 7 2" xfId="13968" xr:uid="{00000000-0005-0000-0000-0000EA160000}"/>
    <cellStyle name="20% - Accent4 13 7 3" xfId="17919" xr:uid="{00000000-0005-0000-0000-0000EB160000}"/>
    <cellStyle name="20% - Accent4 13 8" xfId="2676" xr:uid="{00000000-0005-0000-0000-0000EC160000}"/>
    <cellStyle name="20% - Accent4 13 8 2" xfId="13969" xr:uid="{00000000-0005-0000-0000-0000ED160000}"/>
    <cellStyle name="20% - Accent4 13 8 3" xfId="17920" xr:uid="{00000000-0005-0000-0000-0000EE160000}"/>
    <cellStyle name="20% - Accent4 13 9" xfId="13937" xr:uid="{00000000-0005-0000-0000-0000EF160000}"/>
    <cellStyle name="20% - Accent4 13_Volatility" xfId="2677" xr:uid="{00000000-0005-0000-0000-0000F0160000}"/>
    <cellStyle name="20% - Accent4 14" xfId="2678" xr:uid="{00000000-0005-0000-0000-0000F1160000}"/>
    <cellStyle name="20% - Accent4 14 10" xfId="17921" xr:uid="{00000000-0005-0000-0000-0000F2160000}"/>
    <cellStyle name="20% - Accent4 14 2" xfId="2679" xr:uid="{00000000-0005-0000-0000-0000F3160000}"/>
    <cellStyle name="20% - Accent4 14 2 2" xfId="2680" xr:uid="{00000000-0005-0000-0000-0000F4160000}"/>
    <cellStyle name="20% - Accent4 14 2 2 2" xfId="2681" xr:uid="{00000000-0005-0000-0000-0000F5160000}"/>
    <cellStyle name="20% - Accent4 14 2 2 2 2" xfId="13973" xr:uid="{00000000-0005-0000-0000-0000F6160000}"/>
    <cellStyle name="20% - Accent4 14 2 2 2 3" xfId="17924" xr:uid="{00000000-0005-0000-0000-0000F7160000}"/>
    <cellStyle name="20% - Accent4 14 2 2 3" xfId="2682" xr:uid="{00000000-0005-0000-0000-0000F8160000}"/>
    <cellStyle name="20% - Accent4 14 2 2 3 2" xfId="13974" xr:uid="{00000000-0005-0000-0000-0000F9160000}"/>
    <cellStyle name="20% - Accent4 14 2 2 3 3" xfId="17925" xr:uid="{00000000-0005-0000-0000-0000FA160000}"/>
    <cellStyle name="20% - Accent4 14 2 2 4" xfId="13972" xr:uid="{00000000-0005-0000-0000-0000FB160000}"/>
    <cellStyle name="20% - Accent4 14 2 2 5" xfId="17923" xr:uid="{00000000-0005-0000-0000-0000FC160000}"/>
    <cellStyle name="20% - Accent4 14 2 3" xfId="2683" xr:uid="{00000000-0005-0000-0000-0000FD160000}"/>
    <cellStyle name="20% - Accent4 14 2 3 2" xfId="2684" xr:uid="{00000000-0005-0000-0000-0000FE160000}"/>
    <cellStyle name="20% - Accent4 14 2 3 2 2" xfId="13976" xr:uid="{00000000-0005-0000-0000-0000FF160000}"/>
    <cellStyle name="20% - Accent4 14 2 3 2 3" xfId="17927" xr:uid="{00000000-0005-0000-0000-000000170000}"/>
    <cellStyle name="20% - Accent4 14 2 3 3" xfId="2685" xr:uid="{00000000-0005-0000-0000-000001170000}"/>
    <cellStyle name="20% - Accent4 14 2 3 3 2" xfId="13977" xr:uid="{00000000-0005-0000-0000-000002170000}"/>
    <cellStyle name="20% - Accent4 14 2 3 3 3" xfId="17928" xr:uid="{00000000-0005-0000-0000-000003170000}"/>
    <cellStyle name="20% - Accent4 14 2 3 4" xfId="13975" xr:uid="{00000000-0005-0000-0000-000004170000}"/>
    <cellStyle name="20% - Accent4 14 2 3 5" xfId="17926" xr:uid="{00000000-0005-0000-0000-000005170000}"/>
    <cellStyle name="20% - Accent4 14 2 4" xfId="2686" xr:uid="{00000000-0005-0000-0000-000006170000}"/>
    <cellStyle name="20% - Accent4 14 2 4 2" xfId="2687" xr:uid="{00000000-0005-0000-0000-000007170000}"/>
    <cellStyle name="20% - Accent4 14 2 4 2 2" xfId="13979" xr:uid="{00000000-0005-0000-0000-000008170000}"/>
    <cellStyle name="20% - Accent4 14 2 4 2 3" xfId="17930" xr:uid="{00000000-0005-0000-0000-000009170000}"/>
    <cellStyle name="20% - Accent4 14 2 4 3" xfId="2688" xr:uid="{00000000-0005-0000-0000-00000A170000}"/>
    <cellStyle name="20% - Accent4 14 2 4 3 2" xfId="13980" xr:uid="{00000000-0005-0000-0000-00000B170000}"/>
    <cellStyle name="20% - Accent4 14 2 4 3 3" xfId="17931" xr:uid="{00000000-0005-0000-0000-00000C170000}"/>
    <cellStyle name="20% - Accent4 14 2 4 4" xfId="13978" xr:uid="{00000000-0005-0000-0000-00000D170000}"/>
    <cellStyle name="20% - Accent4 14 2 4 5" xfId="17929" xr:uid="{00000000-0005-0000-0000-00000E170000}"/>
    <cellStyle name="20% - Accent4 14 2 5" xfId="2689" xr:uid="{00000000-0005-0000-0000-00000F170000}"/>
    <cellStyle name="20% - Accent4 14 2 5 2" xfId="13981" xr:uid="{00000000-0005-0000-0000-000010170000}"/>
    <cellStyle name="20% - Accent4 14 2 5 3" xfId="17932" xr:uid="{00000000-0005-0000-0000-000011170000}"/>
    <cellStyle name="20% - Accent4 14 2 6" xfId="2690" xr:uid="{00000000-0005-0000-0000-000012170000}"/>
    <cellStyle name="20% - Accent4 14 2 6 2" xfId="13982" xr:uid="{00000000-0005-0000-0000-000013170000}"/>
    <cellStyle name="20% - Accent4 14 2 6 3" xfId="17933" xr:uid="{00000000-0005-0000-0000-000014170000}"/>
    <cellStyle name="20% - Accent4 14 2 7" xfId="13971" xr:uid="{00000000-0005-0000-0000-000015170000}"/>
    <cellStyle name="20% - Accent4 14 2 8" xfId="17922" xr:uid="{00000000-0005-0000-0000-000016170000}"/>
    <cellStyle name="20% - Accent4 14 2_Volatility" xfId="2691" xr:uid="{00000000-0005-0000-0000-000017170000}"/>
    <cellStyle name="20% - Accent4 14 3" xfId="2692" xr:uid="{00000000-0005-0000-0000-000018170000}"/>
    <cellStyle name="20% - Accent4 14 3 2" xfId="2693" xr:uid="{00000000-0005-0000-0000-000019170000}"/>
    <cellStyle name="20% - Accent4 14 3 2 2" xfId="2694" xr:uid="{00000000-0005-0000-0000-00001A170000}"/>
    <cellStyle name="20% - Accent4 14 3 2 2 2" xfId="13985" xr:uid="{00000000-0005-0000-0000-00001B170000}"/>
    <cellStyle name="20% - Accent4 14 3 2 2 3" xfId="17936" xr:uid="{00000000-0005-0000-0000-00001C170000}"/>
    <cellStyle name="20% - Accent4 14 3 2 3" xfId="2695" xr:uid="{00000000-0005-0000-0000-00001D170000}"/>
    <cellStyle name="20% - Accent4 14 3 2 3 2" xfId="13986" xr:uid="{00000000-0005-0000-0000-00001E170000}"/>
    <cellStyle name="20% - Accent4 14 3 2 3 3" xfId="17937" xr:uid="{00000000-0005-0000-0000-00001F170000}"/>
    <cellStyle name="20% - Accent4 14 3 2 4" xfId="13984" xr:uid="{00000000-0005-0000-0000-000020170000}"/>
    <cellStyle name="20% - Accent4 14 3 2 5" xfId="17935" xr:uid="{00000000-0005-0000-0000-000021170000}"/>
    <cellStyle name="20% - Accent4 14 3 3" xfId="2696" xr:uid="{00000000-0005-0000-0000-000022170000}"/>
    <cellStyle name="20% - Accent4 14 3 3 2" xfId="2697" xr:uid="{00000000-0005-0000-0000-000023170000}"/>
    <cellStyle name="20% - Accent4 14 3 3 2 2" xfId="13988" xr:uid="{00000000-0005-0000-0000-000024170000}"/>
    <cellStyle name="20% - Accent4 14 3 3 2 3" xfId="17939" xr:uid="{00000000-0005-0000-0000-000025170000}"/>
    <cellStyle name="20% - Accent4 14 3 3 3" xfId="2698" xr:uid="{00000000-0005-0000-0000-000026170000}"/>
    <cellStyle name="20% - Accent4 14 3 3 3 2" xfId="13989" xr:uid="{00000000-0005-0000-0000-000027170000}"/>
    <cellStyle name="20% - Accent4 14 3 3 3 3" xfId="17940" xr:uid="{00000000-0005-0000-0000-000028170000}"/>
    <cellStyle name="20% - Accent4 14 3 3 4" xfId="13987" xr:uid="{00000000-0005-0000-0000-000029170000}"/>
    <cellStyle name="20% - Accent4 14 3 3 5" xfId="17938" xr:uid="{00000000-0005-0000-0000-00002A170000}"/>
    <cellStyle name="20% - Accent4 14 3 4" xfId="2699" xr:uid="{00000000-0005-0000-0000-00002B170000}"/>
    <cellStyle name="20% - Accent4 14 3 4 2" xfId="13990" xr:uid="{00000000-0005-0000-0000-00002C170000}"/>
    <cellStyle name="20% - Accent4 14 3 4 3" xfId="17941" xr:uid="{00000000-0005-0000-0000-00002D170000}"/>
    <cellStyle name="20% - Accent4 14 3 5" xfId="2700" xr:uid="{00000000-0005-0000-0000-00002E170000}"/>
    <cellStyle name="20% - Accent4 14 3 5 2" xfId="13991" xr:uid="{00000000-0005-0000-0000-00002F170000}"/>
    <cellStyle name="20% - Accent4 14 3 5 3" xfId="17942" xr:uid="{00000000-0005-0000-0000-000030170000}"/>
    <cellStyle name="20% - Accent4 14 3 6" xfId="13983" xr:uid="{00000000-0005-0000-0000-000031170000}"/>
    <cellStyle name="20% - Accent4 14 3 7" xfId="17934" xr:uid="{00000000-0005-0000-0000-000032170000}"/>
    <cellStyle name="20% - Accent4 14 3_Volatility" xfId="2701" xr:uid="{00000000-0005-0000-0000-000033170000}"/>
    <cellStyle name="20% - Accent4 14 4" xfId="2702" xr:uid="{00000000-0005-0000-0000-000034170000}"/>
    <cellStyle name="20% - Accent4 14 4 2" xfId="2703" xr:uid="{00000000-0005-0000-0000-000035170000}"/>
    <cellStyle name="20% - Accent4 14 4 2 2" xfId="13993" xr:uid="{00000000-0005-0000-0000-000036170000}"/>
    <cellStyle name="20% - Accent4 14 4 2 3" xfId="17944" xr:uid="{00000000-0005-0000-0000-000037170000}"/>
    <cellStyle name="20% - Accent4 14 4 3" xfId="2704" xr:uid="{00000000-0005-0000-0000-000038170000}"/>
    <cellStyle name="20% - Accent4 14 4 3 2" xfId="13994" xr:uid="{00000000-0005-0000-0000-000039170000}"/>
    <cellStyle name="20% - Accent4 14 4 3 3" xfId="17945" xr:uid="{00000000-0005-0000-0000-00003A170000}"/>
    <cellStyle name="20% - Accent4 14 4 4" xfId="13992" xr:uid="{00000000-0005-0000-0000-00003B170000}"/>
    <cellStyle name="20% - Accent4 14 4 5" xfId="17943" xr:uid="{00000000-0005-0000-0000-00003C170000}"/>
    <cellStyle name="20% - Accent4 14 5" xfId="2705" xr:uid="{00000000-0005-0000-0000-00003D170000}"/>
    <cellStyle name="20% - Accent4 14 5 2" xfId="2706" xr:uid="{00000000-0005-0000-0000-00003E170000}"/>
    <cellStyle name="20% - Accent4 14 5 2 2" xfId="13996" xr:uid="{00000000-0005-0000-0000-00003F170000}"/>
    <cellStyle name="20% - Accent4 14 5 2 3" xfId="17947" xr:uid="{00000000-0005-0000-0000-000040170000}"/>
    <cellStyle name="20% - Accent4 14 5 3" xfId="2707" xr:uid="{00000000-0005-0000-0000-000041170000}"/>
    <cellStyle name="20% - Accent4 14 5 3 2" xfId="13997" xr:uid="{00000000-0005-0000-0000-000042170000}"/>
    <cellStyle name="20% - Accent4 14 5 3 3" xfId="17948" xr:uid="{00000000-0005-0000-0000-000043170000}"/>
    <cellStyle name="20% - Accent4 14 5 4" xfId="13995" xr:uid="{00000000-0005-0000-0000-000044170000}"/>
    <cellStyle name="20% - Accent4 14 5 5" xfId="17946" xr:uid="{00000000-0005-0000-0000-000045170000}"/>
    <cellStyle name="20% - Accent4 14 6" xfId="2708" xr:uid="{00000000-0005-0000-0000-000046170000}"/>
    <cellStyle name="20% - Accent4 14 6 2" xfId="2709" xr:uid="{00000000-0005-0000-0000-000047170000}"/>
    <cellStyle name="20% - Accent4 14 6 2 2" xfId="13999" xr:uid="{00000000-0005-0000-0000-000048170000}"/>
    <cellStyle name="20% - Accent4 14 6 2 3" xfId="17950" xr:uid="{00000000-0005-0000-0000-000049170000}"/>
    <cellStyle name="20% - Accent4 14 6 3" xfId="2710" xr:uid="{00000000-0005-0000-0000-00004A170000}"/>
    <cellStyle name="20% - Accent4 14 6 3 2" xfId="14000" xr:uid="{00000000-0005-0000-0000-00004B170000}"/>
    <cellStyle name="20% - Accent4 14 6 3 3" xfId="17951" xr:uid="{00000000-0005-0000-0000-00004C170000}"/>
    <cellStyle name="20% - Accent4 14 6 4" xfId="13998" xr:uid="{00000000-0005-0000-0000-00004D170000}"/>
    <cellStyle name="20% - Accent4 14 6 5" xfId="17949" xr:uid="{00000000-0005-0000-0000-00004E170000}"/>
    <cellStyle name="20% - Accent4 14 7" xfId="2711" xr:uid="{00000000-0005-0000-0000-00004F170000}"/>
    <cellStyle name="20% - Accent4 14 7 2" xfId="14001" xr:uid="{00000000-0005-0000-0000-000050170000}"/>
    <cellStyle name="20% - Accent4 14 7 3" xfId="17952" xr:uid="{00000000-0005-0000-0000-000051170000}"/>
    <cellStyle name="20% - Accent4 14 8" xfId="2712" xr:uid="{00000000-0005-0000-0000-000052170000}"/>
    <cellStyle name="20% - Accent4 14 8 2" xfId="14002" xr:uid="{00000000-0005-0000-0000-000053170000}"/>
    <cellStyle name="20% - Accent4 14 8 3" xfId="17953" xr:uid="{00000000-0005-0000-0000-000054170000}"/>
    <cellStyle name="20% - Accent4 14 9" xfId="13970" xr:uid="{00000000-0005-0000-0000-000055170000}"/>
    <cellStyle name="20% - Accent4 14_Volatility" xfId="2713" xr:uid="{00000000-0005-0000-0000-000056170000}"/>
    <cellStyle name="20% - Accent4 15" xfId="2714" xr:uid="{00000000-0005-0000-0000-000057170000}"/>
    <cellStyle name="20% - Accent4 15 10" xfId="17954" xr:uid="{00000000-0005-0000-0000-000058170000}"/>
    <cellStyle name="20% - Accent4 15 2" xfId="2715" xr:uid="{00000000-0005-0000-0000-000059170000}"/>
    <cellStyle name="20% - Accent4 15 2 2" xfId="2716" xr:uid="{00000000-0005-0000-0000-00005A170000}"/>
    <cellStyle name="20% - Accent4 15 2 2 2" xfId="2717" xr:uid="{00000000-0005-0000-0000-00005B170000}"/>
    <cellStyle name="20% - Accent4 15 2 2 2 2" xfId="14006" xr:uid="{00000000-0005-0000-0000-00005C170000}"/>
    <cellStyle name="20% - Accent4 15 2 2 2 3" xfId="17957" xr:uid="{00000000-0005-0000-0000-00005D170000}"/>
    <cellStyle name="20% - Accent4 15 2 2 3" xfId="2718" xr:uid="{00000000-0005-0000-0000-00005E170000}"/>
    <cellStyle name="20% - Accent4 15 2 2 3 2" xfId="14007" xr:uid="{00000000-0005-0000-0000-00005F170000}"/>
    <cellStyle name="20% - Accent4 15 2 2 3 3" xfId="17958" xr:uid="{00000000-0005-0000-0000-000060170000}"/>
    <cellStyle name="20% - Accent4 15 2 2 4" xfId="14005" xr:uid="{00000000-0005-0000-0000-000061170000}"/>
    <cellStyle name="20% - Accent4 15 2 2 5" xfId="17956" xr:uid="{00000000-0005-0000-0000-000062170000}"/>
    <cellStyle name="20% - Accent4 15 2 3" xfId="2719" xr:uid="{00000000-0005-0000-0000-000063170000}"/>
    <cellStyle name="20% - Accent4 15 2 3 2" xfId="2720" xr:uid="{00000000-0005-0000-0000-000064170000}"/>
    <cellStyle name="20% - Accent4 15 2 3 2 2" xfId="14009" xr:uid="{00000000-0005-0000-0000-000065170000}"/>
    <cellStyle name="20% - Accent4 15 2 3 2 3" xfId="17960" xr:uid="{00000000-0005-0000-0000-000066170000}"/>
    <cellStyle name="20% - Accent4 15 2 3 3" xfId="2721" xr:uid="{00000000-0005-0000-0000-000067170000}"/>
    <cellStyle name="20% - Accent4 15 2 3 3 2" xfId="14010" xr:uid="{00000000-0005-0000-0000-000068170000}"/>
    <cellStyle name="20% - Accent4 15 2 3 3 3" xfId="17961" xr:uid="{00000000-0005-0000-0000-000069170000}"/>
    <cellStyle name="20% - Accent4 15 2 3 4" xfId="14008" xr:uid="{00000000-0005-0000-0000-00006A170000}"/>
    <cellStyle name="20% - Accent4 15 2 3 5" xfId="17959" xr:uid="{00000000-0005-0000-0000-00006B170000}"/>
    <cellStyle name="20% - Accent4 15 2 4" xfId="2722" xr:uid="{00000000-0005-0000-0000-00006C170000}"/>
    <cellStyle name="20% - Accent4 15 2 4 2" xfId="2723" xr:uid="{00000000-0005-0000-0000-00006D170000}"/>
    <cellStyle name="20% - Accent4 15 2 4 2 2" xfId="14012" xr:uid="{00000000-0005-0000-0000-00006E170000}"/>
    <cellStyle name="20% - Accent4 15 2 4 2 3" xfId="17963" xr:uid="{00000000-0005-0000-0000-00006F170000}"/>
    <cellStyle name="20% - Accent4 15 2 4 3" xfId="2724" xr:uid="{00000000-0005-0000-0000-000070170000}"/>
    <cellStyle name="20% - Accent4 15 2 4 3 2" xfId="14013" xr:uid="{00000000-0005-0000-0000-000071170000}"/>
    <cellStyle name="20% - Accent4 15 2 4 3 3" xfId="17964" xr:uid="{00000000-0005-0000-0000-000072170000}"/>
    <cellStyle name="20% - Accent4 15 2 4 4" xfId="14011" xr:uid="{00000000-0005-0000-0000-000073170000}"/>
    <cellStyle name="20% - Accent4 15 2 4 5" xfId="17962" xr:uid="{00000000-0005-0000-0000-000074170000}"/>
    <cellStyle name="20% - Accent4 15 2 5" xfId="2725" xr:uid="{00000000-0005-0000-0000-000075170000}"/>
    <cellStyle name="20% - Accent4 15 2 5 2" xfId="14014" xr:uid="{00000000-0005-0000-0000-000076170000}"/>
    <cellStyle name="20% - Accent4 15 2 5 3" xfId="17965" xr:uid="{00000000-0005-0000-0000-000077170000}"/>
    <cellStyle name="20% - Accent4 15 2 6" xfId="2726" xr:uid="{00000000-0005-0000-0000-000078170000}"/>
    <cellStyle name="20% - Accent4 15 2 6 2" xfId="14015" xr:uid="{00000000-0005-0000-0000-000079170000}"/>
    <cellStyle name="20% - Accent4 15 2 6 3" xfId="17966" xr:uid="{00000000-0005-0000-0000-00007A170000}"/>
    <cellStyle name="20% - Accent4 15 2 7" xfId="14004" xr:uid="{00000000-0005-0000-0000-00007B170000}"/>
    <cellStyle name="20% - Accent4 15 2 8" xfId="17955" xr:uid="{00000000-0005-0000-0000-00007C170000}"/>
    <cellStyle name="20% - Accent4 15 2_Volatility" xfId="2727" xr:uid="{00000000-0005-0000-0000-00007D170000}"/>
    <cellStyle name="20% - Accent4 15 3" xfId="2728" xr:uid="{00000000-0005-0000-0000-00007E170000}"/>
    <cellStyle name="20% - Accent4 15 3 2" xfId="2729" xr:uid="{00000000-0005-0000-0000-00007F170000}"/>
    <cellStyle name="20% - Accent4 15 3 2 2" xfId="2730" xr:uid="{00000000-0005-0000-0000-000080170000}"/>
    <cellStyle name="20% - Accent4 15 3 2 2 2" xfId="14018" xr:uid="{00000000-0005-0000-0000-000081170000}"/>
    <cellStyle name="20% - Accent4 15 3 2 2 3" xfId="17969" xr:uid="{00000000-0005-0000-0000-000082170000}"/>
    <cellStyle name="20% - Accent4 15 3 2 3" xfId="2731" xr:uid="{00000000-0005-0000-0000-000083170000}"/>
    <cellStyle name="20% - Accent4 15 3 2 3 2" xfId="14019" xr:uid="{00000000-0005-0000-0000-000084170000}"/>
    <cellStyle name="20% - Accent4 15 3 2 3 3" xfId="17970" xr:uid="{00000000-0005-0000-0000-000085170000}"/>
    <cellStyle name="20% - Accent4 15 3 2 4" xfId="14017" xr:uid="{00000000-0005-0000-0000-000086170000}"/>
    <cellStyle name="20% - Accent4 15 3 2 5" xfId="17968" xr:uid="{00000000-0005-0000-0000-000087170000}"/>
    <cellStyle name="20% - Accent4 15 3 3" xfId="2732" xr:uid="{00000000-0005-0000-0000-000088170000}"/>
    <cellStyle name="20% - Accent4 15 3 3 2" xfId="2733" xr:uid="{00000000-0005-0000-0000-000089170000}"/>
    <cellStyle name="20% - Accent4 15 3 3 2 2" xfId="14021" xr:uid="{00000000-0005-0000-0000-00008A170000}"/>
    <cellStyle name="20% - Accent4 15 3 3 2 3" xfId="17972" xr:uid="{00000000-0005-0000-0000-00008B170000}"/>
    <cellStyle name="20% - Accent4 15 3 3 3" xfId="2734" xr:uid="{00000000-0005-0000-0000-00008C170000}"/>
    <cellStyle name="20% - Accent4 15 3 3 3 2" xfId="14022" xr:uid="{00000000-0005-0000-0000-00008D170000}"/>
    <cellStyle name="20% - Accent4 15 3 3 3 3" xfId="17973" xr:uid="{00000000-0005-0000-0000-00008E170000}"/>
    <cellStyle name="20% - Accent4 15 3 3 4" xfId="14020" xr:uid="{00000000-0005-0000-0000-00008F170000}"/>
    <cellStyle name="20% - Accent4 15 3 3 5" xfId="17971" xr:uid="{00000000-0005-0000-0000-000090170000}"/>
    <cellStyle name="20% - Accent4 15 3 4" xfId="2735" xr:uid="{00000000-0005-0000-0000-000091170000}"/>
    <cellStyle name="20% - Accent4 15 3 4 2" xfId="14023" xr:uid="{00000000-0005-0000-0000-000092170000}"/>
    <cellStyle name="20% - Accent4 15 3 4 3" xfId="17974" xr:uid="{00000000-0005-0000-0000-000093170000}"/>
    <cellStyle name="20% - Accent4 15 3 5" xfId="2736" xr:uid="{00000000-0005-0000-0000-000094170000}"/>
    <cellStyle name="20% - Accent4 15 3 5 2" xfId="14024" xr:uid="{00000000-0005-0000-0000-000095170000}"/>
    <cellStyle name="20% - Accent4 15 3 5 3" xfId="17975" xr:uid="{00000000-0005-0000-0000-000096170000}"/>
    <cellStyle name="20% - Accent4 15 3 6" xfId="14016" xr:uid="{00000000-0005-0000-0000-000097170000}"/>
    <cellStyle name="20% - Accent4 15 3 7" xfId="17967" xr:uid="{00000000-0005-0000-0000-000098170000}"/>
    <cellStyle name="20% - Accent4 15 3_Volatility" xfId="2737" xr:uid="{00000000-0005-0000-0000-000099170000}"/>
    <cellStyle name="20% - Accent4 15 4" xfId="2738" xr:uid="{00000000-0005-0000-0000-00009A170000}"/>
    <cellStyle name="20% - Accent4 15 4 2" xfId="2739" xr:uid="{00000000-0005-0000-0000-00009B170000}"/>
    <cellStyle name="20% - Accent4 15 4 2 2" xfId="14026" xr:uid="{00000000-0005-0000-0000-00009C170000}"/>
    <cellStyle name="20% - Accent4 15 4 2 3" xfId="17977" xr:uid="{00000000-0005-0000-0000-00009D170000}"/>
    <cellStyle name="20% - Accent4 15 4 3" xfId="2740" xr:uid="{00000000-0005-0000-0000-00009E170000}"/>
    <cellStyle name="20% - Accent4 15 4 3 2" xfId="14027" xr:uid="{00000000-0005-0000-0000-00009F170000}"/>
    <cellStyle name="20% - Accent4 15 4 3 3" xfId="17978" xr:uid="{00000000-0005-0000-0000-0000A0170000}"/>
    <cellStyle name="20% - Accent4 15 4 4" xfId="14025" xr:uid="{00000000-0005-0000-0000-0000A1170000}"/>
    <cellStyle name="20% - Accent4 15 4 5" xfId="17976" xr:uid="{00000000-0005-0000-0000-0000A2170000}"/>
    <cellStyle name="20% - Accent4 15 5" xfId="2741" xr:uid="{00000000-0005-0000-0000-0000A3170000}"/>
    <cellStyle name="20% - Accent4 15 5 2" xfId="2742" xr:uid="{00000000-0005-0000-0000-0000A4170000}"/>
    <cellStyle name="20% - Accent4 15 5 2 2" xfId="14029" xr:uid="{00000000-0005-0000-0000-0000A5170000}"/>
    <cellStyle name="20% - Accent4 15 5 2 3" xfId="17980" xr:uid="{00000000-0005-0000-0000-0000A6170000}"/>
    <cellStyle name="20% - Accent4 15 5 3" xfId="2743" xr:uid="{00000000-0005-0000-0000-0000A7170000}"/>
    <cellStyle name="20% - Accent4 15 5 3 2" xfId="14030" xr:uid="{00000000-0005-0000-0000-0000A8170000}"/>
    <cellStyle name="20% - Accent4 15 5 3 3" xfId="17981" xr:uid="{00000000-0005-0000-0000-0000A9170000}"/>
    <cellStyle name="20% - Accent4 15 5 4" xfId="14028" xr:uid="{00000000-0005-0000-0000-0000AA170000}"/>
    <cellStyle name="20% - Accent4 15 5 5" xfId="17979" xr:uid="{00000000-0005-0000-0000-0000AB170000}"/>
    <cellStyle name="20% - Accent4 15 6" xfId="2744" xr:uid="{00000000-0005-0000-0000-0000AC170000}"/>
    <cellStyle name="20% - Accent4 15 6 2" xfId="2745" xr:uid="{00000000-0005-0000-0000-0000AD170000}"/>
    <cellStyle name="20% - Accent4 15 6 2 2" xfId="14032" xr:uid="{00000000-0005-0000-0000-0000AE170000}"/>
    <cellStyle name="20% - Accent4 15 6 2 3" xfId="17983" xr:uid="{00000000-0005-0000-0000-0000AF170000}"/>
    <cellStyle name="20% - Accent4 15 6 3" xfId="2746" xr:uid="{00000000-0005-0000-0000-0000B0170000}"/>
    <cellStyle name="20% - Accent4 15 6 3 2" xfId="14033" xr:uid="{00000000-0005-0000-0000-0000B1170000}"/>
    <cellStyle name="20% - Accent4 15 6 3 3" xfId="17984" xr:uid="{00000000-0005-0000-0000-0000B2170000}"/>
    <cellStyle name="20% - Accent4 15 6 4" xfId="14031" xr:uid="{00000000-0005-0000-0000-0000B3170000}"/>
    <cellStyle name="20% - Accent4 15 6 5" xfId="17982" xr:uid="{00000000-0005-0000-0000-0000B4170000}"/>
    <cellStyle name="20% - Accent4 15 7" xfId="2747" xr:uid="{00000000-0005-0000-0000-0000B5170000}"/>
    <cellStyle name="20% - Accent4 15 7 2" xfId="14034" xr:uid="{00000000-0005-0000-0000-0000B6170000}"/>
    <cellStyle name="20% - Accent4 15 7 3" xfId="17985" xr:uid="{00000000-0005-0000-0000-0000B7170000}"/>
    <cellStyle name="20% - Accent4 15 8" xfId="2748" xr:uid="{00000000-0005-0000-0000-0000B8170000}"/>
    <cellStyle name="20% - Accent4 15 8 2" xfId="14035" xr:uid="{00000000-0005-0000-0000-0000B9170000}"/>
    <cellStyle name="20% - Accent4 15 8 3" xfId="17986" xr:uid="{00000000-0005-0000-0000-0000BA170000}"/>
    <cellStyle name="20% - Accent4 15 9" xfId="14003" xr:uid="{00000000-0005-0000-0000-0000BB170000}"/>
    <cellStyle name="20% - Accent4 15_Volatility" xfId="2749" xr:uid="{00000000-0005-0000-0000-0000BC170000}"/>
    <cellStyle name="20% - Accent4 16" xfId="2750" xr:uid="{00000000-0005-0000-0000-0000BD170000}"/>
    <cellStyle name="20% - Accent4 16 2" xfId="14036" xr:uid="{00000000-0005-0000-0000-0000BE170000}"/>
    <cellStyle name="20% - Accent4 16 3" xfId="17987" xr:uid="{00000000-0005-0000-0000-0000BF170000}"/>
    <cellStyle name="20% - Accent4 17" xfId="2751" xr:uid="{00000000-0005-0000-0000-0000C0170000}"/>
    <cellStyle name="20% - Accent4 17 2" xfId="14037" xr:uid="{00000000-0005-0000-0000-0000C1170000}"/>
    <cellStyle name="20% - Accent4 17 3" xfId="17988" xr:uid="{00000000-0005-0000-0000-0000C2170000}"/>
    <cellStyle name="20% - Accent4 18" xfId="2752" xr:uid="{00000000-0005-0000-0000-0000C3170000}"/>
    <cellStyle name="20% - Accent4 18 2" xfId="14038" xr:uid="{00000000-0005-0000-0000-0000C4170000}"/>
    <cellStyle name="20% - Accent4 18 3" xfId="17989" xr:uid="{00000000-0005-0000-0000-0000C5170000}"/>
    <cellStyle name="20% - Accent4 19" xfId="2753" xr:uid="{00000000-0005-0000-0000-0000C6170000}"/>
    <cellStyle name="20% - Accent4 19 2" xfId="14039" xr:uid="{00000000-0005-0000-0000-0000C7170000}"/>
    <cellStyle name="20% - Accent4 19 3" xfId="17990" xr:uid="{00000000-0005-0000-0000-0000C8170000}"/>
    <cellStyle name="20% - Accent4 2" xfId="2754" xr:uid="{00000000-0005-0000-0000-0000C9170000}"/>
    <cellStyle name="20% - Accent4 2 10" xfId="17991" xr:uid="{00000000-0005-0000-0000-0000CA170000}"/>
    <cellStyle name="20% - Accent4 2 2" xfId="2755" xr:uid="{00000000-0005-0000-0000-0000CB170000}"/>
    <cellStyle name="20% - Accent4 2 2 2" xfId="2756" xr:uid="{00000000-0005-0000-0000-0000CC170000}"/>
    <cellStyle name="20% - Accent4 2 2 2 2" xfId="2757" xr:uid="{00000000-0005-0000-0000-0000CD170000}"/>
    <cellStyle name="20% - Accent4 2 2 2 2 2" xfId="14043" xr:uid="{00000000-0005-0000-0000-0000CE170000}"/>
    <cellStyle name="20% - Accent4 2 2 2 2 3" xfId="17994" xr:uid="{00000000-0005-0000-0000-0000CF170000}"/>
    <cellStyle name="20% - Accent4 2 2 2 3" xfId="2758" xr:uid="{00000000-0005-0000-0000-0000D0170000}"/>
    <cellStyle name="20% - Accent4 2 2 2 3 2" xfId="14044" xr:uid="{00000000-0005-0000-0000-0000D1170000}"/>
    <cellStyle name="20% - Accent4 2 2 2 3 3" xfId="17995" xr:uid="{00000000-0005-0000-0000-0000D2170000}"/>
    <cellStyle name="20% - Accent4 2 2 2 4" xfId="14042" xr:uid="{00000000-0005-0000-0000-0000D3170000}"/>
    <cellStyle name="20% - Accent4 2 2 2 5" xfId="17993" xr:uid="{00000000-0005-0000-0000-0000D4170000}"/>
    <cellStyle name="20% - Accent4 2 2 3" xfId="2759" xr:uid="{00000000-0005-0000-0000-0000D5170000}"/>
    <cellStyle name="20% - Accent4 2 2 3 2" xfId="2760" xr:uid="{00000000-0005-0000-0000-0000D6170000}"/>
    <cellStyle name="20% - Accent4 2 2 3 2 2" xfId="14046" xr:uid="{00000000-0005-0000-0000-0000D7170000}"/>
    <cellStyle name="20% - Accent4 2 2 3 2 3" xfId="17997" xr:uid="{00000000-0005-0000-0000-0000D8170000}"/>
    <cellStyle name="20% - Accent4 2 2 3 3" xfId="2761" xr:uid="{00000000-0005-0000-0000-0000D9170000}"/>
    <cellStyle name="20% - Accent4 2 2 3 3 2" xfId="14047" xr:uid="{00000000-0005-0000-0000-0000DA170000}"/>
    <cellStyle name="20% - Accent4 2 2 3 3 3" xfId="17998" xr:uid="{00000000-0005-0000-0000-0000DB170000}"/>
    <cellStyle name="20% - Accent4 2 2 3 4" xfId="14045" xr:uid="{00000000-0005-0000-0000-0000DC170000}"/>
    <cellStyle name="20% - Accent4 2 2 3 5" xfId="17996" xr:uid="{00000000-0005-0000-0000-0000DD170000}"/>
    <cellStyle name="20% - Accent4 2 2 4" xfId="2762" xr:uid="{00000000-0005-0000-0000-0000DE170000}"/>
    <cellStyle name="20% - Accent4 2 2 4 2" xfId="2763" xr:uid="{00000000-0005-0000-0000-0000DF170000}"/>
    <cellStyle name="20% - Accent4 2 2 4 2 2" xfId="14049" xr:uid="{00000000-0005-0000-0000-0000E0170000}"/>
    <cellStyle name="20% - Accent4 2 2 4 2 3" xfId="18000" xr:uid="{00000000-0005-0000-0000-0000E1170000}"/>
    <cellStyle name="20% - Accent4 2 2 4 3" xfId="2764" xr:uid="{00000000-0005-0000-0000-0000E2170000}"/>
    <cellStyle name="20% - Accent4 2 2 4 3 2" xfId="14050" xr:uid="{00000000-0005-0000-0000-0000E3170000}"/>
    <cellStyle name="20% - Accent4 2 2 4 3 3" xfId="18001" xr:uid="{00000000-0005-0000-0000-0000E4170000}"/>
    <cellStyle name="20% - Accent4 2 2 4 4" xfId="14048" xr:uid="{00000000-0005-0000-0000-0000E5170000}"/>
    <cellStyle name="20% - Accent4 2 2 4 5" xfId="17999" xr:uid="{00000000-0005-0000-0000-0000E6170000}"/>
    <cellStyle name="20% - Accent4 2 2 5" xfId="2765" xr:uid="{00000000-0005-0000-0000-0000E7170000}"/>
    <cellStyle name="20% - Accent4 2 2 5 2" xfId="14051" xr:uid="{00000000-0005-0000-0000-0000E8170000}"/>
    <cellStyle name="20% - Accent4 2 2 5 3" xfId="18002" xr:uid="{00000000-0005-0000-0000-0000E9170000}"/>
    <cellStyle name="20% - Accent4 2 2 6" xfId="2766" xr:uid="{00000000-0005-0000-0000-0000EA170000}"/>
    <cellStyle name="20% - Accent4 2 2 6 2" xfId="14052" xr:uid="{00000000-0005-0000-0000-0000EB170000}"/>
    <cellStyle name="20% - Accent4 2 2 6 3" xfId="18003" xr:uid="{00000000-0005-0000-0000-0000EC170000}"/>
    <cellStyle name="20% - Accent4 2 2 7" xfId="14041" xr:uid="{00000000-0005-0000-0000-0000ED170000}"/>
    <cellStyle name="20% - Accent4 2 2 8" xfId="17992" xr:uid="{00000000-0005-0000-0000-0000EE170000}"/>
    <cellStyle name="20% - Accent4 2 2_Volatility" xfId="2767" xr:uid="{00000000-0005-0000-0000-0000EF170000}"/>
    <cellStyle name="20% - Accent4 2 3" xfId="2768" xr:uid="{00000000-0005-0000-0000-0000F0170000}"/>
    <cellStyle name="20% - Accent4 2 3 2" xfId="2769" xr:uid="{00000000-0005-0000-0000-0000F1170000}"/>
    <cellStyle name="20% - Accent4 2 3 2 2" xfId="2770" xr:uid="{00000000-0005-0000-0000-0000F2170000}"/>
    <cellStyle name="20% - Accent4 2 3 2 2 2" xfId="14055" xr:uid="{00000000-0005-0000-0000-0000F3170000}"/>
    <cellStyle name="20% - Accent4 2 3 2 2 3" xfId="18006" xr:uid="{00000000-0005-0000-0000-0000F4170000}"/>
    <cellStyle name="20% - Accent4 2 3 2 3" xfId="2771" xr:uid="{00000000-0005-0000-0000-0000F5170000}"/>
    <cellStyle name="20% - Accent4 2 3 2 3 2" xfId="14056" xr:uid="{00000000-0005-0000-0000-0000F6170000}"/>
    <cellStyle name="20% - Accent4 2 3 2 3 3" xfId="18007" xr:uid="{00000000-0005-0000-0000-0000F7170000}"/>
    <cellStyle name="20% - Accent4 2 3 2 4" xfId="14054" xr:uid="{00000000-0005-0000-0000-0000F8170000}"/>
    <cellStyle name="20% - Accent4 2 3 2 5" xfId="18005" xr:uid="{00000000-0005-0000-0000-0000F9170000}"/>
    <cellStyle name="20% - Accent4 2 3 3" xfId="2772" xr:uid="{00000000-0005-0000-0000-0000FA170000}"/>
    <cellStyle name="20% - Accent4 2 3 3 2" xfId="2773" xr:uid="{00000000-0005-0000-0000-0000FB170000}"/>
    <cellStyle name="20% - Accent4 2 3 3 2 2" xfId="14058" xr:uid="{00000000-0005-0000-0000-0000FC170000}"/>
    <cellStyle name="20% - Accent4 2 3 3 2 3" xfId="18009" xr:uid="{00000000-0005-0000-0000-0000FD170000}"/>
    <cellStyle name="20% - Accent4 2 3 3 3" xfId="2774" xr:uid="{00000000-0005-0000-0000-0000FE170000}"/>
    <cellStyle name="20% - Accent4 2 3 3 3 2" xfId="14059" xr:uid="{00000000-0005-0000-0000-0000FF170000}"/>
    <cellStyle name="20% - Accent4 2 3 3 3 3" xfId="18010" xr:uid="{00000000-0005-0000-0000-000000180000}"/>
    <cellStyle name="20% - Accent4 2 3 3 4" xfId="14057" xr:uid="{00000000-0005-0000-0000-000001180000}"/>
    <cellStyle name="20% - Accent4 2 3 3 5" xfId="18008" xr:uid="{00000000-0005-0000-0000-000002180000}"/>
    <cellStyle name="20% - Accent4 2 3 4" xfId="2775" xr:uid="{00000000-0005-0000-0000-000003180000}"/>
    <cellStyle name="20% - Accent4 2 3 4 2" xfId="14060" xr:uid="{00000000-0005-0000-0000-000004180000}"/>
    <cellStyle name="20% - Accent4 2 3 4 3" xfId="18011" xr:uid="{00000000-0005-0000-0000-000005180000}"/>
    <cellStyle name="20% - Accent4 2 3 5" xfId="2776" xr:uid="{00000000-0005-0000-0000-000006180000}"/>
    <cellStyle name="20% - Accent4 2 3 5 2" xfId="14061" xr:uid="{00000000-0005-0000-0000-000007180000}"/>
    <cellStyle name="20% - Accent4 2 3 5 3" xfId="18012" xr:uid="{00000000-0005-0000-0000-000008180000}"/>
    <cellStyle name="20% - Accent4 2 3 6" xfId="14053" xr:uid="{00000000-0005-0000-0000-000009180000}"/>
    <cellStyle name="20% - Accent4 2 3 7" xfId="18004" xr:uid="{00000000-0005-0000-0000-00000A180000}"/>
    <cellStyle name="20% - Accent4 2 3_Volatility" xfId="2777" xr:uid="{00000000-0005-0000-0000-00000B180000}"/>
    <cellStyle name="20% - Accent4 2 4" xfId="2778" xr:uid="{00000000-0005-0000-0000-00000C180000}"/>
    <cellStyle name="20% - Accent4 2 4 2" xfId="2779" xr:uid="{00000000-0005-0000-0000-00000D180000}"/>
    <cellStyle name="20% - Accent4 2 4 2 2" xfId="14063" xr:uid="{00000000-0005-0000-0000-00000E180000}"/>
    <cellStyle name="20% - Accent4 2 4 2 3" xfId="18014" xr:uid="{00000000-0005-0000-0000-00000F180000}"/>
    <cellStyle name="20% - Accent4 2 4 3" xfId="2780" xr:uid="{00000000-0005-0000-0000-000010180000}"/>
    <cellStyle name="20% - Accent4 2 4 3 2" xfId="14064" xr:uid="{00000000-0005-0000-0000-000011180000}"/>
    <cellStyle name="20% - Accent4 2 4 3 3" xfId="18015" xr:uid="{00000000-0005-0000-0000-000012180000}"/>
    <cellStyle name="20% - Accent4 2 4 4" xfId="14062" xr:uid="{00000000-0005-0000-0000-000013180000}"/>
    <cellStyle name="20% - Accent4 2 4 5" xfId="18013" xr:uid="{00000000-0005-0000-0000-000014180000}"/>
    <cellStyle name="20% - Accent4 2 5" xfId="2781" xr:uid="{00000000-0005-0000-0000-000015180000}"/>
    <cellStyle name="20% - Accent4 2 5 2" xfId="2782" xr:uid="{00000000-0005-0000-0000-000016180000}"/>
    <cellStyle name="20% - Accent4 2 5 2 2" xfId="14066" xr:uid="{00000000-0005-0000-0000-000017180000}"/>
    <cellStyle name="20% - Accent4 2 5 2 3" xfId="18017" xr:uid="{00000000-0005-0000-0000-000018180000}"/>
    <cellStyle name="20% - Accent4 2 5 3" xfId="2783" xr:uid="{00000000-0005-0000-0000-000019180000}"/>
    <cellStyle name="20% - Accent4 2 5 3 2" xfId="14067" xr:uid="{00000000-0005-0000-0000-00001A180000}"/>
    <cellStyle name="20% - Accent4 2 5 3 3" xfId="18018" xr:uid="{00000000-0005-0000-0000-00001B180000}"/>
    <cellStyle name="20% - Accent4 2 5 4" xfId="14065" xr:uid="{00000000-0005-0000-0000-00001C180000}"/>
    <cellStyle name="20% - Accent4 2 5 5" xfId="18016" xr:uid="{00000000-0005-0000-0000-00001D180000}"/>
    <cellStyle name="20% - Accent4 2 6" xfId="2784" xr:uid="{00000000-0005-0000-0000-00001E180000}"/>
    <cellStyle name="20% - Accent4 2 6 2" xfId="2785" xr:uid="{00000000-0005-0000-0000-00001F180000}"/>
    <cellStyle name="20% - Accent4 2 6 2 2" xfId="14069" xr:uid="{00000000-0005-0000-0000-000020180000}"/>
    <cellStyle name="20% - Accent4 2 6 2 3" xfId="18020" xr:uid="{00000000-0005-0000-0000-000021180000}"/>
    <cellStyle name="20% - Accent4 2 6 3" xfId="2786" xr:uid="{00000000-0005-0000-0000-000022180000}"/>
    <cellStyle name="20% - Accent4 2 6 3 2" xfId="14070" xr:uid="{00000000-0005-0000-0000-000023180000}"/>
    <cellStyle name="20% - Accent4 2 6 3 3" xfId="18021" xr:uid="{00000000-0005-0000-0000-000024180000}"/>
    <cellStyle name="20% - Accent4 2 6 4" xfId="14068" xr:uid="{00000000-0005-0000-0000-000025180000}"/>
    <cellStyle name="20% - Accent4 2 6 5" xfId="18019" xr:uid="{00000000-0005-0000-0000-000026180000}"/>
    <cellStyle name="20% - Accent4 2 7" xfId="2787" xr:uid="{00000000-0005-0000-0000-000027180000}"/>
    <cellStyle name="20% - Accent4 2 7 2" xfId="14071" xr:uid="{00000000-0005-0000-0000-000028180000}"/>
    <cellStyle name="20% - Accent4 2 7 3" xfId="18022" xr:uid="{00000000-0005-0000-0000-000029180000}"/>
    <cellStyle name="20% - Accent4 2 8" xfId="2788" xr:uid="{00000000-0005-0000-0000-00002A180000}"/>
    <cellStyle name="20% - Accent4 2 8 2" xfId="14072" xr:uid="{00000000-0005-0000-0000-00002B180000}"/>
    <cellStyle name="20% - Accent4 2 8 3" xfId="18023" xr:uid="{00000000-0005-0000-0000-00002C180000}"/>
    <cellStyle name="20% - Accent4 2 9" xfId="14040" xr:uid="{00000000-0005-0000-0000-00002D180000}"/>
    <cellStyle name="20% - Accent4 2_Volatility" xfId="2789" xr:uid="{00000000-0005-0000-0000-00002E180000}"/>
    <cellStyle name="20% - Accent4 3" xfId="2790" xr:uid="{00000000-0005-0000-0000-00002F180000}"/>
    <cellStyle name="20% - Accent4 3 10" xfId="18024" xr:uid="{00000000-0005-0000-0000-000030180000}"/>
    <cellStyle name="20% - Accent4 3 2" xfId="2791" xr:uid="{00000000-0005-0000-0000-000031180000}"/>
    <cellStyle name="20% - Accent4 3 2 2" xfId="2792" xr:uid="{00000000-0005-0000-0000-000032180000}"/>
    <cellStyle name="20% - Accent4 3 2 2 2" xfId="2793" xr:uid="{00000000-0005-0000-0000-000033180000}"/>
    <cellStyle name="20% - Accent4 3 2 2 2 2" xfId="14076" xr:uid="{00000000-0005-0000-0000-000034180000}"/>
    <cellStyle name="20% - Accent4 3 2 2 2 3" xfId="18027" xr:uid="{00000000-0005-0000-0000-000035180000}"/>
    <cellStyle name="20% - Accent4 3 2 2 3" xfId="2794" xr:uid="{00000000-0005-0000-0000-000036180000}"/>
    <cellStyle name="20% - Accent4 3 2 2 3 2" xfId="14077" xr:uid="{00000000-0005-0000-0000-000037180000}"/>
    <cellStyle name="20% - Accent4 3 2 2 3 3" xfId="18028" xr:uid="{00000000-0005-0000-0000-000038180000}"/>
    <cellStyle name="20% - Accent4 3 2 2 4" xfId="14075" xr:uid="{00000000-0005-0000-0000-000039180000}"/>
    <cellStyle name="20% - Accent4 3 2 2 5" xfId="18026" xr:uid="{00000000-0005-0000-0000-00003A180000}"/>
    <cellStyle name="20% - Accent4 3 2 3" xfId="2795" xr:uid="{00000000-0005-0000-0000-00003B180000}"/>
    <cellStyle name="20% - Accent4 3 2 3 2" xfId="2796" xr:uid="{00000000-0005-0000-0000-00003C180000}"/>
    <cellStyle name="20% - Accent4 3 2 3 2 2" xfId="14079" xr:uid="{00000000-0005-0000-0000-00003D180000}"/>
    <cellStyle name="20% - Accent4 3 2 3 2 3" xfId="18030" xr:uid="{00000000-0005-0000-0000-00003E180000}"/>
    <cellStyle name="20% - Accent4 3 2 3 3" xfId="2797" xr:uid="{00000000-0005-0000-0000-00003F180000}"/>
    <cellStyle name="20% - Accent4 3 2 3 3 2" xfId="14080" xr:uid="{00000000-0005-0000-0000-000040180000}"/>
    <cellStyle name="20% - Accent4 3 2 3 3 3" xfId="18031" xr:uid="{00000000-0005-0000-0000-000041180000}"/>
    <cellStyle name="20% - Accent4 3 2 3 4" xfId="14078" xr:uid="{00000000-0005-0000-0000-000042180000}"/>
    <cellStyle name="20% - Accent4 3 2 3 5" xfId="18029" xr:uid="{00000000-0005-0000-0000-000043180000}"/>
    <cellStyle name="20% - Accent4 3 2 4" xfId="2798" xr:uid="{00000000-0005-0000-0000-000044180000}"/>
    <cellStyle name="20% - Accent4 3 2 4 2" xfId="2799" xr:uid="{00000000-0005-0000-0000-000045180000}"/>
    <cellStyle name="20% - Accent4 3 2 4 2 2" xfId="14082" xr:uid="{00000000-0005-0000-0000-000046180000}"/>
    <cellStyle name="20% - Accent4 3 2 4 2 3" xfId="18033" xr:uid="{00000000-0005-0000-0000-000047180000}"/>
    <cellStyle name="20% - Accent4 3 2 4 3" xfId="2800" xr:uid="{00000000-0005-0000-0000-000048180000}"/>
    <cellStyle name="20% - Accent4 3 2 4 3 2" xfId="14083" xr:uid="{00000000-0005-0000-0000-000049180000}"/>
    <cellStyle name="20% - Accent4 3 2 4 3 3" xfId="18034" xr:uid="{00000000-0005-0000-0000-00004A180000}"/>
    <cellStyle name="20% - Accent4 3 2 4 4" xfId="14081" xr:uid="{00000000-0005-0000-0000-00004B180000}"/>
    <cellStyle name="20% - Accent4 3 2 4 5" xfId="18032" xr:uid="{00000000-0005-0000-0000-00004C180000}"/>
    <cellStyle name="20% - Accent4 3 2 5" xfId="2801" xr:uid="{00000000-0005-0000-0000-00004D180000}"/>
    <cellStyle name="20% - Accent4 3 2 5 2" xfId="14084" xr:uid="{00000000-0005-0000-0000-00004E180000}"/>
    <cellStyle name="20% - Accent4 3 2 5 3" xfId="18035" xr:uid="{00000000-0005-0000-0000-00004F180000}"/>
    <cellStyle name="20% - Accent4 3 2 6" xfId="2802" xr:uid="{00000000-0005-0000-0000-000050180000}"/>
    <cellStyle name="20% - Accent4 3 2 6 2" xfId="14085" xr:uid="{00000000-0005-0000-0000-000051180000}"/>
    <cellStyle name="20% - Accent4 3 2 6 3" xfId="18036" xr:uid="{00000000-0005-0000-0000-000052180000}"/>
    <cellStyle name="20% - Accent4 3 2 7" xfId="14074" xr:uid="{00000000-0005-0000-0000-000053180000}"/>
    <cellStyle name="20% - Accent4 3 2 8" xfId="18025" xr:uid="{00000000-0005-0000-0000-000054180000}"/>
    <cellStyle name="20% - Accent4 3 2_Volatility" xfId="2803" xr:uid="{00000000-0005-0000-0000-000055180000}"/>
    <cellStyle name="20% - Accent4 3 3" xfId="2804" xr:uid="{00000000-0005-0000-0000-000056180000}"/>
    <cellStyle name="20% - Accent4 3 3 2" xfId="2805" xr:uid="{00000000-0005-0000-0000-000057180000}"/>
    <cellStyle name="20% - Accent4 3 3 2 2" xfId="2806" xr:uid="{00000000-0005-0000-0000-000058180000}"/>
    <cellStyle name="20% - Accent4 3 3 2 2 2" xfId="14088" xr:uid="{00000000-0005-0000-0000-000059180000}"/>
    <cellStyle name="20% - Accent4 3 3 2 2 3" xfId="18039" xr:uid="{00000000-0005-0000-0000-00005A180000}"/>
    <cellStyle name="20% - Accent4 3 3 2 3" xfId="2807" xr:uid="{00000000-0005-0000-0000-00005B180000}"/>
    <cellStyle name="20% - Accent4 3 3 2 3 2" xfId="14089" xr:uid="{00000000-0005-0000-0000-00005C180000}"/>
    <cellStyle name="20% - Accent4 3 3 2 3 3" xfId="18040" xr:uid="{00000000-0005-0000-0000-00005D180000}"/>
    <cellStyle name="20% - Accent4 3 3 2 4" xfId="14087" xr:uid="{00000000-0005-0000-0000-00005E180000}"/>
    <cellStyle name="20% - Accent4 3 3 2 5" xfId="18038" xr:uid="{00000000-0005-0000-0000-00005F180000}"/>
    <cellStyle name="20% - Accent4 3 3 3" xfId="2808" xr:uid="{00000000-0005-0000-0000-000060180000}"/>
    <cellStyle name="20% - Accent4 3 3 3 2" xfId="2809" xr:uid="{00000000-0005-0000-0000-000061180000}"/>
    <cellStyle name="20% - Accent4 3 3 3 2 2" xfId="14091" xr:uid="{00000000-0005-0000-0000-000062180000}"/>
    <cellStyle name="20% - Accent4 3 3 3 2 3" xfId="18042" xr:uid="{00000000-0005-0000-0000-000063180000}"/>
    <cellStyle name="20% - Accent4 3 3 3 3" xfId="2810" xr:uid="{00000000-0005-0000-0000-000064180000}"/>
    <cellStyle name="20% - Accent4 3 3 3 3 2" xfId="14092" xr:uid="{00000000-0005-0000-0000-000065180000}"/>
    <cellStyle name="20% - Accent4 3 3 3 3 3" xfId="18043" xr:uid="{00000000-0005-0000-0000-000066180000}"/>
    <cellStyle name="20% - Accent4 3 3 3 4" xfId="14090" xr:uid="{00000000-0005-0000-0000-000067180000}"/>
    <cellStyle name="20% - Accent4 3 3 3 5" xfId="18041" xr:uid="{00000000-0005-0000-0000-000068180000}"/>
    <cellStyle name="20% - Accent4 3 3 4" xfId="2811" xr:uid="{00000000-0005-0000-0000-000069180000}"/>
    <cellStyle name="20% - Accent4 3 3 4 2" xfId="14093" xr:uid="{00000000-0005-0000-0000-00006A180000}"/>
    <cellStyle name="20% - Accent4 3 3 4 3" xfId="18044" xr:uid="{00000000-0005-0000-0000-00006B180000}"/>
    <cellStyle name="20% - Accent4 3 3 5" xfId="2812" xr:uid="{00000000-0005-0000-0000-00006C180000}"/>
    <cellStyle name="20% - Accent4 3 3 5 2" xfId="14094" xr:uid="{00000000-0005-0000-0000-00006D180000}"/>
    <cellStyle name="20% - Accent4 3 3 5 3" xfId="18045" xr:uid="{00000000-0005-0000-0000-00006E180000}"/>
    <cellStyle name="20% - Accent4 3 3 6" xfId="14086" xr:uid="{00000000-0005-0000-0000-00006F180000}"/>
    <cellStyle name="20% - Accent4 3 3 7" xfId="18037" xr:uid="{00000000-0005-0000-0000-000070180000}"/>
    <cellStyle name="20% - Accent4 3 3_Volatility" xfId="2813" xr:uid="{00000000-0005-0000-0000-000071180000}"/>
    <cellStyle name="20% - Accent4 3 4" xfId="2814" xr:uid="{00000000-0005-0000-0000-000072180000}"/>
    <cellStyle name="20% - Accent4 3 4 2" xfId="2815" xr:uid="{00000000-0005-0000-0000-000073180000}"/>
    <cellStyle name="20% - Accent4 3 4 2 2" xfId="14096" xr:uid="{00000000-0005-0000-0000-000074180000}"/>
    <cellStyle name="20% - Accent4 3 4 2 3" xfId="18047" xr:uid="{00000000-0005-0000-0000-000075180000}"/>
    <cellStyle name="20% - Accent4 3 4 3" xfId="2816" xr:uid="{00000000-0005-0000-0000-000076180000}"/>
    <cellStyle name="20% - Accent4 3 4 3 2" xfId="14097" xr:uid="{00000000-0005-0000-0000-000077180000}"/>
    <cellStyle name="20% - Accent4 3 4 3 3" xfId="18048" xr:uid="{00000000-0005-0000-0000-000078180000}"/>
    <cellStyle name="20% - Accent4 3 4 4" xfId="14095" xr:uid="{00000000-0005-0000-0000-000079180000}"/>
    <cellStyle name="20% - Accent4 3 4 5" xfId="18046" xr:uid="{00000000-0005-0000-0000-00007A180000}"/>
    <cellStyle name="20% - Accent4 3 5" xfId="2817" xr:uid="{00000000-0005-0000-0000-00007B180000}"/>
    <cellStyle name="20% - Accent4 3 5 2" xfId="2818" xr:uid="{00000000-0005-0000-0000-00007C180000}"/>
    <cellStyle name="20% - Accent4 3 5 2 2" xfId="14099" xr:uid="{00000000-0005-0000-0000-00007D180000}"/>
    <cellStyle name="20% - Accent4 3 5 2 3" xfId="18050" xr:uid="{00000000-0005-0000-0000-00007E180000}"/>
    <cellStyle name="20% - Accent4 3 5 3" xfId="2819" xr:uid="{00000000-0005-0000-0000-00007F180000}"/>
    <cellStyle name="20% - Accent4 3 5 3 2" xfId="14100" xr:uid="{00000000-0005-0000-0000-000080180000}"/>
    <cellStyle name="20% - Accent4 3 5 3 3" xfId="18051" xr:uid="{00000000-0005-0000-0000-000081180000}"/>
    <cellStyle name="20% - Accent4 3 5 4" xfId="14098" xr:uid="{00000000-0005-0000-0000-000082180000}"/>
    <cellStyle name="20% - Accent4 3 5 5" xfId="18049" xr:uid="{00000000-0005-0000-0000-000083180000}"/>
    <cellStyle name="20% - Accent4 3 6" xfId="2820" xr:uid="{00000000-0005-0000-0000-000084180000}"/>
    <cellStyle name="20% - Accent4 3 6 2" xfId="2821" xr:uid="{00000000-0005-0000-0000-000085180000}"/>
    <cellStyle name="20% - Accent4 3 6 2 2" xfId="14102" xr:uid="{00000000-0005-0000-0000-000086180000}"/>
    <cellStyle name="20% - Accent4 3 6 2 3" xfId="18053" xr:uid="{00000000-0005-0000-0000-000087180000}"/>
    <cellStyle name="20% - Accent4 3 6 3" xfId="2822" xr:uid="{00000000-0005-0000-0000-000088180000}"/>
    <cellStyle name="20% - Accent4 3 6 3 2" xfId="14103" xr:uid="{00000000-0005-0000-0000-000089180000}"/>
    <cellStyle name="20% - Accent4 3 6 3 3" xfId="18054" xr:uid="{00000000-0005-0000-0000-00008A180000}"/>
    <cellStyle name="20% - Accent4 3 6 4" xfId="14101" xr:uid="{00000000-0005-0000-0000-00008B180000}"/>
    <cellStyle name="20% - Accent4 3 6 5" xfId="18052" xr:uid="{00000000-0005-0000-0000-00008C180000}"/>
    <cellStyle name="20% - Accent4 3 7" xfId="2823" xr:uid="{00000000-0005-0000-0000-00008D180000}"/>
    <cellStyle name="20% - Accent4 3 7 2" xfId="14104" xr:uid="{00000000-0005-0000-0000-00008E180000}"/>
    <cellStyle name="20% - Accent4 3 7 3" xfId="18055" xr:uid="{00000000-0005-0000-0000-00008F180000}"/>
    <cellStyle name="20% - Accent4 3 8" xfId="2824" xr:uid="{00000000-0005-0000-0000-000090180000}"/>
    <cellStyle name="20% - Accent4 3 8 2" xfId="14105" xr:uid="{00000000-0005-0000-0000-000091180000}"/>
    <cellStyle name="20% - Accent4 3 8 3" xfId="18056" xr:uid="{00000000-0005-0000-0000-000092180000}"/>
    <cellStyle name="20% - Accent4 3 9" xfId="14073" xr:uid="{00000000-0005-0000-0000-000093180000}"/>
    <cellStyle name="20% - Accent4 3_Volatility" xfId="2825" xr:uid="{00000000-0005-0000-0000-000094180000}"/>
    <cellStyle name="20% - Accent4 4" xfId="2826" xr:uid="{00000000-0005-0000-0000-000095180000}"/>
    <cellStyle name="20% - Accent4 4 10" xfId="18057" xr:uid="{00000000-0005-0000-0000-000096180000}"/>
    <cellStyle name="20% - Accent4 4 2" xfId="2827" xr:uid="{00000000-0005-0000-0000-000097180000}"/>
    <cellStyle name="20% - Accent4 4 2 2" xfId="2828" xr:uid="{00000000-0005-0000-0000-000098180000}"/>
    <cellStyle name="20% - Accent4 4 2 2 2" xfId="2829" xr:uid="{00000000-0005-0000-0000-000099180000}"/>
    <cellStyle name="20% - Accent4 4 2 2 2 2" xfId="14109" xr:uid="{00000000-0005-0000-0000-00009A180000}"/>
    <cellStyle name="20% - Accent4 4 2 2 2 3" xfId="18060" xr:uid="{00000000-0005-0000-0000-00009B180000}"/>
    <cellStyle name="20% - Accent4 4 2 2 3" xfId="2830" xr:uid="{00000000-0005-0000-0000-00009C180000}"/>
    <cellStyle name="20% - Accent4 4 2 2 3 2" xfId="14110" xr:uid="{00000000-0005-0000-0000-00009D180000}"/>
    <cellStyle name="20% - Accent4 4 2 2 3 3" xfId="18061" xr:uid="{00000000-0005-0000-0000-00009E180000}"/>
    <cellStyle name="20% - Accent4 4 2 2 4" xfId="14108" xr:uid="{00000000-0005-0000-0000-00009F180000}"/>
    <cellStyle name="20% - Accent4 4 2 2 5" xfId="18059" xr:uid="{00000000-0005-0000-0000-0000A0180000}"/>
    <cellStyle name="20% - Accent4 4 2 3" xfId="2831" xr:uid="{00000000-0005-0000-0000-0000A1180000}"/>
    <cellStyle name="20% - Accent4 4 2 3 2" xfId="2832" xr:uid="{00000000-0005-0000-0000-0000A2180000}"/>
    <cellStyle name="20% - Accent4 4 2 3 2 2" xfId="14112" xr:uid="{00000000-0005-0000-0000-0000A3180000}"/>
    <cellStyle name="20% - Accent4 4 2 3 2 3" xfId="18063" xr:uid="{00000000-0005-0000-0000-0000A4180000}"/>
    <cellStyle name="20% - Accent4 4 2 3 3" xfId="2833" xr:uid="{00000000-0005-0000-0000-0000A5180000}"/>
    <cellStyle name="20% - Accent4 4 2 3 3 2" xfId="14113" xr:uid="{00000000-0005-0000-0000-0000A6180000}"/>
    <cellStyle name="20% - Accent4 4 2 3 3 3" xfId="18064" xr:uid="{00000000-0005-0000-0000-0000A7180000}"/>
    <cellStyle name="20% - Accent4 4 2 3 4" xfId="14111" xr:uid="{00000000-0005-0000-0000-0000A8180000}"/>
    <cellStyle name="20% - Accent4 4 2 3 5" xfId="18062" xr:uid="{00000000-0005-0000-0000-0000A9180000}"/>
    <cellStyle name="20% - Accent4 4 2 4" xfId="2834" xr:uid="{00000000-0005-0000-0000-0000AA180000}"/>
    <cellStyle name="20% - Accent4 4 2 4 2" xfId="2835" xr:uid="{00000000-0005-0000-0000-0000AB180000}"/>
    <cellStyle name="20% - Accent4 4 2 4 2 2" xfId="14115" xr:uid="{00000000-0005-0000-0000-0000AC180000}"/>
    <cellStyle name="20% - Accent4 4 2 4 2 3" xfId="18066" xr:uid="{00000000-0005-0000-0000-0000AD180000}"/>
    <cellStyle name="20% - Accent4 4 2 4 3" xfId="2836" xr:uid="{00000000-0005-0000-0000-0000AE180000}"/>
    <cellStyle name="20% - Accent4 4 2 4 3 2" xfId="14116" xr:uid="{00000000-0005-0000-0000-0000AF180000}"/>
    <cellStyle name="20% - Accent4 4 2 4 3 3" xfId="18067" xr:uid="{00000000-0005-0000-0000-0000B0180000}"/>
    <cellStyle name="20% - Accent4 4 2 4 4" xfId="14114" xr:uid="{00000000-0005-0000-0000-0000B1180000}"/>
    <cellStyle name="20% - Accent4 4 2 4 5" xfId="18065" xr:uid="{00000000-0005-0000-0000-0000B2180000}"/>
    <cellStyle name="20% - Accent4 4 2 5" xfId="2837" xr:uid="{00000000-0005-0000-0000-0000B3180000}"/>
    <cellStyle name="20% - Accent4 4 2 5 2" xfId="14117" xr:uid="{00000000-0005-0000-0000-0000B4180000}"/>
    <cellStyle name="20% - Accent4 4 2 5 3" xfId="18068" xr:uid="{00000000-0005-0000-0000-0000B5180000}"/>
    <cellStyle name="20% - Accent4 4 2 6" xfId="2838" xr:uid="{00000000-0005-0000-0000-0000B6180000}"/>
    <cellStyle name="20% - Accent4 4 2 6 2" xfId="14118" xr:uid="{00000000-0005-0000-0000-0000B7180000}"/>
    <cellStyle name="20% - Accent4 4 2 6 3" xfId="18069" xr:uid="{00000000-0005-0000-0000-0000B8180000}"/>
    <cellStyle name="20% - Accent4 4 2 7" xfId="14107" xr:uid="{00000000-0005-0000-0000-0000B9180000}"/>
    <cellStyle name="20% - Accent4 4 2 8" xfId="18058" xr:uid="{00000000-0005-0000-0000-0000BA180000}"/>
    <cellStyle name="20% - Accent4 4 2_Volatility" xfId="2839" xr:uid="{00000000-0005-0000-0000-0000BB180000}"/>
    <cellStyle name="20% - Accent4 4 3" xfId="2840" xr:uid="{00000000-0005-0000-0000-0000BC180000}"/>
    <cellStyle name="20% - Accent4 4 3 2" xfId="2841" xr:uid="{00000000-0005-0000-0000-0000BD180000}"/>
    <cellStyle name="20% - Accent4 4 3 2 2" xfId="2842" xr:uid="{00000000-0005-0000-0000-0000BE180000}"/>
    <cellStyle name="20% - Accent4 4 3 2 2 2" xfId="14121" xr:uid="{00000000-0005-0000-0000-0000BF180000}"/>
    <cellStyle name="20% - Accent4 4 3 2 2 3" xfId="18072" xr:uid="{00000000-0005-0000-0000-0000C0180000}"/>
    <cellStyle name="20% - Accent4 4 3 2 3" xfId="2843" xr:uid="{00000000-0005-0000-0000-0000C1180000}"/>
    <cellStyle name="20% - Accent4 4 3 2 3 2" xfId="14122" xr:uid="{00000000-0005-0000-0000-0000C2180000}"/>
    <cellStyle name="20% - Accent4 4 3 2 3 3" xfId="18073" xr:uid="{00000000-0005-0000-0000-0000C3180000}"/>
    <cellStyle name="20% - Accent4 4 3 2 4" xfId="14120" xr:uid="{00000000-0005-0000-0000-0000C4180000}"/>
    <cellStyle name="20% - Accent4 4 3 2 5" xfId="18071" xr:uid="{00000000-0005-0000-0000-0000C5180000}"/>
    <cellStyle name="20% - Accent4 4 3 3" xfId="2844" xr:uid="{00000000-0005-0000-0000-0000C6180000}"/>
    <cellStyle name="20% - Accent4 4 3 3 2" xfId="2845" xr:uid="{00000000-0005-0000-0000-0000C7180000}"/>
    <cellStyle name="20% - Accent4 4 3 3 2 2" xfId="14124" xr:uid="{00000000-0005-0000-0000-0000C8180000}"/>
    <cellStyle name="20% - Accent4 4 3 3 2 3" xfId="18075" xr:uid="{00000000-0005-0000-0000-0000C9180000}"/>
    <cellStyle name="20% - Accent4 4 3 3 3" xfId="2846" xr:uid="{00000000-0005-0000-0000-0000CA180000}"/>
    <cellStyle name="20% - Accent4 4 3 3 3 2" xfId="14125" xr:uid="{00000000-0005-0000-0000-0000CB180000}"/>
    <cellStyle name="20% - Accent4 4 3 3 3 3" xfId="18076" xr:uid="{00000000-0005-0000-0000-0000CC180000}"/>
    <cellStyle name="20% - Accent4 4 3 3 4" xfId="14123" xr:uid="{00000000-0005-0000-0000-0000CD180000}"/>
    <cellStyle name="20% - Accent4 4 3 3 5" xfId="18074" xr:uid="{00000000-0005-0000-0000-0000CE180000}"/>
    <cellStyle name="20% - Accent4 4 3 4" xfId="2847" xr:uid="{00000000-0005-0000-0000-0000CF180000}"/>
    <cellStyle name="20% - Accent4 4 3 4 2" xfId="14126" xr:uid="{00000000-0005-0000-0000-0000D0180000}"/>
    <cellStyle name="20% - Accent4 4 3 4 3" xfId="18077" xr:uid="{00000000-0005-0000-0000-0000D1180000}"/>
    <cellStyle name="20% - Accent4 4 3 5" xfId="2848" xr:uid="{00000000-0005-0000-0000-0000D2180000}"/>
    <cellStyle name="20% - Accent4 4 3 5 2" xfId="14127" xr:uid="{00000000-0005-0000-0000-0000D3180000}"/>
    <cellStyle name="20% - Accent4 4 3 5 3" xfId="18078" xr:uid="{00000000-0005-0000-0000-0000D4180000}"/>
    <cellStyle name="20% - Accent4 4 3 6" xfId="14119" xr:uid="{00000000-0005-0000-0000-0000D5180000}"/>
    <cellStyle name="20% - Accent4 4 3 7" xfId="18070" xr:uid="{00000000-0005-0000-0000-0000D6180000}"/>
    <cellStyle name="20% - Accent4 4 3_Volatility" xfId="2849" xr:uid="{00000000-0005-0000-0000-0000D7180000}"/>
    <cellStyle name="20% - Accent4 4 4" xfId="2850" xr:uid="{00000000-0005-0000-0000-0000D8180000}"/>
    <cellStyle name="20% - Accent4 4 4 2" xfId="2851" xr:uid="{00000000-0005-0000-0000-0000D9180000}"/>
    <cellStyle name="20% - Accent4 4 4 2 2" xfId="14129" xr:uid="{00000000-0005-0000-0000-0000DA180000}"/>
    <cellStyle name="20% - Accent4 4 4 2 3" xfId="18080" xr:uid="{00000000-0005-0000-0000-0000DB180000}"/>
    <cellStyle name="20% - Accent4 4 4 3" xfId="2852" xr:uid="{00000000-0005-0000-0000-0000DC180000}"/>
    <cellStyle name="20% - Accent4 4 4 3 2" xfId="14130" xr:uid="{00000000-0005-0000-0000-0000DD180000}"/>
    <cellStyle name="20% - Accent4 4 4 3 3" xfId="18081" xr:uid="{00000000-0005-0000-0000-0000DE180000}"/>
    <cellStyle name="20% - Accent4 4 4 4" xfId="14128" xr:uid="{00000000-0005-0000-0000-0000DF180000}"/>
    <cellStyle name="20% - Accent4 4 4 5" xfId="18079" xr:uid="{00000000-0005-0000-0000-0000E0180000}"/>
    <cellStyle name="20% - Accent4 4 5" xfId="2853" xr:uid="{00000000-0005-0000-0000-0000E1180000}"/>
    <cellStyle name="20% - Accent4 4 5 2" xfId="2854" xr:uid="{00000000-0005-0000-0000-0000E2180000}"/>
    <cellStyle name="20% - Accent4 4 5 2 2" xfId="14132" xr:uid="{00000000-0005-0000-0000-0000E3180000}"/>
    <cellStyle name="20% - Accent4 4 5 2 3" xfId="18083" xr:uid="{00000000-0005-0000-0000-0000E4180000}"/>
    <cellStyle name="20% - Accent4 4 5 3" xfId="2855" xr:uid="{00000000-0005-0000-0000-0000E5180000}"/>
    <cellStyle name="20% - Accent4 4 5 3 2" xfId="14133" xr:uid="{00000000-0005-0000-0000-0000E6180000}"/>
    <cellStyle name="20% - Accent4 4 5 3 3" xfId="18084" xr:uid="{00000000-0005-0000-0000-0000E7180000}"/>
    <cellStyle name="20% - Accent4 4 5 4" xfId="14131" xr:uid="{00000000-0005-0000-0000-0000E8180000}"/>
    <cellStyle name="20% - Accent4 4 5 5" xfId="18082" xr:uid="{00000000-0005-0000-0000-0000E9180000}"/>
    <cellStyle name="20% - Accent4 4 6" xfId="2856" xr:uid="{00000000-0005-0000-0000-0000EA180000}"/>
    <cellStyle name="20% - Accent4 4 6 2" xfId="2857" xr:uid="{00000000-0005-0000-0000-0000EB180000}"/>
    <cellStyle name="20% - Accent4 4 6 2 2" xfId="14135" xr:uid="{00000000-0005-0000-0000-0000EC180000}"/>
    <cellStyle name="20% - Accent4 4 6 2 3" xfId="18086" xr:uid="{00000000-0005-0000-0000-0000ED180000}"/>
    <cellStyle name="20% - Accent4 4 6 3" xfId="2858" xr:uid="{00000000-0005-0000-0000-0000EE180000}"/>
    <cellStyle name="20% - Accent4 4 6 3 2" xfId="14136" xr:uid="{00000000-0005-0000-0000-0000EF180000}"/>
    <cellStyle name="20% - Accent4 4 6 3 3" xfId="18087" xr:uid="{00000000-0005-0000-0000-0000F0180000}"/>
    <cellStyle name="20% - Accent4 4 6 4" xfId="14134" xr:uid="{00000000-0005-0000-0000-0000F1180000}"/>
    <cellStyle name="20% - Accent4 4 6 5" xfId="18085" xr:uid="{00000000-0005-0000-0000-0000F2180000}"/>
    <cellStyle name="20% - Accent4 4 7" xfId="2859" xr:uid="{00000000-0005-0000-0000-0000F3180000}"/>
    <cellStyle name="20% - Accent4 4 7 2" xfId="14137" xr:uid="{00000000-0005-0000-0000-0000F4180000}"/>
    <cellStyle name="20% - Accent4 4 7 3" xfId="18088" xr:uid="{00000000-0005-0000-0000-0000F5180000}"/>
    <cellStyle name="20% - Accent4 4 8" xfId="2860" xr:uid="{00000000-0005-0000-0000-0000F6180000}"/>
    <cellStyle name="20% - Accent4 4 8 2" xfId="14138" xr:uid="{00000000-0005-0000-0000-0000F7180000}"/>
    <cellStyle name="20% - Accent4 4 8 3" xfId="18089" xr:uid="{00000000-0005-0000-0000-0000F8180000}"/>
    <cellStyle name="20% - Accent4 4 9" xfId="14106" xr:uid="{00000000-0005-0000-0000-0000F9180000}"/>
    <cellStyle name="20% - Accent4 4_Volatility" xfId="2861" xr:uid="{00000000-0005-0000-0000-0000FA180000}"/>
    <cellStyle name="20% - Accent4 5" xfId="2862" xr:uid="{00000000-0005-0000-0000-0000FB180000}"/>
    <cellStyle name="20% - Accent4 5 10" xfId="18090" xr:uid="{00000000-0005-0000-0000-0000FC180000}"/>
    <cellStyle name="20% - Accent4 5 2" xfId="2863" xr:uid="{00000000-0005-0000-0000-0000FD180000}"/>
    <cellStyle name="20% - Accent4 5 2 2" xfId="2864" xr:uid="{00000000-0005-0000-0000-0000FE180000}"/>
    <cellStyle name="20% - Accent4 5 2 2 2" xfId="2865" xr:uid="{00000000-0005-0000-0000-0000FF180000}"/>
    <cellStyle name="20% - Accent4 5 2 2 2 2" xfId="14142" xr:uid="{00000000-0005-0000-0000-000000190000}"/>
    <cellStyle name="20% - Accent4 5 2 2 2 3" xfId="18093" xr:uid="{00000000-0005-0000-0000-000001190000}"/>
    <cellStyle name="20% - Accent4 5 2 2 3" xfId="2866" xr:uid="{00000000-0005-0000-0000-000002190000}"/>
    <cellStyle name="20% - Accent4 5 2 2 3 2" xfId="14143" xr:uid="{00000000-0005-0000-0000-000003190000}"/>
    <cellStyle name="20% - Accent4 5 2 2 3 3" xfId="18094" xr:uid="{00000000-0005-0000-0000-000004190000}"/>
    <cellStyle name="20% - Accent4 5 2 2 4" xfId="14141" xr:uid="{00000000-0005-0000-0000-000005190000}"/>
    <cellStyle name="20% - Accent4 5 2 2 5" xfId="18092" xr:uid="{00000000-0005-0000-0000-000006190000}"/>
    <cellStyle name="20% - Accent4 5 2 3" xfId="2867" xr:uid="{00000000-0005-0000-0000-000007190000}"/>
    <cellStyle name="20% - Accent4 5 2 3 2" xfId="2868" xr:uid="{00000000-0005-0000-0000-000008190000}"/>
    <cellStyle name="20% - Accent4 5 2 3 2 2" xfId="14145" xr:uid="{00000000-0005-0000-0000-000009190000}"/>
    <cellStyle name="20% - Accent4 5 2 3 2 3" xfId="18096" xr:uid="{00000000-0005-0000-0000-00000A190000}"/>
    <cellStyle name="20% - Accent4 5 2 3 3" xfId="2869" xr:uid="{00000000-0005-0000-0000-00000B190000}"/>
    <cellStyle name="20% - Accent4 5 2 3 3 2" xfId="14146" xr:uid="{00000000-0005-0000-0000-00000C190000}"/>
    <cellStyle name="20% - Accent4 5 2 3 3 3" xfId="18097" xr:uid="{00000000-0005-0000-0000-00000D190000}"/>
    <cellStyle name="20% - Accent4 5 2 3 4" xfId="14144" xr:uid="{00000000-0005-0000-0000-00000E190000}"/>
    <cellStyle name="20% - Accent4 5 2 3 5" xfId="18095" xr:uid="{00000000-0005-0000-0000-00000F190000}"/>
    <cellStyle name="20% - Accent4 5 2 4" xfId="2870" xr:uid="{00000000-0005-0000-0000-000010190000}"/>
    <cellStyle name="20% - Accent4 5 2 4 2" xfId="2871" xr:uid="{00000000-0005-0000-0000-000011190000}"/>
    <cellStyle name="20% - Accent4 5 2 4 2 2" xfId="14148" xr:uid="{00000000-0005-0000-0000-000012190000}"/>
    <cellStyle name="20% - Accent4 5 2 4 2 3" xfId="18099" xr:uid="{00000000-0005-0000-0000-000013190000}"/>
    <cellStyle name="20% - Accent4 5 2 4 3" xfId="2872" xr:uid="{00000000-0005-0000-0000-000014190000}"/>
    <cellStyle name="20% - Accent4 5 2 4 3 2" xfId="14149" xr:uid="{00000000-0005-0000-0000-000015190000}"/>
    <cellStyle name="20% - Accent4 5 2 4 3 3" xfId="18100" xr:uid="{00000000-0005-0000-0000-000016190000}"/>
    <cellStyle name="20% - Accent4 5 2 4 4" xfId="14147" xr:uid="{00000000-0005-0000-0000-000017190000}"/>
    <cellStyle name="20% - Accent4 5 2 4 5" xfId="18098" xr:uid="{00000000-0005-0000-0000-000018190000}"/>
    <cellStyle name="20% - Accent4 5 2 5" xfId="2873" xr:uid="{00000000-0005-0000-0000-000019190000}"/>
    <cellStyle name="20% - Accent4 5 2 5 2" xfId="14150" xr:uid="{00000000-0005-0000-0000-00001A190000}"/>
    <cellStyle name="20% - Accent4 5 2 5 3" xfId="18101" xr:uid="{00000000-0005-0000-0000-00001B190000}"/>
    <cellStyle name="20% - Accent4 5 2 6" xfId="2874" xr:uid="{00000000-0005-0000-0000-00001C190000}"/>
    <cellStyle name="20% - Accent4 5 2 6 2" xfId="14151" xr:uid="{00000000-0005-0000-0000-00001D190000}"/>
    <cellStyle name="20% - Accent4 5 2 6 3" xfId="18102" xr:uid="{00000000-0005-0000-0000-00001E190000}"/>
    <cellStyle name="20% - Accent4 5 2 7" xfId="14140" xr:uid="{00000000-0005-0000-0000-00001F190000}"/>
    <cellStyle name="20% - Accent4 5 2 8" xfId="18091" xr:uid="{00000000-0005-0000-0000-000020190000}"/>
    <cellStyle name="20% - Accent4 5 2_Volatility" xfId="2875" xr:uid="{00000000-0005-0000-0000-000021190000}"/>
    <cellStyle name="20% - Accent4 5 3" xfId="2876" xr:uid="{00000000-0005-0000-0000-000022190000}"/>
    <cellStyle name="20% - Accent4 5 3 2" xfId="2877" xr:uid="{00000000-0005-0000-0000-000023190000}"/>
    <cellStyle name="20% - Accent4 5 3 2 2" xfId="2878" xr:uid="{00000000-0005-0000-0000-000024190000}"/>
    <cellStyle name="20% - Accent4 5 3 2 2 2" xfId="14154" xr:uid="{00000000-0005-0000-0000-000025190000}"/>
    <cellStyle name="20% - Accent4 5 3 2 2 3" xfId="18105" xr:uid="{00000000-0005-0000-0000-000026190000}"/>
    <cellStyle name="20% - Accent4 5 3 2 3" xfId="2879" xr:uid="{00000000-0005-0000-0000-000027190000}"/>
    <cellStyle name="20% - Accent4 5 3 2 3 2" xfId="14155" xr:uid="{00000000-0005-0000-0000-000028190000}"/>
    <cellStyle name="20% - Accent4 5 3 2 3 3" xfId="18106" xr:uid="{00000000-0005-0000-0000-000029190000}"/>
    <cellStyle name="20% - Accent4 5 3 2 4" xfId="14153" xr:uid="{00000000-0005-0000-0000-00002A190000}"/>
    <cellStyle name="20% - Accent4 5 3 2 5" xfId="18104" xr:uid="{00000000-0005-0000-0000-00002B190000}"/>
    <cellStyle name="20% - Accent4 5 3 3" xfId="2880" xr:uid="{00000000-0005-0000-0000-00002C190000}"/>
    <cellStyle name="20% - Accent4 5 3 3 2" xfId="2881" xr:uid="{00000000-0005-0000-0000-00002D190000}"/>
    <cellStyle name="20% - Accent4 5 3 3 2 2" xfId="14157" xr:uid="{00000000-0005-0000-0000-00002E190000}"/>
    <cellStyle name="20% - Accent4 5 3 3 2 3" xfId="18108" xr:uid="{00000000-0005-0000-0000-00002F190000}"/>
    <cellStyle name="20% - Accent4 5 3 3 3" xfId="2882" xr:uid="{00000000-0005-0000-0000-000030190000}"/>
    <cellStyle name="20% - Accent4 5 3 3 3 2" xfId="14158" xr:uid="{00000000-0005-0000-0000-000031190000}"/>
    <cellStyle name="20% - Accent4 5 3 3 3 3" xfId="18109" xr:uid="{00000000-0005-0000-0000-000032190000}"/>
    <cellStyle name="20% - Accent4 5 3 3 4" xfId="14156" xr:uid="{00000000-0005-0000-0000-000033190000}"/>
    <cellStyle name="20% - Accent4 5 3 3 5" xfId="18107" xr:uid="{00000000-0005-0000-0000-000034190000}"/>
    <cellStyle name="20% - Accent4 5 3 4" xfId="2883" xr:uid="{00000000-0005-0000-0000-000035190000}"/>
    <cellStyle name="20% - Accent4 5 3 4 2" xfId="14159" xr:uid="{00000000-0005-0000-0000-000036190000}"/>
    <cellStyle name="20% - Accent4 5 3 4 3" xfId="18110" xr:uid="{00000000-0005-0000-0000-000037190000}"/>
    <cellStyle name="20% - Accent4 5 3 5" xfId="2884" xr:uid="{00000000-0005-0000-0000-000038190000}"/>
    <cellStyle name="20% - Accent4 5 3 5 2" xfId="14160" xr:uid="{00000000-0005-0000-0000-000039190000}"/>
    <cellStyle name="20% - Accent4 5 3 5 3" xfId="18111" xr:uid="{00000000-0005-0000-0000-00003A190000}"/>
    <cellStyle name="20% - Accent4 5 3 6" xfId="14152" xr:uid="{00000000-0005-0000-0000-00003B190000}"/>
    <cellStyle name="20% - Accent4 5 3 7" xfId="18103" xr:uid="{00000000-0005-0000-0000-00003C190000}"/>
    <cellStyle name="20% - Accent4 5 3_Volatility" xfId="2885" xr:uid="{00000000-0005-0000-0000-00003D190000}"/>
    <cellStyle name="20% - Accent4 5 4" xfId="2886" xr:uid="{00000000-0005-0000-0000-00003E190000}"/>
    <cellStyle name="20% - Accent4 5 4 2" xfId="2887" xr:uid="{00000000-0005-0000-0000-00003F190000}"/>
    <cellStyle name="20% - Accent4 5 4 2 2" xfId="14162" xr:uid="{00000000-0005-0000-0000-000040190000}"/>
    <cellStyle name="20% - Accent4 5 4 2 3" xfId="18113" xr:uid="{00000000-0005-0000-0000-000041190000}"/>
    <cellStyle name="20% - Accent4 5 4 3" xfId="2888" xr:uid="{00000000-0005-0000-0000-000042190000}"/>
    <cellStyle name="20% - Accent4 5 4 3 2" xfId="14163" xr:uid="{00000000-0005-0000-0000-000043190000}"/>
    <cellStyle name="20% - Accent4 5 4 3 3" xfId="18114" xr:uid="{00000000-0005-0000-0000-000044190000}"/>
    <cellStyle name="20% - Accent4 5 4 4" xfId="14161" xr:uid="{00000000-0005-0000-0000-000045190000}"/>
    <cellStyle name="20% - Accent4 5 4 5" xfId="18112" xr:uid="{00000000-0005-0000-0000-000046190000}"/>
    <cellStyle name="20% - Accent4 5 5" xfId="2889" xr:uid="{00000000-0005-0000-0000-000047190000}"/>
    <cellStyle name="20% - Accent4 5 5 2" xfId="2890" xr:uid="{00000000-0005-0000-0000-000048190000}"/>
    <cellStyle name="20% - Accent4 5 5 2 2" xfId="14165" xr:uid="{00000000-0005-0000-0000-000049190000}"/>
    <cellStyle name="20% - Accent4 5 5 2 3" xfId="18116" xr:uid="{00000000-0005-0000-0000-00004A190000}"/>
    <cellStyle name="20% - Accent4 5 5 3" xfId="2891" xr:uid="{00000000-0005-0000-0000-00004B190000}"/>
    <cellStyle name="20% - Accent4 5 5 3 2" xfId="14166" xr:uid="{00000000-0005-0000-0000-00004C190000}"/>
    <cellStyle name="20% - Accent4 5 5 3 3" xfId="18117" xr:uid="{00000000-0005-0000-0000-00004D190000}"/>
    <cellStyle name="20% - Accent4 5 5 4" xfId="14164" xr:uid="{00000000-0005-0000-0000-00004E190000}"/>
    <cellStyle name="20% - Accent4 5 5 5" xfId="18115" xr:uid="{00000000-0005-0000-0000-00004F190000}"/>
    <cellStyle name="20% - Accent4 5 6" xfId="2892" xr:uid="{00000000-0005-0000-0000-000050190000}"/>
    <cellStyle name="20% - Accent4 5 6 2" xfId="2893" xr:uid="{00000000-0005-0000-0000-000051190000}"/>
    <cellStyle name="20% - Accent4 5 6 2 2" xfId="14168" xr:uid="{00000000-0005-0000-0000-000052190000}"/>
    <cellStyle name="20% - Accent4 5 6 2 3" xfId="18119" xr:uid="{00000000-0005-0000-0000-000053190000}"/>
    <cellStyle name="20% - Accent4 5 6 3" xfId="2894" xr:uid="{00000000-0005-0000-0000-000054190000}"/>
    <cellStyle name="20% - Accent4 5 6 3 2" xfId="14169" xr:uid="{00000000-0005-0000-0000-000055190000}"/>
    <cellStyle name="20% - Accent4 5 6 3 3" xfId="18120" xr:uid="{00000000-0005-0000-0000-000056190000}"/>
    <cellStyle name="20% - Accent4 5 6 4" xfId="14167" xr:uid="{00000000-0005-0000-0000-000057190000}"/>
    <cellStyle name="20% - Accent4 5 6 5" xfId="18118" xr:uid="{00000000-0005-0000-0000-000058190000}"/>
    <cellStyle name="20% - Accent4 5 7" xfId="2895" xr:uid="{00000000-0005-0000-0000-000059190000}"/>
    <cellStyle name="20% - Accent4 5 7 2" xfId="14170" xr:uid="{00000000-0005-0000-0000-00005A190000}"/>
    <cellStyle name="20% - Accent4 5 7 3" xfId="18121" xr:uid="{00000000-0005-0000-0000-00005B190000}"/>
    <cellStyle name="20% - Accent4 5 8" xfId="2896" xr:uid="{00000000-0005-0000-0000-00005C190000}"/>
    <cellStyle name="20% - Accent4 5 8 2" xfId="14171" xr:uid="{00000000-0005-0000-0000-00005D190000}"/>
    <cellStyle name="20% - Accent4 5 8 3" xfId="18122" xr:uid="{00000000-0005-0000-0000-00005E190000}"/>
    <cellStyle name="20% - Accent4 5 9" xfId="14139" xr:uid="{00000000-0005-0000-0000-00005F190000}"/>
    <cellStyle name="20% - Accent4 5_Volatility" xfId="2897" xr:uid="{00000000-0005-0000-0000-000060190000}"/>
    <cellStyle name="20% - Accent4 6" xfId="2898" xr:uid="{00000000-0005-0000-0000-000061190000}"/>
    <cellStyle name="20% - Accent4 6 10" xfId="18123" xr:uid="{00000000-0005-0000-0000-000062190000}"/>
    <cellStyle name="20% - Accent4 6 2" xfId="2899" xr:uid="{00000000-0005-0000-0000-000063190000}"/>
    <cellStyle name="20% - Accent4 6 2 2" xfId="2900" xr:uid="{00000000-0005-0000-0000-000064190000}"/>
    <cellStyle name="20% - Accent4 6 2 2 2" xfId="2901" xr:uid="{00000000-0005-0000-0000-000065190000}"/>
    <cellStyle name="20% - Accent4 6 2 2 2 2" xfId="14175" xr:uid="{00000000-0005-0000-0000-000066190000}"/>
    <cellStyle name="20% - Accent4 6 2 2 2 3" xfId="18126" xr:uid="{00000000-0005-0000-0000-000067190000}"/>
    <cellStyle name="20% - Accent4 6 2 2 3" xfId="2902" xr:uid="{00000000-0005-0000-0000-000068190000}"/>
    <cellStyle name="20% - Accent4 6 2 2 3 2" xfId="14176" xr:uid="{00000000-0005-0000-0000-000069190000}"/>
    <cellStyle name="20% - Accent4 6 2 2 3 3" xfId="18127" xr:uid="{00000000-0005-0000-0000-00006A190000}"/>
    <cellStyle name="20% - Accent4 6 2 2 4" xfId="14174" xr:uid="{00000000-0005-0000-0000-00006B190000}"/>
    <cellStyle name="20% - Accent4 6 2 2 5" xfId="18125" xr:uid="{00000000-0005-0000-0000-00006C190000}"/>
    <cellStyle name="20% - Accent4 6 2 3" xfId="2903" xr:uid="{00000000-0005-0000-0000-00006D190000}"/>
    <cellStyle name="20% - Accent4 6 2 3 2" xfId="2904" xr:uid="{00000000-0005-0000-0000-00006E190000}"/>
    <cellStyle name="20% - Accent4 6 2 3 2 2" xfId="14178" xr:uid="{00000000-0005-0000-0000-00006F190000}"/>
    <cellStyle name="20% - Accent4 6 2 3 2 3" xfId="18129" xr:uid="{00000000-0005-0000-0000-000070190000}"/>
    <cellStyle name="20% - Accent4 6 2 3 3" xfId="2905" xr:uid="{00000000-0005-0000-0000-000071190000}"/>
    <cellStyle name="20% - Accent4 6 2 3 3 2" xfId="14179" xr:uid="{00000000-0005-0000-0000-000072190000}"/>
    <cellStyle name="20% - Accent4 6 2 3 3 3" xfId="18130" xr:uid="{00000000-0005-0000-0000-000073190000}"/>
    <cellStyle name="20% - Accent4 6 2 3 4" xfId="14177" xr:uid="{00000000-0005-0000-0000-000074190000}"/>
    <cellStyle name="20% - Accent4 6 2 3 5" xfId="18128" xr:uid="{00000000-0005-0000-0000-000075190000}"/>
    <cellStyle name="20% - Accent4 6 2 4" xfId="2906" xr:uid="{00000000-0005-0000-0000-000076190000}"/>
    <cellStyle name="20% - Accent4 6 2 4 2" xfId="2907" xr:uid="{00000000-0005-0000-0000-000077190000}"/>
    <cellStyle name="20% - Accent4 6 2 4 2 2" xfId="14181" xr:uid="{00000000-0005-0000-0000-000078190000}"/>
    <cellStyle name="20% - Accent4 6 2 4 2 3" xfId="18132" xr:uid="{00000000-0005-0000-0000-000079190000}"/>
    <cellStyle name="20% - Accent4 6 2 4 3" xfId="2908" xr:uid="{00000000-0005-0000-0000-00007A190000}"/>
    <cellStyle name="20% - Accent4 6 2 4 3 2" xfId="14182" xr:uid="{00000000-0005-0000-0000-00007B190000}"/>
    <cellStyle name="20% - Accent4 6 2 4 3 3" xfId="18133" xr:uid="{00000000-0005-0000-0000-00007C190000}"/>
    <cellStyle name="20% - Accent4 6 2 4 4" xfId="14180" xr:uid="{00000000-0005-0000-0000-00007D190000}"/>
    <cellStyle name="20% - Accent4 6 2 4 5" xfId="18131" xr:uid="{00000000-0005-0000-0000-00007E190000}"/>
    <cellStyle name="20% - Accent4 6 2 5" xfId="2909" xr:uid="{00000000-0005-0000-0000-00007F190000}"/>
    <cellStyle name="20% - Accent4 6 2 5 2" xfId="14183" xr:uid="{00000000-0005-0000-0000-000080190000}"/>
    <cellStyle name="20% - Accent4 6 2 5 3" xfId="18134" xr:uid="{00000000-0005-0000-0000-000081190000}"/>
    <cellStyle name="20% - Accent4 6 2 6" xfId="2910" xr:uid="{00000000-0005-0000-0000-000082190000}"/>
    <cellStyle name="20% - Accent4 6 2 6 2" xfId="14184" xr:uid="{00000000-0005-0000-0000-000083190000}"/>
    <cellStyle name="20% - Accent4 6 2 6 3" xfId="18135" xr:uid="{00000000-0005-0000-0000-000084190000}"/>
    <cellStyle name="20% - Accent4 6 2 7" xfId="14173" xr:uid="{00000000-0005-0000-0000-000085190000}"/>
    <cellStyle name="20% - Accent4 6 2 8" xfId="18124" xr:uid="{00000000-0005-0000-0000-000086190000}"/>
    <cellStyle name="20% - Accent4 6 2_Volatility" xfId="2911" xr:uid="{00000000-0005-0000-0000-000087190000}"/>
    <cellStyle name="20% - Accent4 6 3" xfId="2912" xr:uid="{00000000-0005-0000-0000-000088190000}"/>
    <cellStyle name="20% - Accent4 6 3 2" xfId="2913" xr:uid="{00000000-0005-0000-0000-000089190000}"/>
    <cellStyle name="20% - Accent4 6 3 2 2" xfId="2914" xr:uid="{00000000-0005-0000-0000-00008A190000}"/>
    <cellStyle name="20% - Accent4 6 3 2 2 2" xfId="14187" xr:uid="{00000000-0005-0000-0000-00008B190000}"/>
    <cellStyle name="20% - Accent4 6 3 2 2 3" xfId="18138" xr:uid="{00000000-0005-0000-0000-00008C190000}"/>
    <cellStyle name="20% - Accent4 6 3 2 3" xfId="2915" xr:uid="{00000000-0005-0000-0000-00008D190000}"/>
    <cellStyle name="20% - Accent4 6 3 2 3 2" xfId="14188" xr:uid="{00000000-0005-0000-0000-00008E190000}"/>
    <cellStyle name="20% - Accent4 6 3 2 3 3" xfId="18139" xr:uid="{00000000-0005-0000-0000-00008F190000}"/>
    <cellStyle name="20% - Accent4 6 3 2 4" xfId="14186" xr:uid="{00000000-0005-0000-0000-000090190000}"/>
    <cellStyle name="20% - Accent4 6 3 2 5" xfId="18137" xr:uid="{00000000-0005-0000-0000-000091190000}"/>
    <cellStyle name="20% - Accent4 6 3 3" xfId="2916" xr:uid="{00000000-0005-0000-0000-000092190000}"/>
    <cellStyle name="20% - Accent4 6 3 3 2" xfId="2917" xr:uid="{00000000-0005-0000-0000-000093190000}"/>
    <cellStyle name="20% - Accent4 6 3 3 2 2" xfId="14190" xr:uid="{00000000-0005-0000-0000-000094190000}"/>
    <cellStyle name="20% - Accent4 6 3 3 2 3" xfId="18141" xr:uid="{00000000-0005-0000-0000-000095190000}"/>
    <cellStyle name="20% - Accent4 6 3 3 3" xfId="2918" xr:uid="{00000000-0005-0000-0000-000096190000}"/>
    <cellStyle name="20% - Accent4 6 3 3 3 2" xfId="14191" xr:uid="{00000000-0005-0000-0000-000097190000}"/>
    <cellStyle name="20% - Accent4 6 3 3 3 3" xfId="18142" xr:uid="{00000000-0005-0000-0000-000098190000}"/>
    <cellStyle name="20% - Accent4 6 3 3 4" xfId="14189" xr:uid="{00000000-0005-0000-0000-000099190000}"/>
    <cellStyle name="20% - Accent4 6 3 3 5" xfId="18140" xr:uid="{00000000-0005-0000-0000-00009A190000}"/>
    <cellStyle name="20% - Accent4 6 3 4" xfId="2919" xr:uid="{00000000-0005-0000-0000-00009B190000}"/>
    <cellStyle name="20% - Accent4 6 3 4 2" xfId="14192" xr:uid="{00000000-0005-0000-0000-00009C190000}"/>
    <cellStyle name="20% - Accent4 6 3 4 3" xfId="18143" xr:uid="{00000000-0005-0000-0000-00009D190000}"/>
    <cellStyle name="20% - Accent4 6 3 5" xfId="2920" xr:uid="{00000000-0005-0000-0000-00009E190000}"/>
    <cellStyle name="20% - Accent4 6 3 5 2" xfId="14193" xr:uid="{00000000-0005-0000-0000-00009F190000}"/>
    <cellStyle name="20% - Accent4 6 3 5 3" xfId="18144" xr:uid="{00000000-0005-0000-0000-0000A0190000}"/>
    <cellStyle name="20% - Accent4 6 3 6" xfId="14185" xr:uid="{00000000-0005-0000-0000-0000A1190000}"/>
    <cellStyle name="20% - Accent4 6 3 7" xfId="18136" xr:uid="{00000000-0005-0000-0000-0000A2190000}"/>
    <cellStyle name="20% - Accent4 6 3_Volatility" xfId="2921" xr:uid="{00000000-0005-0000-0000-0000A3190000}"/>
    <cellStyle name="20% - Accent4 6 4" xfId="2922" xr:uid="{00000000-0005-0000-0000-0000A4190000}"/>
    <cellStyle name="20% - Accent4 6 4 2" xfId="2923" xr:uid="{00000000-0005-0000-0000-0000A5190000}"/>
    <cellStyle name="20% - Accent4 6 4 2 2" xfId="14195" xr:uid="{00000000-0005-0000-0000-0000A6190000}"/>
    <cellStyle name="20% - Accent4 6 4 2 3" xfId="18146" xr:uid="{00000000-0005-0000-0000-0000A7190000}"/>
    <cellStyle name="20% - Accent4 6 4 3" xfId="2924" xr:uid="{00000000-0005-0000-0000-0000A8190000}"/>
    <cellStyle name="20% - Accent4 6 4 3 2" xfId="14196" xr:uid="{00000000-0005-0000-0000-0000A9190000}"/>
    <cellStyle name="20% - Accent4 6 4 3 3" xfId="18147" xr:uid="{00000000-0005-0000-0000-0000AA190000}"/>
    <cellStyle name="20% - Accent4 6 4 4" xfId="14194" xr:uid="{00000000-0005-0000-0000-0000AB190000}"/>
    <cellStyle name="20% - Accent4 6 4 5" xfId="18145" xr:uid="{00000000-0005-0000-0000-0000AC190000}"/>
    <cellStyle name="20% - Accent4 6 5" xfId="2925" xr:uid="{00000000-0005-0000-0000-0000AD190000}"/>
    <cellStyle name="20% - Accent4 6 5 2" xfId="2926" xr:uid="{00000000-0005-0000-0000-0000AE190000}"/>
    <cellStyle name="20% - Accent4 6 5 2 2" xfId="14198" xr:uid="{00000000-0005-0000-0000-0000AF190000}"/>
    <cellStyle name="20% - Accent4 6 5 2 3" xfId="18149" xr:uid="{00000000-0005-0000-0000-0000B0190000}"/>
    <cellStyle name="20% - Accent4 6 5 3" xfId="2927" xr:uid="{00000000-0005-0000-0000-0000B1190000}"/>
    <cellStyle name="20% - Accent4 6 5 3 2" xfId="14199" xr:uid="{00000000-0005-0000-0000-0000B2190000}"/>
    <cellStyle name="20% - Accent4 6 5 3 3" xfId="18150" xr:uid="{00000000-0005-0000-0000-0000B3190000}"/>
    <cellStyle name="20% - Accent4 6 5 4" xfId="14197" xr:uid="{00000000-0005-0000-0000-0000B4190000}"/>
    <cellStyle name="20% - Accent4 6 5 5" xfId="18148" xr:uid="{00000000-0005-0000-0000-0000B5190000}"/>
    <cellStyle name="20% - Accent4 6 6" xfId="2928" xr:uid="{00000000-0005-0000-0000-0000B6190000}"/>
    <cellStyle name="20% - Accent4 6 6 2" xfId="2929" xr:uid="{00000000-0005-0000-0000-0000B7190000}"/>
    <cellStyle name="20% - Accent4 6 6 2 2" xfId="14201" xr:uid="{00000000-0005-0000-0000-0000B8190000}"/>
    <cellStyle name="20% - Accent4 6 6 2 3" xfId="18152" xr:uid="{00000000-0005-0000-0000-0000B9190000}"/>
    <cellStyle name="20% - Accent4 6 6 3" xfId="2930" xr:uid="{00000000-0005-0000-0000-0000BA190000}"/>
    <cellStyle name="20% - Accent4 6 6 3 2" xfId="14202" xr:uid="{00000000-0005-0000-0000-0000BB190000}"/>
    <cellStyle name="20% - Accent4 6 6 3 3" xfId="18153" xr:uid="{00000000-0005-0000-0000-0000BC190000}"/>
    <cellStyle name="20% - Accent4 6 6 4" xfId="14200" xr:uid="{00000000-0005-0000-0000-0000BD190000}"/>
    <cellStyle name="20% - Accent4 6 6 5" xfId="18151" xr:uid="{00000000-0005-0000-0000-0000BE190000}"/>
    <cellStyle name="20% - Accent4 6 7" xfId="2931" xr:uid="{00000000-0005-0000-0000-0000BF190000}"/>
    <cellStyle name="20% - Accent4 6 7 2" xfId="14203" xr:uid="{00000000-0005-0000-0000-0000C0190000}"/>
    <cellStyle name="20% - Accent4 6 7 3" xfId="18154" xr:uid="{00000000-0005-0000-0000-0000C1190000}"/>
    <cellStyle name="20% - Accent4 6 8" xfId="2932" xr:uid="{00000000-0005-0000-0000-0000C2190000}"/>
    <cellStyle name="20% - Accent4 6 8 2" xfId="14204" xr:uid="{00000000-0005-0000-0000-0000C3190000}"/>
    <cellStyle name="20% - Accent4 6 8 3" xfId="18155" xr:uid="{00000000-0005-0000-0000-0000C4190000}"/>
    <cellStyle name="20% - Accent4 6 9" xfId="14172" xr:uid="{00000000-0005-0000-0000-0000C5190000}"/>
    <cellStyle name="20% - Accent4 6_Volatility" xfId="2933" xr:uid="{00000000-0005-0000-0000-0000C6190000}"/>
    <cellStyle name="20% - Accent4 7" xfId="2934" xr:uid="{00000000-0005-0000-0000-0000C7190000}"/>
    <cellStyle name="20% - Accent4 7 10" xfId="18156" xr:uid="{00000000-0005-0000-0000-0000C8190000}"/>
    <cellStyle name="20% - Accent4 7 2" xfId="2935" xr:uid="{00000000-0005-0000-0000-0000C9190000}"/>
    <cellStyle name="20% - Accent4 7 2 2" xfId="2936" xr:uid="{00000000-0005-0000-0000-0000CA190000}"/>
    <cellStyle name="20% - Accent4 7 2 2 2" xfId="2937" xr:uid="{00000000-0005-0000-0000-0000CB190000}"/>
    <cellStyle name="20% - Accent4 7 2 2 2 2" xfId="14208" xr:uid="{00000000-0005-0000-0000-0000CC190000}"/>
    <cellStyle name="20% - Accent4 7 2 2 2 3" xfId="18159" xr:uid="{00000000-0005-0000-0000-0000CD190000}"/>
    <cellStyle name="20% - Accent4 7 2 2 3" xfId="2938" xr:uid="{00000000-0005-0000-0000-0000CE190000}"/>
    <cellStyle name="20% - Accent4 7 2 2 3 2" xfId="14209" xr:uid="{00000000-0005-0000-0000-0000CF190000}"/>
    <cellStyle name="20% - Accent4 7 2 2 3 3" xfId="18160" xr:uid="{00000000-0005-0000-0000-0000D0190000}"/>
    <cellStyle name="20% - Accent4 7 2 2 4" xfId="14207" xr:uid="{00000000-0005-0000-0000-0000D1190000}"/>
    <cellStyle name="20% - Accent4 7 2 2 5" xfId="18158" xr:uid="{00000000-0005-0000-0000-0000D2190000}"/>
    <cellStyle name="20% - Accent4 7 2 3" xfId="2939" xr:uid="{00000000-0005-0000-0000-0000D3190000}"/>
    <cellStyle name="20% - Accent4 7 2 3 2" xfId="2940" xr:uid="{00000000-0005-0000-0000-0000D4190000}"/>
    <cellStyle name="20% - Accent4 7 2 3 2 2" xfId="14211" xr:uid="{00000000-0005-0000-0000-0000D5190000}"/>
    <cellStyle name="20% - Accent4 7 2 3 2 3" xfId="18162" xr:uid="{00000000-0005-0000-0000-0000D6190000}"/>
    <cellStyle name="20% - Accent4 7 2 3 3" xfId="2941" xr:uid="{00000000-0005-0000-0000-0000D7190000}"/>
    <cellStyle name="20% - Accent4 7 2 3 3 2" xfId="14212" xr:uid="{00000000-0005-0000-0000-0000D8190000}"/>
    <cellStyle name="20% - Accent4 7 2 3 3 3" xfId="18163" xr:uid="{00000000-0005-0000-0000-0000D9190000}"/>
    <cellStyle name="20% - Accent4 7 2 3 4" xfId="14210" xr:uid="{00000000-0005-0000-0000-0000DA190000}"/>
    <cellStyle name="20% - Accent4 7 2 3 5" xfId="18161" xr:uid="{00000000-0005-0000-0000-0000DB190000}"/>
    <cellStyle name="20% - Accent4 7 2 4" xfId="2942" xr:uid="{00000000-0005-0000-0000-0000DC190000}"/>
    <cellStyle name="20% - Accent4 7 2 4 2" xfId="2943" xr:uid="{00000000-0005-0000-0000-0000DD190000}"/>
    <cellStyle name="20% - Accent4 7 2 4 2 2" xfId="14214" xr:uid="{00000000-0005-0000-0000-0000DE190000}"/>
    <cellStyle name="20% - Accent4 7 2 4 2 3" xfId="18165" xr:uid="{00000000-0005-0000-0000-0000DF190000}"/>
    <cellStyle name="20% - Accent4 7 2 4 3" xfId="2944" xr:uid="{00000000-0005-0000-0000-0000E0190000}"/>
    <cellStyle name="20% - Accent4 7 2 4 3 2" xfId="14215" xr:uid="{00000000-0005-0000-0000-0000E1190000}"/>
    <cellStyle name="20% - Accent4 7 2 4 3 3" xfId="18166" xr:uid="{00000000-0005-0000-0000-0000E2190000}"/>
    <cellStyle name="20% - Accent4 7 2 4 4" xfId="14213" xr:uid="{00000000-0005-0000-0000-0000E3190000}"/>
    <cellStyle name="20% - Accent4 7 2 4 5" xfId="18164" xr:uid="{00000000-0005-0000-0000-0000E4190000}"/>
    <cellStyle name="20% - Accent4 7 2 5" xfId="2945" xr:uid="{00000000-0005-0000-0000-0000E5190000}"/>
    <cellStyle name="20% - Accent4 7 2 5 2" xfId="14216" xr:uid="{00000000-0005-0000-0000-0000E6190000}"/>
    <cellStyle name="20% - Accent4 7 2 5 3" xfId="18167" xr:uid="{00000000-0005-0000-0000-0000E7190000}"/>
    <cellStyle name="20% - Accent4 7 2 6" xfId="2946" xr:uid="{00000000-0005-0000-0000-0000E8190000}"/>
    <cellStyle name="20% - Accent4 7 2 6 2" xfId="14217" xr:uid="{00000000-0005-0000-0000-0000E9190000}"/>
    <cellStyle name="20% - Accent4 7 2 6 3" xfId="18168" xr:uid="{00000000-0005-0000-0000-0000EA190000}"/>
    <cellStyle name="20% - Accent4 7 2 7" xfId="14206" xr:uid="{00000000-0005-0000-0000-0000EB190000}"/>
    <cellStyle name="20% - Accent4 7 2 8" xfId="18157" xr:uid="{00000000-0005-0000-0000-0000EC190000}"/>
    <cellStyle name="20% - Accent4 7 2_Volatility" xfId="2947" xr:uid="{00000000-0005-0000-0000-0000ED190000}"/>
    <cellStyle name="20% - Accent4 7 3" xfId="2948" xr:uid="{00000000-0005-0000-0000-0000EE190000}"/>
    <cellStyle name="20% - Accent4 7 3 2" xfId="2949" xr:uid="{00000000-0005-0000-0000-0000EF190000}"/>
    <cellStyle name="20% - Accent4 7 3 2 2" xfId="2950" xr:uid="{00000000-0005-0000-0000-0000F0190000}"/>
    <cellStyle name="20% - Accent4 7 3 2 2 2" xfId="14220" xr:uid="{00000000-0005-0000-0000-0000F1190000}"/>
    <cellStyle name="20% - Accent4 7 3 2 2 3" xfId="18171" xr:uid="{00000000-0005-0000-0000-0000F2190000}"/>
    <cellStyle name="20% - Accent4 7 3 2 3" xfId="2951" xr:uid="{00000000-0005-0000-0000-0000F3190000}"/>
    <cellStyle name="20% - Accent4 7 3 2 3 2" xfId="14221" xr:uid="{00000000-0005-0000-0000-0000F4190000}"/>
    <cellStyle name="20% - Accent4 7 3 2 3 3" xfId="18172" xr:uid="{00000000-0005-0000-0000-0000F5190000}"/>
    <cellStyle name="20% - Accent4 7 3 2 4" xfId="14219" xr:uid="{00000000-0005-0000-0000-0000F6190000}"/>
    <cellStyle name="20% - Accent4 7 3 2 5" xfId="18170" xr:uid="{00000000-0005-0000-0000-0000F7190000}"/>
    <cellStyle name="20% - Accent4 7 3 3" xfId="2952" xr:uid="{00000000-0005-0000-0000-0000F8190000}"/>
    <cellStyle name="20% - Accent4 7 3 3 2" xfId="2953" xr:uid="{00000000-0005-0000-0000-0000F9190000}"/>
    <cellStyle name="20% - Accent4 7 3 3 2 2" xfId="14223" xr:uid="{00000000-0005-0000-0000-0000FA190000}"/>
    <cellStyle name="20% - Accent4 7 3 3 2 3" xfId="18174" xr:uid="{00000000-0005-0000-0000-0000FB190000}"/>
    <cellStyle name="20% - Accent4 7 3 3 3" xfId="2954" xr:uid="{00000000-0005-0000-0000-0000FC190000}"/>
    <cellStyle name="20% - Accent4 7 3 3 3 2" xfId="14224" xr:uid="{00000000-0005-0000-0000-0000FD190000}"/>
    <cellStyle name="20% - Accent4 7 3 3 3 3" xfId="18175" xr:uid="{00000000-0005-0000-0000-0000FE190000}"/>
    <cellStyle name="20% - Accent4 7 3 3 4" xfId="14222" xr:uid="{00000000-0005-0000-0000-0000FF190000}"/>
    <cellStyle name="20% - Accent4 7 3 3 5" xfId="18173" xr:uid="{00000000-0005-0000-0000-0000001A0000}"/>
    <cellStyle name="20% - Accent4 7 3 4" xfId="2955" xr:uid="{00000000-0005-0000-0000-0000011A0000}"/>
    <cellStyle name="20% - Accent4 7 3 4 2" xfId="14225" xr:uid="{00000000-0005-0000-0000-0000021A0000}"/>
    <cellStyle name="20% - Accent4 7 3 4 3" xfId="18176" xr:uid="{00000000-0005-0000-0000-0000031A0000}"/>
    <cellStyle name="20% - Accent4 7 3 5" xfId="2956" xr:uid="{00000000-0005-0000-0000-0000041A0000}"/>
    <cellStyle name="20% - Accent4 7 3 5 2" xfId="14226" xr:uid="{00000000-0005-0000-0000-0000051A0000}"/>
    <cellStyle name="20% - Accent4 7 3 5 3" xfId="18177" xr:uid="{00000000-0005-0000-0000-0000061A0000}"/>
    <cellStyle name="20% - Accent4 7 3 6" xfId="14218" xr:uid="{00000000-0005-0000-0000-0000071A0000}"/>
    <cellStyle name="20% - Accent4 7 3 7" xfId="18169" xr:uid="{00000000-0005-0000-0000-0000081A0000}"/>
    <cellStyle name="20% - Accent4 7 3_Volatility" xfId="2957" xr:uid="{00000000-0005-0000-0000-0000091A0000}"/>
    <cellStyle name="20% - Accent4 7 4" xfId="2958" xr:uid="{00000000-0005-0000-0000-00000A1A0000}"/>
    <cellStyle name="20% - Accent4 7 4 2" xfId="2959" xr:uid="{00000000-0005-0000-0000-00000B1A0000}"/>
    <cellStyle name="20% - Accent4 7 4 2 2" xfId="14228" xr:uid="{00000000-0005-0000-0000-00000C1A0000}"/>
    <cellStyle name="20% - Accent4 7 4 2 3" xfId="18179" xr:uid="{00000000-0005-0000-0000-00000D1A0000}"/>
    <cellStyle name="20% - Accent4 7 4 3" xfId="2960" xr:uid="{00000000-0005-0000-0000-00000E1A0000}"/>
    <cellStyle name="20% - Accent4 7 4 3 2" xfId="14229" xr:uid="{00000000-0005-0000-0000-00000F1A0000}"/>
    <cellStyle name="20% - Accent4 7 4 3 3" xfId="18180" xr:uid="{00000000-0005-0000-0000-0000101A0000}"/>
    <cellStyle name="20% - Accent4 7 4 4" xfId="14227" xr:uid="{00000000-0005-0000-0000-0000111A0000}"/>
    <cellStyle name="20% - Accent4 7 4 5" xfId="18178" xr:uid="{00000000-0005-0000-0000-0000121A0000}"/>
    <cellStyle name="20% - Accent4 7 5" xfId="2961" xr:uid="{00000000-0005-0000-0000-0000131A0000}"/>
    <cellStyle name="20% - Accent4 7 5 2" xfId="2962" xr:uid="{00000000-0005-0000-0000-0000141A0000}"/>
    <cellStyle name="20% - Accent4 7 5 2 2" xfId="14231" xr:uid="{00000000-0005-0000-0000-0000151A0000}"/>
    <cellStyle name="20% - Accent4 7 5 2 3" xfId="18182" xr:uid="{00000000-0005-0000-0000-0000161A0000}"/>
    <cellStyle name="20% - Accent4 7 5 3" xfId="2963" xr:uid="{00000000-0005-0000-0000-0000171A0000}"/>
    <cellStyle name="20% - Accent4 7 5 3 2" xfId="14232" xr:uid="{00000000-0005-0000-0000-0000181A0000}"/>
    <cellStyle name="20% - Accent4 7 5 3 3" xfId="18183" xr:uid="{00000000-0005-0000-0000-0000191A0000}"/>
    <cellStyle name="20% - Accent4 7 5 4" xfId="14230" xr:uid="{00000000-0005-0000-0000-00001A1A0000}"/>
    <cellStyle name="20% - Accent4 7 5 5" xfId="18181" xr:uid="{00000000-0005-0000-0000-00001B1A0000}"/>
    <cellStyle name="20% - Accent4 7 6" xfId="2964" xr:uid="{00000000-0005-0000-0000-00001C1A0000}"/>
    <cellStyle name="20% - Accent4 7 6 2" xfId="2965" xr:uid="{00000000-0005-0000-0000-00001D1A0000}"/>
    <cellStyle name="20% - Accent4 7 6 2 2" xfId="14234" xr:uid="{00000000-0005-0000-0000-00001E1A0000}"/>
    <cellStyle name="20% - Accent4 7 6 2 3" xfId="18185" xr:uid="{00000000-0005-0000-0000-00001F1A0000}"/>
    <cellStyle name="20% - Accent4 7 6 3" xfId="2966" xr:uid="{00000000-0005-0000-0000-0000201A0000}"/>
    <cellStyle name="20% - Accent4 7 6 3 2" xfId="14235" xr:uid="{00000000-0005-0000-0000-0000211A0000}"/>
    <cellStyle name="20% - Accent4 7 6 3 3" xfId="18186" xr:uid="{00000000-0005-0000-0000-0000221A0000}"/>
    <cellStyle name="20% - Accent4 7 6 4" xfId="14233" xr:uid="{00000000-0005-0000-0000-0000231A0000}"/>
    <cellStyle name="20% - Accent4 7 6 5" xfId="18184" xr:uid="{00000000-0005-0000-0000-0000241A0000}"/>
    <cellStyle name="20% - Accent4 7 7" xfId="2967" xr:uid="{00000000-0005-0000-0000-0000251A0000}"/>
    <cellStyle name="20% - Accent4 7 7 2" xfId="14236" xr:uid="{00000000-0005-0000-0000-0000261A0000}"/>
    <cellStyle name="20% - Accent4 7 7 3" xfId="18187" xr:uid="{00000000-0005-0000-0000-0000271A0000}"/>
    <cellStyle name="20% - Accent4 7 8" xfId="2968" xr:uid="{00000000-0005-0000-0000-0000281A0000}"/>
    <cellStyle name="20% - Accent4 7 8 2" xfId="14237" xr:uid="{00000000-0005-0000-0000-0000291A0000}"/>
    <cellStyle name="20% - Accent4 7 8 3" xfId="18188" xr:uid="{00000000-0005-0000-0000-00002A1A0000}"/>
    <cellStyle name="20% - Accent4 7 9" xfId="14205" xr:uid="{00000000-0005-0000-0000-00002B1A0000}"/>
    <cellStyle name="20% - Accent4 7_Volatility" xfId="2969" xr:uid="{00000000-0005-0000-0000-00002C1A0000}"/>
    <cellStyle name="20% - Accent4 8" xfId="2970" xr:uid="{00000000-0005-0000-0000-00002D1A0000}"/>
    <cellStyle name="20% - Accent4 8 10" xfId="18189" xr:uid="{00000000-0005-0000-0000-00002E1A0000}"/>
    <cellStyle name="20% - Accent4 8 2" xfId="2971" xr:uid="{00000000-0005-0000-0000-00002F1A0000}"/>
    <cellStyle name="20% - Accent4 8 2 2" xfId="2972" xr:uid="{00000000-0005-0000-0000-0000301A0000}"/>
    <cellStyle name="20% - Accent4 8 2 2 2" xfId="2973" xr:uid="{00000000-0005-0000-0000-0000311A0000}"/>
    <cellStyle name="20% - Accent4 8 2 2 2 2" xfId="14241" xr:uid="{00000000-0005-0000-0000-0000321A0000}"/>
    <cellStyle name="20% - Accent4 8 2 2 2 3" xfId="18192" xr:uid="{00000000-0005-0000-0000-0000331A0000}"/>
    <cellStyle name="20% - Accent4 8 2 2 3" xfId="2974" xr:uid="{00000000-0005-0000-0000-0000341A0000}"/>
    <cellStyle name="20% - Accent4 8 2 2 3 2" xfId="14242" xr:uid="{00000000-0005-0000-0000-0000351A0000}"/>
    <cellStyle name="20% - Accent4 8 2 2 3 3" xfId="18193" xr:uid="{00000000-0005-0000-0000-0000361A0000}"/>
    <cellStyle name="20% - Accent4 8 2 2 4" xfId="14240" xr:uid="{00000000-0005-0000-0000-0000371A0000}"/>
    <cellStyle name="20% - Accent4 8 2 2 5" xfId="18191" xr:uid="{00000000-0005-0000-0000-0000381A0000}"/>
    <cellStyle name="20% - Accent4 8 2 3" xfId="2975" xr:uid="{00000000-0005-0000-0000-0000391A0000}"/>
    <cellStyle name="20% - Accent4 8 2 3 2" xfId="2976" xr:uid="{00000000-0005-0000-0000-00003A1A0000}"/>
    <cellStyle name="20% - Accent4 8 2 3 2 2" xfId="14244" xr:uid="{00000000-0005-0000-0000-00003B1A0000}"/>
    <cellStyle name="20% - Accent4 8 2 3 2 3" xfId="18195" xr:uid="{00000000-0005-0000-0000-00003C1A0000}"/>
    <cellStyle name="20% - Accent4 8 2 3 3" xfId="2977" xr:uid="{00000000-0005-0000-0000-00003D1A0000}"/>
    <cellStyle name="20% - Accent4 8 2 3 3 2" xfId="14245" xr:uid="{00000000-0005-0000-0000-00003E1A0000}"/>
    <cellStyle name="20% - Accent4 8 2 3 3 3" xfId="18196" xr:uid="{00000000-0005-0000-0000-00003F1A0000}"/>
    <cellStyle name="20% - Accent4 8 2 3 4" xfId="14243" xr:uid="{00000000-0005-0000-0000-0000401A0000}"/>
    <cellStyle name="20% - Accent4 8 2 3 5" xfId="18194" xr:uid="{00000000-0005-0000-0000-0000411A0000}"/>
    <cellStyle name="20% - Accent4 8 2 4" xfId="2978" xr:uid="{00000000-0005-0000-0000-0000421A0000}"/>
    <cellStyle name="20% - Accent4 8 2 4 2" xfId="2979" xr:uid="{00000000-0005-0000-0000-0000431A0000}"/>
    <cellStyle name="20% - Accent4 8 2 4 2 2" xfId="14247" xr:uid="{00000000-0005-0000-0000-0000441A0000}"/>
    <cellStyle name="20% - Accent4 8 2 4 2 3" xfId="18198" xr:uid="{00000000-0005-0000-0000-0000451A0000}"/>
    <cellStyle name="20% - Accent4 8 2 4 3" xfId="2980" xr:uid="{00000000-0005-0000-0000-0000461A0000}"/>
    <cellStyle name="20% - Accent4 8 2 4 3 2" xfId="14248" xr:uid="{00000000-0005-0000-0000-0000471A0000}"/>
    <cellStyle name="20% - Accent4 8 2 4 3 3" xfId="18199" xr:uid="{00000000-0005-0000-0000-0000481A0000}"/>
    <cellStyle name="20% - Accent4 8 2 4 4" xfId="14246" xr:uid="{00000000-0005-0000-0000-0000491A0000}"/>
    <cellStyle name="20% - Accent4 8 2 4 5" xfId="18197" xr:uid="{00000000-0005-0000-0000-00004A1A0000}"/>
    <cellStyle name="20% - Accent4 8 2 5" xfId="2981" xr:uid="{00000000-0005-0000-0000-00004B1A0000}"/>
    <cellStyle name="20% - Accent4 8 2 5 2" xfId="14249" xr:uid="{00000000-0005-0000-0000-00004C1A0000}"/>
    <cellStyle name="20% - Accent4 8 2 5 3" xfId="18200" xr:uid="{00000000-0005-0000-0000-00004D1A0000}"/>
    <cellStyle name="20% - Accent4 8 2 6" xfId="2982" xr:uid="{00000000-0005-0000-0000-00004E1A0000}"/>
    <cellStyle name="20% - Accent4 8 2 6 2" xfId="14250" xr:uid="{00000000-0005-0000-0000-00004F1A0000}"/>
    <cellStyle name="20% - Accent4 8 2 6 3" xfId="18201" xr:uid="{00000000-0005-0000-0000-0000501A0000}"/>
    <cellStyle name="20% - Accent4 8 2 7" xfId="14239" xr:uid="{00000000-0005-0000-0000-0000511A0000}"/>
    <cellStyle name="20% - Accent4 8 2 8" xfId="18190" xr:uid="{00000000-0005-0000-0000-0000521A0000}"/>
    <cellStyle name="20% - Accent4 8 2_Volatility" xfId="2983" xr:uid="{00000000-0005-0000-0000-0000531A0000}"/>
    <cellStyle name="20% - Accent4 8 3" xfId="2984" xr:uid="{00000000-0005-0000-0000-0000541A0000}"/>
    <cellStyle name="20% - Accent4 8 3 2" xfId="2985" xr:uid="{00000000-0005-0000-0000-0000551A0000}"/>
    <cellStyle name="20% - Accent4 8 3 2 2" xfId="2986" xr:uid="{00000000-0005-0000-0000-0000561A0000}"/>
    <cellStyle name="20% - Accent4 8 3 2 2 2" xfId="14253" xr:uid="{00000000-0005-0000-0000-0000571A0000}"/>
    <cellStyle name="20% - Accent4 8 3 2 2 3" xfId="18204" xr:uid="{00000000-0005-0000-0000-0000581A0000}"/>
    <cellStyle name="20% - Accent4 8 3 2 3" xfId="2987" xr:uid="{00000000-0005-0000-0000-0000591A0000}"/>
    <cellStyle name="20% - Accent4 8 3 2 3 2" xfId="14254" xr:uid="{00000000-0005-0000-0000-00005A1A0000}"/>
    <cellStyle name="20% - Accent4 8 3 2 3 3" xfId="18205" xr:uid="{00000000-0005-0000-0000-00005B1A0000}"/>
    <cellStyle name="20% - Accent4 8 3 2 4" xfId="14252" xr:uid="{00000000-0005-0000-0000-00005C1A0000}"/>
    <cellStyle name="20% - Accent4 8 3 2 5" xfId="18203" xr:uid="{00000000-0005-0000-0000-00005D1A0000}"/>
    <cellStyle name="20% - Accent4 8 3 3" xfId="2988" xr:uid="{00000000-0005-0000-0000-00005E1A0000}"/>
    <cellStyle name="20% - Accent4 8 3 3 2" xfId="2989" xr:uid="{00000000-0005-0000-0000-00005F1A0000}"/>
    <cellStyle name="20% - Accent4 8 3 3 2 2" xfId="14256" xr:uid="{00000000-0005-0000-0000-0000601A0000}"/>
    <cellStyle name="20% - Accent4 8 3 3 2 3" xfId="18207" xr:uid="{00000000-0005-0000-0000-0000611A0000}"/>
    <cellStyle name="20% - Accent4 8 3 3 3" xfId="2990" xr:uid="{00000000-0005-0000-0000-0000621A0000}"/>
    <cellStyle name="20% - Accent4 8 3 3 3 2" xfId="14257" xr:uid="{00000000-0005-0000-0000-0000631A0000}"/>
    <cellStyle name="20% - Accent4 8 3 3 3 3" xfId="18208" xr:uid="{00000000-0005-0000-0000-0000641A0000}"/>
    <cellStyle name="20% - Accent4 8 3 3 4" xfId="14255" xr:uid="{00000000-0005-0000-0000-0000651A0000}"/>
    <cellStyle name="20% - Accent4 8 3 3 5" xfId="18206" xr:uid="{00000000-0005-0000-0000-0000661A0000}"/>
    <cellStyle name="20% - Accent4 8 3 4" xfId="2991" xr:uid="{00000000-0005-0000-0000-0000671A0000}"/>
    <cellStyle name="20% - Accent4 8 3 4 2" xfId="14258" xr:uid="{00000000-0005-0000-0000-0000681A0000}"/>
    <cellStyle name="20% - Accent4 8 3 4 3" xfId="18209" xr:uid="{00000000-0005-0000-0000-0000691A0000}"/>
    <cellStyle name="20% - Accent4 8 3 5" xfId="2992" xr:uid="{00000000-0005-0000-0000-00006A1A0000}"/>
    <cellStyle name="20% - Accent4 8 3 5 2" xfId="14259" xr:uid="{00000000-0005-0000-0000-00006B1A0000}"/>
    <cellStyle name="20% - Accent4 8 3 5 3" xfId="18210" xr:uid="{00000000-0005-0000-0000-00006C1A0000}"/>
    <cellStyle name="20% - Accent4 8 3 6" xfId="14251" xr:uid="{00000000-0005-0000-0000-00006D1A0000}"/>
    <cellStyle name="20% - Accent4 8 3 7" xfId="18202" xr:uid="{00000000-0005-0000-0000-00006E1A0000}"/>
    <cellStyle name="20% - Accent4 8 3_Volatility" xfId="2993" xr:uid="{00000000-0005-0000-0000-00006F1A0000}"/>
    <cellStyle name="20% - Accent4 8 4" xfId="2994" xr:uid="{00000000-0005-0000-0000-0000701A0000}"/>
    <cellStyle name="20% - Accent4 8 4 2" xfId="2995" xr:uid="{00000000-0005-0000-0000-0000711A0000}"/>
    <cellStyle name="20% - Accent4 8 4 2 2" xfId="14261" xr:uid="{00000000-0005-0000-0000-0000721A0000}"/>
    <cellStyle name="20% - Accent4 8 4 2 3" xfId="18212" xr:uid="{00000000-0005-0000-0000-0000731A0000}"/>
    <cellStyle name="20% - Accent4 8 4 3" xfId="2996" xr:uid="{00000000-0005-0000-0000-0000741A0000}"/>
    <cellStyle name="20% - Accent4 8 4 3 2" xfId="14262" xr:uid="{00000000-0005-0000-0000-0000751A0000}"/>
    <cellStyle name="20% - Accent4 8 4 3 3" xfId="18213" xr:uid="{00000000-0005-0000-0000-0000761A0000}"/>
    <cellStyle name="20% - Accent4 8 4 4" xfId="14260" xr:uid="{00000000-0005-0000-0000-0000771A0000}"/>
    <cellStyle name="20% - Accent4 8 4 5" xfId="18211" xr:uid="{00000000-0005-0000-0000-0000781A0000}"/>
    <cellStyle name="20% - Accent4 8 5" xfId="2997" xr:uid="{00000000-0005-0000-0000-0000791A0000}"/>
    <cellStyle name="20% - Accent4 8 5 2" xfId="2998" xr:uid="{00000000-0005-0000-0000-00007A1A0000}"/>
    <cellStyle name="20% - Accent4 8 5 2 2" xfId="14264" xr:uid="{00000000-0005-0000-0000-00007B1A0000}"/>
    <cellStyle name="20% - Accent4 8 5 2 3" xfId="18215" xr:uid="{00000000-0005-0000-0000-00007C1A0000}"/>
    <cellStyle name="20% - Accent4 8 5 3" xfId="2999" xr:uid="{00000000-0005-0000-0000-00007D1A0000}"/>
    <cellStyle name="20% - Accent4 8 5 3 2" xfId="14265" xr:uid="{00000000-0005-0000-0000-00007E1A0000}"/>
    <cellStyle name="20% - Accent4 8 5 3 3" xfId="18216" xr:uid="{00000000-0005-0000-0000-00007F1A0000}"/>
    <cellStyle name="20% - Accent4 8 5 4" xfId="14263" xr:uid="{00000000-0005-0000-0000-0000801A0000}"/>
    <cellStyle name="20% - Accent4 8 5 5" xfId="18214" xr:uid="{00000000-0005-0000-0000-0000811A0000}"/>
    <cellStyle name="20% - Accent4 8 6" xfId="3000" xr:uid="{00000000-0005-0000-0000-0000821A0000}"/>
    <cellStyle name="20% - Accent4 8 6 2" xfId="3001" xr:uid="{00000000-0005-0000-0000-0000831A0000}"/>
    <cellStyle name="20% - Accent4 8 6 2 2" xfId="14267" xr:uid="{00000000-0005-0000-0000-0000841A0000}"/>
    <cellStyle name="20% - Accent4 8 6 2 3" xfId="18218" xr:uid="{00000000-0005-0000-0000-0000851A0000}"/>
    <cellStyle name="20% - Accent4 8 6 3" xfId="3002" xr:uid="{00000000-0005-0000-0000-0000861A0000}"/>
    <cellStyle name="20% - Accent4 8 6 3 2" xfId="14268" xr:uid="{00000000-0005-0000-0000-0000871A0000}"/>
    <cellStyle name="20% - Accent4 8 6 3 3" xfId="18219" xr:uid="{00000000-0005-0000-0000-0000881A0000}"/>
    <cellStyle name="20% - Accent4 8 6 4" xfId="14266" xr:uid="{00000000-0005-0000-0000-0000891A0000}"/>
    <cellStyle name="20% - Accent4 8 6 5" xfId="18217" xr:uid="{00000000-0005-0000-0000-00008A1A0000}"/>
    <cellStyle name="20% - Accent4 8 7" xfId="3003" xr:uid="{00000000-0005-0000-0000-00008B1A0000}"/>
    <cellStyle name="20% - Accent4 8 7 2" xfId="14269" xr:uid="{00000000-0005-0000-0000-00008C1A0000}"/>
    <cellStyle name="20% - Accent4 8 7 3" xfId="18220" xr:uid="{00000000-0005-0000-0000-00008D1A0000}"/>
    <cellStyle name="20% - Accent4 8 8" xfId="3004" xr:uid="{00000000-0005-0000-0000-00008E1A0000}"/>
    <cellStyle name="20% - Accent4 8 8 2" xfId="14270" xr:uid="{00000000-0005-0000-0000-00008F1A0000}"/>
    <cellStyle name="20% - Accent4 8 8 3" xfId="18221" xr:uid="{00000000-0005-0000-0000-0000901A0000}"/>
    <cellStyle name="20% - Accent4 8 9" xfId="14238" xr:uid="{00000000-0005-0000-0000-0000911A0000}"/>
    <cellStyle name="20% - Accent4 8_Volatility" xfId="3005" xr:uid="{00000000-0005-0000-0000-0000921A0000}"/>
    <cellStyle name="20% - Accent4 9" xfId="3006" xr:uid="{00000000-0005-0000-0000-0000931A0000}"/>
    <cellStyle name="20% - Accent4 9 10" xfId="18222" xr:uid="{00000000-0005-0000-0000-0000941A0000}"/>
    <cellStyle name="20% - Accent4 9 2" xfId="3007" xr:uid="{00000000-0005-0000-0000-0000951A0000}"/>
    <cellStyle name="20% - Accent4 9 2 2" xfId="3008" xr:uid="{00000000-0005-0000-0000-0000961A0000}"/>
    <cellStyle name="20% - Accent4 9 2 2 2" xfId="3009" xr:uid="{00000000-0005-0000-0000-0000971A0000}"/>
    <cellStyle name="20% - Accent4 9 2 2 2 2" xfId="14274" xr:uid="{00000000-0005-0000-0000-0000981A0000}"/>
    <cellStyle name="20% - Accent4 9 2 2 2 3" xfId="18225" xr:uid="{00000000-0005-0000-0000-0000991A0000}"/>
    <cellStyle name="20% - Accent4 9 2 2 3" xfId="3010" xr:uid="{00000000-0005-0000-0000-00009A1A0000}"/>
    <cellStyle name="20% - Accent4 9 2 2 3 2" xfId="14275" xr:uid="{00000000-0005-0000-0000-00009B1A0000}"/>
    <cellStyle name="20% - Accent4 9 2 2 3 3" xfId="18226" xr:uid="{00000000-0005-0000-0000-00009C1A0000}"/>
    <cellStyle name="20% - Accent4 9 2 2 4" xfId="14273" xr:uid="{00000000-0005-0000-0000-00009D1A0000}"/>
    <cellStyle name="20% - Accent4 9 2 2 5" xfId="18224" xr:uid="{00000000-0005-0000-0000-00009E1A0000}"/>
    <cellStyle name="20% - Accent4 9 2 3" xfId="3011" xr:uid="{00000000-0005-0000-0000-00009F1A0000}"/>
    <cellStyle name="20% - Accent4 9 2 3 2" xfId="3012" xr:uid="{00000000-0005-0000-0000-0000A01A0000}"/>
    <cellStyle name="20% - Accent4 9 2 3 2 2" xfId="14277" xr:uid="{00000000-0005-0000-0000-0000A11A0000}"/>
    <cellStyle name="20% - Accent4 9 2 3 2 3" xfId="18228" xr:uid="{00000000-0005-0000-0000-0000A21A0000}"/>
    <cellStyle name="20% - Accent4 9 2 3 3" xfId="3013" xr:uid="{00000000-0005-0000-0000-0000A31A0000}"/>
    <cellStyle name="20% - Accent4 9 2 3 3 2" xfId="14278" xr:uid="{00000000-0005-0000-0000-0000A41A0000}"/>
    <cellStyle name="20% - Accent4 9 2 3 3 3" xfId="18229" xr:uid="{00000000-0005-0000-0000-0000A51A0000}"/>
    <cellStyle name="20% - Accent4 9 2 3 4" xfId="14276" xr:uid="{00000000-0005-0000-0000-0000A61A0000}"/>
    <cellStyle name="20% - Accent4 9 2 3 5" xfId="18227" xr:uid="{00000000-0005-0000-0000-0000A71A0000}"/>
    <cellStyle name="20% - Accent4 9 2 4" xfId="3014" xr:uid="{00000000-0005-0000-0000-0000A81A0000}"/>
    <cellStyle name="20% - Accent4 9 2 4 2" xfId="3015" xr:uid="{00000000-0005-0000-0000-0000A91A0000}"/>
    <cellStyle name="20% - Accent4 9 2 4 2 2" xfId="14280" xr:uid="{00000000-0005-0000-0000-0000AA1A0000}"/>
    <cellStyle name="20% - Accent4 9 2 4 2 3" xfId="18231" xr:uid="{00000000-0005-0000-0000-0000AB1A0000}"/>
    <cellStyle name="20% - Accent4 9 2 4 3" xfId="3016" xr:uid="{00000000-0005-0000-0000-0000AC1A0000}"/>
    <cellStyle name="20% - Accent4 9 2 4 3 2" xfId="14281" xr:uid="{00000000-0005-0000-0000-0000AD1A0000}"/>
    <cellStyle name="20% - Accent4 9 2 4 3 3" xfId="18232" xr:uid="{00000000-0005-0000-0000-0000AE1A0000}"/>
    <cellStyle name="20% - Accent4 9 2 4 4" xfId="14279" xr:uid="{00000000-0005-0000-0000-0000AF1A0000}"/>
    <cellStyle name="20% - Accent4 9 2 4 5" xfId="18230" xr:uid="{00000000-0005-0000-0000-0000B01A0000}"/>
    <cellStyle name="20% - Accent4 9 2 5" xfId="3017" xr:uid="{00000000-0005-0000-0000-0000B11A0000}"/>
    <cellStyle name="20% - Accent4 9 2 5 2" xfId="14282" xr:uid="{00000000-0005-0000-0000-0000B21A0000}"/>
    <cellStyle name="20% - Accent4 9 2 5 3" xfId="18233" xr:uid="{00000000-0005-0000-0000-0000B31A0000}"/>
    <cellStyle name="20% - Accent4 9 2 6" xfId="3018" xr:uid="{00000000-0005-0000-0000-0000B41A0000}"/>
    <cellStyle name="20% - Accent4 9 2 6 2" xfId="14283" xr:uid="{00000000-0005-0000-0000-0000B51A0000}"/>
    <cellStyle name="20% - Accent4 9 2 6 3" xfId="18234" xr:uid="{00000000-0005-0000-0000-0000B61A0000}"/>
    <cellStyle name="20% - Accent4 9 2 7" xfId="14272" xr:uid="{00000000-0005-0000-0000-0000B71A0000}"/>
    <cellStyle name="20% - Accent4 9 2 8" xfId="18223" xr:uid="{00000000-0005-0000-0000-0000B81A0000}"/>
    <cellStyle name="20% - Accent4 9 2_Volatility" xfId="3019" xr:uid="{00000000-0005-0000-0000-0000B91A0000}"/>
    <cellStyle name="20% - Accent4 9 3" xfId="3020" xr:uid="{00000000-0005-0000-0000-0000BA1A0000}"/>
    <cellStyle name="20% - Accent4 9 3 2" xfId="3021" xr:uid="{00000000-0005-0000-0000-0000BB1A0000}"/>
    <cellStyle name="20% - Accent4 9 3 2 2" xfId="3022" xr:uid="{00000000-0005-0000-0000-0000BC1A0000}"/>
    <cellStyle name="20% - Accent4 9 3 2 2 2" xfId="14286" xr:uid="{00000000-0005-0000-0000-0000BD1A0000}"/>
    <cellStyle name="20% - Accent4 9 3 2 2 3" xfId="18237" xr:uid="{00000000-0005-0000-0000-0000BE1A0000}"/>
    <cellStyle name="20% - Accent4 9 3 2 3" xfId="3023" xr:uid="{00000000-0005-0000-0000-0000BF1A0000}"/>
    <cellStyle name="20% - Accent4 9 3 2 3 2" xfId="14287" xr:uid="{00000000-0005-0000-0000-0000C01A0000}"/>
    <cellStyle name="20% - Accent4 9 3 2 3 3" xfId="18238" xr:uid="{00000000-0005-0000-0000-0000C11A0000}"/>
    <cellStyle name="20% - Accent4 9 3 2 4" xfId="14285" xr:uid="{00000000-0005-0000-0000-0000C21A0000}"/>
    <cellStyle name="20% - Accent4 9 3 2 5" xfId="18236" xr:uid="{00000000-0005-0000-0000-0000C31A0000}"/>
    <cellStyle name="20% - Accent4 9 3 3" xfId="3024" xr:uid="{00000000-0005-0000-0000-0000C41A0000}"/>
    <cellStyle name="20% - Accent4 9 3 3 2" xfId="3025" xr:uid="{00000000-0005-0000-0000-0000C51A0000}"/>
    <cellStyle name="20% - Accent4 9 3 3 2 2" xfId="14289" xr:uid="{00000000-0005-0000-0000-0000C61A0000}"/>
    <cellStyle name="20% - Accent4 9 3 3 2 3" xfId="18240" xr:uid="{00000000-0005-0000-0000-0000C71A0000}"/>
    <cellStyle name="20% - Accent4 9 3 3 3" xfId="3026" xr:uid="{00000000-0005-0000-0000-0000C81A0000}"/>
    <cellStyle name="20% - Accent4 9 3 3 3 2" xfId="14290" xr:uid="{00000000-0005-0000-0000-0000C91A0000}"/>
    <cellStyle name="20% - Accent4 9 3 3 3 3" xfId="18241" xr:uid="{00000000-0005-0000-0000-0000CA1A0000}"/>
    <cellStyle name="20% - Accent4 9 3 3 4" xfId="14288" xr:uid="{00000000-0005-0000-0000-0000CB1A0000}"/>
    <cellStyle name="20% - Accent4 9 3 3 5" xfId="18239" xr:uid="{00000000-0005-0000-0000-0000CC1A0000}"/>
    <cellStyle name="20% - Accent4 9 3 4" xfId="3027" xr:uid="{00000000-0005-0000-0000-0000CD1A0000}"/>
    <cellStyle name="20% - Accent4 9 3 4 2" xfId="14291" xr:uid="{00000000-0005-0000-0000-0000CE1A0000}"/>
    <cellStyle name="20% - Accent4 9 3 4 3" xfId="18242" xr:uid="{00000000-0005-0000-0000-0000CF1A0000}"/>
    <cellStyle name="20% - Accent4 9 3 5" xfId="3028" xr:uid="{00000000-0005-0000-0000-0000D01A0000}"/>
    <cellStyle name="20% - Accent4 9 3 5 2" xfId="14292" xr:uid="{00000000-0005-0000-0000-0000D11A0000}"/>
    <cellStyle name="20% - Accent4 9 3 5 3" xfId="18243" xr:uid="{00000000-0005-0000-0000-0000D21A0000}"/>
    <cellStyle name="20% - Accent4 9 3 6" xfId="14284" xr:uid="{00000000-0005-0000-0000-0000D31A0000}"/>
    <cellStyle name="20% - Accent4 9 3 7" xfId="18235" xr:uid="{00000000-0005-0000-0000-0000D41A0000}"/>
    <cellStyle name="20% - Accent4 9 3_Volatility" xfId="3029" xr:uid="{00000000-0005-0000-0000-0000D51A0000}"/>
    <cellStyle name="20% - Accent4 9 4" xfId="3030" xr:uid="{00000000-0005-0000-0000-0000D61A0000}"/>
    <cellStyle name="20% - Accent4 9 4 2" xfId="3031" xr:uid="{00000000-0005-0000-0000-0000D71A0000}"/>
    <cellStyle name="20% - Accent4 9 4 2 2" xfId="14294" xr:uid="{00000000-0005-0000-0000-0000D81A0000}"/>
    <cellStyle name="20% - Accent4 9 4 2 3" xfId="18245" xr:uid="{00000000-0005-0000-0000-0000D91A0000}"/>
    <cellStyle name="20% - Accent4 9 4 3" xfId="3032" xr:uid="{00000000-0005-0000-0000-0000DA1A0000}"/>
    <cellStyle name="20% - Accent4 9 4 3 2" xfId="14295" xr:uid="{00000000-0005-0000-0000-0000DB1A0000}"/>
    <cellStyle name="20% - Accent4 9 4 3 3" xfId="18246" xr:uid="{00000000-0005-0000-0000-0000DC1A0000}"/>
    <cellStyle name="20% - Accent4 9 4 4" xfId="14293" xr:uid="{00000000-0005-0000-0000-0000DD1A0000}"/>
    <cellStyle name="20% - Accent4 9 4 5" xfId="18244" xr:uid="{00000000-0005-0000-0000-0000DE1A0000}"/>
    <cellStyle name="20% - Accent4 9 5" xfId="3033" xr:uid="{00000000-0005-0000-0000-0000DF1A0000}"/>
    <cellStyle name="20% - Accent4 9 5 2" xfId="3034" xr:uid="{00000000-0005-0000-0000-0000E01A0000}"/>
    <cellStyle name="20% - Accent4 9 5 2 2" xfId="14297" xr:uid="{00000000-0005-0000-0000-0000E11A0000}"/>
    <cellStyle name="20% - Accent4 9 5 2 3" xfId="18248" xr:uid="{00000000-0005-0000-0000-0000E21A0000}"/>
    <cellStyle name="20% - Accent4 9 5 3" xfId="3035" xr:uid="{00000000-0005-0000-0000-0000E31A0000}"/>
    <cellStyle name="20% - Accent4 9 5 3 2" xfId="14298" xr:uid="{00000000-0005-0000-0000-0000E41A0000}"/>
    <cellStyle name="20% - Accent4 9 5 3 3" xfId="18249" xr:uid="{00000000-0005-0000-0000-0000E51A0000}"/>
    <cellStyle name="20% - Accent4 9 5 4" xfId="14296" xr:uid="{00000000-0005-0000-0000-0000E61A0000}"/>
    <cellStyle name="20% - Accent4 9 5 5" xfId="18247" xr:uid="{00000000-0005-0000-0000-0000E71A0000}"/>
    <cellStyle name="20% - Accent4 9 6" xfId="3036" xr:uid="{00000000-0005-0000-0000-0000E81A0000}"/>
    <cellStyle name="20% - Accent4 9 6 2" xfId="3037" xr:uid="{00000000-0005-0000-0000-0000E91A0000}"/>
    <cellStyle name="20% - Accent4 9 6 2 2" xfId="14300" xr:uid="{00000000-0005-0000-0000-0000EA1A0000}"/>
    <cellStyle name="20% - Accent4 9 6 2 3" xfId="18251" xr:uid="{00000000-0005-0000-0000-0000EB1A0000}"/>
    <cellStyle name="20% - Accent4 9 6 3" xfId="3038" xr:uid="{00000000-0005-0000-0000-0000EC1A0000}"/>
    <cellStyle name="20% - Accent4 9 6 3 2" xfId="14301" xr:uid="{00000000-0005-0000-0000-0000ED1A0000}"/>
    <cellStyle name="20% - Accent4 9 6 3 3" xfId="18252" xr:uid="{00000000-0005-0000-0000-0000EE1A0000}"/>
    <cellStyle name="20% - Accent4 9 6 4" xfId="14299" xr:uid="{00000000-0005-0000-0000-0000EF1A0000}"/>
    <cellStyle name="20% - Accent4 9 6 5" xfId="18250" xr:uid="{00000000-0005-0000-0000-0000F01A0000}"/>
    <cellStyle name="20% - Accent4 9 7" xfId="3039" xr:uid="{00000000-0005-0000-0000-0000F11A0000}"/>
    <cellStyle name="20% - Accent4 9 7 2" xfId="14302" xr:uid="{00000000-0005-0000-0000-0000F21A0000}"/>
    <cellStyle name="20% - Accent4 9 7 3" xfId="18253" xr:uid="{00000000-0005-0000-0000-0000F31A0000}"/>
    <cellStyle name="20% - Accent4 9 8" xfId="3040" xr:uid="{00000000-0005-0000-0000-0000F41A0000}"/>
    <cellStyle name="20% - Accent4 9 8 2" xfId="14303" xr:uid="{00000000-0005-0000-0000-0000F51A0000}"/>
    <cellStyle name="20% - Accent4 9 8 3" xfId="18254" xr:uid="{00000000-0005-0000-0000-0000F61A0000}"/>
    <cellStyle name="20% - Accent4 9 9" xfId="14271" xr:uid="{00000000-0005-0000-0000-0000F71A0000}"/>
    <cellStyle name="20% - Accent4 9_Volatility" xfId="3041" xr:uid="{00000000-0005-0000-0000-0000F81A0000}"/>
    <cellStyle name="20% - Accent5 10" xfId="3042" xr:uid="{00000000-0005-0000-0000-0000F91A0000}"/>
    <cellStyle name="20% - Accent5 10 10" xfId="18255" xr:uid="{00000000-0005-0000-0000-0000FA1A0000}"/>
    <cellStyle name="20% - Accent5 10 2" xfId="3043" xr:uid="{00000000-0005-0000-0000-0000FB1A0000}"/>
    <cellStyle name="20% - Accent5 10 2 2" xfId="3044" xr:uid="{00000000-0005-0000-0000-0000FC1A0000}"/>
    <cellStyle name="20% - Accent5 10 2 2 2" xfId="3045" xr:uid="{00000000-0005-0000-0000-0000FD1A0000}"/>
    <cellStyle name="20% - Accent5 10 2 2 2 2" xfId="14307" xr:uid="{00000000-0005-0000-0000-0000FE1A0000}"/>
    <cellStyle name="20% - Accent5 10 2 2 2 3" xfId="18258" xr:uid="{00000000-0005-0000-0000-0000FF1A0000}"/>
    <cellStyle name="20% - Accent5 10 2 2 3" xfId="3046" xr:uid="{00000000-0005-0000-0000-0000001B0000}"/>
    <cellStyle name="20% - Accent5 10 2 2 3 2" xfId="14308" xr:uid="{00000000-0005-0000-0000-0000011B0000}"/>
    <cellStyle name="20% - Accent5 10 2 2 3 3" xfId="18259" xr:uid="{00000000-0005-0000-0000-0000021B0000}"/>
    <cellStyle name="20% - Accent5 10 2 2 4" xfId="14306" xr:uid="{00000000-0005-0000-0000-0000031B0000}"/>
    <cellStyle name="20% - Accent5 10 2 2 5" xfId="18257" xr:uid="{00000000-0005-0000-0000-0000041B0000}"/>
    <cellStyle name="20% - Accent5 10 2 3" xfId="3047" xr:uid="{00000000-0005-0000-0000-0000051B0000}"/>
    <cellStyle name="20% - Accent5 10 2 3 2" xfId="3048" xr:uid="{00000000-0005-0000-0000-0000061B0000}"/>
    <cellStyle name="20% - Accent5 10 2 3 2 2" xfId="14310" xr:uid="{00000000-0005-0000-0000-0000071B0000}"/>
    <cellStyle name="20% - Accent5 10 2 3 2 3" xfId="18261" xr:uid="{00000000-0005-0000-0000-0000081B0000}"/>
    <cellStyle name="20% - Accent5 10 2 3 3" xfId="3049" xr:uid="{00000000-0005-0000-0000-0000091B0000}"/>
    <cellStyle name="20% - Accent5 10 2 3 3 2" xfId="14311" xr:uid="{00000000-0005-0000-0000-00000A1B0000}"/>
    <cellStyle name="20% - Accent5 10 2 3 3 3" xfId="18262" xr:uid="{00000000-0005-0000-0000-00000B1B0000}"/>
    <cellStyle name="20% - Accent5 10 2 3 4" xfId="14309" xr:uid="{00000000-0005-0000-0000-00000C1B0000}"/>
    <cellStyle name="20% - Accent5 10 2 3 5" xfId="18260" xr:uid="{00000000-0005-0000-0000-00000D1B0000}"/>
    <cellStyle name="20% - Accent5 10 2 4" xfId="3050" xr:uid="{00000000-0005-0000-0000-00000E1B0000}"/>
    <cellStyle name="20% - Accent5 10 2 4 2" xfId="3051" xr:uid="{00000000-0005-0000-0000-00000F1B0000}"/>
    <cellStyle name="20% - Accent5 10 2 4 2 2" xfId="14313" xr:uid="{00000000-0005-0000-0000-0000101B0000}"/>
    <cellStyle name="20% - Accent5 10 2 4 2 3" xfId="18264" xr:uid="{00000000-0005-0000-0000-0000111B0000}"/>
    <cellStyle name="20% - Accent5 10 2 4 3" xfId="3052" xr:uid="{00000000-0005-0000-0000-0000121B0000}"/>
    <cellStyle name="20% - Accent5 10 2 4 3 2" xfId="14314" xr:uid="{00000000-0005-0000-0000-0000131B0000}"/>
    <cellStyle name="20% - Accent5 10 2 4 3 3" xfId="18265" xr:uid="{00000000-0005-0000-0000-0000141B0000}"/>
    <cellStyle name="20% - Accent5 10 2 4 4" xfId="14312" xr:uid="{00000000-0005-0000-0000-0000151B0000}"/>
    <cellStyle name="20% - Accent5 10 2 4 5" xfId="18263" xr:uid="{00000000-0005-0000-0000-0000161B0000}"/>
    <cellStyle name="20% - Accent5 10 2 5" xfId="3053" xr:uid="{00000000-0005-0000-0000-0000171B0000}"/>
    <cellStyle name="20% - Accent5 10 2 5 2" xfId="14315" xr:uid="{00000000-0005-0000-0000-0000181B0000}"/>
    <cellStyle name="20% - Accent5 10 2 5 3" xfId="18266" xr:uid="{00000000-0005-0000-0000-0000191B0000}"/>
    <cellStyle name="20% - Accent5 10 2 6" xfId="3054" xr:uid="{00000000-0005-0000-0000-00001A1B0000}"/>
    <cellStyle name="20% - Accent5 10 2 6 2" xfId="14316" xr:uid="{00000000-0005-0000-0000-00001B1B0000}"/>
    <cellStyle name="20% - Accent5 10 2 6 3" xfId="18267" xr:uid="{00000000-0005-0000-0000-00001C1B0000}"/>
    <cellStyle name="20% - Accent5 10 2 7" xfId="14305" xr:uid="{00000000-0005-0000-0000-00001D1B0000}"/>
    <cellStyle name="20% - Accent5 10 2 8" xfId="18256" xr:uid="{00000000-0005-0000-0000-00001E1B0000}"/>
    <cellStyle name="20% - Accent5 10 2_Volatility" xfId="3055" xr:uid="{00000000-0005-0000-0000-00001F1B0000}"/>
    <cellStyle name="20% - Accent5 10 3" xfId="3056" xr:uid="{00000000-0005-0000-0000-0000201B0000}"/>
    <cellStyle name="20% - Accent5 10 3 2" xfId="3057" xr:uid="{00000000-0005-0000-0000-0000211B0000}"/>
    <cellStyle name="20% - Accent5 10 3 2 2" xfId="3058" xr:uid="{00000000-0005-0000-0000-0000221B0000}"/>
    <cellStyle name="20% - Accent5 10 3 2 2 2" xfId="14319" xr:uid="{00000000-0005-0000-0000-0000231B0000}"/>
    <cellStyle name="20% - Accent5 10 3 2 2 3" xfId="18270" xr:uid="{00000000-0005-0000-0000-0000241B0000}"/>
    <cellStyle name="20% - Accent5 10 3 2 3" xfId="3059" xr:uid="{00000000-0005-0000-0000-0000251B0000}"/>
    <cellStyle name="20% - Accent5 10 3 2 3 2" xfId="14320" xr:uid="{00000000-0005-0000-0000-0000261B0000}"/>
    <cellStyle name="20% - Accent5 10 3 2 3 3" xfId="18271" xr:uid="{00000000-0005-0000-0000-0000271B0000}"/>
    <cellStyle name="20% - Accent5 10 3 2 4" xfId="14318" xr:uid="{00000000-0005-0000-0000-0000281B0000}"/>
    <cellStyle name="20% - Accent5 10 3 2 5" xfId="18269" xr:uid="{00000000-0005-0000-0000-0000291B0000}"/>
    <cellStyle name="20% - Accent5 10 3 3" xfId="3060" xr:uid="{00000000-0005-0000-0000-00002A1B0000}"/>
    <cellStyle name="20% - Accent5 10 3 3 2" xfId="3061" xr:uid="{00000000-0005-0000-0000-00002B1B0000}"/>
    <cellStyle name="20% - Accent5 10 3 3 2 2" xfId="14322" xr:uid="{00000000-0005-0000-0000-00002C1B0000}"/>
    <cellStyle name="20% - Accent5 10 3 3 2 3" xfId="18273" xr:uid="{00000000-0005-0000-0000-00002D1B0000}"/>
    <cellStyle name="20% - Accent5 10 3 3 3" xfId="3062" xr:uid="{00000000-0005-0000-0000-00002E1B0000}"/>
    <cellStyle name="20% - Accent5 10 3 3 3 2" xfId="14323" xr:uid="{00000000-0005-0000-0000-00002F1B0000}"/>
    <cellStyle name="20% - Accent5 10 3 3 3 3" xfId="18274" xr:uid="{00000000-0005-0000-0000-0000301B0000}"/>
    <cellStyle name="20% - Accent5 10 3 3 4" xfId="14321" xr:uid="{00000000-0005-0000-0000-0000311B0000}"/>
    <cellStyle name="20% - Accent5 10 3 3 5" xfId="18272" xr:uid="{00000000-0005-0000-0000-0000321B0000}"/>
    <cellStyle name="20% - Accent5 10 3 4" xfId="3063" xr:uid="{00000000-0005-0000-0000-0000331B0000}"/>
    <cellStyle name="20% - Accent5 10 3 4 2" xfId="14324" xr:uid="{00000000-0005-0000-0000-0000341B0000}"/>
    <cellStyle name="20% - Accent5 10 3 4 3" xfId="18275" xr:uid="{00000000-0005-0000-0000-0000351B0000}"/>
    <cellStyle name="20% - Accent5 10 3 5" xfId="3064" xr:uid="{00000000-0005-0000-0000-0000361B0000}"/>
    <cellStyle name="20% - Accent5 10 3 5 2" xfId="14325" xr:uid="{00000000-0005-0000-0000-0000371B0000}"/>
    <cellStyle name="20% - Accent5 10 3 5 3" xfId="18276" xr:uid="{00000000-0005-0000-0000-0000381B0000}"/>
    <cellStyle name="20% - Accent5 10 3 6" xfId="14317" xr:uid="{00000000-0005-0000-0000-0000391B0000}"/>
    <cellStyle name="20% - Accent5 10 3 7" xfId="18268" xr:uid="{00000000-0005-0000-0000-00003A1B0000}"/>
    <cellStyle name="20% - Accent5 10 3_Volatility" xfId="3065" xr:uid="{00000000-0005-0000-0000-00003B1B0000}"/>
    <cellStyle name="20% - Accent5 10 4" xfId="3066" xr:uid="{00000000-0005-0000-0000-00003C1B0000}"/>
    <cellStyle name="20% - Accent5 10 4 2" xfId="3067" xr:uid="{00000000-0005-0000-0000-00003D1B0000}"/>
    <cellStyle name="20% - Accent5 10 4 2 2" xfId="14327" xr:uid="{00000000-0005-0000-0000-00003E1B0000}"/>
    <cellStyle name="20% - Accent5 10 4 2 3" xfId="18278" xr:uid="{00000000-0005-0000-0000-00003F1B0000}"/>
    <cellStyle name="20% - Accent5 10 4 3" xfId="3068" xr:uid="{00000000-0005-0000-0000-0000401B0000}"/>
    <cellStyle name="20% - Accent5 10 4 3 2" xfId="14328" xr:uid="{00000000-0005-0000-0000-0000411B0000}"/>
    <cellStyle name="20% - Accent5 10 4 3 3" xfId="18279" xr:uid="{00000000-0005-0000-0000-0000421B0000}"/>
    <cellStyle name="20% - Accent5 10 4 4" xfId="14326" xr:uid="{00000000-0005-0000-0000-0000431B0000}"/>
    <cellStyle name="20% - Accent5 10 4 5" xfId="18277" xr:uid="{00000000-0005-0000-0000-0000441B0000}"/>
    <cellStyle name="20% - Accent5 10 5" xfId="3069" xr:uid="{00000000-0005-0000-0000-0000451B0000}"/>
    <cellStyle name="20% - Accent5 10 5 2" xfId="3070" xr:uid="{00000000-0005-0000-0000-0000461B0000}"/>
    <cellStyle name="20% - Accent5 10 5 2 2" xfId="14330" xr:uid="{00000000-0005-0000-0000-0000471B0000}"/>
    <cellStyle name="20% - Accent5 10 5 2 3" xfId="18281" xr:uid="{00000000-0005-0000-0000-0000481B0000}"/>
    <cellStyle name="20% - Accent5 10 5 3" xfId="3071" xr:uid="{00000000-0005-0000-0000-0000491B0000}"/>
    <cellStyle name="20% - Accent5 10 5 3 2" xfId="14331" xr:uid="{00000000-0005-0000-0000-00004A1B0000}"/>
    <cellStyle name="20% - Accent5 10 5 3 3" xfId="18282" xr:uid="{00000000-0005-0000-0000-00004B1B0000}"/>
    <cellStyle name="20% - Accent5 10 5 4" xfId="14329" xr:uid="{00000000-0005-0000-0000-00004C1B0000}"/>
    <cellStyle name="20% - Accent5 10 5 5" xfId="18280" xr:uid="{00000000-0005-0000-0000-00004D1B0000}"/>
    <cellStyle name="20% - Accent5 10 6" xfId="3072" xr:uid="{00000000-0005-0000-0000-00004E1B0000}"/>
    <cellStyle name="20% - Accent5 10 6 2" xfId="3073" xr:uid="{00000000-0005-0000-0000-00004F1B0000}"/>
    <cellStyle name="20% - Accent5 10 6 2 2" xfId="14333" xr:uid="{00000000-0005-0000-0000-0000501B0000}"/>
    <cellStyle name="20% - Accent5 10 6 2 3" xfId="18284" xr:uid="{00000000-0005-0000-0000-0000511B0000}"/>
    <cellStyle name="20% - Accent5 10 6 3" xfId="3074" xr:uid="{00000000-0005-0000-0000-0000521B0000}"/>
    <cellStyle name="20% - Accent5 10 6 3 2" xfId="14334" xr:uid="{00000000-0005-0000-0000-0000531B0000}"/>
    <cellStyle name="20% - Accent5 10 6 3 3" xfId="18285" xr:uid="{00000000-0005-0000-0000-0000541B0000}"/>
    <cellStyle name="20% - Accent5 10 6 4" xfId="14332" xr:uid="{00000000-0005-0000-0000-0000551B0000}"/>
    <cellStyle name="20% - Accent5 10 6 5" xfId="18283" xr:uid="{00000000-0005-0000-0000-0000561B0000}"/>
    <cellStyle name="20% - Accent5 10 7" xfId="3075" xr:uid="{00000000-0005-0000-0000-0000571B0000}"/>
    <cellStyle name="20% - Accent5 10 7 2" xfId="14335" xr:uid="{00000000-0005-0000-0000-0000581B0000}"/>
    <cellStyle name="20% - Accent5 10 7 3" xfId="18286" xr:uid="{00000000-0005-0000-0000-0000591B0000}"/>
    <cellStyle name="20% - Accent5 10 8" xfId="3076" xr:uid="{00000000-0005-0000-0000-00005A1B0000}"/>
    <cellStyle name="20% - Accent5 10 8 2" xfId="14336" xr:uid="{00000000-0005-0000-0000-00005B1B0000}"/>
    <cellStyle name="20% - Accent5 10 8 3" xfId="18287" xr:uid="{00000000-0005-0000-0000-00005C1B0000}"/>
    <cellStyle name="20% - Accent5 10 9" xfId="14304" xr:uid="{00000000-0005-0000-0000-00005D1B0000}"/>
    <cellStyle name="20% - Accent5 10_Volatility" xfId="3077" xr:uid="{00000000-0005-0000-0000-00005E1B0000}"/>
    <cellStyle name="20% - Accent5 11" xfId="3078" xr:uid="{00000000-0005-0000-0000-00005F1B0000}"/>
    <cellStyle name="20% - Accent5 11 10" xfId="18288" xr:uid="{00000000-0005-0000-0000-0000601B0000}"/>
    <cellStyle name="20% - Accent5 11 2" xfId="3079" xr:uid="{00000000-0005-0000-0000-0000611B0000}"/>
    <cellStyle name="20% - Accent5 11 2 2" xfId="3080" xr:uid="{00000000-0005-0000-0000-0000621B0000}"/>
    <cellStyle name="20% - Accent5 11 2 2 2" xfId="3081" xr:uid="{00000000-0005-0000-0000-0000631B0000}"/>
    <cellStyle name="20% - Accent5 11 2 2 2 2" xfId="14340" xr:uid="{00000000-0005-0000-0000-0000641B0000}"/>
    <cellStyle name="20% - Accent5 11 2 2 2 3" xfId="18291" xr:uid="{00000000-0005-0000-0000-0000651B0000}"/>
    <cellStyle name="20% - Accent5 11 2 2 3" xfId="3082" xr:uid="{00000000-0005-0000-0000-0000661B0000}"/>
    <cellStyle name="20% - Accent5 11 2 2 3 2" xfId="14341" xr:uid="{00000000-0005-0000-0000-0000671B0000}"/>
    <cellStyle name="20% - Accent5 11 2 2 3 3" xfId="18292" xr:uid="{00000000-0005-0000-0000-0000681B0000}"/>
    <cellStyle name="20% - Accent5 11 2 2 4" xfId="14339" xr:uid="{00000000-0005-0000-0000-0000691B0000}"/>
    <cellStyle name="20% - Accent5 11 2 2 5" xfId="18290" xr:uid="{00000000-0005-0000-0000-00006A1B0000}"/>
    <cellStyle name="20% - Accent5 11 2 3" xfId="3083" xr:uid="{00000000-0005-0000-0000-00006B1B0000}"/>
    <cellStyle name="20% - Accent5 11 2 3 2" xfId="3084" xr:uid="{00000000-0005-0000-0000-00006C1B0000}"/>
    <cellStyle name="20% - Accent5 11 2 3 2 2" xfId="14343" xr:uid="{00000000-0005-0000-0000-00006D1B0000}"/>
    <cellStyle name="20% - Accent5 11 2 3 2 3" xfId="18294" xr:uid="{00000000-0005-0000-0000-00006E1B0000}"/>
    <cellStyle name="20% - Accent5 11 2 3 3" xfId="3085" xr:uid="{00000000-0005-0000-0000-00006F1B0000}"/>
    <cellStyle name="20% - Accent5 11 2 3 3 2" xfId="14344" xr:uid="{00000000-0005-0000-0000-0000701B0000}"/>
    <cellStyle name="20% - Accent5 11 2 3 3 3" xfId="18295" xr:uid="{00000000-0005-0000-0000-0000711B0000}"/>
    <cellStyle name="20% - Accent5 11 2 3 4" xfId="14342" xr:uid="{00000000-0005-0000-0000-0000721B0000}"/>
    <cellStyle name="20% - Accent5 11 2 3 5" xfId="18293" xr:uid="{00000000-0005-0000-0000-0000731B0000}"/>
    <cellStyle name="20% - Accent5 11 2 4" xfId="3086" xr:uid="{00000000-0005-0000-0000-0000741B0000}"/>
    <cellStyle name="20% - Accent5 11 2 4 2" xfId="3087" xr:uid="{00000000-0005-0000-0000-0000751B0000}"/>
    <cellStyle name="20% - Accent5 11 2 4 2 2" xfId="14346" xr:uid="{00000000-0005-0000-0000-0000761B0000}"/>
    <cellStyle name="20% - Accent5 11 2 4 2 3" xfId="18297" xr:uid="{00000000-0005-0000-0000-0000771B0000}"/>
    <cellStyle name="20% - Accent5 11 2 4 3" xfId="3088" xr:uid="{00000000-0005-0000-0000-0000781B0000}"/>
    <cellStyle name="20% - Accent5 11 2 4 3 2" xfId="14347" xr:uid="{00000000-0005-0000-0000-0000791B0000}"/>
    <cellStyle name="20% - Accent5 11 2 4 3 3" xfId="18298" xr:uid="{00000000-0005-0000-0000-00007A1B0000}"/>
    <cellStyle name="20% - Accent5 11 2 4 4" xfId="14345" xr:uid="{00000000-0005-0000-0000-00007B1B0000}"/>
    <cellStyle name="20% - Accent5 11 2 4 5" xfId="18296" xr:uid="{00000000-0005-0000-0000-00007C1B0000}"/>
    <cellStyle name="20% - Accent5 11 2 5" xfId="3089" xr:uid="{00000000-0005-0000-0000-00007D1B0000}"/>
    <cellStyle name="20% - Accent5 11 2 5 2" xfId="14348" xr:uid="{00000000-0005-0000-0000-00007E1B0000}"/>
    <cellStyle name="20% - Accent5 11 2 5 3" xfId="18299" xr:uid="{00000000-0005-0000-0000-00007F1B0000}"/>
    <cellStyle name="20% - Accent5 11 2 6" xfId="3090" xr:uid="{00000000-0005-0000-0000-0000801B0000}"/>
    <cellStyle name="20% - Accent5 11 2 6 2" xfId="14349" xr:uid="{00000000-0005-0000-0000-0000811B0000}"/>
    <cellStyle name="20% - Accent5 11 2 6 3" xfId="18300" xr:uid="{00000000-0005-0000-0000-0000821B0000}"/>
    <cellStyle name="20% - Accent5 11 2 7" xfId="14338" xr:uid="{00000000-0005-0000-0000-0000831B0000}"/>
    <cellStyle name="20% - Accent5 11 2 8" xfId="18289" xr:uid="{00000000-0005-0000-0000-0000841B0000}"/>
    <cellStyle name="20% - Accent5 11 2_Volatility" xfId="3091" xr:uid="{00000000-0005-0000-0000-0000851B0000}"/>
    <cellStyle name="20% - Accent5 11 3" xfId="3092" xr:uid="{00000000-0005-0000-0000-0000861B0000}"/>
    <cellStyle name="20% - Accent5 11 3 2" xfId="3093" xr:uid="{00000000-0005-0000-0000-0000871B0000}"/>
    <cellStyle name="20% - Accent5 11 3 2 2" xfId="3094" xr:uid="{00000000-0005-0000-0000-0000881B0000}"/>
    <cellStyle name="20% - Accent5 11 3 2 2 2" xfId="14352" xr:uid="{00000000-0005-0000-0000-0000891B0000}"/>
    <cellStyle name="20% - Accent5 11 3 2 2 3" xfId="18303" xr:uid="{00000000-0005-0000-0000-00008A1B0000}"/>
    <cellStyle name="20% - Accent5 11 3 2 3" xfId="3095" xr:uid="{00000000-0005-0000-0000-00008B1B0000}"/>
    <cellStyle name="20% - Accent5 11 3 2 3 2" xfId="14353" xr:uid="{00000000-0005-0000-0000-00008C1B0000}"/>
    <cellStyle name="20% - Accent5 11 3 2 3 3" xfId="18304" xr:uid="{00000000-0005-0000-0000-00008D1B0000}"/>
    <cellStyle name="20% - Accent5 11 3 2 4" xfId="14351" xr:uid="{00000000-0005-0000-0000-00008E1B0000}"/>
    <cellStyle name="20% - Accent5 11 3 2 5" xfId="18302" xr:uid="{00000000-0005-0000-0000-00008F1B0000}"/>
    <cellStyle name="20% - Accent5 11 3 3" xfId="3096" xr:uid="{00000000-0005-0000-0000-0000901B0000}"/>
    <cellStyle name="20% - Accent5 11 3 3 2" xfId="3097" xr:uid="{00000000-0005-0000-0000-0000911B0000}"/>
    <cellStyle name="20% - Accent5 11 3 3 2 2" xfId="14355" xr:uid="{00000000-0005-0000-0000-0000921B0000}"/>
    <cellStyle name="20% - Accent5 11 3 3 2 3" xfId="18306" xr:uid="{00000000-0005-0000-0000-0000931B0000}"/>
    <cellStyle name="20% - Accent5 11 3 3 3" xfId="3098" xr:uid="{00000000-0005-0000-0000-0000941B0000}"/>
    <cellStyle name="20% - Accent5 11 3 3 3 2" xfId="14356" xr:uid="{00000000-0005-0000-0000-0000951B0000}"/>
    <cellStyle name="20% - Accent5 11 3 3 3 3" xfId="18307" xr:uid="{00000000-0005-0000-0000-0000961B0000}"/>
    <cellStyle name="20% - Accent5 11 3 3 4" xfId="14354" xr:uid="{00000000-0005-0000-0000-0000971B0000}"/>
    <cellStyle name="20% - Accent5 11 3 3 5" xfId="18305" xr:uid="{00000000-0005-0000-0000-0000981B0000}"/>
    <cellStyle name="20% - Accent5 11 3 4" xfId="3099" xr:uid="{00000000-0005-0000-0000-0000991B0000}"/>
    <cellStyle name="20% - Accent5 11 3 4 2" xfId="14357" xr:uid="{00000000-0005-0000-0000-00009A1B0000}"/>
    <cellStyle name="20% - Accent5 11 3 4 3" xfId="18308" xr:uid="{00000000-0005-0000-0000-00009B1B0000}"/>
    <cellStyle name="20% - Accent5 11 3 5" xfId="3100" xr:uid="{00000000-0005-0000-0000-00009C1B0000}"/>
    <cellStyle name="20% - Accent5 11 3 5 2" xfId="14358" xr:uid="{00000000-0005-0000-0000-00009D1B0000}"/>
    <cellStyle name="20% - Accent5 11 3 5 3" xfId="18309" xr:uid="{00000000-0005-0000-0000-00009E1B0000}"/>
    <cellStyle name="20% - Accent5 11 3 6" xfId="14350" xr:uid="{00000000-0005-0000-0000-00009F1B0000}"/>
    <cellStyle name="20% - Accent5 11 3 7" xfId="18301" xr:uid="{00000000-0005-0000-0000-0000A01B0000}"/>
    <cellStyle name="20% - Accent5 11 3_Volatility" xfId="3101" xr:uid="{00000000-0005-0000-0000-0000A11B0000}"/>
    <cellStyle name="20% - Accent5 11 4" xfId="3102" xr:uid="{00000000-0005-0000-0000-0000A21B0000}"/>
    <cellStyle name="20% - Accent5 11 4 2" xfId="3103" xr:uid="{00000000-0005-0000-0000-0000A31B0000}"/>
    <cellStyle name="20% - Accent5 11 4 2 2" xfId="14360" xr:uid="{00000000-0005-0000-0000-0000A41B0000}"/>
    <cellStyle name="20% - Accent5 11 4 2 3" xfId="18311" xr:uid="{00000000-0005-0000-0000-0000A51B0000}"/>
    <cellStyle name="20% - Accent5 11 4 3" xfId="3104" xr:uid="{00000000-0005-0000-0000-0000A61B0000}"/>
    <cellStyle name="20% - Accent5 11 4 3 2" xfId="14361" xr:uid="{00000000-0005-0000-0000-0000A71B0000}"/>
    <cellStyle name="20% - Accent5 11 4 3 3" xfId="18312" xr:uid="{00000000-0005-0000-0000-0000A81B0000}"/>
    <cellStyle name="20% - Accent5 11 4 4" xfId="14359" xr:uid="{00000000-0005-0000-0000-0000A91B0000}"/>
    <cellStyle name="20% - Accent5 11 4 5" xfId="18310" xr:uid="{00000000-0005-0000-0000-0000AA1B0000}"/>
    <cellStyle name="20% - Accent5 11 5" xfId="3105" xr:uid="{00000000-0005-0000-0000-0000AB1B0000}"/>
    <cellStyle name="20% - Accent5 11 5 2" xfId="3106" xr:uid="{00000000-0005-0000-0000-0000AC1B0000}"/>
    <cellStyle name="20% - Accent5 11 5 2 2" xfId="14363" xr:uid="{00000000-0005-0000-0000-0000AD1B0000}"/>
    <cellStyle name="20% - Accent5 11 5 2 3" xfId="18314" xr:uid="{00000000-0005-0000-0000-0000AE1B0000}"/>
    <cellStyle name="20% - Accent5 11 5 3" xfId="3107" xr:uid="{00000000-0005-0000-0000-0000AF1B0000}"/>
    <cellStyle name="20% - Accent5 11 5 3 2" xfId="14364" xr:uid="{00000000-0005-0000-0000-0000B01B0000}"/>
    <cellStyle name="20% - Accent5 11 5 3 3" xfId="18315" xr:uid="{00000000-0005-0000-0000-0000B11B0000}"/>
    <cellStyle name="20% - Accent5 11 5 4" xfId="14362" xr:uid="{00000000-0005-0000-0000-0000B21B0000}"/>
    <cellStyle name="20% - Accent5 11 5 5" xfId="18313" xr:uid="{00000000-0005-0000-0000-0000B31B0000}"/>
    <cellStyle name="20% - Accent5 11 6" xfId="3108" xr:uid="{00000000-0005-0000-0000-0000B41B0000}"/>
    <cellStyle name="20% - Accent5 11 6 2" xfId="3109" xr:uid="{00000000-0005-0000-0000-0000B51B0000}"/>
    <cellStyle name="20% - Accent5 11 6 2 2" xfId="14366" xr:uid="{00000000-0005-0000-0000-0000B61B0000}"/>
    <cellStyle name="20% - Accent5 11 6 2 3" xfId="18317" xr:uid="{00000000-0005-0000-0000-0000B71B0000}"/>
    <cellStyle name="20% - Accent5 11 6 3" xfId="3110" xr:uid="{00000000-0005-0000-0000-0000B81B0000}"/>
    <cellStyle name="20% - Accent5 11 6 3 2" xfId="14367" xr:uid="{00000000-0005-0000-0000-0000B91B0000}"/>
    <cellStyle name="20% - Accent5 11 6 3 3" xfId="18318" xr:uid="{00000000-0005-0000-0000-0000BA1B0000}"/>
    <cellStyle name="20% - Accent5 11 6 4" xfId="14365" xr:uid="{00000000-0005-0000-0000-0000BB1B0000}"/>
    <cellStyle name="20% - Accent5 11 6 5" xfId="18316" xr:uid="{00000000-0005-0000-0000-0000BC1B0000}"/>
    <cellStyle name="20% - Accent5 11 7" xfId="3111" xr:uid="{00000000-0005-0000-0000-0000BD1B0000}"/>
    <cellStyle name="20% - Accent5 11 7 2" xfId="14368" xr:uid="{00000000-0005-0000-0000-0000BE1B0000}"/>
    <cellStyle name="20% - Accent5 11 7 3" xfId="18319" xr:uid="{00000000-0005-0000-0000-0000BF1B0000}"/>
    <cellStyle name="20% - Accent5 11 8" xfId="3112" xr:uid="{00000000-0005-0000-0000-0000C01B0000}"/>
    <cellStyle name="20% - Accent5 11 8 2" xfId="14369" xr:uid="{00000000-0005-0000-0000-0000C11B0000}"/>
    <cellStyle name="20% - Accent5 11 8 3" xfId="18320" xr:uid="{00000000-0005-0000-0000-0000C21B0000}"/>
    <cellStyle name="20% - Accent5 11 9" xfId="14337" xr:uid="{00000000-0005-0000-0000-0000C31B0000}"/>
    <cellStyle name="20% - Accent5 11_Volatility" xfId="3113" xr:uid="{00000000-0005-0000-0000-0000C41B0000}"/>
    <cellStyle name="20% - Accent5 12" xfId="3114" xr:uid="{00000000-0005-0000-0000-0000C51B0000}"/>
    <cellStyle name="20% - Accent5 12 10" xfId="18321" xr:uid="{00000000-0005-0000-0000-0000C61B0000}"/>
    <cellStyle name="20% - Accent5 12 2" xfId="3115" xr:uid="{00000000-0005-0000-0000-0000C71B0000}"/>
    <cellStyle name="20% - Accent5 12 2 2" xfId="3116" xr:uid="{00000000-0005-0000-0000-0000C81B0000}"/>
    <cellStyle name="20% - Accent5 12 2 2 2" xfId="3117" xr:uid="{00000000-0005-0000-0000-0000C91B0000}"/>
    <cellStyle name="20% - Accent5 12 2 2 2 2" xfId="14373" xr:uid="{00000000-0005-0000-0000-0000CA1B0000}"/>
    <cellStyle name="20% - Accent5 12 2 2 2 3" xfId="18324" xr:uid="{00000000-0005-0000-0000-0000CB1B0000}"/>
    <cellStyle name="20% - Accent5 12 2 2 3" xfId="3118" xr:uid="{00000000-0005-0000-0000-0000CC1B0000}"/>
    <cellStyle name="20% - Accent5 12 2 2 3 2" xfId="14374" xr:uid="{00000000-0005-0000-0000-0000CD1B0000}"/>
    <cellStyle name="20% - Accent5 12 2 2 3 3" xfId="18325" xr:uid="{00000000-0005-0000-0000-0000CE1B0000}"/>
    <cellStyle name="20% - Accent5 12 2 2 4" xfId="14372" xr:uid="{00000000-0005-0000-0000-0000CF1B0000}"/>
    <cellStyle name="20% - Accent5 12 2 2 5" xfId="18323" xr:uid="{00000000-0005-0000-0000-0000D01B0000}"/>
    <cellStyle name="20% - Accent5 12 2 3" xfId="3119" xr:uid="{00000000-0005-0000-0000-0000D11B0000}"/>
    <cellStyle name="20% - Accent5 12 2 3 2" xfId="3120" xr:uid="{00000000-0005-0000-0000-0000D21B0000}"/>
    <cellStyle name="20% - Accent5 12 2 3 2 2" xfId="14376" xr:uid="{00000000-0005-0000-0000-0000D31B0000}"/>
    <cellStyle name="20% - Accent5 12 2 3 2 3" xfId="18327" xr:uid="{00000000-0005-0000-0000-0000D41B0000}"/>
    <cellStyle name="20% - Accent5 12 2 3 3" xfId="3121" xr:uid="{00000000-0005-0000-0000-0000D51B0000}"/>
    <cellStyle name="20% - Accent5 12 2 3 3 2" xfId="14377" xr:uid="{00000000-0005-0000-0000-0000D61B0000}"/>
    <cellStyle name="20% - Accent5 12 2 3 3 3" xfId="18328" xr:uid="{00000000-0005-0000-0000-0000D71B0000}"/>
    <cellStyle name="20% - Accent5 12 2 3 4" xfId="14375" xr:uid="{00000000-0005-0000-0000-0000D81B0000}"/>
    <cellStyle name="20% - Accent5 12 2 3 5" xfId="18326" xr:uid="{00000000-0005-0000-0000-0000D91B0000}"/>
    <cellStyle name="20% - Accent5 12 2 4" xfId="3122" xr:uid="{00000000-0005-0000-0000-0000DA1B0000}"/>
    <cellStyle name="20% - Accent5 12 2 4 2" xfId="3123" xr:uid="{00000000-0005-0000-0000-0000DB1B0000}"/>
    <cellStyle name="20% - Accent5 12 2 4 2 2" xfId="14379" xr:uid="{00000000-0005-0000-0000-0000DC1B0000}"/>
    <cellStyle name="20% - Accent5 12 2 4 2 3" xfId="18330" xr:uid="{00000000-0005-0000-0000-0000DD1B0000}"/>
    <cellStyle name="20% - Accent5 12 2 4 3" xfId="3124" xr:uid="{00000000-0005-0000-0000-0000DE1B0000}"/>
    <cellStyle name="20% - Accent5 12 2 4 3 2" xfId="14380" xr:uid="{00000000-0005-0000-0000-0000DF1B0000}"/>
    <cellStyle name="20% - Accent5 12 2 4 3 3" xfId="18331" xr:uid="{00000000-0005-0000-0000-0000E01B0000}"/>
    <cellStyle name="20% - Accent5 12 2 4 4" xfId="14378" xr:uid="{00000000-0005-0000-0000-0000E11B0000}"/>
    <cellStyle name="20% - Accent5 12 2 4 5" xfId="18329" xr:uid="{00000000-0005-0000-0000-0000E21B0000}"/>
    <cellStyle name="20% - Accent5 12 2 5" xfId="3125" xr:uid="{00000000-0005-0000-0000-0000E31B0000}"/>
    <cellStyle name="20% - Accent5 12 2 5 2" xfId="14381" xr:uid="{00000000-0005-0000-0000-0000E41B0000}"/>
    <cellStyle name="20% - Accent5 12 2 5 3" xfId="18332" xr:uid="{00000000-0005-0000-0000-0000E51B0000}"/>
    <cellStyle name="20% - Accent5 12 2 6" xfId="3126" xr:uid="{00000000-0005-0000-0000-0000E61B0000}"/>
    <cellStyle name="20% - Accent5 12 2 6 2" xfId="14382" xr:uid="{00000000-0005-0000-0000-0000E71B0000}"/>
    <cellStyle name="20% - Accent5 12 2 6 3" xfId="18333" xr:uid="{00000000-0005-0000-0000-0000E81B0000}"/>
    <cellStyle name="20% - Accent5 12 2 7" xfId="14371" xr:uid="{00000000-0005-0000-0000-0000E91B0000}"/>
    <cellStyle name="20% - Accent5 12 2 8" xfId="18322" xr:uid="{00000000-0005-0000-0000-0000EA1B0000}"/>
    <cellStyle name="20% - Accent5 12 2_Volatility" xfId="3127" xr:uid="{00000000-0005-0000-0000-0000EB1B0000}"/>
    <cellStyle name="20% - Accent5 12 3" xfId="3128" xr:uid="{00000000-0005-0000-0000-0000EC1B0000}"/>
    <cellStyle name="20% - Accent5 12 3 2" xfId="3129" xr:uid="{00000000-0005-0000-0000-0000ED1B0000}"/>
    <cellStyle name="20% - Accent5 12 3 2 2" xfId="3130" xr:uid="{00000000-0005-0000-0000-0000EE1B0000}"/>
    <cellStyle name="20% - Accent5 12 3 2 2 2" xfId="14385" xr:uid="{00000000-0005-0000-0000-0000EF1B0000}"/>
    <cellStyle name="20% - Accent5 12 3 2 2 3" xfId="18336" xr:uid="{00000000-0005-0000-0000-0000F01B0000}"/>
    <cellStyle name="20% - Accent5 12 3 2 3" xfId="3131" xr:uid="{00000000-0005-0000-0000-0000F11B0000}"/>
    <cellStyle name="20% - Accent5 12 3 2 3 2" xfId="14386" xr:uid="{00000000-0005-0000-0000-0000F21B0000}"/>
    <cellStyle name="20% - Accent5 12 3 2 3 3" xfId="18337" xr:uid="{00000000-0005-0000-0000-0000F31B0000}"/>
    <cellStyle name="20% - Accent5 12 3 2 4" xfId="14384" xr:uid="{00000000-0005-0000-0000-0000F41B0000}"/>
    <cellStyle name="20% - Accent5 12 3 2 5" xfId="18335" xr:uid="{00000000-0005-0000-0000-0000F51B0000}"/>
    <cellStyle name="20% - Accent5 12 3 3" xfId="3132" xr:uid="{00000000-0005-0000-0000-0000F61B0000}"/>
    <cellStyle name="20% - Accent5 12 3 3 2" xfId="3133" xr:uid="{00000000-0005-0000-0000-0000F71B0000}"/>
    <cellStyle name="20% - Accent5 12 3 3 2 2" xfId="14388" xr:uid="{00000000-0005-0000-0000-0000F81B0000}"/>
    <cellStyle name="20% - Accent5 12 3 3 2 3" xfId="18339" xr:uid="{00000000-0005-0000-0000-0000F91B0000}"/>
    <cellStyle name="20% - Accent5 12 3 3 3" xfId="3134" xr:uid="{00000000-0005-0000-0000-0000FA1B0000}"/>
    <cellStyle name="20% - Accent5 12 3 3 3 2" xfId="14389" xr:uid="{00000000-0005-0000-0000-0000FB1B0000}"/>
    <cellStyle name="20% - Accent5 12 3 3 3 3" xfId="18340" xr:uid="{00000000-0005-0000-0000-0000FC1B0000}"/>
    <cellStyle name="20% - Accent5 12 3 3 4" xfId="14387" xr:uid="{00000000-0005-0000-0000-0000FD1B0000}"/>
    <cellStyle name="20% - Accent5 12 3 3 5" xfId="18338" xr:uid="{00000000-0005-0000-0000-0000FE1B0000}"/>
    <cellStyle name="20% - Accent5 12 3 4" xfId="3135" xr:uid="{00000000-0005-0000-0000-0000FF1B0000}"/>
    <cellStyle name="20% - Accent5 12 3 4 2" xfId="14390" xr:uid="{00000000-0005-0000-0000-0000001C0000}"/>
    <cellStyle name="20% - Accent5 12 3 4 3" xfId="18341" xr:uid="{00000000-0005-0000-0000-0000011C0000}"/>
    <cellStyle name="20% - Accent5 12 3 5" xfId="3136" xr:uid="{00000000-0005-0000-0000-0000021C0000}"/>
    <cellStyle name="20% - Accent5 12 3 5 2" xfId="14391" xr:uid="{00000000-0005-0000-0000-0000031C0000}"/>
    <cellStyle name="20% - Accent5 12 3 5 3" xfId="18342" xr:uid="{00000000-0005-0000-0000-0000041C0000}"/>
    <cellStyle name="20% - Accent5 12 3 6" xfId="14383" xr:uid="{00000000-0005-0000-0000-0000051C0000}"/>
    <cellStyle name="20% - Accent5 12 3 7" xfId="18334" xr:uid="{00000000-0005-0000-0000-0000061C0000}"/>
    <cellStyle name="20% - Accent5 12 3_Volatility" xfId="3137" xr:uid="{00000000-0005-0000-0000-0000071C0000}"/>
    <cellStyle name="20% - Accent5 12 4" xfId="3138" xr:uid="{00000000-0005-0000-0000-0000081C0000}"/>
    <cellStyle name="20% - Accent5 12 4 2" xfId="3139" xr:uid="{00000000-0005-0000-0000-0000091C0000}"/>
    <cellStyle name="20% - Accent5 12 4 2 2" xfId="14393" xr:uid="{00000000-0005-0000-0000-00000A1C0000}"/>
    <cellStyle name="20% - Accent5 12 4 2 3" xfId="18344" xr:uid="{00000000-0005-0000-0000-00000B1C0000}"/>
    <cellStyle name="20% - Accent5 12 4 3" xfId="3140" xr:uid="{00000000-0005-0000-0000-00000C1C0000}"/>
    <cellStyle name="20% - Accent5 12 4 3 2" xfId="14394" xr:uid="{00000000-0005-0000-0000-00000D1C0000}"/>
    <cellStyle name="20% - Accent5 12 4 3 3" xfId="18345" xr:uid="{00000000-0005-0000-0000-00000E1C0000}"/>
    <cellStyle name="20% - Accent5 12 4 4" xfId="14392" xr:uid="{00000000-0005-0000-0000-00000F1C0000}"/>
    <cellStyle name="20% - Accent5 12 4 5" xfId="18343" xr:uid="{00000000-0005-0000-0000-0000101C0000}"/>
    <cellStyle name="20% - Accent5 12 5" xfId="3141" xr:uid="{00000000-0005-0000-0000-0000111C0000}"/>
    <cellStyle name="20% - Accent5 12 5 2" xfId="3142" xr:uid="{00000000-0005-0000-0000-0000121C0000}"/>
    <cellStyle name="20% - Accent5 12 5 2 2" xfId="14396" xr:uid="{00000000-0005-0000-0000-0000131C0000}"/>
    <cellStyle name="20% - Accent5 12 5 2 3" xfId="18347" xr:uid="{00000000-0005-0000-0000-0000141C0000}"/>
    <cellStyle name="20% - Accent5 12 5 3" xfId="3143" xr:uid="{00000000-0005-0000-0000-0000151C0000}"/>
    <cellStyle name="20% - Accent5 12 5 3 2" xfId="14397" xr:uid="{00000000-0005-0000-0000-0000161C0000}"/>
    <cellStyle name="20% - Accent5 12 5 3 3" xfId="18348" xr:uid="{00000000-0005-0000-0000-0000171C0000}"/>
    <cellStyle name="20% - Accent5 12 5 4" xfId="14395" xr:uid="{00000000-0005-0000-0000-0000181C0000}"/>
    <cellStyle name="20% - Accent5 12 5 5" xfId="18346" xr:uid="{00000000-0005-0000-0000-0000191C0000}"/>
    <cellStyle name="20% - Accent5 12 6" xfId="3144" xr:uid="{00000000-0005-0000-0000-00001A1C0000}"/>
    <cellStyle name="20% - Accent5 12 6 2" xfId="3145" xr:uid="{00000000-0005-0000-0000-00001B1C0000}"/>
    <cellStyle name="20% - Accent5 12 6 2 2" xfId="14399" xr:uid="{00000000-0005-0000-0000-00001C1C0000}"/>
    <cellStyle name="20% - Accent5 12 6 2 3" xfId="18350" xr:uid="{00000000-0005-0000-0000-00001D1C0000}"/>
    <cellStyle name="20% - Accent5 12 6 3" xfId="3146" xr:uid="{00000000-0005-0000-0000-00001E1C0000}"/>
    <cellStyle name="20% - Accent5 12 6 3 2" xfId="14400" xr:uid="{00000000-0005-0000-0000-00001F1C0000}"/>
    <cellStyle name="20% - Accent5 12 6 3 3" xfId="18351" xr:uid="{00000000-0005-0000-0000-0000201C0000}"/>
    <cellStyle name="20% - Accent5 12 6 4" xfId="14398" xr:uid="{00000000-0005-0000-0000-0000211C0000}"/>
    <cellStyle name="20% - Accent5 12 6 5" xfId="18349" xr:uid="{00000000-0005-0000-0000-0000221C0000}"/>
    <cellStyle name="20% - Accent5 12 7" xfId="3147" xr:uid="{00000000-0005-0000-0000-0000231C0000}"/>
    <cellStyle name="20% - Accent5 12 7 2" xfId="14401" xr:uid="{00000000-0005-0000-0000-0000241C0000}"/>
    <cellStyle name="20% - Accent5 12 7 3" xfId="18352" xr:uid="{00000000-0005-0000-0000-0000251C0000}"/>
    <cellStyle name="20% - Accent5 12 8" xfId="3148" xr:uid="{00000000-0005-0000-0000-0000261C0000}"/>
    <cellStyle name="20% - Accent5 12 8 2" xfId="14402" xr:uid="{00000000-0005-0000-0000-0000271C0000}"/>
    <cellStyle name="20% - Accent5 12 8 3" xfId="18353" xr:uid="{00000000-0005-0000-0000-0000281C0000}"/>
    <cellStyle name="20% - Accent5 12 9" xfId="14370" xr:uid="{00000000-0005-0000-0000-0000291C0000}"/>
    <cellStyle name="20% - Accent5 12_Volatility" xfId="3149" xr:uid="{00000000-0005-0000-0000-00002A1C0000}"/>
    <cellStyle name="20% - Accent5 13" xfId="3150" xr:uid="{00000000-0005-0000-0000-00002B1C0000}"/>
    <cellStyle name="20% - Accent5 13 10" xfId="18354" xr:uid="{00000000-0005-0000-0000-00002C1C0000}"/>
    <cellStyle name="20% - Accent5 13 2" xfId="3151" xr:uid="{00000000-0005-0000-0000-00002D1C0000}"/>
    <cellStyle name="20% - Accent5 13 2 2" xfId="3152" xr:uid="{00000000-0005-0000-0000-00002E1C0000}"/>
    <cellStyle name="20% - Accent5 13 2 2 2" xfId="3153" xr:uid="{00000000-0005-0000-0000-00002F1C0000}"/>
    <cellStyle name="20% - Accent5 13 2 2 2 2" xfId="14406" xr:uid="{00000000-0005-0000-0000-0000301C0000}"/>
    <cellStyle name="20% - Accent5 13 2 2 2 3" xfId="18357" xr:uid="{00000000-0005-0000-0000-0000311C0000}"/>
    <cellStyle name="20% - Accent5 13 2 2 3" xfId="3154" xr:uid="{00000000-0005-0000-0000-0000321C0000}"/>
    <cellStyle name="20% - Accent5 13 2 2 3 2" xfId="14407" xr:uid="{00000000-0005-0000-0000-0000331C0000}"/>
    <cellStyle name="20% - Accent5 13 2 2 3 3" xfId="18358" xr:uid="{00000000-0005-0000-0000-0000341C0000}"/>
    <cellStyle name="20% - Accent5 13 2 2 4" xfId="14405" xr:uid="{00000000-0005-0000-0000-0000351C0000}"/>
    <cellStyle name="20% - Accent5 13 2 2 5" xfId="18356" xr:uid="{00000000-0005-0000-0000-0000361C0000}"/>
    <cellStyle name="20% - Accent5 13 2 3" xfId="3155" xr:uid="{00000000-0005-0000-0000-0000371C0000}"/>
    <cellStyle name="20% - Accent5 13 2 3 2" xfId="3156" xr:uid="{00000000-0005-0000-0000-0000381C0000}"/>
    <cellStyle name="20% - Accent5 13 2 3 2 2" xfId="14409" xr:uid="{00000000-0005-0000-0000-0000391C0000}"/>
    <cellStyle name="20% - Accent5 13 2 3 2 3" xfId="18360" xr:uid="{00000000-0005-0000-0000-00003A1C0000}"/>
    <cellStyle name="20% - Accent5 13 2 3 3" xfId="3157" xr:uid="{00000000-0005-0000-0000-00003B1C0000}"/>
    <cellStyle name="20% - Accent5 13 2 3 3 2" xfId="14410" xr:uid="{00000000-0005-0000-0000-00003C1C0000}"/>
    <cellStyle name="20% - Accent5 13 2 3 3 3" xfId="18361" xr:uid="{00000000-0005-0000-0000-00003D1C0000}"/>
    <cellStyle name="20% - Accent5 13 2 3 4" xfId="14408" xr:uid="{00000000-0005-0000-0000-00003E1C0000}"/>
    <cellStyle name="20% - Accent5 13 2 3 5" xfId="18359" xr:uid="{00000000-0005-0000-0000-00003F1C0000}"/>
    <cellStyle name="20% - Accent5 13 2 4" xfId="3158" xr:uid="{00000000-0005-0000-0000-0000401C0000}"/>
    <cellStyle name="20% - Accent5 13 2 4 2" xfId="3159" xr:uid="{00000000-0005-0000-0000-0000411C0000}"/>
    <cellStyle name="20% - Accent5 13 2 4 2 2" xfId="14412" xr:uid="{00000000-0005-0000-0000-0000421C0000}"/>
    <cellStyle name="20% - Accent5 13 2 4 2 3" xfId="18363" xr:uid="{00000000-0005-0000-0000-0000431C0000}"/>
    <cellStyle name="20% - Accent5 13 2 4 3" xfId="3160" xr:uid="{00000000-0005-0000-0000-0000441C0000}"/>
    <cellStyle name="20% - Accent5 13 2 4 3 2" xfId="14413" xr:uid="{00000000-0005-0000-0000-0000451C0000}"/>
    <cellStyle name="20% - Accent5 13 2 4 3 3" xfId="18364" xr:uid="{00000000-0005-0000-0000-0000461C0000}"/>
    <cellStyle name="20% - Accent5 13 2 4 4" xfId="14411" xr:uid="{00000000-0005-0000-0000-0000471C0000}"/>
    <cellStyle name="20% - Accent5 13 2 4 5" xfId="18362" xr:uid="{00000000-0005-0000-0000-0000481C0000}"/>
    <cellStyle name="20% - Accent5 13 2 5" xfId="3161" xr:uid="{00000000-0005-0000-0000-0000491C0000}"/>
    <cellStyle name="20% - Accent5 13 2 5 2" xfId="14414" xr:uid="{00000000-0005-0000-0000-00004A1C0000}"/>
    <cellStyle name="20% - Accent5 13 2 5 3" xfId="18365" xr:uid="{00000000-0005-0000-0000-00004B1C0000}"/>
    <cellStyle name="20% - Accent5 13 2 6" xfId="3162" xr:uid="{00000000-0005-0000-0000-00004C1C0000}"/>
    <cellStyle name="20% - Accent5 13 2 6 2" xfId="14415" xr:uid="{00000000-0005-0000-0000-00004D1C0000}"/>
    <cellStyle name="20% - Accent5 13 2 6 3" xfId="18366" xr:uid="{00000000-0005-0000-0000-00004E1C0000}"/>
    <cellStyle name="20% - Accent5 13 2 7" xfId="14404" xr:uid="{00000000-0005-0000-0000-00004F1C0000}"/>
    <cellStyle name="20% - Accent5 13 2 8" xfId="18355" xr:uid="{00000000-0005-0000-0000-0000501C0000}"/>
    <cellStyle name="20% - Accent5 13 2_Volatility" xfId="3163" xr:uid="{00000000-0005-0000-0000-0000511C0000}"/>
    <cellStyle name="20% - Accent5 13 3" xfId="3164" xr:uid="{00000000-0005-0000-0000-0000521C0000}"/>
    <cellStyle name="20% - Accent5 13 3 2" xfId="3165" xr:uid="{00000000-0005-0000-0000-0000531C0000}"/>
    <cellStyle name="20% - Accent5 13 3 2 2" xfId="3166" xr:uid="{00000000-0005-0000-0000-0000541C0000}"/>
    <cellStyle name="20% - Accent5 13 3 2 2 2" xfId="14418" xr:uid="{00000000-0005-0000-0000-0000551C0000}"/>
    <cellStyle name="20% - Accent5 13 3 2 2 3" xfId="18369" xr:uid="{00000000-0005-0000-0000-0000561C0000}"/>
    <cellStyle name="20% - Accent5 13 3 2 3" xfId="3167" xr:uid="{00000000-0005-0000-0000-0000571C0000}"/>
    <cellStyle name="20% - Accent5 13 3 2 3 2" xfId="14419" xr:uid="{00000000-0005-0000-0000-0000581C0000}"/>
    <cellStyle name="20% - Accent5 13 3 2 3 3" xfId="18370" xr:uid="{00000000-0005-0000-0000-0000591C0000}"/>
    <cellStyle name="20% - Accent5 13 3 2 4" xfId="14417" xr:uid="{00000000-0005-0000-0000-00005A1C0000}"/>
    <cellStyle name="20% - Accent5 13 3 2 5" xfId="18368" xr:uid="{00000000-0005-0000-0000-00005B1C0000}"/>
    <cellStyle name="20% - Accent5 13 3 3" xfId="3168" xr:uid="{00000000-0005-0000-0000-00005C1C0000}"/>
    <cellStyle name="20% - Accent5 13 3 3 2" xfId="3169" xr:uid="{00000000-0005-0000-0000-00005D1C0000}"/>
    <cellStyle name="20% - Accent5 13 3 3 2 2" xfId="14421" xr:uid="{00000000-0005-0000-0000-00005E1C0000}"/>
    <cellStyle name="20% - Accent5 13 3 3 2 3" xfId="18372" xr:uid="{00000000-0005-0000-0000-00005F1C0000}"/>
    <cellStyle name="20% - Accent5 13 3 3 3" xfId="3170" xr:uid="{00000000-0005-0000-0000-0000601C0000}"/>
    <cellStyle name="20% - Accent5 13 3 3 3 2" xfId="14422" xr:uid="{00000000-0005-0000-0000-0000611C0000}"/>
    <cellStyle name="20% - Accent5 13 3 3 3 3" xfId="18373" xr:uid="{00000000-0005-0000-0000-0000621C0000}"/>
    <cellStyle name="20% - Accent5 13 3 3 4" xfId="14420" xr:uid="{00000000-0005-0000-0000-0000631C0000}"/>
    <cellStyle name="20% - Accent5 13 3 3 5" xfId="18371" xr:uid="{00000000-0005-0000-0000-0000641C0000}"/>
    <cellStyle name="20% - Accent5 13 3 4" xfId="3171" xr:uid="{00000000-0005-0000-0000-0000651C0000}"/>
    <cellStyle name="20% - Accent5 13 3 4 2" xfId="14423" xr:uid="{00000000-0005-0000-0000-0000661C0000}"/>
    <cellStyle name="20% - Accent5 13 3 4 3" xfId="18374" xr:uid="{00000000-0005-0000-0000-0000671C0000}"/>
    <cellStyle name="20% - Accent5 13 3 5" xfId="3172" xr:uid="{00000000-0005-0000-0000-0000681C0000}"/>
    <cellStyle name="20% - Accent5 13 3 5 2" xfId="14424" xr:uid="{00000000-0005-0000-0000-0000691C0000}"/>
    <cellStyle name="20% - Accent5 13 3 5 3" xfId="18375" xr:uid="{00000000-0005-0000-0000-00006A1C0000}"/>
    <cellStyle name="20% - Accent5 13 3 6" xfId="14416" xr:uid="{00000000-0005-0000-0000-00006B1C0000}"/>
    <cellStyle name="20% - Accent5 13 3 7" xfId="18367" xr:uid="{00000000-0005-0000-0000-00006C1C0000}"/>
    <cellStyle name="20% - Accent5 13 3_Volatility" xfId="3173" xr:uid="{00000000-0005-0000-0000-00006D1C0000}"/>
    <cellStyle name="20% - Accent5 13 4" xfId="3174" xr:uid="{00000000-0005-0000-0000-00006E1C0000}"/>
    <cellStyle name="20% - Accent5 13 4 2" xfId="3175" xr:uid="{00000000-0005-0000-0000-00006F1C0000}"/>
    <cellStyle name="20% - Accent5 13 4 2 2" xfId="14426" xr:uid="{00000000-0005-0000-0000-0000701C0000}"/>
    <cellStyle name="20% - Accent5 13 4 2 3" xfId="18377" xr:uid="{00000000-0005-0000-0000-0000711C0000}"/>
    <cellStyle name="20% - Accent5 13 4 3" xfId="3176" xr:uid="{00000000-0005-0000-0000-0000721C0000}"/>
    <cellStyle name="20% - Accent5 13 4 3 2" xfId="14427" xr:uid="{00000000-0005-0000-0000-0000731C0000}"/>
    <cellStyle name="20% - Accent5 13 4 3 3" xfId="18378" xr:uid="{00000000-0005-0000-0000-0000741C0000}"/>
    <cellStyle name="20% - Accent5 13 4 4" xfId="14425" xr:uid="{00000000-0005-0000-0000-0000751C0000}"/>
    <cellStyle name="20% - Accent5 13 4 5" xfId="18376" xr:uid="{00000000-0005-0000-0000-0000761C0000}"/>
    <cellStyle name="20% - Accent5 13 5" xfId="3177" xr:uid="{00000000-0005-0000-0000-0000771C0000}"/>
    <cellStyle name="20% - Accent5 13 5 2" xfId="3178" xr:uid="{00000000-0005-0000-0000-0000781C0000}"/>
    <cellStyle name="20% - Accent5 13 5 2 2" xfId="14429" xr:uid="{00000000-0005-0000-0000-0000791C0000}"/>
    <cellStyle name="20% - Accent5 13 5 2 3" xfId="18380" xr:uid="{00000000-0005-0000-0000-00007A1C0000}"/>
    <cellStyle name="20% - Accent5 13 5 3" xfId="3179" xr:uid="{00000000-0005-0000-0000-00007B1C0000}"/>
    <cellStyle name="20% - Accent5 13 5 3 2" xfId="14430" xr:uid="{00000000-0005-0000-0000-00007C1C0000}"/>
    <cellStyle name="20% - Accent5 13 5 3 3" xfId="18381" xr:uid="{00000000-0005-0000-0000-00007D1C0000}"/>
    <cellStyle name="20% - Accent5 13 5 4" xfId="14428" xr:uid="{00000000-0005-0000-0000-00007E1C0000}"/>
    <cellStyle name="20% - Accent5 13 5 5" xfId="18379" xr:uid="{00000000-0005-0000-0000-00007F1C0000}"/>
    <cellStyle name="20% - Accent5 13 6" xfId="3180" xr:uid="{00000000-0005-0000-0000-0000801C0000}"/>
    <cellStyle name="20% - Accent5 13 6 2" xfId="3181" xr:uid="{00000000-0005-0000-0000-0000811C0000}"/>
    <cellStyle name="20% - Accent5 13 6 2 2" xfId="14432" xr:uid="{00000000-0005-0000-0000-0000821C0000}"/>
    <cellStyle name="20% - Accent5 13 6 2 3" xfId="18383" xr:uid="{00000000-0005-0000-0000-0000831C0000}"/>
    <cellStyle name="20% - Accent5 13 6 3" xfId="3182" xr:uid="{00000000-0005-0000-0000-0000841C0000}"/>
    <cellStyle name="20% - Accent5 13 6 3 2" xfId="14433" xr:uid="{00000000-0005-0000-0000-0000851C0000}"/>
    <cellStyle name="20% - Accent5 13 6 3 3" xfId="18384" xr:uid="{00000000-0005-0000-0000-0000861C0000}"/>
    <cellStyle name="20% - Accent5 13 6 4" xfId="14431" xr:uid="{00000000-0005-0000-0000-0000871C0000}"/>
    <cellStyle name="20% - Accent5 13 6 5" xfId="18382" xr:uid="{00000000-0005-0000-0000-0000881C0000}"/>
    <cellStyle name="20% - Accent5 13 7" xfId="3183" xr:uid="{00000000-0005-0000-0000-0000891C0000}"/>
    <cellStyle name="20% - Accent5 13 7 2" xfId="14434" xr:uid="{00000000-0005-0000-0000-00008A1C0000}"/>
    <cellStyle name="20% - Accent5 13 7 3" xfId="18385" xr:uid="{00000000-0005-0000-0000-00008B1C0000}"/>
    <cellStyle name="20% - Accent5 13 8" xfId="3184" xr:uid="{00000000-0005-0000-0000-00008C1C0000}"/>
    <cellStyle name="20% - Accent5 13 8 2" xfId="14435" xr:uid="{00000000-0005-0000-0000-00008D1C0000}"/>
    <cellStyle name="20% - Accent5 13 8 3" xfId="18386" xr:uid="{00000000-0005-0000-0000-00008E1C0000}"/>
    <cellStyle name="20% - Accent5 13 9" xfId="14403" xr:uid="{00000000-0005-0000-0000-00008F1C0000}"/>
    <cellStyle name="20% - Accent5 13_Volatility" xfId="3185" xr:uid="{00000000-0005-0000-0000-0000901C0000}"/>
    <cellStyle name="20% - Accent5 14" xfId="3186" xr:uid="{00000000-0005-0000-0000-0000911C0000}"/>
    <cellStyle name="20% - Accent5 14 10" xfId="18387" xr:uid="{00000000-0005-0000-0000-0000921C0000}"/>
    <cellStyle name="20% - Accent5 14 2" xfId="3187" xr:uid="{00000000-0005-0000-0000-0000931C0000}"/>
    <cellStyle name="20% - Accent5 14 2 2" xfId="3188" xr:uid="{00000000-0005-0000-0000-0000941C0000}"/>
    <cellStyle name="20% - Accent5 14 2 2 2" xfId="3189" xr:uid="{00000000-0005-0000-0000-0000951C0000}"/>
    <cellStyle name="20% - Accent5 14 2 2 2 2" xfId="14439" xr:uid="{00000000-0005-0000-0000-0000961C0000}"/>
    <cellStyle name="20% - Accent5 14 2 2 2 3" xfId="18390" xr:uid="{00000000-0005-0000-0000-0000971C0000}"/>
    <cellStyle name="20% - Accent5 14 2 2 3" xfId="3190" xr:uid="{00000000-0005-0000-0000-0000981C0000}"/>
    <cellStyle name="20% - Accent5 14 2 2 3 2" xfId="14440" xr:uid="{00000000-0005-0000-0000-0000991C0000}"/>
    <cellStyle name="20% - Accent5 14 2 2 3 3" xfId="18391" xr:uid="{00000000-0005-0000-0000-00009A1C0000}"/>
    <cellStyle name="20% - Accent5 14 2 2 4" xfId="14438" xr:uid="{00000000-0005-0000-0000-00009B1C0000}"/>
    <cellStyle name="20% - Accent5 14 2 2 5" xfId="18389" xr:uid="{00000000-0005-0000-0000-00009C1C0000}"/>
    <cellStyle name="20% - Accent5 14 2 3" xfId="3191" xr:uid="{00000000-0005-0000-0000-00009D1C0000}"/>
    <cellStyle name="20% - Accent5 14 2 3 2" xfId="3192" xr:uid="{00000000-0005-0000-0000-00009E1C0000}"/>
    <cellStyle name="20% - Accent5 14 2 3 2 2" xfId="14442" xr:uid="{00000000-0005-0000-0000-00009F1C0000}"/>
    <cellStyle name="20% - Accent5 14 2 3 2 3" xfId="18393" xr:uid="{00000000-0005-0000-0000-0000A01C0000}"/>
    <cellStyle name="20% - Accent5 14 2 3 3" xfId="3193" xr:uid="{00000000-0005-0000-0000-0000A11C0000}"/>
    <cellStyle name="20% - Accent5 14 2 3 3 2" xfId="14443" xr:uid="{00000000-0005-0000-0000-0000A21C0000}"/>
    <cellStyle name="20% - Accent5 14 2 3 3 3" xfId="18394" xr:uid="{00000000-0005-0000-0000-0000A31C0000}"/>
    <cellStyle name="20% - Accent5 14 2 3 4" xfId="14441" xr:uid="{00000000-0005-0000-0000-0000A41C0000}"/>
    <cellStyle name="20% - Accent5 14 2 3 5" xfId="18392" xr:uid="{00000000-0005-0000-0000-0000A51C0000}"/>
    <cellStyle name="20% - Accent5 14 2 4" xfId="3194" xr:uid="{00000000-0005-0000-0000-0000A61C0000}"/>
    <cellStyle name="20% - Accent5 14 2 4 2" xfId="3195" xr:uid="{00000000-0005-0000-0000-0000A71C0000}"/>
    <cellStyle name="20% - Accent5 14 2 4 2 2" xfId="14445" xr:uid="{00000000-0005-0000-0000-0000A81C0000}"/>
    <cellStyle name="20% - Accent5 14 2 4 2 3" xfId="18396" xr:uid="{00000000-0005-0000-0000-0000A91C0000}"/>
    <cellStyle name="20% - Accent5 14 2 4 3" xfId="3196" xr:uid="{00000000-0005-0000-0000-0000AA1C0000}"/>
    <cellStyle name="20% - Accent5 14 2 4 3 2" xfId="14446" xr:uid="{00000000-0005-0000-0000-0000AB1C0000}"/>
    <cellStyle name="20% - Accent5 14 2 4 3 3" xfId="18397" xr:uid="{00000000-0005-0000-0000-0000AC1C0000}"/>
    <cellStyle name="20% - Accent5 14 2 4 4" xfId="14444" xr:uid="{00000000-0005-0000-0000-0000AD1C0000}"/>
    <cellStyle name="20% - Accent5 14 2 4 5" xfId="18395" xr:uid="{00000000-0005-0000-0000-0000AE1C0000}"/>
    <cellStyle name="20% - Accent5 14 2 5" xfId="3197" xr:uid="{00000000-0005-0000-0000-0000AF1C0000}"/>
    <cellStyle name="20% - Accent5 14 2 5 2" xfId="14447" xr:uid="{00000000-0005-0000-0000-0000B01C0000}"/>
    <cellStyle name="20% - Accent5 14 2 5 3" xfId="18398" xr:uid="{00000000-0005-0000-0000-0000B11C0000}"/>
    <cellStyle name="20% - Accent5 14 2 6" xfId="3198" xr:uid="{00000000-0005-0000-0000-0000B21C0000}"/>
    <cellStyle name="20% - Accent5 14 2 6 2" xfId="14448" xr:uid="{00000000-0005-0000-0000-0000B31C0000}"/>
    <cellStyle name="20% - Accent5 14 2 6 3" xfId="18399" xr:uid="{00000000-0005-0000-0000-0000B41C0000}"/>
    <cellStyle name="20% - Accent5 14 2 7" xfId="14437" xr:uid="{00000000-0005-0000-0000-0000B51C0000}"/>
    <cellStyle name="20% - Accent5 14 2 8" xfId="18388" xr:uid="{00000000-0005-0000-0000-0000B61C0000}"/>
    <cellStyle name="20% - Accent5 14 2_Volatility" xfId="3199" xr:uid="{00000000-0005-0000-0000-0000B71C0000}"/>
    <cellStyle name="20% - Accent5 14 3" xfId="3200" xr:uid="{00000000-0005-0000-0000-0000B81C0000}"/>
    <cellStyle name="20% - Accent5 14 3 2" xfId="3201" xr:uid="{00000000-0005-0000-0000-0000B91C0000}"/>
    <cellStyle name="20% - Accent5 14 3 2 2" xfId="3202" xr:uid="{00000000-0005-0000-0000-0000BA1C0000}"/>
    <cellStyle name="20% - Accent5 14 3 2 2 2" xfId="14451" xr:uid="{00000000-0005-0000-0000-0000BB1C0000}"/>
    <cellStyle name="20% - Accent5 14 3 2 2 3" xfId="18402" xr:uid="{00000000-0005-0000-0000-0000BC1C0000}"/>
    <cellStyle name="20% - Accent5 14 3 2 3" xfId="3203" xr:uid="{00000000-0005-0000-0000-0000BD1C0000}"/>
    <cellStyle name="20% - Accent5 14 3 2 3 2" xfId="14452" xr:uid="{00000000-0005-0000-0000-0000BE1C0000}"/>
    <cellStyle name="20% - Accent5 14 3 2 3 3" xfId="18403" xr:uid="{00000000-0005-0000-0000-0000BF1C0000}"/>
    <cellStyle name="20% - Accent5 14 3 2 4" xfId="14450" xr:uid="{00000000-0005-0000-0000-0000C01C0000}"/>
    <cellStyle name="20% - Accent5 14 3 2 5" xfId="18401" xr:uid="{00000000-0005-0000-0000-0000C11C0000}"/>
    <cellStyle name="20% - Accent5 14 3 3" xfId="3204" xr:uid="{00000000-0005-0000-0000-0000C21C0000}"/>
    <cellStyle name="20% - Accent5 14 3 3 2" xfId="3205" xr:uid="{00000000-0005-0000-0000-0000C31C0000}"/>
    <cellStyle name="20% - Accent5 14 3 3 2 2" xfId="14454" xr:uid="{00000000-0005-0000-0000-0000C41C0000}"/>
    <cellStyle name="20% - Accent5 14 3 3 2 3" xfId="18405" xr:uid="{00000000-0005-0000-0000-0000C51C0000}"/>
    <cellStyle name="20% - Accent5 14 3 3 3" xfId="3206" xr:uid="{00000000-0005-0000-0000-0000C61C0000}"/>
    <cellStyle name="20% - Accent5 14 3 3 3 2" xfId="14455" xr:uid="{00000000-0005-0000-0000-0000C71C0000}"/>
    <cellStyle name="20% - Accent5 14 3 3 3 3" xfId="18406" xr:uid="{00000000-0005-0000-0000-0000C81C0000}"/>
    <cellStyle name="20% - Accent5 14 3 3 4" xfId="14453" xr:uid="{00000000-0005-0000-0000-0000C91C0000}"/>
    <cellStyle name="20% - Accent5 14 3 3 5" xfId="18404" xr:uid="{00000000-0005-0000-0000-0000CA1C0000}"/>
    <cellStyle name="20% - Accent5 14 3 4" xfId="3207" xr:uid="{00000000-0005-0000-0000-0000CB1C0000}"/>
    <cellStyle name="20% - Accent5 14 3 4 2" xfId="14456" xr:uid="{00000000-0005-0000-0000-0000CC1C0000}"/>
    <cellStyle name="20% - Accent5 14 3 4 3" xfId="18407" xr:uid="{00000000-0005-0000-0000-0000CD1C0000}"/>
    <cellStyle name="20% - Accent5 14 3 5" xfId="3208" xr:uid="{00000000-0005-0000-0000-0000CE1C0000}"/>
    <cellStyle name="20% - Accent5 14 3 5 2" xfId="14457" xr:uid="{00000000-0005-0000-0000-0000CF1C0000}"/>
    <cellStyle name="20% - Accent5 14 3 5 3" xfId="18408" xr:uid="{00000000-0005-0000-0000-0000D01C0000}"/>
    <cellStyle name="20% - Accent5 14 3 6" xfId="14449" xr:uid="{00000000-0005-0000-0000-0000D11C0000}"/>
    <cellStyle name="20% - Accent5 14 3 7" xfId="18400" xr:uid="{00000000-0005-0000-0000-0000D21C0000}"/>
    <cellStyle name="20% - Accent5 14 3_Volatility" xfId="3209" xr:uid="{00000000-0005-0000-0000-0000D31C0000}"/>
    <cellStyle name="20% - Accent5 14 4" xfId="3210" xr:uid="{00000000-0005-0000-0000-0000D41C0000}"/>
    <cellStyle name="20% - Accent5 14 4 2" xfId="3211" xr:uid="{00000000-0005-0000-0000-0000D51C0000}"/>
    <cellStyle name="20% - Accent5 14 4 2 2" xfId="14459" xr:uid="{00000000-0005-0000-0000-0000D61C0000}"/>
    <cellStyle name="20% - Accent5 14 4 2 3" xfId="18410" xr:uid="{00000000-0005-0000-0000-0000D71C0000}"/>
    <cellStyle name="20% - Accent5 14 4 3" xfId="3212" xr:uid="{00000000-0005-0000-0000-0000D81C0000}"/>
    <cellStyle name="20% - Accent5 14 4 3 2" xfId="14460" xr:uid="{00000000-0005-0000-0000-0000D91C0000}"/>
    <cellStyle name="20% - Accent5 14 4 3 3" xfId="18411" xr:uid="{00000000-0005-0000-0000-0000DA1C0000}"/>
    <cellStyle name="20% - Accent5 14 4 4" xfId="14458" xr:uid="{00000000-0005-0000-0000-0000DB1C0000}"/>
    <cellStyle name="20% - Accent5 14 4 5" xfId="18409" xr:uid="{00000000-0005-0000-0000-0000DC1C0000}"/>
    <cellStyle name="20% - Accent5 14 5" xfId="3213" xr:uid="{00000000-0005-0000-0000-0000DD1C0000}"/>
    <cellStyle name="20% - Accent5 14 5 2" xfId="3214" xr:uid="{00000000-0005-0000-0000-0000DE1C0000}"/>
    <cellStyle name="20% - Accent5 14 5 2 2" xfId="14462" xr:uid="{00000000-0005-0000-0000-0000DF1C0000}"/>
    <cellStyle name="20% - Accent5 14 5 2 3" xfId="18413" xr:uid="{00000000-0005-0000-0000-0000E01C0000}"/>
    <cellStyle name="20% - Accent5 14 5 3" xfId="3215" xr:uid="{00000000-0005-0000-0000-0000E11C0000}"/>
    <cellStyle name="20% - Accent5 14 5 3 2" xfId="14463" xr:uid="{00000000-0005-0000-0000-0000E21C0000}"/>
    <cellStyle name="20% - Accent5 14 5 3 3" xfId="18414" xr:uid="{00000000-0005-0000-0000-0000E31C0000}"/>
    <cellStyle name="20% - Accent5 14 5 4" xfId="14461" xr:uid="{00000000-0005-0000-0000-0000E41C0000}"/>
    <cellStyle name="20% - Accent5 14 5 5" xfId="18412" xr:uid="{00000000-0005-0000-0000-0000E51C0000}"/>
    <cellStyle name="20% - Accent5 14 6" xfId="3216" xr:uid="{00000000-0005-0000-0000-0000E61C0000}"/>
    <cellStyle name="20% - Accent5 14 6 2" xfId="3217" xr:uid="{00000000-0005-0000-0000-0000E71C0000}"/>
    <cellStyle name="20% - Accent5 14 6 2 2" xfId="14465" xr:uid="{00000000-0005-0000-0000-0000E81C0000}"/>
    <cellStyle name="20% - Accent5 14 6 2 3" xfId="18416" xr:uid="{00000000-0005-0000-0000-0000E91C0000}"/>
    <cellStyle name="20% - Accent5 14 6 3" xfId="3218" xr:uid="{00000000-0005-0000-0000-0000EA1C0000}"/>
    <cellStyle name="20% - Accent5 14 6 3 2" xfId="14466" xr:uid="{00000000-0005-0000-0000-0000EB1C0000}"/>
    <cellStyle name="20% - Accent5 14 6 3 3" xfId="18417" xr:uid="{00000000-0005-0000-0000-0000EC1C0000}"/>
    <cellStyle name="20% - Accent5 14 6 4" xfId="14464" xr:uid="{00000000-0005-0000-0000-0000ED1C0000}"/>
    <cellStyle name="20% - Accent5 14 6 5" xfId="18415" xr:uid="{00000000-0005-0000-0000-0000EE1C0000}"/>
    <cellStyle name="20% - Accent5 14 7" xfId="3219" xr:uid="{00000000-0005-0000-0000-0000EF1C0000}"/>
    <cellStyle name="20% - Accent5 14 7 2" xfId="14467" xr:uid="{00000000-0005-0000-0000-0000F01C0000}"/>
    <cellStyle name="20% - Accent5 14 7 3" xfId="18418" xr:uid="{00000000-0005-0000-0000-0000F11C0000}"/>
    <cellStyle name="20% - Accent5 14 8" xfId="3220" xr:uid="{00000000-0005-0000-0000-0000F21C0000}"/>
    <cellStyle name="20% - Accent5 14 8 2" xfId="14468" xr:uid="{00000000-0005-0000-0000-0000F31C0000}"/>
    <cellStyle name="20% - Accent5 14 8 3" xfId="18419" xr:uid="{00000000-0005-0000-0000-0000F41C0000}"/>
    <cellStyle name="20% - Accent5 14 9" xfId="14436" xr:uid="{00000000-0005-0000-0000-0000F51C0000}"/>
    <cellStyle name="20% - Accent5 14_Volatility" xfId="3221" xr:uid="{00000000-0005-0000-0000-0000F61C0000}"/>
    <cellStyle name="20% - Accent5 15" xfId="3222" xr:uid="{00000000-0005-0000-0000-0000F71C0000}"/>
    <cellStyle name="20% - Accent5 15 10" xfId="18420" xr:uid="{00000000-0005-0000-0000-0000F81C0000}"/>
    <cellStyle name="20% - Accent5 15 2" xfId="3223" xr:uid="{00000000-0005-0000-0000-0000F91C0000}"/>
    <cellStyle name="20% - Accent5 15 2 2" xfId="3224" xr:uid="{00000000-0005-0000-0000-0000FA1C0000}"/>
    <cellStyle name="20% - Accent5 15 2 2 2" xfId="3225" xr:uid="{00000000-0005-0000-0000-0000FB1C0000}"/>
    <cellStyle name="20% - Accent5 15 2 2 2 2" xfId="14472" xr:uid="{00000000-0005-0000-0000-0000FC1C0000}"/>
    <cellStyle name="20% - Accent5 15 2 2 2 3" xfId="18423" xr:uid="{00000000-0005-0000-0000-0000FD1C0000}"/>
    <cellStyle name="20% - Accent5 15 2 2 3" xfId="3226" xr:uid="{00000000-0005-0000-0000-0000FE1C0000}"/>
    <cellStyle name="20% - Accent5 15 2 2 3 2" xfId="14473" xr:uid="{00000000-0005-0000-0000-0000FF1C0000}"/>
    <cellStyle name="20% - Accent5 15 2 2 3 3" xfId="18424" xr:uid="{00000000-0005-0000-0000-0000001D0000}"/>
    <cellStyle name="20% - Accent5 15 2 2 4" xfId="14471" xr:uid="{00000000-0005-0000-0000-0000011D0000}"/>
    <cellStyle name="20% - Accent5 15 2 2 5" xfId="18422" xr:uid="{00000000-0005-0000-0000-0000021D0000}"/>
    <cellStyle name="20% - Accent5 15 2 3" xfId="3227" xr:uid="{00000000-0005-0000-0000-0000031D0000}"/>
    <cellStyle name="20% - Accent5 15 2 3 2" xfId="3228" xr:uid="{00000000-0005-0000-0000-0000041D0000}"/>
    <cellStyle name="20% - Accent5 15 2 3 2 2" xfId="14475" xr:uid="{00000000-0005-0000-0000-0000051D0000}"/>
    <cellStyle name="20% - Accent5 15 2 3 2 3" xfId="18426" xr:uid="{00000000-0005-0000-0000-0000061D0000}"/>
    <cellStyle name="20% - Accent5 15 2 3 3" xfId="3229" xr:uid="{00000000-0005-0000-0000-0000071D0000}"/>
    <cellStyle name="20% - Accent5 15 2 3 3 2" xfId="14476" xr:uid="{00000000-0005-0000-0000-0000081D0000}"/>
    <cellStyle name="20% - Accent5 15 2 3 3 3" xfId="18427" xr:uid="{00000000-0005-0000-0000-0000091D0000}"/>
    <cellStyle name="20% - Accent5 15 2 3 4" xfId="14474" xr:uid="{00000000-0005-0000-0000-00000A1D0000}"/>
    <cellStyle name="20% - Accent5 15 2 3 5" xfId="18425" xr:uid="{00000000-0005-0000-0000-00000B1D0000}"/>
    <cellStyle name="20% - Accent5 15 2 4" xfId="3230" xr:uid="{00000000-0005-0000-0000-00000C1D0000}"/>
    <cellStyle name="20% - Accent5 15 2 4 2" xfId="3231" xr:uid="{00000000-0005-0000-0000-00000D1D0000}"/>
    <cellStyle name="20% - Accent5 15 2 4 2 2" xfId="14478" xr:uid="{00000000-0005-0000-0000-00000E1D0000}"/>
    <cellStyle name="20% - Accent5 15 2 4 2 3" xfId="18429" xr:uid="{00000000-0005-0000-0000-00000F1D0000}"/>
    <cellStyle name="20% - Accent5 15 2 4 3" xfId="3232" xr:uid="{00000000-0005-0000-0000-0000101D0000}"/>
    <cellStyle name="20% - Accent5 15 2 4 3 2" xfId="14479" xr:uid="{00000000-0005-0000-0000-0000111D0000}"/>
    <cellStyle name="20% - Accent5 15 2 4 3 3" xfId="18430" xr:uid="{00000000-0005-0000-0000-0000121D0000}"/>
    <cellStyle name="20% - Accent5 15 2 4 4" xfId="14477" xr:uid="{00000000-0005-0000-0000-0000131D0000}"/>
    <cellStyle name="20% - Accent5 15 2 4 5" xfId="18428" xr:uid="{00000000-0005-0000-0000-0000141D0000}"/>
    <cellStyle name="20% - Accent5 15 2 5" xfId="3233" xr:uid="{00000000-0005-0000-0000-0000151D0000}"/>
    <cellStyle name="20% - Accent5 15 2 5 2" xfId="14480" xr:uid="{00000000-0005-0000-0000-0000161D0000}"/>
    <cellStyle name="20% - Accent5 15 2 5 3" xfId="18431" xr:uid="{00000000-0005-0000-0000-0000171D0000}"/>
    <cellStyle name="20% - Accent5 15 2 6" xfId="3234" xr:uid="{00000000-0005-0000-0000-0000181D0000}"/>
    <cellStyle name="20% - Accent5 15 2 6 2" xfId="14481" xr:uid="{00000000-0005-0000-0000-0000191D0000}"/>
    <cellStyle name="20% - Accent5 15 2 6 3" xfId="18432" xr:uid="{00000000-0005-0000-0000-00001A1D0000}"/>
    <cellStyle name="20% - Accent5 15 2 7" xfId="14470" xr:uid="{00000000-0005-0000-0000-00001B1D0000}"/>
    <cellStyle name="20% - Accent5 15 2 8" xfId="18421" xr:uid="{00000000-0005-0000-0000-00001C1D0000}"/>
    <cellStyle name="20% - Accent5 15 2_Volatility" xfId="3235" xr:uid="{00000000-0005-0000-0000-00001D1D0000}"/>
    <cellStyle name="20% - Accent5 15 3" xfId="3236" xr:uid="{00000000-0005-0000-0000-00001E1D0000}"/>
    <cellStyle name="20% - Accent5 15 3 2" xfId="3237" xr:uid="{00000000-0005-0000-0000-00001F1D0000}"/>
    <cellStyle name="20% - Accent5 15 3 2 2" xfId="3238" xr:uid="{00000000-0005-0000-0000-0000201D0000}"/>
    <cellStyle name="20% - Accent5 15 3 2 2 2" xfId="14484" xr:uid="{00000000-0005-0000-0000-0000211D0000}"/>
    <cellStyle name="20% - Accent5 15 3 2 2 3" xfId="18435" xr:uid="{00000000-0005-0000-0000-0000221D0000}"/>
    <cellStyle name="20% - Accent5 15 3 2 3" xfId="3239" xr:uid="{00000000-0005-0000-0000-0000231D0000}"/>
    <cellStyle name="20% - Accent5 15 3 2 3 2" xfId="14485" xr:uid="{00000000-0005-0000-0000-0000241D0000}"/>
    <cellStyle name="20% - Accent5 15 3 2 3 3" xfId="18436" xr:uid="{00000000-0005-0000-0000-0000251D0000}"/>
    <cellStyle name="20% - Accent5 15 3 2 4" xfId="14483" xr:uid="{00000000-0005-0000-0000-0000261D0000}"/>
    <cellStyle name="20% - Accent5 15 3 2 5" xfId="18434" xr:uid="{00000000-0005-0000-0000-0000271D0000}"/>
    <cellStyle name="20% - Accent5 15 3 3" xfId="3240" xr:uid="{00000000-0005-0000-0000-0000281D0000}"/>
    <cellStyle name="20% - Accent5 15 3 3 2" xfId="3241" xr:uid="{00000000-0005-0000-0000-0000291D0000}"/>
    <cellStyle name="20% - Accent5 15 3 3 2 2" xfId="14487" xr:uid="{00000000-0005-0000-0000-00002A1D0000}"/>
    <cellStyle name="20% - Accent5 15 3 3 2 3" xfId="18438" xr:uid="{00000000-0005-0000-0000-00002B1D0000}"/>
    <cellStyle name="20% - Accent5 15 3 3 3" xfId="3242" xr:uid="{00000000-0005-0000-0000-00002C1D0000}"/>
    <cellStyle name="20% - Accent5 15 3 3 3 2" xfId="14488" xr:uid="{00000000-0005-0000-0000-00002D1D0000}"/>
    <cellStyle name="20% - Accent5 15 3 3 3 3" xfId="18439" xr:uid="{00000000-0005-0000-0000-00002E1D0000}"/>
    <cellStyle name="20% - Accent5 15 3 3 4" xfId="14486" xr:uid="{00000000-0005-0000-0000-00002F1D0000}"/>
    <cellStyle name="20% - Accent5 15 3 3 5" xfId="18437" xr:uid="{00000000-0005-0000-0000-0000301D0000}"/>
    <cellStyle name="20% - Accent5 15 3 4" xfId="3243" xr:uid="{00000000-0005-0000-0000-0000311D0000}"/>
    <cellStyle name="20% - Accent5 15 3 4 2" xfId="14489" xr:uid="{00000000-0005-0000-0000-0000321D0000}"/>
    <cellStyle name="20% - Accent5 15 3 4 3" xfId="18440" xr:uid="{00000000-0005-0000-0000-0000331D0000}"/>
    <cellStyle name="20% - Accent5 15 3 5" xfId="3244" xr:uid="{00000000-0005-0000-0000-0000341D0000}"/>
    <cellStyle name="20% - Accent5 15 3 5 2" xfId="14490" xr:uid="{00000000-0005-0000-0000-0000351D0000}"/>
    <cellStyle name="20% - Accent5 15 3 5 3" xfId="18441" xr:uid="{00000000-0005-0000-0000-0000361D0000}"/>
    <cellStyle name="20% - Accent5 15 3 6" xfId="14482" xr:uid="{00000000-0005-0000-0000-0000371D0000}"/>
    <cellStyle name="20% - Accent5 15 3 7" xfId="18433" xr:uid="{00000000-0005-0000-0000-0000381D0000}"/>
    <cellStyle name="20% - Accent5 15 3_Volatility" xfId="3245" xr:uid="{00000000-0005-0000-0000-0000391D0000}"/>
    <cellStyle name="20% - Accent5 15 4" xfId="3246" xr:uid="{00000000-0005-0000-0000-00003A1D0000}"/>
    <cellStyle name="20% - Accent5 15 4 2" xfId="3247" xr:uid="{00000000-0005-0000-0000-00003B1D0000}"/>
    <cellStyle name="20% - Accent5 15 4 2 2" xfId="14492" xr:uid="{00000000-0005-0000-0000-00003C1D0000}"/>
    <cellStyle name="20% - Accent5 15 4 2 3" xfId="18443" xr:uid="{00000000-0005-0000-0000-00003D1D0000}"/>
    <cellStyle name="20% - Accent5 15 4 3" xfId="3248" xr:uid="{00000000-0005-0000-0000-00003E1D0000}"/>
    <cellStyle name="20% - Accent5 15 4 3 2" xfId="14493" xr:uid="{00000000-0005-0000-0000-00003F1D0000}"/>
    <cellStyle name="20% - Accent5 15 4 3 3" xfId="18444" xr:uid="{00000000-0005-0000-0000-0000401D0000}"/>
    <cellStyle name="20% - Accent5 15 4 4" xfId="14491" xr:uid="{00000000-0005-0000-0000-0000411D0000}"/>
    <cellStyle name="20% - Accent5 15 4 5" xfId="18442" xr:uid="{00000000-0005-0000-0000-0000421D0000}"/>
    <cellStyle name="20% - Accent5 15 5" xfId="3249" xr:uid="{00000000-0005-0000-0000-0000431D0000}"/>
    <cellStyle name="20% - Accent5 15 5 2" xfId="3250" xr:uid="{00000000-0005-0000-0000-0000441D0000}"/>
    <cellStyle name="20% - Accent5 15 5 2 2" xfId="14495" xr:uid="{00000000-0005-0000-0000-0000451D0000}"/>
    <cellStyle name="20% - Accent5 15 5 2 3" xfId="18446" xr:uid="{00000000-0005-0000-0000-0000461D0000}"/>
    <cellStyle name="20% - Accent5 15 5 3" xfId="3251" xr:uid="{00000000-0005-0000-0000-0000471D0000}"/>
    <cellStyle name="20% - Accent5 15 5 3 2" xfId="14496" xr:uid="{00000000-0005-0000-0000-0000481D0000}"/>
    <cellStyle name="20% - Accent5 15 5 3 3" xfId="18447" xr:uid="{00000000-0005-0000-0000-0000491D0000}"/>
    <cellStyle name="20% - Accent5 15 5 4" xfId="14494" xr:uid="{00000000-0005-0000-0000-00004A1D0000}"/>
    <cellStyle name="20% - Accent5 15 5 5" xfId="18445" xr:uid="{00000000-0005-0000-0000-00004B1D0000}"/>
    <cellStyle name="20% - Accent5 15 6" xfId="3252" xr:uid="{00000000-0005-0000-0000-00004C1D0000}"/>
    <cellStyle name="20% - Accent5 15 6 2" xfId="3253" xr:uid="{00000000-0005-0000-0000-00004D1D0000}"/>
    <cellStyle name="20% - Accent5 15 6 2 2" xfId="14498" xr:uid="{00000000-0005-0000-0000-00004E1D0000}"/>
    <cellStyle name="20% - Accent5 15 6 2 3" xfId="18449" xr:uid="{00000000-0005-0000-0000-00004F1D0000}"/>
    <cellStyle name="20% - Accent5 15 6 3" xfId="3254" xr:uid="{00000000-0005-0000-0000-0000501D0000}"/>
    <cellStyle name="20% - Accent5 15 6 3 2" xfId="14499" xr:uid="{00000000-0005-0000-0000-0000511D0000}"/>
    <cellStyle name="20% - Accent5 15 6 3 3" xfId="18450" xr:uid="{00000000-0005-0000-0000-0000521D0000}"/>
    <cellStyle name="20% - Accent5 15 6 4" xfId="14497" xr:uid="{00000000-0005-0000-0000-0000531D0000}"/>
    <cellStyle name="20% - Accent5 15 6 5" xfId="18448" xr:uid="{00000000-0005-0000-0000-0000541D0000}"/>
    <cellStyle name="20% - Accent5 15 7" xfId="3255" xr:uid="{00000000-0005-0000-0000-0000551D0000}"/>
    <cellStyle name="20% - Accent5 15 7 2" xfId="14500" xr:uid="{00000000-0005-0000-0000-0000561D0000}"/>
    <cellStyle name="20% - Accent5 15 7 3" xfId="18451" xr:uid="{00000000-0005-0000-0000-0000571D0000}"/>
    <cellStyle name="20% - Accent5 15 8" xfId="3256" xr:uid="{00000000-0005-0000-0000-0000581D0000}"/>
    <cellStyle name="20% - Accent5 15 8 2" xfId="14501" xr:uid="{00000000-0005-0000-0000-0000591D0000}"/>
    <cellStyle name="20% - Accent5 15 8 3" xfId="18452" xr:uid="{00000000-0005-0000-0000-00005A1D0000}"/>
    <cellStyle name="20% - Accent5 15 9" xfId="14469" xr:uid="{00000000-0005-0000-0000-00005B1D0000}"/>
    <cellStyle name="20% - Accent5 15_Volatility" xfId="3257" xr:uid="{00000000-0005-0000-0000-00005C1D0000}"/>
    <cellStyle name="20% - Accent5 16" xfId="3258" xr:uid="{00000000-0005-0000-0000-00005D1D0000}"/>
    <cellStyle name="20% - Accent5 16 2" xfId="14502" xr:uid="{00000000-0005-0000-0000-00005E1D0000}"/>
    <cellStyle name="20% - Accent5 16 3" xfId="18453" xr:uid="{00000000-0005-0000-0000-00005F1D0000}"/>
    <cellStyle name="20% - Accent5 17" xfId="3259" xr:uid="{00000000-0005-0000-0000-0000601D0000}"/>
    <cellStyle name="20% - Accent5 17 2" xfId="14503" xr:uid="{00000000-0005-0000-0000-0000611D0000}"/>
    <cellStyle name="20% - Accent5 17 3" xfId="18454" xr:uid="{00000000-0005-0000-0000-0000621D0000}"/>
    <cellStyle name="20% - Accent5 18" xfId="3260" xr:uid="{00000000-0005-0000-0000-0000631D0000}"/>
    <cellStyle name="20% - Accent5 18 2" xfId="14504" xr:uid="{00000000-0005-0000-0000-0000641D0000}"/>
    <cellStyle name="20% - Accent5 18 3" xfId="18455" xr:uid="{00000000-0005-0000-0000-0000651D0000}"/>
    <cellStyle name="20% - Accent5 19" xfId="3261" xr:uid="{00000000-0005-0000-0000-0000661D0000}"/>
    <cellStyle name="20% - Accent5 19 2" xfId="14505" xr:uid="{00000000-0005-0000-0000-0000671D0000}"/>
    <cellStyle name="20% - Accent5 19 3" xfId="18456" xr:uid="{00000000-0005-0000-0000-0000681D0000}"/>
    <cellStyle name="20% - Accent5 2" xfId="3262" xr:uid="{00000000-0005-0000-0000-0000691D0000}"/>
    <cellStyle name="20% - Accent5 2 10" xfId="18457" xr:uid="{00000000-0005-0000-0000-00006A1D0000}"/>
    <cellStyle name="20% - Accent5 2 2" xfId="3263" xr:uid="{00000000-0005-0000-0000-00006B1D0000}"/>
    <cellStyle name="20% - Accent5 2 2 2" xfId="3264" xr:uid="{00000000-0005-0000-0000-00006C1D0000}"/>
    <cellStyle name="20% - Accent5 2 2 2 2" xfId="3265" xr:uid="{00000000-0005-0000-0000-00006D1D0000}"/>
    <cellStyle name="20% - Accent5 2 2 2 2 2" xfId="14509" xr:uid="{00000000-0005-0000-0000-00006E1D0000}"/>
    <cellStyle name="20% - Accent5 2 2 2 2 3" xfId="18460" xr:uid="{00000000-0005-0000-0000-00006F1D0000}"/>
    <cellStyle name="20% - Accent5 2 2 2 3" xfId="3266" xr:uid="{00000000-0005-0000-0000-0000701D0000}"/>
    <cellStyle name="20% - Accent5 2 2 2 3 2" xfId="14510" xr:uid="{00000000-0005-0000-0000-0000711D0000}"/>
    <cellStyle name="20% - Accent5 2 2 2 3 3" xfId="18461" xr:uid="{00000000-0005-0000-0000-0000721D0000}"/>
    <cellStyle name="20% - Accent5 2 2 2 4" xfId="14508" xr:uid="{00000000-0005-0000-0000-0000731D0000}"/>
    <cellStyle name="20% - Accent5 2 2 2 5" xfId="18459" xr:uid="{00000000-0005-0000-0000-0000741D0000}"/>
    <cellStyle name="20% - Accent5 2 2 3" xfId="3267" xr:uid="{00000000-0005-0000-0000-0000751D0000}"/>
    <cellStyle name="20% - Accent5 2 2 3 2" xfId="3268" xr:uid="{00000000-0005-0000-0000-0000761D0000}"/>
    <cellStyle name="20% - Accent5 2 2 3 2 2" xfId="14512" xr:uid="{00000000-0005-0000-0000-0000771D0000}"/>
    <cellStyle name="20% - Accent5 2 2 3 2 3" xfId="18463" xr:uid="{00000000-0005-0000-0000-0000781D0000}"/>
    <cellStyle name="20% - Accent5 2 2 3 3" xfId="3269" xr:uid="{00000000-0005-0000-0000-0000791D0000}"/>
    <cellStyle name="20% - Accent5 2 2 3 3 2" xfId="14513" xr:uid="{00000000-0005-0000-0000-00007A1D0000}"/>
    <cellStyle name="20% - Accent5 2 2 3 3 3" xfId="18464" xr:uid="{00000000-0005-0000-0000-00007B1D0000}"/>
    <cellStyle name="20% - Accent5 2 2 3 4" xfId="14511" xr:uid="{00000000-0005-0000-0000-00007C1D0000}"/>
    <cellStyle name="20% - Accent5 2 2 3 5" xfId="18462" xr:uid="{00000000-0005-0000-0000-00007D1D0000}"/>
    <cellStyle name="20% - Accent5 2 2 4" xfId="3270" xr:uid="{00000000-0005-0000-0000-00007E1D0000}"/>
    <cellStyle name="20% - Accent5 2 2 4 2" xfId="3271" xr:uid="{00000000-0005-0000-0000-00007F1D0000}"/>
    <cellStyle name="20% - Accent5 2 2 4 2 2" xfId="14515" xr:uid="{00000000-0005-0000-0000-0000801D0000}"/>
    <cellStyle name="20% - Accent5 2 2 4 2 3" xfId="18466" xr:uid="{00000000-0005-0000-0000-0000811D0000}"/>
    <cellStyle name="20% - Accent5 2 2 4 3" xfId="3272" xr:uid="{00000000-0005-0000-0000-0000821D0000}"/>
    <cellStyle name="20% - Accent5 2 2 4 3 2" xfId="14516" xr:uid="{00000000-0005-0000-0000-0000831D0000}"/>
    <cellStyle name="20% - Accent5 2 2 4 3 3" xfId="18467" xr:uid="{00000000-0005-0000-0000-0000841D0000}"/>
    <cellStyle name="20% - Accent5 2 2 4 4" xfId="14514" xr:uid="{00000000-0005-0000-0000-0000851D0000}"/>
    <cellStyle name="20% - Accent5 2 2 4 5" xfId="18465" xr:uid="{00000000-0005-0000-0000-0000861D0000}"/>
    <cellStyle name="20% - Accent5 2 2 5" xfId="3273" xr:uid="{00000000-0005-0000-0000-0000871D0000}"/>
    <cellStyle name="20% - Accent5 2 2 5 2" xfId="14517" xr:uid="{00000000-0005-0000-0000-0000881D0000}"/>
    <cellStyle name="20% - Accent5 2 2 5 3" xfId="18468" xr:uid="{00000000-0005-0000-0000-0000891D0000}"/>
    <cellStyle name="20% - Accent5 2 2 6" xfId="3274" xr:uid="{00000000-0005-0000-0000-00008A1D0000}"/>
    <cellStyle name="20% - Accent5 2 2 6 2" xfId="14518" xr:uid="{00000000-0005-0000-0000-00008B1D0000}"/>
    <cellStyle name="20% - Accent5 2 2 6 3" xfId="18469" xr:uid="{00000000-0005-0000-0000-00008C1D0000}"/>
    <cellStyle name="20% - Accent5 2 2 7" xfId="14507" xr:uid="{00000000-0005-0000-0000-00008D1D0000}"/>
    <cellStyle name="20% - Accent5 2 2 8" xfId="18458" xr:uid="{00000000-0005-0000-0000-00008E1D0000}"/>
    <cellStyle name="20% - Accent5 2 2_Volatility" xfId="3275" xr:uid="{00000000-0005-0000-0000-00008F1D0000}"/>
    <cellStyle name="20% - Accent5 2 3" xfId="3276" xr:uid="{00000000-0005-0000-0000-0000901D0000}"/>
    <cellStyle name="20% - Accent5 2 3 2" xfId="3277" xr:uid="{00000000-0005-0000-0000-0000911D0000}"/>
    <cellStyle name="20% - Accent5 2 3 2 2" xfId="3278" xr:uid="{00000000-0005-0000-0000-0000921D0000}"/>
    <cellStyle name="20% - Accent5 2 3 2 2 2" xfId="14521" xr:uid="{00000000-0005-0000-0000-0000931D0000}"/>
    <cellStyle name="20% - Accent5 2 3 2 2 3" xfId="18472" xr:uid="{00000000-0005-0000-0000-0000941D0000}"/>
    <cellStyle name="20% - Accent5 2 3 2 3" xfId="3279" xr:uid="{00000000-0005-0000-0000-0000951D0000}"/>
    <cellStyle name="20% - Accent5 2 3 2 3 2" xfId="14522" xr:uid="{00000000-0005-0000-0000-0000961D0000}"/>
    <cellStyle name="20% - Accent5 2 3 2 3 3" xfId="18473" xr:uid="{00000000-0005-0000-0000-0000971D0000}"/>
    <cellStyle name="20% - Accent5 2 3 2 4" xfId="14520" xr:uid="{00000000-0005-0000-0000-0000981D0000}"/>
    <cellStyle name="20% - Accent5 2 3 2 5" xfId="18471" xr:uid="{00000000-0005-0000-0000-0000991D0000}"/>
    <cellStyle name="20% - Accent5 2 3 3" xfId="3280" xr:uid="{00000000-0005-0000-0000-00009A1D0000}"/>
    <cellStyle name="20% - Accent5 2 3 3 2" xfId="3281" xr:uid="{00000000-0005-0000-0000-00009B1D0000}"/>
    <cellStyle name="20% - Accent5 2 3 3 2 2" xfId="14524" xr:uid="{00000000-0005-0000-0000-00009C1D0000}"/>
    <cellStyle name="20% - Accent5 2 3 3 2 3" xfId="18475" xr:uid="{00000000-0005-0000-0000-00009D1D0000}"/>
    <cellStyle name="20% - Accent5 2 3 3 3" xfId="3282" xr:uid="{00000000-0005-0000-0000-00009E1D0000}"/>
    <cellStyle name="20% - Accent5 2 3 3 3 2" xfId="14525" xr:uid="{00000000-0005-0000-0000-00009F1D0000}"/>
    <cellStyle name="20% - Accent5 2 3 3 3 3" xfId="18476" xr:uid="{00000000-0005-0000-0000-0000A01D0000}"/>
    <cellStyle name="20% - Accent5 2 3 3 4" xfId="14523" xr:uid="{00000000-0005-0000-0000-0000A11D0000}"/>
    <cellStyle name="20% - Accent5 2 3 3 5" xfId="18474" xr:uid="{00000000-0005-0000-0000-0000A21D0000}"/>
    <cellStyle name="20% - Accent5 2 3 4" xfId="3283" xr:uid="{00000000-0005-0000-0000-0000A31D0000}"/>
    <cellStyle name="20% - Accent5 2 3 4 2" xfId="14526" xr:uid="{00000000-0005-0000-0000-0000A41D0000}"/>
    <cellStyle name="20% - Accent5 2 3 4 3" xfId="18477" xr:uid="{00000000-0005-0000-0000-0000A51D0000}"/>
    <cellStyle name="20% - Accent5 2 3 5" xfId="3284" xr:uid="{00000000-0005-0000-0000-0000A61D0000}"/>
    <cellStyle name="20% - Accent5 2 3 5 2" xfId="14527" xr:uid="{00000000-0005-0000-0000-0000A71D0000}"/>
    <cellStyle name="20% - Accent5 2 3 5 3" xfId="18478" xr:uid="{00000000-0005-0000-0000-0000A81D0000}"/>
    <cellStyle name="20% - Accent5 2 3 6" xfId="14519" xr:uid="{00000000-0005-0000-0000-0000A91D0000}"/>
    <cellStyle name="20% - Accent5 2 3 7" xfId="18470" xr:uid="{00000000-0005-0000-0000-0000AA1D0000}"/>
    <cellStyle name="20% - Accent5 2 3_Volatility" xfId="3285" xr:uid="{00000000-0005-0000-0000-0000AB1D0000}"/>
    <cellStyle name="20% - Accent5 2 4" xfId="3286" xr:uid="{00000000-0005-0000-0000-0000AC1D0000}"/>
    <cellStyle name="20% - Accent5 2 4 2" xfId="3287" xr:uid="{00000000-0005-0000-0000-0000AD1D0000}"/>
    <cellStyle name="20% - Accent5 2 4 2 2" xfId="14529" xr:uid="{00000000-0005-0000-0000-0000AE1D0000}"/>
    <cellStyle name="20% - Accent5 2 4 2 3" xfId="18480" xr:uid="{00000000-0005-0000-0000-0000AF1D0000}"/>
    <cellStyle name="20% - Accent5 2 4 3" xfId="3288" xr:uid="{00000000-0005-0000-0000-0000B01D0000}"/>
    <cellStyle name="20% - Accent5 2 4 3 2" xfId="14530" xr:uid="{00000000-0005-0000-0000-0000B11D0000}"/>
    <cellStyle name="20% - Accent5 2 4 3 3" xfId="18481" xr:uid="{00000000-0005-0000-0000-0000B21D0000}"/>
    <cellStyle name="20% - Accent5 2 4 4" xfId="14528" xr:uid="{00000000-0005-0000-0000-0000B31D0000}"/>
    <cellStyle name="20% - Accent5 2 4 5" xfId="18479" xr:uid="{00000000-0005-0000-0000-0000B41D0000}"/>
    <cellStyle name="20% - Accent5 2 5" xfId="3289" xr:uid="{00000000-0005-0000-0000-0000B51D0000}"/>
    <cellStyle name="20% - Accent5 2 5 2" xfId="3290" xr:uid="{00000000-0005-0000-0000-0000B61D0000}"/>
    <cellStyle name="20% - Accent5 2 5 2 2" xfId="14532" xr:uid="{00000000-0005-0000-0000-0000B71D0000}"/>
    <cellStyle name="20% - Accent5 2 5 2 3" xfId="18483" xr:uid="{00000000-0005-0000-0000-0000B81D0000}"/>
    <cellStyle name="20% - Accent5 2 5 3" xfId="3291" xr:uid="{00000000-0005-0000-0000-0000B91D0000}"/>
    <cellStyle name="20% - Accent5 2 5 3 2" xfId="14533" xr:uid="{00000000-0005-0000-0000-0000BA1D0000}"/>
    <cellStyle name="20% - Accent5 2 5 3 3" xfId="18484" xr:uid="{00000000-0005-0000-0000-0000BB1D0000}"/>
    <cellStyle name="20% - Accent5 2 5 4" xfId="14531" xr:uid="{00000000-0005-0000-0000-0000BC1D0000}"/>
    <cellStyle name="20% - Accent5 2 5 5" xfId="18482" xr:uid="{00000000-0005-0000-0000-0000BD1D0000}"/>
    <cellStyle name="20% - Accent5 2 6" xfId="3292" xr:uid="{00000000-0005-0000-0000-0000BE1D0000}"/>
    <cellStyle name="20% - Accent5 2 6 2" xfId="3293" xr:uid="{00000000-0005-0000-0000-0000BF1D0000}"/>
    <cellStyle name="20% - Accent5 2 6 2 2" xfId="14535" xr:uid="{00000000-0005-0000-0000-0000C01D0000}"/>
    <cellStyle name="20% - Accent5 2 6 2 3" xfId="18486" xr:uid="{00000000-0005-0000-0000-0000C11D0000}"/>
    <cellStyle name="20% - Accent5 2 6 3" xfId="3294" xr:uid="{00000000-0005-0000-0000-0000C21D0000}"/>
    <cellStyle name="20% - Accent5 2 6 3 2" xfId="14536" xr:uid="{00000000-0005-0000-0000-0000C31D0000}"/>
    <cellStyle name="20% - Accent5 2 6 3 3" xfId="18487" xr:uid="{00000000-0005-0000-0000-0000C41D0000}"/>
    <cellStyle name="20% - Accent5 2 6 4" xfId="14534" xr:uid="{00000000-0005-0000-0000-0000C51D0000}"/>
    <cellStyle name="20% - Accent5 2 6 5" xfId="18485" xr:uid="{00000000-0005-0000-0000-0000C61D0000}"/>
    <cellStyle name="20% - Accent5 2 7" xfId="3295" xr:uid="{00000000-0005-0000-0000-0000C71D0000}"/>
    <cellStyle name="20% - Accent5 2 7 2" xfId="14537" xr:uid="{00000000-0005-0000-0000-0000C81D0000}"/>
    <cellStyle name="20% - Accent5 2 7 3" xfId="18488" xr:uid="{00000000-0005-0000-0000-0000C91D0000}"/>
    <cellStyle name="20% - Accent5 2 8" xfId="3296" xr:uid="{00000000-0005-0000-0000-0000CA1D0000}"/>
    <cellStyle name="20% - Accent5 2 8 2" xfId="14538" xr:uid="{00000000-0005-0000-0000-0000CB1D0000}"/>
    <cellStyle name="20% - Accent5 2 8 3" xfId="18489" xr:uid="{00000000-0005-0000-0000-0000CC1D0000}"/>
    <cellStyle name="20% - Accent5 2 9" xfId="14506" xr:uid="{00000000-0005-0000-0000-0000CD1D0000}"/>
    <cellStyle name="20% - Accent5 2_Volatility" xfId="3297" xr:uid="{00000000-0005-0000-0000-0000CE1D0000}"/>
    <cellStyle name="20% - Accent5 3" xfId="3298" xr:uid="{00000000-0005-0000-0000-0000CF1D0000}"/>
    <cellStyle name="20% - Accent5 3 10" xfId="18490" xr:uid="{00000000-0005-0000-0000-0000D01D0000}"/>
    <cellStyle name="20% - Accent5 3 2" xfId="3299" xr:uid="{00000000-0005-0000-0000-0000D11D0000}"/>
    <cellStyle name="20% - Accent5 3 2 2" xfId="3300" xr:uid="{00000000-0005-0000-0000-0000D21D0000}"/>
    <cellStyle name="20% - Accent5 3 2 2 2" xfId="3301" xr:uid="{00000000-0005-0000-0000-0000D31D0000}"/>
    <cellStyle name="20% - Accent5 3 2 2 2 2" xfId="14542" xr:uid="{00000000-0005-0000-0000-0000D41D0000}"/>
    <cellStyle name="20% - Accent5 3 2 2 2 3" xfId="18493" xr:uid="{00000000-0005-0000-0000-0000D51D0000}"/>
    <cellStyle name="20% - Accent5 3 2 2 3" xfId="3302" xr:uid="{00000000-0005-0000-0000-0000D61D0000}"/>
    <cellStyle name="20% - Accent5 3 2 2 3 2" xfId="14543" xr:uid="{00000000-0005-0000-0000-0000D71D0000}"/>
    <cellStyle name="20% - Accent5 3 2 2 3 3" xfId="18494" xr:uid="{00000000-0005-0000-0000-0000D81D0000}"/>
    <cellStyle name="20% - Accent5 3 2 2 4" xfId="14541" xr:uid="{00000000-0005-0000-0000-0000D91D0000}"/>
    <cellStyle name="20% - Accent5 3 2 2 5" xfId="18492" xr:uid="{00000000-0005-0000-0000-0000DA1D0000}"/>
    <cellStyle name="20% - Accent5 3 2 3" xfId="3303" xr:uid="{00000000-0005-0000-0000-0000DB1D0000}"/>
    <cellStyle name="20% - Accent5 3 2 3 2" xfId="3304" xr:uid="{00000000-0005-0000-0000-0000DC1D0000}"/>
    <cellStyle name="20% - Accent5 3 2 3 2 2" xfId="14545" xr:uid="{00000000-0005-0000-0000-0000DD1D0000}"/>
    <cellStyle name="20% - Accent5 3 2 3 2 3" xfId="18496" xr:uid="{00000000-0005-0000-0000-0000DE1D0000}"/>
    <cellStyle name="20% - Accent5 3 2 3 3" xfId="3305" xr:uid="{00000000-0005-0000-0000-0000DF1D0000}"/>
    <cellStyle name="20% - Accent5 3 2 3 3 2" xfId="14546" xr:uid="{00000000-0005-0000-0000-0000E01D0000}"/>
    <cellStyle name="20% - Accent5 3 2 3 3 3" xfId="18497" xr:uid="{00000000-0005-0000-0000-0000E11D0000}"/>
    <cellStyle name="20% - Accent5 3 2 3 4" xfId="14544" xr:uid="{00000000-0005-0000-0000-0000E21D0000}"/>
    <cellStyle name="20% - Accent5 3 2 3 5" xfId="18495" xr:uid="{00000000-0005-0000-0000-0000E31D0000}"/>
    <cellStyle name="20% - Accent5 3 2 4" xfId="3306" xr:uid="{00000000-0005-0000-0000-0000E41D0000}"/>
    <cellStyle name="20% - Accent5 3 2 4 2" xfId="3307" xr:uid="{00000000-0005-0000-0000-0000E51D0000}"/>
    <cellStyle name="20% - Accent5 3 2 4 2 2" xfId="14548" xr:uid="{00000000-0005-0000-0000-0000E61D0000}"/>
    <cellStyle name="20% - Accent5 3 2 4 2 3" xfId="18499" xr:uid="{00000000-0005-0000-0000-0000E71D0000}"/>
    <cellStyle name="20% - Accent5 3 2 4 3" xfId="3308" xr:uid="{00000000-0005-0000-0000-0000E81D0000}"/>
    <cellStyle name="20% - Accent5 3 2 4 3 2" xfId="14549" xr:uid="{00000000-0005-0000-0000-0000E91D0000}"/>
    <cellStyle name="20% - Accent5 3 2 4 3 3" xfId="18500" xr:uid="{00000000-0005-0000-0000-0000EA1D0000}"/>
    <cellStyle name="20% - Accent5 3 2 4 4" xfId="14547" xr:uid="{00000000-0005-0000-0000-0000EB1D0000}"/>
    <cellStyle name="20% - Accent5 3 2 4 5" xfId="18498" xr:uid="{00000000-0005-0000-0000-0000EC1D0000}"/>
    <cellStyle name="20% - Accent5 3 2 5" xfId="3309" xr:uid="{00000000-0005-0000-0000-0000ED1D0000}"/>
    <cellStyle name="20% - Accent5 3 2 5 2" xfId="14550" xr:uid="{00000000-0005-0000-0000-0000EE1D0000}"/>
    <cellStyle name="20% - Accent5 3 2 5 3" xfId="18501" xr:uid="{00000000-0005-0000-0000-0000EF1D0000}"/>
    <cellStyle name="20% - Accent5 3 2 6" xfId="3310" xr:uid="{00000000-0005-0000-0000-0000F01D0000}"/>
    <cellStyle name="20% - Accent5 3 2 6 2" xfId="14551" xr:uid="{00000000-0005-0000-0000-0000F11D0000}"/>
    <cellStyle name="20% - Accent5 3 2 6 3" xfId="18502" xr:uid="{00000000-0005-0000-0000-0000F21D0000}"/>
    <cellStyle name="20% - Accent5 3 2 7" xfId="14540" xr:uid="{00000000-0005-0000-0000-0000F31D0000}"/>
    <cellStyle name="20% - Accent5 3 2 8" xfId="18491" xr:uid="{00000000-0005-0000-0000-0000F41D0000}"/>
    <cellStyle name="20% - Accent5 3 2_Volatility" xfId="3311" xr:uid="{00000000-0005-0000-0000-0000F51D0000}"/>
    <cellStyle name="20% - Accent5 3 3" xfId="3312" xr:uid="{00000000-0005-0000-0000-0000F61D0000}"/>
    <cellStyle name="20% - Accent5 3 3 2" xfId="3313" xr:uid="{00000000-0005-0000-0000-0000F71D0000}"/>
    <cellStyle name="20% - Accent5 3 3 2 2" xfId="3314" xr:uid="{00000000-0005-0000-0000-0000F81D0000}"/>
    <cellStyle name="20% - Accent5 3 3 2 2 2" xfId="14554" xr:uid="{00000000-0005-0000-0000-0000F91D0000}"/>
    <cellStyle name="20% - Accent5 3 3 2 2 3" xfId="18505" xr:uid="{00000000-0005-0000-0000-0000FA1D0000}"/>
    <cellStyle name="20% - Accent5 3 3 2 3" xfId="3315" xr:uid="{00000000-0005-0000-0000-0000FB1D0000}"/>
    <cellStyle name="20% - Accent5 3 3 2 3 2" xfId="14555" xr:uid="{00000000-0005-0000-0000-0000FC1D0000}"/>
    <cellStyle name="20% - Accent5 3 3 2 3 3" xfId="18506" xr:uid="{00000000-0005-0000-0000-0000FD1D0000}"/>
    <cellStyle name="20% - Accent5 3 3 2 4" xfId="14553" xr:uid="{00000000-0005-0000-0000-0000FE1D0000}"/>
    <cellStyle name="20% - Accent5 3 3 2 5" xfId="18504" xr:uid="{00000000-0005-0000-0000-0000FF1D0000}"/>
    <cellStyle name="20% - Accent5 3 3 3" xfId="3316" xr:uid="{00000000-0005-0000-0000-0000001E0000}"/>
    <cellStyle name="20% - Accent5 3 3 3 2" xfId="3317" xr:uid="{00000000-0005-0000-0000-0000011E0000}"/>
    <cellStyle name="20% - Accent5 3 3 3 2 2" xfId="14557" xr:uid="{00000000-0005-0000-0000-0000021E0000}"/>
    <cellStyle name="20% - Accent5 3 3 3 2 3" xfId="18508" xr:uid="{00000000-0005-0000-0000-0000031E0000}"/>
    <cellStyle name="20% - Accent5 3 3 3 3" xfId="3318" xr:uid="{00000000-0005-0000-0000-0000041E0000}"/>
    <cellStyle name="20% - Accent5 3 3 3 3 2" xfId="14558" xr:uid="{00000000-0005-0000-0000-0000051E0000}"/>
    <cellStyle name="20% - Accent5 3 3 3 3 3" xfId="18509" xr:uid="{00000000-0005-0000-0000-0000061E0000}"/>
    <cellStyle name="20% - Accent5 3 3 3 4" xfId="14556" xr:uid="{00000000-0005-0000-0000-0000071E0000}"/>
    <cellStyle name="20% - Accent5 3 3 3 5" xfId="18507" xr:uid="{00000000-0005-0000-0000-0000081E0000}"/>
    <cellStyle name="20% - Accent5 3 3 4" xfId="3319" xr:uid="{00000000-0005-0000-0000-0000091E0000}"/>
    <cellStyle name="20% - Accent5 3 3 4 2" xfId="14559" xr:uid="{00000000-0005-0000-0000-00000A1E0000}"/>
    <cellStyle name="20% - Accent5 3 3 4 3" xfId="18510" xr:uid="{00000000-0005-0000-0000-00000B1E0000}"/>
    <cellStyle name="20% - Accent5 3 3 5" xfId="3320" xr:uid="{00000000-0005-0000-0000-00000C1E0000}"/>
    <cellStyle name="20% - Accent5 3 3 5 2" xfId="14560" xr:uid="{00000000-0005-0000-0000-00000D1E0000}"/>
    <cellStyle name="20% - Accent5 3 3 5 3" xfId="18511" xr:uid="{00000000-0005-0000-0000-00000E1E0000}"/>
    <cellStyle name="20% - Accent5 3 3 6" xfId="14552" xr:uid="{00000000-0005-0000-0000-00000F1E0000}"/>
    <cellStyle name="20% - Accent5 3 3 7" xfId="18503" xr:uid="{00000000-0005-0000-0000-0000101E0000}"/>
    <cellStyle name="20% - Accent5 3 3_Volatility" xfId="3321" xr:uid="{00000000-0005-0000-0000-0000111E0000}"/>
    <cellStyle name="20% - Accent5 3 4" xfId="3322" xr:uid="{00000000-0005-0000-0000-0000121E0000}"/>
    <cellStyle name="20% - Accent5 3 4 2" xfId="3323" xr:uid="{00000000-0005-0000-0000-0000131E0000}"/>
    <cellStyle name="20% - Accent5 3 4 2 2" xfId="14562" xr:uid="{00000000-0005-0000-0000-0000141E0000}"/>
    <cellStyle name="20% - Accent5 3 4 2 3" xfId="18513" xr:uid="{00000000-0005-0000-0000-0000151E0000}"/>
    <cellStyle name="20% - Accent5 3 4 3" xfId="3324" xr:uid="{00000000-0005-0000-0000-0000161E0000}"/>
    <cellStyle name="20% - Accent5 3 4 3 2" xfId="14563" xr:uid="{00000000-0005-0000-0000-0000171E0000}"/>
    <cellStyle name="20% - Accent5 3 4 3 3" xfId="18514" xr:uid="{00000000-0005-0000-0000-0000181E0000}"/>
    <cellStyle name="20% - Accent5 3 4 4" xfId="14561" xr:uid="{00000000-0005-0000-0000-0000191E0000}"/>
    <cellStyle name="20% - Accent5 3 4 5" xfId="18512" xr:uid="{00000000-0005-0000-0000-00001A1E0000}"/>
    <cellStyle name="20% - Accent5 3 5" xfId="3325" xr:uid="{00000000-0005-0000-0000-00001B1E0000}"/>
    <cellStyle name="20% - Accent5 3 5 2" xfId="3326" xr:uid="{00000000-0005-0000-0000-00001C1E0000}"/>
    <cellStyle name="20% - Accent5 3 5 2 2" xfId="14565" xr:uid="{00000000-0005-0000-0000-00001D1E0000}"/>
    <cellStyle name="20% - Accent5 3 5 2 3" xfId="18516" xr:uid="{00000000-0005-0000-0000-00001E1E0000}"/>
    <cellStyle name="20% - Accent5 3 5 3" xfId="3327" xr:uid="{00000000-0005-0000-0000-00001F1E0000}"/>
    <cellStyle name="20% - Accent5 3 5 3 2" xfId="14566" xr:uid="{00000000-0005-0000-0000-0000201E0000}"/>
    <cellStyle name="20% - Accent5 3 5 3 3" xfId="18517" xr:uid="{00000000-0005-0000-0000-0000211E0000}"/>
    <cellStyle name="20% - Accent5 3 5 4" xfId="14564" xr:uid="{00000000-0005-0000-0000-0000221E0000}"/>
    <cellStyle name="20% - Accent5 3 5 5" xfId="18515" xr:uid="{00000000-0005-0000-0000-0000231E0000}"/>
    <cellStyle name="20% - Accent5 3 6" xfId="3328" xr:uid="{00000000-0005-0000-0000-0000241E0000}"/>
    <cellStyle name="20% - Accent5 3 6 2" xfId="3329" xr:uid="{00000000-0005-0000-0000-0000251E0000}"/>
    <cellStyle name="20% - Accent5 3 6 2 2" xfId="14568" xr:uid="{00000000-0005-0000-0000-0000261E0000}"/>
    <cellStyle name="20% - Accent5 3 6 2 3" xfId="18519" xr:uid="{00000000-0005-0000-0000-0000271E0000}"/>
    <cellStyle name="20% - Accent5 3 6 3" xfId="3330" xr:uid="{00000000-0005-0000-0000-0000281E0000}"/>
    <cellStyle name="20% - Accent5 3 6 3 2" xfId="14569" xr:uid="{00000000-0005-0000-0000-0000291E0000}"/>
    <cellStyle name="20% - Accent5 3 6 3 3" xfId="18520" xr:uid="{00000000-0005-0000-0000-00002A1E0000}"/>
    <cellStyle name="20% - Accent5 3 6 4" xfId="14567" xr:uid="{00000000-0005-0000-0000-00002B1E0000}"/>
    <cellStyle name="20% - Accent5 3 6 5" xfId="18518" xr:uid="{00000000-0005-0000-0000-00002C1E0000}"/>
    <cellStyle name="20% - Accent5 3 7" xfId="3331" xr:uid="{00000000-0005-0000-0000-00002D1E0000}"/>
    <cellStyle name="20% - Accent5 3 7 2" xfId="14570" xr:uid="{00000000-0005-0000-0000-00002E1E0000}"/>
    <cellStyle name="20% - Accent5 3 7 3" xfId="18521" xr:uid="{00000000-0005-0000-0000-00002F1E0000}"/>
    <cellStyle name="20% - Accent5 3 8" xfId="3332" xr:uid="{00000000-0005-0000-0000-0000301E0000}"/>
    <cellStyle name="20% - Accent5 3 8 2" xfId="14571" xr:uid="{00000000-0005-0000-0000-0000311E0000}"/>
    <cellStyle name="20% - Accent5 3 8 3" xfId="18522" xr:uid="{00000000-0005-0000-0000-0000321E0000}"/>
    <cellStyle name="20% - Accent5 3 9" xfId="14539" xr:uid="{00000000-0005-0000-0000-0000331E0000}"/>
    <cellStyle name="20% - Accent5 3_Volatility" xfId="3333" xr:uid="{00000000-0005-0000-0000-0000341E0000}"/>
    <cellStyle name="20% - Accent5 4" xfId="3334" xr:uid="{00000000-0005-0000-0000-0000351E0000}"/>
    <cellStyle name="20% - Accent5 4 10" xfId="18523" xr:uid="{00000000-0005-0000-0000-0000361E0000}"/>
    <cellStyle name="20% - Accent5 4 2" xfId="3335" xr:uid="{00000000-0005-0000-0000-0000371E0000}"/>
    <cellStyle name="20% - Accent5 4 2 2" xfId="3336" xr:uid="{00000000-0005-0000-0000-0000381E0000}"/>
    <cellStyle name="20% - Accent5 4 2 2 2" xfId="3337" xr:uid="{00000000-0005-0000-0000-0000391E0000}"/>
    <cellStyle name="20% - Accent5 4 2 2 2 2" xfId="14575" xr:uid="{00000000-0005-0000-0000-00003A1E0000}"/>
    <cellStyle name="20% - Accent5 4 2 2 2 3" xfId="18526" xr:uid="{00000000-0005-0000-0000-00003B1E0000}"/>
    <cellStyle name="20% - Accent5 4 2 2 3" xfId="3338" xr:uid="{00000000-0005-0000-0000-00003C1E0000}"/>
    <cellStyle name="20% - Accent5 4 2 2 3 2" xfId="14576" xr:uid="{00000000-0005-0000-0000-00003D1E0000}"/>
    <cellStyle name="20% - Accent5 4 2 2 3 3" xfId="18527" xr:uid="{00000000-0005-0000-0000-00003E1E0000}"/>
    <cellStyle name="20% - Accent5 4 2 2 4" xfId="14574" xr:uid="{00000000-0005-0000-0000-00003F1E0000}"/>
    <cellStyle name="20% - Accent5 4 2 2 5" xfId="18525" xr:uid="{00000000-0005-0000-0000-0000401E0000}"/>
    <cellStyle name="20% - Accent5 4 2 3" xfId="3339" xr:uid="{00000000-0005-0000-0000-0000411E0000}"/>
    <cellStyle name="20% - Accent5 4 2 3 2" xfId="3340" xr:uid="{00000000-0005-0000-0000-0000421E0000}"/>
    <cellStyle name="20% - Accent5 4 2 3 2 2" xfId="14578" xr:uid="{00000000-0005-0000-0000-0000431E0000}"/>
    <cellStyle name="20% - Accent5 4 2 3 2 3" xfId="18529" xr:uid="{00000000-0005-0000-0000-0000441E0000}"/>
    <cellStyle name="20% - Accent5 4 2 3 3" xfId="3341" xr:uid="{00000000-0005-0000-0000-0000451E0000}"/>
    <cellStyle name="20% - Accent5 4 2 3 3 2" xfId="14579" xr:uid="{00000000-0005-0000-0000-0000461E0000}"/>
    <cellStyle name="20% - Accent5 4 2 3 3 3" xfId="18530" xr:uid="{00000000-0005-0000-0000-0000471E0000}"/>
    <cellStyle name="20% - Accent5 4 2 3 4" xfId="14577" xr:uid="{00000000-0005-0000-0000-0000481E0000}"/>
    <cellStyle name="20% - Accent5 4 2 3 5" xfId="18528" xr:uid="{00000000-0005-0000-0000-0000491E0000}"/>
    <cellStyle name="20% - Accent5 4 2 4" xfId="3342" xr:uid="{00000000-0005-0000-0000-00004A1E0000}"/>
    <cellStyle name="20% - Accent5 4 2 4 2" xfId="3343" xr:uid="{00000000-0005-0000-0000-00004B1E0000}"/>
    <cellStyle name="20% - Accent5 4 2 4 2 2" xfId="14581" xr:uid="{00000000-0005-0000-0000-00004C1E0000}"/>
    <cellStyle name="20% - Accent5 4 2 4 2 3" xfId="18532" xr:uid="{00000000-0005-0000-0000-00004D1E0000}"/>
    <cellStyle name="20% - Accent5 4 2 4 3" xfId="3344" xr:uid="{00000000-0005-0000-0000-00004E1E0000}"/>
    <cellStyle name="20% - Accent5 4 2 4 3 2" xfId="14582" xr:uid="{00000000-0005-0000-0000-00004F1E0000}"/>
    <cellStyle name="20% - Accent5 4 2 4 3 3" xfId="18533" xr:uid="{00000000-0005-0000-0000-0000501E0000}"/>
    <cellStyle name="20% - Accent5 4 2 4 4" xfId="14580" xr:uid="{00000000-0005-0000-0000-0000511E0000}"/>
    <cellStyle name="20% - Accent5 4 2 4 5" xfId="18531" xr:uid="{00000000-0005-0000-0000-0000521E0000}"/>
    <cellStyle name="20% - Accent5 4 2 5" xfId="3345" xr:uid="{00000000-0005-0000-0000-0000531E0000}"/>
    <cellStyle name="20% - Accent5 4 2 5 2" xfId="14583" xr:uid="{00000000-0005-0000-0000-0000541E0000}"/>
    <cellStyle name="20% - Accent5 4 2 5 3" xfId="18534" xr:uid="{00000000-0005-0000-0000-0000551E0000}"/>
    <cellStyle name="20% - Accent5 4 2 6" xfId="3346" xr:uid="{00000000-0005-0000-0000-0000561E0000}"/>
    <cellStyle name="20% - Accent5 4 2 6 2" xfId="14584" xr:uid="{00000000-0005-0000-0000-0000571E0000}"/>
    <cellStyle name="20% - Accent5 4 2 6 3" xfId="18535" xr:uid="{00000000-0005-0000-0000-0000581E0000}"/>
    <cellStyle name="20% - Accent5 4 2 7" xfId="14573" xr:uid="{00000000-0005-0000-0000-0000591E0000}"/>
    <cellStyle name="20% - Accent5 4 2 8" xfId="18524" xr:uid="{00000000-0005-0000-0000-00005A1E0000}"/>
    <cellStyle name="20% - Accent5 4 2_Volatility" xfId="3347" xr:uid="{00000000-0005-0000-0000-00005B1E0000}"/>
    <cellStyle name="20% - Accent5 4 3" xfId="3348" xr:uid="{00000000-0005-0000-0000-00005C1E0000}"/>
    <cellStyle name="20% - Accent5 4 3 2" xfId="3349" xr:uid="{00000000-0005-0000-0000-00005D1E0000}"/>
    <cellStyle name="20% - Accent5 4 3 2 2" xfId="3350" xr:uid="{00000000-0005-0000-0000-00005E1E0000}"/>
    <cellStyle name="20% - Accent5 4 3 2 2 2" xfId="14587" xr:uid="{00000000-0005-0000-0000-00005F1E0000}"/>
    <cellStyle name="20% - Accent5 4 3 2 2 3" xfId="18538" xr:uid="{00000000-0005-0000-0000-0000601E0000}"/>
    <cellStyle name="20% - Accent5 4 3 2 3" xfId="3351" xr:uid="{00000000-0005-0000-0000-0000611E0000}"/>
    <cellStyle name="20% - Accent5 4 3 2 3 2" xfId="14588" xr:uid="{00000000-0005-0000-0000-0000621E0000}"/>
    <cellStyle name="20% - Accent5 4 3 2 3 3" xfId="18539" xr:uid="{00000000-0005-0000-0000-0000631E0000}"/>
    <cellStyle name="20% - Accent5 4 3 2 4" xfId="14586" xr:uid="{00000000-0005-0000-0000-0000641E0000}"/>
    <cellStyle name="20% - Accent5 4 3 2 5" xfId="18537" xr:uid="{00000000-0005-0000-0000-0000651E0000}"/>
    <cellStyle name="20% - Accent5 4 3 3" xfId="3352" xr:uid="{00000000-0005-0000-0000-0000661E0000}"/>
    <cellStyle name="20% - Accent5 4 3 3 2" xfId="3353" xr:uid="{00000000-0005-0000-0000-0000671E0000}"/>
    <cellStyle name="20% - Accent5 4 3 3 2 2" xfId="14590" xr:uid="{00000000-0005-0000-0000-0000681E0000}"/>
    <cellStyle name="20% - Accent5 4 3 3 2 3" xfId="18541" xr:uid="{00000000-0005-0000-0000-0000691E0000}"/>
    <cellStyle name="20% - Accent5 4 3 3 3" xfId="3354" xr:uid="{00000000-0005-0000-0000-00006A1E0000}"/>
    <cellStyle name="20% - Accent5 4 3 3 3 2" xfId="14591" xr:uid="{00000000-0005-0000-0000-00006B1E0000}"/>
    <cellStyle name="20% - Accent5 4 3 3 3 3" xfId="18542" xr:uid="{00000000-0005-0000-0000-00006C1E0000}"/>
    <cellStyle name="20% - Accent5 4 3 3 4" xfId="14589" xr:uid="{00000000-0005-0000-0000-00006D1E0000}"/>
    <cellStyle name="20% - Accent5 4 3 3 5" xfId="18540" xr:uid="{00000000-0005-0000-0000-00006E1E0000}"/>
    <cellStyle name="20% - Accent5 4 3 4" xfId="3355" xr:uid="{00000000-0005-0000-0000-00006F1E0000}"/>
    <cellStyle name="20% - Accent5 4 3 4 2" xfId="14592" xr:uid="{00000000-0005-0000-0000-0000701E0000}"/>
    <cellStyle name="20% - Accent5 4 3 4 3" xfId="18543" xr:uid="{00000000-0005-0000-0000-0000711E0000}"/>
    <cellStyle name="20% - Accent5 4 3 5" xfId="3356" xr:uid="{00000000-0005-0000-0000-0000721E0000}"/>
    <cellStyle name="20% - Accent5 4 3 5 2" xfId="14593" xr:uid="{00000000-0005-0000-0000-0000731E0000}"/>
    <cellStyle name="20% - Accent5 4 3 5 3" xfId="18544" xr:uid="{00000000-0005-0000-0000-0000741E0000}"/>
    <cellStyle name="20% - Accent5 4 3 6" xfId="14585" xr:uid="{00000000-0005-0000-0000-0000751E0000}"/>
    <cellStyle name="20% - Accent5 4 3 7" xfId="18536" xr:uid="{00000000-0005-0000-0000-0000761E0000}"/>
    <cellStyle name="20% - Accent5 4 3_Volatility" xfId="3357" xr:uid="{00000000-0005-0000-0000-0000771E0000}"/>
    <cellStyle name="20% - Accent5 4 4" xfId="3358" xr:uid="{00000000-0005-0000-0000-0000781E0000}"/>
    <cellStyle name="20% - Accent5 4 4 2" xfId="3359" xr:uid="{00000000-0005-0000-0000-0000791E0000}"/>
    <cellStyle name="20% - Accent5 4 4 2 2" xfId="14595" xr:uid="{00000000-0005-0000-0000-00007A1E0000}"/>
    <cellStyle name="20% - Accent5 4 4 2 3" xfId="18546" xr:uid="{00000000-0005-0000-0000-00007B1E0000}"/>
    <cellStyle name="20% - Accent5 4 4 3" xfId="3360" xr:uid="{00000000-0005-0000-0000-00007C1E0000}"/>
    <cellStyle name="20% - Accent5 4 4 3 2" xfId="14596" xr:uid="{00000000-0005-0000-0000-00007D1E0000}"/>
    <cellStyle name="20% - Accent5 4 4 3 3" xfId="18547" xr:uid="{00000000-0005-0000-0000-00007E1E0000}"/>
    <cellStyle name="20% - Accent5 4 4 4" xfId="14594" xr:uid="{00000000-0005-0000-0000-00007F1E0000}"/>
    <cellStyle name="20% - Accent5 4 4 5" xfId="18545" xr:uid="{00000000-0005-0000-0000-0000801E0000}"/>
    <cellStyle name="20% - Accent5 4 5" xfId="3361" xr:uid="{00000000-0005-0000-0000-0000811E0000}"/>
    <cellStyle name="20% - Accent5 4 5 2" xfId="3362" xr:uid="{00000000-0005-0000-0000-0000821E0000}"/>
    <cellStyle name="20% - Accent5 4 5 2 2" xfId="14598" xr:uid="{00000000-0005-0000-0000-0000831E0000}"/>
    <cellStyle name="20% - Accent5 4 5 2 3" xfId="18549" xr:uid="{00000000-0005-0000-0000-0000841E0000}"/>
    <cellStyle name="20% - Accent5 4 5 3" xfId="3363" xr:uid="{00000000-0005-0000-0000-0000851E0000}"/>
    <cellStyle name="20% - Accent5 4 5 3 2" xfId="14599" xr:uid="{00000000-0005-0000-0000-0000861E0000}"/>
    <cellStyle name="20% - Accent5 4 5 3 3" xfId="18550" xr:uid="{00000000-0005-0000-0000-0000871E0000}"/>
    <cellStyle name="20% - Accent5 4 5 4" xfId="14597" xr:uid="{00000000-0005-0000-0000-0000881E0000}"/>
    <cellStyle name="20% - Accent5 4 5 5" xfId="18548" xr:uid="{00000000-0005-0000-0000-0000891E0000}"/>
    <cellStyle name="20% - Accent5 4 6" xfId="3364" xr:uid="{00000000-0005-0000-0000-00008A1E0000}"/>
    <cellStyle name="20% - Accent5 4 6 2" xfId="3365" xr:uid="{00000000-0005-0000-0000-00008B1E0000}"/>
    <cellStyle name="20% - Accent5 4 6 2 2" xfId="14601" xr:uid="{00000000-0005-0000-0000-00008C1E0000}"/>
    <cellStyle name="20% - Accent5 4 6 2 3" xfId="18552" xr:uid="{00000000-0005-0000-0000-00008D1E0000}"/>
    <cellStyle name="20% - Accent5 4 6 3" xfId="3366" xr:uid="{00000000-0005-0000-0000-00008E1E0000}"/>
    <cellStyle name="20% - Accent5 4 6 3 2" xfId="14602" xr:uid="{00000000-0005-0000-0000-00008F1E0000}"/>
    <cellStyle name="20% - Accent5 4 6 3 3" xfId="18553" xr:uid="{00000000-0005-0000-0000-0000901E0000}"/>
    <cellStyle name="20% - Accent5 4 6 4" xfId="14600" xr:uid="{00000000-0005-0000-0000-0000911E0000}"/>
    <cellStyle name="20% - Accent5 4 6 5" xfId="18551" xr:uid="{00000000-0005-0000-0000-0000921E0000}"/>
    <cellStyle name="20% - Accent5 4 7" xfId="3367" xr:uid="{00000000-0005-0000-0000-0000931E0000}"/>
    <cellStyle name="20% - Accent5 4 7 2" xfId="14603" xr:uid="{00000000-0005-0000-0000-0000941E0000}"/>
    <cellStyle name="20% - Accent5 4 7 3" xfId="18554" xr:uid="{00000000-0005-0000-0000-0000951E0000}"/>
    <cellStyle name="20% - Accent5 4 8" xfId="3368" xr:uid="{00000000-0005-0000-0000-0000961E0000}"/>
    <cellStyle name="20% - Accent5 4 8 2" xfId="14604" xr:uid="{00000000-0005-0000-0000-0000971E0000}"/>
    <cellStyle name="20% - Accent5 4 8 3" xfId="18555" xr:uid="{00000000-0005-0000-0000-0000981E0000}"/>
    <cellStyle name="20% - Accent5 4 9" xfId="14572" xr:uid="{00000000-0005-0000-0000-0000991E0000}"/>
    <cellStyle name="20% - Accent5 4_Volatility" xfId="3369" xr:uid="{00000000-0005-0000-0000-00009A1E0000}"/>
    <cellStyle name="20% - Accent5 5" xfId="3370" xr:uid="{00000000-0005-0000-0000-00009B1E0000}"/>
    <cellStyle name="20% - Accent5 5 10" xfId="18556" xr:uid="{00000000-0005-0000-0000-00009C1E0000}"/>
    <cellStyle name="20% - Accent5 5 2" xfId="3371" xr:uid="{00000000-0005-0000-0000-00009D1E0000}"/>
    <cellStyle name="20% - Accent5 5 2 2" xfId="3372" xr:uid="{00000000-0005-0000-0000-00009E1E0000}"/>
    <cellStyle name="20% - Accent5 5 2 2 2" xfId="3373" xr:uid="{00000000-0005-0000-0000-00009F1E0000}"/>
    <cellStyle name="20% - Accent5 5 2 2 2 2" xfId="14608" xr:uid="{00000000-0005-0000-0000-0000A01E0000}"/>
    <cellStyle name="20% - Accent5 5 2 2 2 3" xfId="18559" xr:uid="{00000000-0005-0000-0000-0000A11E0000}"/>
    <cellStyle name="20% - Accent5 5 2 2 3" xfId="3374" xr:uid="{00000000-0005-0000-0000-0000A21E0000}"/>
    <cellStyle name="20% - Accent5 5 2 2 3 2" xfId="14609" xr:uid="{00000000-0005-0000-0000-0000A31E0000}"/>
    <cellStyle name="20% - Accent5 5 2 2 3 3" xfId="18560" xr:uid="{00000000-0005-0000-0000-0000A41E0000}"/>
    <cellStyle name="20% - Accent5 5 2 2 4" xfId="14607" xr:uid="{00000000-0005-0000-0000-0000A51E0000}"/>
    <cellStyle name="20% - Accent5 5 2 2 5" xfId="18558" xr:uid="{00000000-0005-0000-0000-0000A61E0000}"/>
    <cellStyle name="20% - Accent5 5 2 3" xfId="3375" xr:uid="{00000000-0005-0000-0000-0000A71E0000}"/>
    <cellStyle name="20% - Accent5 5 2 3 2" xfId="3376" xr:uid="{00000000-0005-0000-0000-0000A81E0000}"/>
    <cellStyle name="20% - Accent5 5 2 3 2 2" xfId="14611" xr:uid="{00000000-0005-0000-0000-0000A91E0000}"/>
    <cellStyle name="20% - Accent5 5 2 3 2 3" xfId="18562" xr:uid="{00000000-0005-0000-0000-0000AA1E0000}"/>
    <cellStyle name="20% - Accent5 5 2 3 3" xfId="3377" xr:uid="{00000000-0005-0000-0000-0000AB1E0000}"/>
    <cellStyle name="20% - Accent5 5 2 3 3 2" xfId="14612" xr:uid="{00000000-0005-0000-0000-0000AC1E0000}"/>
    <cellStyle name="20% - Accent5 5 2 3 3 3" xfId="18563" xr:uid="{00000000-0005-0000-0000-0000AD1E0000}"/>
    <cellStyle name="20% - Accent5 5 2 3 4" xfId="14610" xr:uid="{00000000-0005-0000-0000-0000AE1E0000}"/>
    <cellStyle name="20% - Accent5 5 2 3 5" xfId="18561" xr:uid="{00000000-0005-0000-0000-0000AF1E0000}"/>
    <cellStyle name="20% - Accent5 5 2 4" xfId="3378" xr:uid="{00000000-0005-0000-0000-0000B01E0000}"/>
    <cellStyle name="20% - Accent5 5 2 4 2" xfId="3379" xr:uid="{00000000-0005-0000-0000-0000B11E0000}"/>
    <cellStyle name="20% - Accent5 5 2 4 2 2" xfId="14614" xr:uid="{00000000-0005-0000-0000-0000B21E0000}"/>
    <cellStyle name="20% - Accent5 5 2 4 2 3" xfId="18565" xr:uid="{00000000-0005-0000-0000-0000B31E0000}"/>
    <cellStyle name="20% - Accent5 5 2 4 3" xfId="3380" xr:uid="{00000000-0005-0000-0000-0000B41E0000}"/>
    <cellStyle name="20% - Accent5 5 2 4 3 2" xfId="14615" xr:uid="{00000000-0005-0000-0000-0000B51E0000}"/>
    <cellStyle name="20% - Accent5 5 2 4 3 3" xfId="18566" xr:uid="{00000000-0005-0000-0000-0000B61E0000}"/>
    <cellStyle name="20% - Accent5 5 2 4 4" xfId="14613" xr:uid="{00000000-0005-0000-0000-0000B71E0000}"/>
    <cellStyle name="20% - Accent5 5 2 4 5" xfId="18564" xr:uid="{00000000-0005-0000-0000-0000B81E0000}"/>
    <cellStyle name="20% - Accent5 5 2 5" xfId="3381" xr:uid="{00000000-0005-0000-0000-0000B91E0000}"/>
    <cellStyle name="20% - Accent5 5 2 5 2" xfId="14616" xr:uid="{00000000-0005-0000-0000-0000BA1E0000}"/>
    <cellStyle name="20% - Accent5 5 2 5 3" xfId="18567" xr:uid="{00000000-0005-0000-0000-0000BB1E0000}"/>
    <cellStyle name="20% - Accent5 5 2 6" xfId="3382" xr:uid="{00000000-0005-0000-0000-0000BC1E0000}"/>
    <cellStyle name="20% - Accent5 5 2 6 2" xfId="14617" xr:uid="{00000000-0005-0000-0000-0000BD1E0000}"/>
    <cellStyle name="20% - Accent5 5 2 6 3" xfId="18568" xr:uid="{00000000-0005-0000-0000-0000BE1E0000}"/>
    <cellStyle name="20% - Accent5 5 2 7" xfId="14606" xr:uid="{00000000-0005-0000-0000-0000BF1E0000}"/>
    <cellStyle name="20% - Accent5 5 2 8" xfId="18557" xr:uid="{00000000-0005-0000-0000-0000C01E0000}"/>
    <cellStyle name="20% - Accent5 5 2_Volatility" xfId="3383" xr:uid="{00000000-0005-0000-0000-0000C11E0000}"/>
    <cellStyle name="20% - Accent5 5 3" xfId="3384" xr:uid="{00000000-0005-0000-0000-0000C21E0000}"/>
    <cellStyle name="20% - Accent5 5 3 2" xfId="3385" xr:uid="{00000000-0005-0000-0000-0000C31E0000}"/>
    <cellStyle name="20% - Accent5 5 3 2 2" xfId="3386" xr:uid="{00000000-0005-0000-0000-0000C41E0000}"/>
    <cellStyle name="20% - Accent5 5 3 2 2 2" xfId="14620" xr:uid="{00000000-0005-0000-0000-0000C51E0000}"/>
    <cellStyle name="20% - Accent5 5 3 2 2 3" xfId="18571" xr:uid="{00000000-0005-0000-0000-0000C61E0000}"/>
    <cellStyle name="20% - Accent5 5 3 2 3" xfId="3387" xr:uid="{00000000-0005-0000-0000-0000C71E0000}"/>
    <cellStyle name="20% - Accent5 5 3 2 3 2" xfId="14621" xr:uid="{00000000-0005-0000-0000-0000C81E0000}"/>
    <cellStyle name="20% - Accent5 5 3 2 3 3" xfId="18572" xr:uid="{00000000-0005-0000-0000-0000C91E0000}"/>
    <cellStyle name="20% - Accent5 5 3 2 4" xfId="14619" xr:uid="{00000000-0005-0000-0000-0000CA1E0000}"/>
    <cellStyle name="20% - Accent5 5 3 2 5" xfId="18570" xr:uid="{00000000-0005-0000-0000-0000CB1E0000}"/>
    <cellStyle name="20% - Accent5 5 3 3" xfId="3388" xr:uid="{00000000-0005-0000-0000-0000CC1E0000}"/>
    <cellStyle name="20% - Accent5 5 3 3 2" xfId="3389" xr:uid="{00000000-0005-0000-0000-0000CD1E0000}"/>
    <cellStyle name="20% - Accent5 5 3 3 2 2" xfId="14623" xr:uid="{00000000-0005-0000-0000-0000CE1E0000}"/>
    <cellStyle name="20% - Accent5 5 3 3 2 3" xfId="18574" xr:uid="{00000000-0005-0000-0000-0000CF1E0000}"/>
    <cellStyle name="20% - Accent5 5 3 3 3" xfId="3390" xr:uid="{00000000-0005-0000-0000-0000D01E0000}"/>
    <cellStyle name="20% - Accent5 5 3 3 3 2" xfId="14624" xr:uid="{00000000-0005-0000-0000-0000D11E0000}"/>
    <cellStyle name="20% - Accent5 5 3 3 3 3" xfId="18575" xr:uid="{00000000-0005-0000-0000-0000D21E0000}"/>
    <cellStyle name="20% - Accent5 5 3 3 4" xfId="14622" xr:uid="{00000000-0005-0000-0000-0000D31E0000}"/>
    <cellStyle name="20% - Accent5 5 3 3 5" xfId="18573" xr:uid="{00000000-0005-0000-0000-0000D41E0000}"/>
    <cellStyle name="20% - Accent5 5 3 4" xfId="3391" xr:uid="{00000000-0005-0000-0000-0000D51E0000}"/>
    <cellStyle name="20% - Accent5 5 3 4 2" xfId="14625" xr:uid="{00000000-0005-0000-0000-0000D61E0000}"/>
    <cellStyle name="20% - Accent5 5 3 4 3" xfId="18576" xr:uid="{00000000-0005-0000-0000-0000D71E0000}"/>
    <cellStyle name="20% - Accent5 5 3 5" xfId="3392" xr:uid="{00000000-0005-0000-0000-0000D81E0000}"/>
    <cellStyle name="20% - Accent5 5 3 5 2" xfId="14626" xr:uid="{00000000-0005-0000-0000-0000D91E0000}"/>
    <cellStyle name="20% - Accent5 5 3 5 3" xfId="18577" xr:uid="{00000000-0005-0000-0000-0000DA1E0000}"/>
    <cellStyle name="20% - Accent5 5 3 6" xfId="14618" xr:uid="{00000000-0005-0000-0000-0000DB1E0000}"/>
    <cellStyle name="20% - Accent5 5 3 7" xfId="18569" xr:uid="{00000000-0005-0000-0000-0000DC1E0000}"/>
    <cellStyle name="20% - Accent5 5 3_Volatility" xfId="3393" xr:uid="{00000000-0005-0000-0000-0000DD1E0000}"/>
    <cellStyle name="20% - Accent5 5 4" xfId="3394" xr:uid="{00000000-0005-0000-0000-0000DE1E0000}"/>
    <cellStyle name="20% - Accent5 5 4 2" xfId="3395" xr:uid="{00000000-0005-0000-0000-0000DF1E0000}"/>
    <cellStyle name="20% - Accent5 5 4 2 2" xfId="14628" xr:uid="{00000000-0005-0000-0000-0000E01E0000}"/>
    <cellStyle name="20% - Accent5 5 4 2 3" xfId="18579" xr:uid="{00000000-0005-0000-0000-0000E11E0000}"/>
    <cellStyle name="20% - Accent5 5 4 3" xfId="3396" xr:uid="{00000000-0005-0000-0000-0000E21E0000}"/>
    <cellStyle name="20% - Accent5 5 4 3 2" xfId="14629" xr:uid="{00000000-0005-0000-0000-0000E31E0000}"/>
    <cellStyle name="20% - Accent5 5 4 3 3" xfId="18580" xr:uid="{00000000-0005-0000-0000-0000E41E0000}"/>
    <cellStyle name="20% - Accent5 5 4 4" xfId="14627" xr:uid="{00000000-0005-0000-0000-0000E51E0000}"/>
    <cellStyle name="20% - Accent5 5 4 5" xfId="18578" xr:uid="{00000000-0005-0000-0000-0000E61E0000}"/>
    <cellStyle name="20% - Accent5 5 5" xfId="3397" xr:uid="{00000000-0005-0000-0000-0000E71E0000}"/>
    <cellStyle name="20% - Accent5 5 5 2" xfId="3398" xr:uid="{00000000-0005-0000-0000-0000E81E0000}"/>
    <cellStyle name="20% - Accent5 5 5 2 2" xfId="14631" xr:uid="{00000000-0005-0000-0000-0000E91E0000}"/>
    <cellStyle name="20% - Accent5 5 5 2 3" xfId="18582" xr:uid="{00000000-0005-0000-0000-0000EA1E0000}"/>
    <cellStyle name="20% - Accent5 5 5 3" xfId="3399" xr:uid="{00000000-0005-0000-0000-0000EB1E0000}"/>
    <cellStyle name="20% - Accent5 5 5 3 2" xfId="14632" xr:uid="{00000000-0005-0000-0000-0000EC1E0000}"/>
    <cellStyle name="20% - Accent5 5 5 3 3" xfId="18583" xr:uid="{00000000-0005-0000-0000-0000ED1E0000}"/>
    <cellStyle name="20% - Accent5 5 5 4" xfId="14630" xr:uid="{00000000-0005-0000-0000-0000EE1E0000}"/>
    <cellStyle name="20% - Accent5 5 5 5" xfId="18581" xr:uid="{00000000-0005-0000-0000-0000EF1E0000}"/>
    <cellStyle name="20% - Accent5 5 6" xfId="3400" xr:uid="{00000000-0005-0000-0000-0000F01E0000}"/>
    <cellStyle name="20% - Accent5 5 6 2" xfId="3401" xr:uid="{00000000-0005-0000-0000-0000F11E0000}"/>
    <cellStyle name="20% - Accent5 5 6 2 2" xfId="14634" xr:uid="{00000000-0005-0000-0000-0000F21E0000}"/>
    <cellStyle name="20% - Accent5 5 6 2 3" xfId="18585" xr:uid="{00000000-0005-0000-0000-0000F31E0000}"/>
    <cellStyle name="20% - Accent5 5 6 3" xfId="3402" xr:uid="{00000000-0005-0000-0000-0000F41E0000}"/>
    <cellStyle name="20% - Accent5 5 6 3 2" xfId="14635" xr:uid="{00000000-0005-0000-0000-0000F51E0000}"/>
    <cellStyle name="20% - Accent5 5 6 3 3" xfId="18586" xr:uid="{00000000-0005-0000-0000-0000F61E0000}"/>
    <cellStyle name="20% - Accent5 5 6 4" xfId="14633" xr:uid="{00000000-0005-0000-0000-0000F71E0000}"/>
    <cellStyle name="20% - Accent5 5 6 5" xfId="18584" xr:uid="{00000000-0005-0000-0000-0000F81E0000}"/>
    <cellStyle name="20% - Accent5 5 7" xfId="3403" xr:uid="{00000000-0005-0000-0000-0000F91E0000}"/>
    <cellStyle name="20% - Accent5 5 7 2" xfId="14636" xr:uid="{00000000-0005-0000-0000-0000FA1E0000}"/>
    <cellStyle name="20% - Accent5 5 7 3" xfId="18587" xr:uid="{00000000-0005-0000-0000-0000FB1E0000}"/>
    <cellStyle name="20% - Accent5 5 8" xfId="3404" xr:uid="{00000000-0005-0000-0000-0000FC1E0000}"/>
    <cellStyle name="20% - Accent5 5 8 2" xfId="14637" xr:uid="{00000000-0005-0000-0000-0000FD1E0000}"/>
    <cellStyle name="20% - Accent5 5 8 3" xfId="18588" xr:uid="{00000000-0005-0000-0000-0000FE1E0000}"/>
    <cellStyle name="20% - Accent5 5 9" xfId="14605" xr:uid="{00000000-0005-0000-0000-0000FF1E0000}"/>
    <cellStyle name="20% - Accent5 5_Volatility" xfId="3405" xr:uid="{00000000-0005-0000-0000-0000001F0000}"/>
    <cellStyle name="20% - Accent5 6" xfId="3406" xr:uid="{00000000-0005-0000-0000-0000011F0000}"/>
    <cellStyle name="20% - Accent5 6 10" xfId="18589" xr:uid="{00000000-0005-0000-0000-0000021F0000}"/>
    <cellStyle name="20% - Accent5 6 2" xfId="3407" xr:uid="{00000000-0005-0000-0000-0000031F0000}"/>
    <cellStyle name="20% - Accent5 6 2 2" xfId="3408" xr:uid="{00000000-0005-0000-0000-0000041F0000}"/>
    <cellStyle name="20% - Accent5 6 2 2 2" xfId="3409" xr:uid="{00000000-0005-0000-0000-0000051F0000}"/>
    <cellStyle name="20% - Accent5 6 2 2 2 2" xfId="14641" xr:uid="{00000000-0005-0000-0000-0000061F0000}"/>
    <cellStyle name="20% - Accent5 6 2 2 2 3" xfId="18592" xr:uid="{00000000-0005-0000-0000-0000071F0000}"/>
    <cellStyle name="20% - Accent5 6 2 2 3" xfId="3410" xr:uid="{00000000-0005-0000-0000-0000081F0000}"/>
    <cellStyle name="20% - Accent5 6 2 2 3 2" xfId="14642" xr:uid="{00000000-0005-0000-0000-0000091F0000}"/>
    <cellStyle name="20% - Accent5 6 2 2 3 3" xfId="18593" xr:uid="{00000000-0005-0000-0000-00000A1F0000}"/>
    <cellStyle name="20% - Accent5 6 2 2 4" xfId="14640" xr:uid="{00000000-0005-0000-0000-00000B1F0000}"/>
    <cellStyle name="20% - Accent5 6 2 2 5" xfId="18591" xr:uid="{00000000-0005-0000-0000-00000C1F0000}"/>
    <cellStyle name="20% - Accent5 6 2 3" xfId="3411" xr:uid="{00000000-0005-0000-0000-00000D1F0000}"/>
    <cellStyle name="20% - Accent5 6 2 3 2" xfId="3412" xr:uid="{00000000-0005-0000-0000-00000E1F0000}"/>
    <cellStyle name="20% - Accent5 6 2 3 2 2" xfId="14644" xr:uid="{00000000-0005-0000-0000-00000F1F0000}"/>
    <cellStyle name="20% - Accent5 6 2 3 2 3" xfId="18595" xr:uid="{00000000-0005-0000-0000-0000101F0000}"/>
    <cellStyle name="20% - Accent5 6 2 3 3" xfId="3413" xr:uid="{00000000-0005-0000-0000-0000111F0000}"/>
    <cellStyle name="20% - Accent5 6 2 3 3 2" xfId="14645" xr:uid="{00000000-0005-0000-0000-0000121F0000}"/>
    <cellStyle name="20% - Accent5 6 2 3 3 3" xfId="18596" xr:uid="{00000000-0005-0000-0000-0000131F0000}"/>
    <cellStyle name="20% - Accent5 6 2 3 4" xfId="14643" xr:uid="{00000000-0005-0000-0000-0000141F0000}"/>
    <cellStyle name="20% - Accent5 6 2 3 5" xfId="18594" xr:uid="{00000000-0005-0000-0000-0000151F0000}"/>
    <cellStyle name="20% - Accent5 6 2 4" xfId="3414" xr:uid="{00000000-0005-0000-0000-0000161F0000}"/>
    <cellStyle name="20% - Accent5 6 2 4 2" xfId="3415" xr:uid="{00000000-0005-0000-0000-0000171F0000}"/>
    <cellStyle name="20% - Accent5 6 2 4 2 2" xfId="14647" xr:uid="{00000000-0005-0000-0000-0000181F0000}"/>
    <cellStyle name="20% - Accent5 6 2 4 2 3" xfId="18598" xr:uid="{00000000-0005-0000-0000-0000191F0000}"/>
    <cellStyle name="20% - Accent5 6 2 4 3" xfId="3416" xr:uid="{00000000-0005-0000-0000-00001A1F0000}"/>
    <cellStyle name="20% - Accent5 6 2 4 3 2" xfId="14648" xr:uid="{00000000-0005-0000-0000-00001B1F0000}"/>
    <cellStyle name="20% - Accent5 6 2 4 3 3" xfId="18599" xr:uid="{00000000-0005-0000-0000-00001C1F0000}"/>
    <cellStyle name="20% - Accent5 6 2 4 4" xfId="14646" xr:uid="{00000000-0005-0000-0000-00001D1F0000}"/>
    <cellStyle name="20% - Accent5 6 2 4 5" xfId="18597" xr:uid="{00000000-0005-0000-0000-00001E1F0000}"/>
    <cellStyle name="20% - Accent5 6 2 5" xfId="3417" xr:uid="{00000000-0005-0000-0000-00001F1F0000}"/>
    <cellStyle name="20% - Accent5 6 2 5 2" xfId="14649" xr:uid="{00000000-0005-0000-0000-0000201F0000}"/>
    <cellStyle name="20% - Accent5 6 2 5 3" xfId="18600" xr:uid="{00000000-0005-0000-0000-0000211F0000}"/>
    <cellStyle name="20% - Accent5 6 2 6" xfId="3418" xr:uid="{00000000-0005-0000-0000-0000221F0000}"/>
    <cellStyle name="20% - Accent5 6 2 6 2" xfId="14650" xr:uid="{00000000-0005-0000-0000-0000231F0000}"/>
    <cellStyle name="20% - Accent5 6 2 6 3" xfId="18601" xr:uid="{00000000-0005-0000-0000-0000241F0000}"/>
    <cellStyle name="20% - Accent5 6 2 7" xfId="14639" xr:uid="{00000000-0005-0000-0000-0000251F0000}"/>
    <cellStyle name="20% - Accent5 6 2 8" xfId="18590" xr:uid="{00000000-0005-0000-0000-0000261F0000}"/>
    <cellStyle name="20% - Accent5 6 2_Volatility" xfId="3419" xr:uid="{00000000-0005-0000-0000-0000271F0000}"/>
    <cellStyle name="20% - Accent5 6 3" xfId="3420" xr:uid="{00000000-0005-0000-0000-0000281F0000}"/>
    <cellStyle name="20% - Accent5 6 3 2" xfId="3421" xr:uid="{00000000-0005-0000-0000-0000291F0000}"/>
    <cellStyle name="20% - Accent5 6 3 2 2" xfId="3422" xr:uid="{00000000-0005-0000-0000-00002A1F0000}"/>
    <cellStyle name="20% - Accent5 6 3 2 2 2" xfId="14653" xr:uid="{00000000-0005-0000-0000-00002B1F0000}"/>
    <cellStyle name="20% - Accent5 6 3 2 2 3" xfId="18604" xr:uid="{00000000-0005-0000-0000-00002C1F0000}"/>
    <cellStyle name="20% - Accent5 6 3 2 3" xfId="3423" xr:uid="{00000000-0005-0000-0000-00002D1F0000}"/>
    <cellStyle name="20% - Accent5 6 3 2 3 2" xfId="14654" xr:uid="{00000000-0005-0000-0000-00002E1F0000}"/>
    <cellStyle name="20% - Accent5 6 3 2 3 3" xfId="18605" xr:uid="{00000000-0005-0000-0000-00002F1F0000}"/>
    <cellStyle name="20% - Accent5 6 3 2 4" xfId="14652" xr:uid="{00000000-0005-0000-0000-0000301F0000}"/>
    <cellStyle name="20% - Accent5 6 3 2 5" xfId="18603" xr:uid="{00000000-0005-0000-0000-0000311F0000}"/>
    <cellStyle name="20% - Accent5 6 3 3" xfId="3424" xr:uid="{00000000-0005-0000-0000-0000321F0000}"/>
    <cellStyle name="20% - Accent5 6 3 3 2" xfId="3425" xr:uid="{00000000-0005-0000-0000-0000331F0000}"/>
    <cellStyle name="20% - Accent5 6 3 3 2 2" xfId="14656" xr:uid="{00000000-0005-0000-0000-0000341F0000}"/>
    <cellStyle name="20% - Accent5 6 3 3 2 3" xfId="18607" xr:uid="{00000000-0005-0000-0000-0000351F0000}"/>
    <cellStyle name="20% - Accent5 6 3 3 3" xfId="3426" xr:uid="{00000000-0005-0000-0000-0000361F0000}"/>
    <cellStyle name="20% - Accent5 6 3 3 3 2" xfId="14657" xr:uid="{00000000-0005-0000-0000-0000371F0000}"/>
    <cellStyle name="20% - Accent5 6 3 3 3 3" xfId="18608" xr:uid="{00000000-0005-0000-0000-0000381F0000}"/>
    <cellStyle name="20% - Accent5 6 3 3 4" xfId="14655" xr:uid="{00000000-0005-0000-0000-0000391F0000}"/>
    <cellStyle name="20% - Accent5 6 3 3 5" xfId="18606" xr:uid="{00000000-0005-0000-0000-00003A1F0000}"/>
    <cellStyle name="20% - Accent5 6 3 4" xfId="3427" xr:uid="{00000000-0005-0000-0000-00003B1F0000}"/>
    <cellStyle name="20% - Accent5 6 3 4 2" xfId="14658" xr:uid="{00000000-0005-0000-0000-00003C1F0000}"/>
    <cellStyle name="20% - Accent5 6 3 4 3" xfId="18609" xr:uid="{00000000-0005-0000-0000-00003D1F0000}"/>
    <cellStyle name="20% - Accent5 6 3 5" xfId="3428" xr:uid="{00000000-0005-0000-0000-00003E1F0000}"/>
    <cellStyle name="20% - Accent5 6 3 5 2" xfId="14659" xr:uid="{00000000-0005-0000-0000-00003F1F0000}"/>
    <cellStyle name="20% - Accent5 6 3 5 3" xfId="18610" xr:uid="{00000000-0005-0000-0000-0000401F0000}"/>
    <cellStyle name="20% - Accent5 6 3 6" xfId="14651" xr:uid="{00000000-0005-0000-0000-0000411F0000}"/>
    <cellStyle name="20% - Accent5 6 3 7" xfId="18602" xr:uid="{00000000-0005-0000-0000-0000421F0000}"/>
    <cellStyle name="20% - Accent5 6 3_Volatility" xfId="3429" xr:uid="{00000000-0005-0000-0000-0000431F0000}"/>
    <cellStyle name="20% - Accent5 6 4" xfId="3430" xr:uid="{00000000-0005-0000-0000-0000441F0000}"/>
    <cellStyle name="20% - Accent5 6 4 2" xfId="3431" xr:uid="{00000000-0005-0000-0000-0000451F0000}"/>
    <cellStyle name="20% - Accent5 6 4 2 2" xfId="14661" xr:uid="{00000000-0005-0000-0000-0000461F0000}"/>
    <cellStyle name="20% - Accent5 6 4 2 3" xfId="18612" xr:uid="{00000000-0005-0000-0000-0000471F0000}"/>
    <cellStyle name="20% - Accent5 6 4 3" xfId="3432" xr:uid="{00000000-0005-0000-0000-0000481F0000}"/>
    <cellStyle name="20% - Accent5 6 4 3 2" xfId="14662" xr:uid="{00000000-0005-0000-0000-0000491F0000}"/>
    <cellStyle name="20% - Accent5 6 4 3 3" xfId="18613" xr:uid="{00000000-0005-0000-0000-00004A1F0000}"/>
    <cellStyle name="20% - Accent5 6 4 4" xfId="14660" xr:uid="{00000000-0005-0000-0000-00004B1F0000}"/>
    <cellStyle name="20% - Accent5 6 4 5" xfId="18611" xr:uid="{00000000-0005-0000-0000-00004C1F0000}"/>
    <cellStyle name="20% - Accent5 6 5" xfId="3433" xr:uid="{00000000-0005-0000-0000-00004D1F0000}"/>
    <cellStyle name="20% - Accent5 6 5 2" xfId="3434" xr:uid="{00000000-0005-0000-0000-00004E1F0000}"/>
    <cellStyle name="20% - Accent5 6 5 2 2" xfId="14664" xr:uid="{00000000-0005-0000-0000-00004F1F0000}"/>
    <cellStyle name="20% - Accent5 6 5 2 3" xfId="18615" xr:uid="{00000000-0005-0000-0000-0000501F0000}"/>
    <cellStyle name="20% - Accent5 6 5 3" xfId="3435" xr:uid="{00000000-0005-0000-0000-0000511F0000}"/>
    <cellStyle name="20% - Accent5 6 5 3 2" xfId="14665" xr:uid="{00000000-0005-0000-0000-0000521F0000}"/>
    <cellStyle name="20% - Accent5 6 5 3 3" xfId="18616" xr:uid="{00000000-0005-0000-0000-0000531F0000}"/>
    <cellStyle name="20% - Accent5 6 5 4" xfId="14663" xr:uid="{00000000-0005-0000-0000-0000541F0000}"/>
    <cellStyle name="20% - Accent5 6 5 5" xfId="18614" xr:uid="{00000000-0005-0000-0000-0000551F0000}"/>
    <cellStyle name="20% - Accent5 6 6" xfId="3436" xr:uid="{00000000-0005-0000-0000-0000561F0000}"/>
    <cellStyle name="20% - Accent5 6 6 2" xfId="3437" xr:uid="{00000000-0005-0000-0000-0000571F0000}"/>
    <cellStyle name="20% - Accent5 6 6 2 2" xfId="14667" xr:uid="{00000000-0005-0000-0000-0000581F0000}"/>
    <cellStyle name="20% - Accent5 6 6 2 3" xfId="18618" xr:uid="{00000000-0005-0000-0000-0000591F0000}"/>
    <cellStyle name="20% - Accent5 6 6 3" xfId="3438" xr:uid="{00000000-0005-0000-0000-00005A1F0000}"/>
    <cellStyle name="20% - Accent5 6 6 3 2" xfId="14668" xr:uid="{00000000-0005-0000-0000-00005B1F0000}"/>
    <cellStyle name="20% - Accent5 6 6 3 3" xfId="18619" xr:uid="{00000000-0005-0000-0000-00005C1F0000}"/>
    <cellStyle name="20% - Accent5 6 6 4" xfId="14666" xr:uid="{00000000-0005-0000-0000-00005D1F0000}"/>
    <cellStyle name="20% - Accent5 6 6 5" xfId="18617" xr:uid="{00000000-0005-0000-0000-00005E1F0000}"/>
    <cellStyle name="20% - Accent5 6 7" xfId="3439" xr:uid="{00000000-0005-0000-0000-00005F1F0000}"/>
    <cellStyle name="20% - Accent5 6 7 2" xfId="14669" xr:uid="{00000000-0005-0000-0000-0000601F0000}"/>
    <cellStyle name="20% - Accent5 6 7 3" xfId="18620" xr:uid="{00000000-0005-0000-0000-0000611F0000}"/>
    <cellStyle name="20% - Accent5 6 8" xfId="3440" xr:uid="{00000000-0005-0000-0000-0000621F0000}"/>
    <cellStyle name="20% - Accent5 6 8 2" xfId="14670" xr:uid="{00000000-0005-0000-0000-0000631F0000}"/>
    <cellStyle name="20% - Accent5 6 8 3" xfId="18621" xr:uid="{00000000-0005-0000-0000-0000641F0000}"/>
    <cellStyle name="20% - Accent5 6 9" xfId="14638" xr:uid="{00000000-0005-0000-0000-0000651F0000}"/>
    <cellStyle name="20% - Accent5 6_Volatility" xfId="3441" xr:uid="{00000000-0005-0000-0000-0000661F0000}"/>
    <cellStyle name="20% - Accent5 7" xfId="3442" xr:uid="{00000000-0005-0000-0000-0000671F0000}"/>
    <cellStyle name="20% - Accent5 7 10" xfId="18622" xr:uid="{00000000-0005-0000-0000-0000681F0000}"/>
    <cellStyle name="20% - Accent5 7 2" xfId="3443" xr:uid="{00000000-0005-0000-0000-0000691F0000}"/>
    <cellStyle name="20% - Accent5 7 2 2" xfId="3444" xr:uid="{00000000-0005-0000-0000-00006A1F0000}"/>
    <cellStyle name="20% - Accent5 7 2 2 2" xfId="3445" xr:uid="{00000000-0005-0000-0000-00006B1F0000}"/>
    <cellStyle name="20% - Accent5 7 2 2 2 2" xfId="14674" xr:uid="{00000000-0005-0000-0000-00006C1F0000}"/>
    <cellStyle name="20% - Accent5 7 2 2 2 3" xfId="18625" xr:uid="{00000000-0005-0000-0000-00006D1F0000}"/>
    <cellStyle name="20% - Accent5 7 2 2 3" xfId="3446" xr:uid="{00000000-0005-0000-0000-00006E1F0000}"/>
    <cellStyle name="20% - Accent5 7 2 2 3 2" xfId="14675" xr:uid="{00000000-0005-0000-0000-00006F1F0000}"/>
    <cellStyle name="20% - Accent5 7 2 2 3 3" xfId="18626" xr:uid="{00000000-0005-0000-0000-0000701F0000}"/>
    <cellStyle name="20% - Accent5 7 2 2 4" xfId="14673" xr:uid="{00000000-0005-0000-0000-0000711F0000}"/>
    <cellStyle name="20% - Accent5 7 2 2 5" xfId="18624" xr:uid="{00000000-0005-0000-0000-0000721F0000}"/>
    <cellStyle name="20% - Accent5 7 2 3" xfId="3447" xr:uid="{00000000-0005-0000-0000-0000731F0000}"/>
    <cellStyle name="20% - Accent5 7 2 3 2" xfId="3448" xr:uid="{00000000-0005-0000-0000-0000741F0000}"/>
    <cellStyle name="20% - Accent5 7 2 3 2 2" xfId="14677" xr:uid="{00000000-0005-0000-0000-0000751F0000}"/>
    <cellStyle name="20% - Accent5 7 2 3 2 3" xfId="18628" xr:uid="{00000000-0005-0000-0000-0000761F0000}"/>
    <cellStyle name="20% - Accent5 7 2 3 3" xfId="3449" xr:uid="{00000000-0005-0000-0000-0000771F0000}"/>
    <cellStyle name="20% - Accent5 7 2 3 3 2" xfId="14678" xr:uid="{00000000-0005-0000-0000-0000781F0000}"/>
    <cellStyle name="20% - Accent5 7 2 3 3 3" xfId="18629" xr:uid="{00000000-0005-0000-0000-0000791F0000}"/>
    <cellStyle name="20% - Accent5 7 2 3 4" xfId="14676" xr:uid="{00000000-0005-0000-0000-00007A1F0000}"/>
    <cellStyle name="20% - Accent5 7 2 3 5" xfId="18627" xr:uid="{00000000-0005-0000-0000-00007B1F0000}"/>
    <cellStyle name="20% - Accent5 7 2 4" xfId="3450" xr:uid="{00000000-0005-0000-0000-00007C1F0000}"/>
    <cellStyle name="20% - Accent5 7 2 4 2" xfId="3451" xr:uid="{00000000-0005-0000-0000-00007D1F0000}"/>
    <cellStyle name="20% - Accent5 7 2 4 2 2" xfId="14680" xr:uid="{00000000-0005-0000-0000-00007E1F0000}"/>
    <cellStyle name="20% - Accent5 7 2 4 2 3" xfId="18631" xr:uid="{00000000-0005-0000-0000-00007F1F0000}"/>
    <cellStyle name="20% - Accent5 7 2 4 3" xfId="3452" xr:uid="{00000000-0005-0000-0000-0000801F0000}"/>
    <cellStyle name="20% - Accent5 7 2 4 3 2" xfId="14681" xr:uid="{00000000-0005-0000-0000-0000811F0000}"/>
    <cellStyle name="20% - Accent5 7 2 4 3 3" xfId="18632" xr:uid="{00000000-0005-0000-0000-0000821F0000}"/>
    <cellStyle name="20% - Accent5 7 2 4 4" xfId="14679" xr:uid="{00000000-0005-0000-0000-0000831F0000}"/>
    <cellStyle name="20% - Accent5 7 2 4 5" xfId="18630" xr:uid="{00000000-0005-0000-0000-0000841F0000}"/>
    <cellStyle name="20% - Accent5 7 2 5" xfId="3453" xr:uid="{00000000-0005-0000-0000-0000851F0000}"/>
    <cellStyle name="20% - Accent5 7 2 5 2" xfId="14682" xr:uid="{00000000-0005-0000-0000-0000861F0000}"/>
    <cellStyle name="20% - Accent5 7 2 5 3" xfId="18633" xr:uid="{00000000-0005-0000-0000-0000871F0000}"/>
    <cellStyle name="20% - Accent5 7 2 6" xfId="3454" xr:uid="{00000000-0005-0000-0000-0000881F0000}"/>
    <cellStyle name="20% - Accent5 7 2 6 2" xfId="14683" xr:uid="{00000000-0005-0000-0000-0000891F0000}"/>
    <cellStyle name="20% - Accent5 7 2 6 3" xfId="18634" xr:uid="{00000000-0005-0000-0000-00008A1F0000}"/>
    <cellStyle name="20% - Accent5 7 2 7" xfId="14672" xr:uid="{00000000-0005-0000-0000-00008B1F0000}"/>
    <cellStyle name="20% - Accent5 7 2 8" xfId="18623" xr:uid="{00000000-0005-0000-0000-00008C1F0000}"/>
    <cellStyle name="20% - Accent5 7 2_Volatility" xfId="3455" xr:uid="{00000000-0005-0000-0000-00008D1F0000}"/>
    <cellStyle name="20% - Accent5 7 3" xfId="3456" xr:uid="{00000000-0005-0000-0000-00008E1F0000}"/>
    <cellStyle name="20% - Accent5 7 3 2" xfId="3457" xr:uid="{00000000-0005-0000-0000-00008F1F0000}"/>
    <cellStyle name="20% - Accent5 7 3 2 2" xfId="3458" xr:uid="{00000000-0005-0000-0000-0000901F0000}"/>
    <cellStyle name="20% - Accent5 7 3 2 2 2" xfId="14686" xr:uid="{00000000-0005-0000-0000-0000911F0000}"/>
    <cellStyle name="20% - Accent5 7 3 2 2 3" xfId="18637" xr:uid="{00000000-0005-0000-0000-0000921F0000}"/>
    <cellStyle name="20% - Accent5 7 3 2 3" xfId="3459" xr:uid="{00000000-0005-0000-0000-0000931F0000}"/>
    <cellStyle name="20% - Accent5 7 3 2 3 2" xfId="14687" xr:uid="{00000000-0005-0000-0000-0000941F0000}"/>
    <cellStyle name="20% - Accent5 7 3 2 3 3" xfId="18638" xr:uid="{00000000-0005-0000-0000-0000951F0000}"/>
    <cellStyle name="20% - Accent5 7 3 2 4" xfId="14685" xr:uid="{00000000-0005-0000-0000-0000961F0000}"/>
    <cellStyle name="20% - Accent5 7 3 2 5" xfId="18636" xr:uid="{00000000-0005-0000-0000-0000971F0000}"/>
    <cellStyle name="20% - Accent5 7 3 3" xfId="3460" xr:uid="{00000000-0005-0000-0000-0000981F0000}"/>
    <cellStyle name="20% - Accent5 7 3 3 2" xfId="3461" xr:uid="{00000000-0005-0000-0000-0000991F0000}"/>
    <cellStyle name="20% - Accent5 7 3 3 2 2" xfId="14689" xr:uid="{00000000-0005-0000-0000-00009A1F0000}"/>
    <cellStyle name="20% - Accent5 7 3 3 2 3" xfId="18640" xr:uid="{00000000-0005-0000-0000-00009B1F0000}"/>
    <cellStyle name="20% - Accent5 7 3 3 3" xfId="3462" xr:uid="{00000000-0005-0000-0000-00009C1F0000}"/>
    <cellStyle name="20% - Accent5 7 3 3 3 2" xfId="14690" xr:uid="{00000000-0005-0000-0000-00009D1F0000}"/>
    <cellStyle name="20% - Accent5 7 3 3 3 3" xfId="18641" xr:uid="{00000000-0005-0000-0000-00009E1F0000}"/>
    <cellStyle name="20% - Accent5 7 3 3 4" xfId="14688" xr:uid="{00000000-0005-0000-0000-00009F1F0000}"/>
    <cellStyle name="20% - Accent5 7 3 3 5" xfId="18639" xr:uid="{00000000-0005-0000-0000-0000A01F0000}"/>
    <cellStyle name="20% - Accent5 7 3 4" xfId="3463" xr:uid="{00000000-0005-0000-0000-0000A11F0000}"/>
    <cellStyle name="20% - Accent5 7 3 4 2" xfId="14691" xr:uid="{00000000-0005-0000-0000-0000A21F0000}"/>
    <cellStyle name="20% - Accent5 7 3 4 3" xfId="18642" xr:uid="{00000000-0005-0000-0000-0000A31F0000}"/>
    <cellStyle name="20% - Accent5 7 3 5" xfId="3464" xr:uid="{00000000-0005-0000-0000-0000A41F0000}"/>
    <cellStyle name="20% - Accent5 7 3 5 2" xfId="14692" xr:uid="{00000000-0005-0000-0000-0000A51F0000}"/>
    <cellStyle name="20% - Accent5 7 3 5 3" xfId="18643" xr:uid="{00000000-0005-0000-0000-0000A61F0000}"/>
    <cellStyle name="20% - Accent5 7 3 6" xfId="14684" xr:uid="{00000000-0005-0000-0000-0000A71F0000}"/>
    <cellStyle name="20% - Accent5 7 3 7" xfId="18635" xr:uid="{00000000-0005-0000-0000-0000A81F0000}"/>
    <cellStyle name="20% - Accent5 7 3_Volatility" xfId="3465" xr:uid="{00000000-0005-0000-0000-0000A91F0000}"/>
    <cellStyle name="20% - Accent5 7 4" xfId="3466" xr:uid="{00000000-0005-0000-0000-0000AA1F0000}"/>
    <cellStyle name="20% - Accent5 7 4 2" xfId="3467" xr:uid="{00000000-0005-0000-0000-0000AB1F0000}"/>
    <cellStyle name="20% - Accent5 7 4 2 2" xfId="14694" xr:uid="{00000000-0005-0000-0000-0000AC1F0000}"/>
    <cellStyle name="20% - Accent5 7 4 2 3" xfId="18645" xr:uid="{00000000-0005-0000-0000-0000AD1F0000}"/>
    <cellStyle name="20% - Accent5 7 4 3" xfId="3468" xr:uid="{00000000-0005-0000-0000-0000AE1F0000}"/>
    <cellStyle name="20% - Accent5 7 4 3 2" xfId="14695" xr:uid="{00000000-0005-0000-0000-0000AF1F0000}"/>
    <cellStyle name="20% - Accent5 7 4 3 3" xfId="18646" xr:uid="{00000000-0005-0000-0000-0000B01F0000}"/>
    <cellStyle name="20% - Accent5 7 4 4" xfId="14693" xr:uid="{00000000-0005-0000-0000-0000B11F0000}"/>
    <cellStyle name="20% - Accent5 7 4 5" xfId="18644" xr:uid="{00000000-0005-0000-0000-0000B21F0000}"/>
    <cellStyle name="20% - Accent5 7 5" xfId="3469" xr:uid="{00000000-0005-0000-0000-0000B31F0000}"/>
    <cellStyle name="20% - Accent5 7 5 2" xfId="3470" xr:uid="{00000000-0005-0000-0000-0000B41F0000}"/>
    <cellStyle name="20% - Accent5 7 5 2 2" xfId="14697" xr:uid="{00000000-0005-0000-0000-0000B51F0000}"/>
    <cellStyle name="20% - Accent5 7 5 2 3" xfId="18648" xr:uid="{00000000-0005-0000-0000-0000B61F0000}"/>
    <cellStyle name="20% - Accent5 7 5 3" xfId="3471" xr:uid="{00000000-0005-0000-0000-0000B71F0000}"/>
    <cellStyle name="20% - Accent5 7 5 3 2" xfId="14698" xr:uid="{00000000-0005-0000-0000-0000B81F0000}"/>
    <cellStyle name="20% - Accent5 7 5 3 3" xfId="18649" xr:uid="{00000000-0005-0000-0000-0000B91F0000}"/>
    <cellStyle name="20% - Accent5 7 5 4" xfId="14696" xr:uid="{00000000-0005-0000-0000-0000BA1F0000}"/>
    <cellStyle name="20% - Accent5 7 5 5" xfId="18647" xr:uid="{00000000-0005-0000-0000-0000BB1F0000}"/>
    <cellStyle name="20% - Accent5 7 6" xfId="3472" xr:uid="{00000000-0005-0000-0000-0000BC1F0000}"/>
    <cellStyle name="20% - Accent5 7 6 2" xfId="3473" xr:uid="{00000000-0005-0000-0000-0000BD1F0000}"/>
    <cellStyle name="20% - Accent5 7 6 2 2" xfId="14700" xr:uid="{00000000-0005-0000-0000-0000BE1F0000}"/>
    <cellStyle name="20% - Accent5 7 6 2 3" xfId="18651" xr:uid="{00000000-0005-0000-0000-0000BF1F0000}"/>
    <cellStyle name="20% - Accent5 7 6 3" xfId="3474" xr:uid="{00000000-0005-0000-0000-0000C01F0000}"/>
    <cellStyle name="20% - Accent5 7 6 3 2" xfId="14701" xr:uid="{00000000-0005-0000-0000-0000C11F0000}"/>
    <cellStyle name="20% - Accent5 7 6 3 3" xfId="18652" xr:uid="{00000000-0005-0000-0000-0000C21F0000}"/>
    <cellStyle name="20% - Accent5 7 6 4" xfId="14699" xr:uid="{00000000-0005-0000-0000-0000C31F0000}"/>
    <cellStyle name="20% - Accent5 7 6 5" xfId="18650" xr:uid="{00000000-0005-0000-0000-0000C41F0000}"/>
    <cellStyle name="20% - Accent5 7 7" xfId="3475" xr:uid="{00000000-0005-0000-0000-0000C51F0000}"/>
    <cellStyle name="20% - Accent5 7 7 2" xfId="14702" xr:uid="{00000000-0005-0000-0000-0000C61F0000}"/>
    <cellStyle name="20% - Accent5 7 7 3" xfId="18653" xr:uid="{00000000-0005-0000-0000-0000C71F0000}"/>
    <cellStyle name="20% - Accent5 7 8" xfId="3476" xr:uid="{00000000-0005-0000-0000-0000C81F0000}"/>
    <cellStyle name="20% - Accent5 7 8 2" xfId="14703" xr:uid="{00000000-0005-0000-0000-0000C91F0000}"/>
    <cellStyle name="20% - Accent5 7 8 3" xfId="18654" xr:uid="{00000000-0005-0000-0000-0000CA1F0000}"/>
    <cellStyle name="20% - Accent5 7 9" xfId="14671" xr:uid="{00000000-0005-0000-0000-0000CB1F0000}"/>
    <cellStyle name="20% - Accent5 7_Volatility" xfId="3477" xr:uid="{00000000-0005-0000-0000-0000CC1F0000}"/>
    <cellStyle name="20% - Accent5 8" xfId="3478" xr:uid="{00000000-0005-0000-0000-0000CD1F0000}"/>
    <cellStyle name="20% - Accent5 8 10" xfId="18655" xr:uid="{00000000-0005-0000-0000-0000CE1F0000}"/>
    <cellStyle name="20% - Accent5 8 2" xfId="3479" xr:uid="{00000000-0005-0000-0000-0000CF1F0000}"/>
    <cellStyle name="20% - Accent5 8 2 2" xfId="3480" xr:uid="{00000000-0005-0000-0000-0000D01F0000}"/>
    <cellStyle name="20% - Accent5 8 2 2 2" xfId="3481" xr:uid="{00000000-0005-0000-0000-0000D11F0000}"/>
    <cellStyle name="20% - Accent5 8 2 2 2 2" xfId="14707" xr:uid="{00000000-0005-0000-0000-0000D21F0000}"/>
    <cellStyle name="20% - Accent5 8 2 2 2 3" xfId="18658" xr:uid="{00000000-0005-0000-0000-0000D31F0000}"/>
    <cellStyle name="20% - Accent5 8 2 2 3" xfId="3482" xr:uid="{00000000-0005-0000-0000-0000D41F0000}"/>
    <cellStyle name="20% - Accent5 8 2 2 3 2" xfId="14708" xr:uid="{00000000-0005-0000-0000-0000D51F0000}"/>
    <cellStyle name="20% - Accent5 8 2 2 3 3" xfId="18659" xr:uid="{00000000-0005-0000-0000-0000D61F0000}"/>
    <cellStyle name="20% - Accent5 8 2 2 4" xfId="14706" xr:uid="{00000000-0005-0000-0000-0000D71F0000}"/>
    <cellStyle name="20% - Accent5 8 2 2 5" xfId="18657" xr:uid="{00000000-0005-0000-0000-0000D81F0000}"/>
    <cellStyle name="20% - Accent5 8 2 3" xfId="3483" xr:uid="{00000000-0005-0000-0000-0000D91F0000}"/>
    <cellStyle name="20% - Accent5 8 2 3 2" xfId="3484" xr:uid="{00000000-0005-0000-0000-0000DA1F0000}"/>
    <cellStyle name="20% - Accent5 8 2 3 2 2" xfId="14710" xr:uid="{00000000-0005-0000-0000-0000DB1F0000}"/>
    <cellStyle name="20% - Accent5 8 2 3 2 3" xfId="18661" xr:uid="{00000000-0005-0000-0000-0000DC1F0000}"/>
    <cellStyle name="20% - Accent5 8 2 3 3" xfId="3485" xr:uid="{00000000-0005-0000-0000-0000DD1F0000}"/>
    <cellStyle name="20% - Accent5 8 2 3 3 2" xfId="14711" xr:uid="{00000000-0005-0000-0000-0000DE1F0000}"/>
    <cellStyle name="20% - Accent5 8 2 3 3 3" xfId="18662" xr:uid="{00000000-0005-0000-0000-0000DF1F0000}"/>
    <cellStyle name="20% - Accent5 8 2 3 4" xfId="14709" xr:uid="{00000000-0005-0000-0000-0000E01F0000}"/>
    <cellStyle name="20% - Accent5 8 2 3 5" xfId="18660" xr:uid="{00000000-0005-0000-0000-0000E11F0000}"/>
    <cellStyle name="20% - Accent5 8 2 4" xfId="3486" xr:uid="{00000000-0005-0000-0000-0000E21F0000}"/>
    <cellStyle name="20% - Accent5 8 2 4 2" xfId="3487" xr:uid="{00000000-0005-0000-0000-0000E31F0000}"/>
    <cellStyle name="20% - Accent5 8 2 4 2 2" xfId="14713" xr:uid="{00000000-0005-0000-0000-0000E41F0000}"/>
    <cellStyle name="20% - Accent5 8 2 4 2 3" xfId="18664" xr:uid="{00000000-0005-0000-0000-0000E51F0000}"/>
    <cellStyle name="20% - Accent5 8 2 4 3" xfId="3488" xr:uid="{00000000-0005-0000-0000-0000E61F0000}"/>
    <cellStyle name="20% - Accent5 8 2 4 3 2" xfId="14714" xr:uid="{00000000-0005-0000-0000-0000E71F0000}"/>
    <cellStyle name="20% - Accent5 8 2 4 3 3" xfId="18665" xr:uid="{00000000-0005-0000-0000-0000E81F0000}"/>
    <cellStyle name="20% - Accent5 8 2 4 4" xfId="14712" xr:uid="{00000000-0005-0000-0000-0000E91F0000}"/>
    <cellStyle name="20% - Accent5 8 2 4 5" xfId="18663" xr:uid="{00000000-0005-0000-0000-0000EA1F0000}"/>
    <cellStyle name="20% - Accent5 8 2 5" xfId="3489" xr:uid="{00000000-0005-0000-0000-0000EB1F0000}"/>
    <cellStyle name="20% - Accent5 8 2 5 2" xfId="14715" xr:uid="{00000000-0005-0000-0000-0000EC1F0000}"/>
    <cellStyle name="20% - Accent5 8 2 5 3" xfId="18666" xr:uid="{00000000-0005-0000-0000-0000ED1F0000}"/>
    <cellStyle name="20% - Accent5 8 2 6" xfId="3490" xr:uid="{00000000-0005-0000-0000-0000EE1F0000}"/>
    <cellStyle name="20% - Accent5 8 2 6 2" xfId="14716" xr:uid="{00000000-0005-0000-0000-0000EF1F0000}"/>
    <cellStyle name="20% - Accent5 8 2 6 3" xfId="18667" xr:uid="{00000000-0005-0000-0000-0000F01F0000}"/>
    <cellStyle name="20% - Accent5 8 2 7" xfId="14705" xr:uid="{00000000-0005-0000-0000-0000F11F0000}"/>
    <cellStyle name="20% - Accent5 8 2 8" xfId="18656" xr:uid="{00000000-0005-0000-0000-0000F21F0000}"/>
    <cellStyle name="20% - Accent5 8 2_Volatility" xfId="3491" xr:uid="{00000000-0005-0000-0000-0000F31F0000}"/>
    <cellStyle name="20% - Accent5 8 3" xfId="3492" xr:uid="{00000000-0005-0000-0000-0000F41F0000}"/>
    <cellStyle name="20% - Accent5 8 3 2" xfId="3493" xr:uid="{00000000-0005-0000-0000-0000F51F0000}"/>
    <cellStyle name="20% - Accent5 8 3 2 2" xfId="3494" xr:uid="{00000000-0005-0000-0000-0000F61F0000}"/>
    <cellStyle name="20% - Accent5 8 3 2 2 2" xfId="14719" xr:uid="{00000000-0005-0000-0000-0000F71F0000}"/>
    <cellStyle name="20% - Accent5 8 3 2 2 3" xfId="18670" xr:uid="{00000000-0005-0000-0000-0000F81F0000}"/>
    <cellStyle name="20% - Accent5 8 3 2 3" xfId="3495" xr:uid="{00000000-0005-0000-0000-0000F91F0000}"/>
    <cellStyle name="20% - Accent5 8 3 2 3 2" xfId="14720" xr:uid="{00000000-0005-0000-0000-0000FA1F0000}"/>
    <cellStyle name="20% - Accent5 8 3 2 3 3" xfId="18671" xr:uid="{00000000-0005-0000-0000-0000FB1F0000}"/>
    <cellStyle name="20% - Accent5 8 3 2 4" xfId="14718" xr:uid="{00000000-0005-0000-0000-0000FC1F0000}"/>
    <cellStyle name="20% - Accent5 8 3 2 5" xfId="18669" xr:uid="{00000000-0005-0000-0000-0000FD1F0000}"/>
    <cellStyle name="20% - Accent5 8 3 3" xfId="3496" xr:uid="{00000000-0005-0000-0000-0000FE1F0000}"/>
    <cellStyle name="20% - Accent5 8 3 3 2" xfId="3497" xr:uid="{00000000-0005-0000-0000-0000FF1F0000}"/>
    <cellStyle name="20% - Accent5 8 3 3 2 2" xfId="14722" xr:uid="{00000000-0005-0000-0000-000000200000}"/>
    <cellStyle name="20% - Accent5 8 3 3 2 3" xfId="18673" xr:uid="{00000000-0005-0000-0000-000001200000}"/>
    <cellStyle name="20% - Accent5 8 3 3 3" xfId="3498" xr:uid="{00000000-0005-0000-0000-000002200000}"/>
    <cellStyle name="20% - Accent5 8 3 3 3 2" xfId="14723" xr:uid="{00000000-0005-0000-0000-000003200000}"/>
    <cellStyle name="20% - Accent5 8 3 3 3 3" xfId="18674" xr:uid="{00000000-0005-0000-0000-000004200000}"/>
    <cellStyle name="20% - Accent5 8 3 3 4" xfId="14721" xr:uid="{00000000-0005-0000-0000-000005200000}"/>
    <cellStyle name="20% - Accent5 8 3 3 5" xfId="18672" xr:uid="{00000000-0005-0000-0000-000006200000}"/>
    <cellStyle name="20% - Accent5 8 3 4" xfId="3499" xr:uid="{00000000-0005-0000-0000-000007200000}"/>
    <cellStyle name="20% - Accent5 8 3 4 2" xfId="14724" xr:uid="{00000000-0005-0000-0000-000008200000}"/>
    <cellStyle name="20% - Accent5 8 3 4 3" xfId="18675" xr:uid="{00000000-0005-0000-0000-000009200000}"/>
    <cellStyle name="20% - Accent5 8 3 5" xfId="3500" xr:uid="{00000000-0005-0000-0000-00000A200000}"/>
    <cellStyle name="20% - Accent5 8 3 5 2" xfId="14725" xr:uid="{00000000-0005-0000-0000-00000B200000}"/>
    <cellStyle name="20% - Accent5 8 3 5 3" xfId="18676" xr:uid="{00000000-0005-0000-0000-00000C200000}"/>
    <cellStyle name="20% - Accent5 8 3 6" xfId="14717" xr:uid="{00000000-0005-0000-0000-00000D200000}"/>
    <cellStyle name="20% - Accent5 8 3 7" xfId="18668" xr:uid="{00000000-0005-0000-0000-00000E200000}"/>
    <cellStyle name="20% - Accent5 8 3_Volatility" xfId="3501" xr:uid="{00000000-0005-0000-0000-00000F200000}"/>
    <cellStyle name="20% - Accent5 8 4" xfId="3502" xr:uid="{00000000-0005-0000-0000-000010200000}"/>
    <cellStyle name="20% - Accent5 8 4 2" xfId="3503" xr:uid="{00000000-0005-0000-0000-000011200000}"/>
    <cellStyle name="20% - Accent5 8 4 2 2" xfId="14727" xr:uid="{00000000-0005-0000-0000-000012200000}"/>
    <cellStyle name="20% - Accent5 8 4 2 3" xfId="18678" xr:uid="{00000000-0005-0000-0000-000013200000}"/>
    <cellStyle name="20% - Accent5 8 4 3" xfId="3504" xr:uid="{00000000-0005-0000-0000-000014200000}"/>
    <cellStyle name="20% - Accent5 8 4 3 2" xfId="14728" xr:uid="{00000000-0005-0000-0000-000015200000}"/>
    <cellStyle name="20% - Accent5 8 4 3 3" xfId="18679" xr:uid="{00000000-0005-0000-0000-000016200000}"/>
    <cellStyle name="20% - Accent5 8 4 4" xfId="14726" xr:uid="{00000000-0005-0000-0000-000017200000}"/>
    <cellStyle name="20% - Accent5 8 4 5" xfId="18677" xr:uid="{00000000-0005-0000-0000-000018200000}"/>
    <cellStyle name="20% - Accent5 8 5" xfId="3505" xr:uid="{00000000-0005-0000-0000-000019200000}"/>
    <cellStyle name="20% - Accent5 8 5 2" xfId="3506" xr:uid="{00000000-0005-0000-0000-00001A200000}"/>
    <cellStyle name="20% - Accent5 8 5 2 2" xfId="14730" xr:uid="{00000000-0005-0000-0000-00001B200000}"/>
    <cellStyle name="20% - Accent5 8 5 2 3" xfId="18681" xr:uid="{00000000-0005-0000-0000-00001C200000}"/>
    <cellStyle name="20% - Accent5 8 5 3" xfId="3507" xr:uid="{00000000-0005-0000-0000-00001D200000}"/>
    <cellStyle name="20% - Accent5 8 5 3 2" xfId="14731" xr:uid="{00000000-0005-0000-0000-00001E200000}"/>
    <cellStyle name="20% - Accent5 8 5 3 3" xfId="18682" xr:uid="{00000000-0005-0000-0000-00001F200000}"/>
    <cellStyle name="20% - Accent5 8 5 4" xfId="14729" xr:uid="{00000000-0005-0000-0000-000020200000}"/>
    <cellStyle name="20% - Accent5 8 5 5" xfId="18680" xr:uid="{00000000-0005-0000-0000-000021200000}"/>
    <cellStyle name="20% - Accent5 8 6" xfId="3508" xr:uid="{00000000-0005-0000-0000-000022200000}"/>
    <cellStyle name="20% - Accent5 8 6 2" xfId="3509" xr:uid="{00000000-0005-0000-0000-000023200000}"/>
    <cellStyle name="20% - Accent5 8 6 2 2" xfId="14733" xr:uid="{00000000-0005-0000-0000-000024200000}"/>
    <cellStyle name="20% - Accent5 8 6 2 3" xfId="18684" xr:uid="{00000000-0005-0000-0000-000025200000}"/>
    <cellStyle name="20% - Accent5 8 6 3" xfId="3510" xr:uid="{00000000-0005-0000-0000-000026200000}"/>
    <cellStyle name="20% - Accent5 8 6 3 2" xfId="14734" xr:uid="{00000000-0005-0000-0000-000027200000}"/>
    <cellStyle name="20% - Accent5 8 6 3 3" xfId="18685" xr:uid="{00000000-0005-0000-0000-000028200000}"/>
    <cellStyle name="20% - Accent5 8 6 4" xfId="14732" xr:uid="{00000000-0005-0000-0000-000029200000}"/>
    <cellStyle name="20% - Accent5 8 6 5" xfId="18683" xr:uid="{00000000-0005-0000-0000-00002A200000}"/>
    <cellStyle name="20% - Accent5 8 7" xfId="3511" xr:uid="{00000000-0005-0000-0000-00002B200000}"/>
    <cellStyle name="20% - Accent5 8 7 2" xfId="14735" xr:uid="{00000000-0005-0000-0000-00002C200000}"/>
    <cellStyle name="20% - Accent5 8 7 3" xfId="18686" xr:uid="{00000000-0005-0000-0000-00002D200000}"/>
    <cellStyle name="20% - Accent5 8 8" xfId="3512" xr:uid="{00000000-0005-0000-0000-00002E200000}"/>
    <cellStyle name="20% - Accent5 8 8 2" xfId="14736" xr:uid="{00000000-0005-0000-0000-00002F200000}"/>
    <cellStyle name="20% - Accent5 8 8 3" xfId="18687" xr:uid="{00000000-0005-0000-0000-000030200000}"/>
    <cellStyle name="20% - Accent5 8 9" xfId="14704" xr:uid="{00000000-0005-0000-0000-000031200000}"/>
    <cellStyle name="20% - Accent5 8_Volatility" xfId="3513" xr:uid="{00000000-0005-0000-0000-000032200000}"/>
    <cellStyle name="20% - Accent5 9" xfId="3514" xr:uid="{00000000-0005-0000-0000-000033200000}"/>
    <cellStyle name="20% - Accent5 9 10" xfId="18688" xr:uid="{00000000-0005-0000-0000-000034200000}"/>
    <cellStyle name="20% - Accent5 9 2" xfId="3515" xr:uid="{00000000-0005-0000-0000-000035200000}"/>
    <cellStyle name="20% - Accent5 9 2 2" xfId="3516" xr:uid="{00000000-0005-0000-0000-000036200000}"/>
    <cellStyle name="20% - Accent5 9 2 2 2" xfId="3517" xr:uid="{00000000-0005-0000-0000-000037200000}"/>
    <cellStyle name="20% - Accent5 9 2 2 2 2" xfId="14740" xr:uid="{00000000-0005-0000-0000-000038200000}"/>
    <cellStyle name="20% - Accent5 9 2 2 2 3" xfId="18691" xr:uid="{00000000-0005-0000-0000-000039200000}"/>
    <cellStyle name="20% - Accent5 9 2 2 3" xfId="3518" xr:uid="{00000000-0005-0000-0000-00003A200000}"/>
    <cellStyle name="20% - Accent5 9 2 2 3 2" xfId="14741" xr:uid="{00000000-0005-0000-0000-00003B200000}"/>
    <cellStyle name="20% - Accent5 9 2 2 3 3" xfId="18692" xr:uid="{00000000-0005-0000-0000-00003C200000}"/>
    <cellStyle name="20% - Accent5 9 2 2 4" xfId="14739" xr:uid="{00000000-0005-0000-0000-00003D200000}"/>
    <cellStyle name="20% - Accent5 9 2 2 5" xfId="18690" xr:uid="{00000000-0005-0000-0000-00003E200000}"/>
    <cellStyle name="20% - Accent5 9 2 3" xfId="3519" xr:uid="{00000000-0005-0000-0000-00003F200000}"/>
    <cellStyle name="20% - Accent5 9 2 3 2" xfId="3520" xr:uid="{00000000-0005-0000-0000-000040200000}"/>
    <cellStyle name="20% - Accent5 9 2 3 2 2" xfId="14743" xr:uid="{00000000-0005-0000-0000-000041200000}"/>
    <cellStyle name="20% - Accent5 9 2 3 2 3" xfId="18694" xr:uid="{00000000-0005-0000-0000-000042200000}"/>
    <cellStyle name="20% - Accent5 9 2 3 3" xfId="3521" xr:uid="{00000000-0005-0000-0000-000043200000}"/>
    <cellStyle name="20% - Accent5 9 2 3 3 2" xfId="14744" xr:uid="{00000000-0005-0000-0000-000044200000}"/>
    <cellStyle name="20% - Accent5 9 2 3 3 3" xfId="18695" xr:uid="{00000000-0005-0000-0000-000045200000}"/>
    <cellStyle name="20% - Accent5 9 2 3 4" xfId="14742" xr:uid="{00000000-0005-0000-0000-000046200000}"/>
    <cellStyle name="20% - Accent5 9 2 3 5" xfId="18693" xr:uid="{00000000-0005-0000-0000-000047200000}"/>
    <cellStyle name="20% - Accent5 9 2 4" xfId="3522" xr:uid="{00000000-0005-0000-0000-000048200000}"/>
    <cellStyle name="20% - Accent5 9 2 4 2" xfId="3523" xr:uid="{00000000-0005-0000-0000-000049200000}"/>
    <cellStyle name="20% - Accent5 9 2 4 2 2" xfId="14746" xr:uid="{00000000-0005-0000-0000-00004A200000}"/>
    <cellStyle name="20% - Accent5 9 2 4 2 3" xfId="18697" xr:uid="{00000000-0005-0000-0000-00004B200000}"/>
    <cellStyle name="20% - Accent5 9 2 4 3" xfId="3524" xr:uid="{00000000-0005-0000-0000-00004C200000}"/>
    <cellStyle name="20% - Accent5 9 2 4 3 2" xfId="14747" xr:uid="{00000000-0005-0000-0000-00004D200000}"/>
    <cellStyle name="20% - Accent5 9 2 4 3 3" xfId="18698" xr:uid="{00000000-0005-0000-0000-00004E200000}"/>
    <cellStyle name="20% - Accent5 9 2 4 4" xfId="14745" xr:uid="{00000000-0005-0000-0000-00004F200000}"/>
    <cellStyle name="20% - Accent5 9 2 4 5" xfId="18696" xr:uid="{00000000-0005-0000-0000-000050200000}"/>
    <cellStyle name="20% - Accent5 9 2 5" xfId="3525" xr:uid="{00000000-0005-0000-0000-000051200000}"/>
    <cellStyle name="20% - Accent5 9 2 5 2" xfId="14748" xr:uid="{00000000-0005-0000-0000-000052200000}"/>
    <cellStyle name="20% - Accent5 9 2 5 3" xfId="18699" xr:uid="{00000000-0005-0000-0000-000053200000}"/>
    <cellStyle name="20% - Accent5 9 2 6" xfId="3526" xr:uid="{00000000-0005-0000-0000-000054200000}"/>
    <cellStyle name="20% - Accent5 9 2 6 2" xfId="14749" xr:uid="{00000000-0005-0000-0000-000055200000}"/>
    <cellStyle name="20% - Accent5 9 2 6 3" xfId="18700" xr:uid="{00000000-0005-0000-0000-000056200000}"/>
    <cellStyle name="20% - Accent5 9 2 7" xfId="14738" xr:uid="{00000000-0005-0000-0000-000057200000}"/>
    <cellStyle name="20% - Accent5 9 2 8" xfId="18689" xr:uid="{00000000-0005-0000-0000-000058200000}"/>
    <cellStyle name="20% - Accent5 9 2_Volatility" xfId="3527" xr:uid="{00000000-0005-0000-0000-000059200000}"/>
    <cellStyle name="20% - Accent5 9 3" xfId="3528" xr:uid="{00000000-0005-0000-0000-00005A200000}"/>
    <cellStyle name="20% - Accent5 9 3 2" xfId="3529" xr:uid="{00000000-0005-0000-0000-00005B200000}"/>
    <cellStyle name="20% - Accent5 9 3 2 2" xfId="3530" xr:uid="{00000000-0005-0000-0000-00005C200000}"/>
    <cellStyle name="20% - Accent5 9 3 2 2 2" xfId="14752" xr:uid="{00000000-0005-0000-0000-00005D200000}"/>
    <cellStyle name="20% - Accent5 9 3 2 2 3" xfId="18703" xr:uid="{00000000-0005-0000-0000-00005E200000}"/>
    <cellStyle name="20% - Accent5 9 3 2 3" xfId="3531" xr:uid="{00000000-0005-0000-0000-00005F200000}"/>
    <cellStyle name="20% - Accent5 9 3 2 3 2" xfId="14753" xr:uid="{00000000-0005-0000-0000-000060200000}"/>
    <cellStyle name="20% - Accent5 9 3 2 3 3" xfId="18704" xr:uid="{00000000-0005-0000-0000-000061200000}"/>
    <cellStyle name="20% - Accent5 9 3 2 4" xfId="14751" xr:uid="{00000000-0005-0000-0000-000062200000}"/>
    <cellStyle name="20% - Accent5 9 3 2 5" xfId="18702" xr:uid="{00000000-0005-0000-0000-000063200000}"/>
    <cellStyle name="20% - Accent5 9 3 3" xfId="3532" xr:uid="{00000000-0005-0000-0000-000064200000}"/>
    <cellStyle name="20% - Accent5 9 3 3 2" xfId="3533" xr:uid="{00000000-0005-0000-0000-000065200000}"/>
    <cellStyle name="20% - Accent5 9 3 3 2 2" xfId="14755" xr:uid="{00000000-0005-0000-0000-000066200000}"/>
    <cellStyle name="20% - Accent5 9 3 3 2 3" xfId="18706" xr:uid="{00000000-0005-0000-0000-000067200000}"/>
    <cellStyle name="20% - Accent5 9 3 3 3" xfId="3534" xr:uid="{00000000-0005-0000-0000-000068200000}"/>
    <cellStyle name="20% - Accent5 9 3 3 3 2" xfId="14756" xr:uid="{00000000-0005-0000-0000-000069200000}"/>
    <cellStyle name="20% - Accent5 9 3 3 3 3" xfId="18707" xr:uid="{00000000-0005-0000-0000-00006A200000}"/>
    <cellStyle name="20% - Accent5 9 3 3 4" xfId="14754" xr:uid="{00000000-0005-0000-0000-00006B200000}"/>
    <cellStyle name="20% - Accent5 9 3 3 5" xfId="18705" xr:uid="{00000000-0005-0000-0000-00006C200000}"/>
    <cellStyle name="20% - Accent5 9 3 4" xfId="3535" xr:uid="{00000000-0005-0000-0000-00006D200000}"/>
    <cellStyle name="20% - Accent5 9 3 4 2" xfId="14757" xr:uid="{00000000-0005-0000-0000-00006E200000}"/>
    <cellStyle name="20% - Accent5 9 3 4 3" xfId="18708" xr:uid="{00000000-0005-0000-0000-00006F200000}"/>
    <cellStyle name="20% - Accent5 9 3 5" xfId="3536" xr:uid="{00000000-0005-0000-0000-000070200000}"/>
    <cellStyle name="20% - Accent5 9 3 5 2" xfId="14758" xr:uid="{00000000-0005-0000-0000-000071200000}"/>
    <cellStyle name="20% - Accent5 9 3 5 3" xfId="18709" xr:uid="{00000000-0005-0000-0000-000072200000}"/>
    <cellStyle name="20% - Accent5 9 3 6" xfId="14750" xr:uid="{00000000-0005-0000-0000-000073200000}"/>
    <cellStyle name="20% - Accent5 9 3 7" xfId="18701" xr:uid="{00000000-0005-0000-0000-000074200000}"/>
    <cellStyle name="20% - Accent5 9 3_Volatility" xfId="3537" xr:uid="{00000000-0005-0000-0000-000075200000}"/>
    <cellStyle name="20% - Accent5 9 4" xfId="3538" xr:uid="{00000000-0005-0000-0000-000076200000}"/>
    <cellStyle name="20% - Accent5 9 4 2" xfId="3539" xr:uid="{00000000-0005-0000-0000-000077200000}"/>
    <cellStyle name="20% - Accent5 9 4 2 2" xfId="14760" xr:uid="{00000000-0005-0000-0000-000078200000}"/>
    <cellStyle name="20% - Accent5 9 4 2 3" xfId="18711" xr:uid="{00000000-0005-0000-0000-000079200000}"/>
    <cellStyle name="20% - Accent5 9 4 3" xfId="3540" xr:uid="{00000000-0005-0000-0000-00007A200000}"/>
    <cellStyle name="20% - Accent5 9 4 3 2" xfId="14761" xr:uid="{00000000-0005-0000-0000-00007B200000}"/>
    <cellStyle name="20% - Accent5 9 4 3 3" xfId="18712" xr:uid="{00000000-0005-0000-0000-00007C200000}"/>
    <cellStyle name="20% - Accent5 9 4 4" xfId="14759" xr:uid="{00000000-0005-0000-0000-00007D200000}"/>
    <cellStyle name="20% - Accent5 9 4 5" xfId="18710" xr:uid="{00000000-0005-0000-0000-00007E200000}"/>
    <cellStyle name="20% - Accent5 9 5" xfId="3541" xr:uid="{00000000-0005-0000-0000-00007F200000}"/>
    <cellStyle name="20% - Accent5 9 5 2" xfId="3542" xr:uid="{00000000-0005-0000-0000-000080200000}"/>
    <cellStyle name="20% - Accent5 9 5 2 2" xfId="14763" xr:uid="{00000000-0005-0000-0000-000081200000}"/>
    <cellStyle name="20% - Accent5 9 5 2 3" xfId="18714" xr:uid="{00000000-0005-0000-0000-000082200000}"/>
    <cellStyle name="20% - Accent5 9 5 3" xfId="3543" xr:uid="{00000000-0005-0000-0000-000083200000}"/>
    <cellStyle name="20% - Accent5 9 5 3 2" xfId="14764" xr:uid="{00000000-0005-0000-0000-000084200000}"/>
    <cellStyle name="20% - Accent5 9 5 3 3" xfId="18715" xr:uid="{00000000-0005-0000-0000-000085200000}"/>
    <cellStyle name="20% - Accent5 9 5 4" xfId="14762" xr:uid="{00000000-0005-0000-0000-000086200000}"/>
    <cellStyle name="20% - Accent5 9 5 5" xfId="18713" xr:uid="{00000000-0005-0000-0000-000087200000}"/>
    <cellStyle name="20% - Accent5 9 6" xfId="3544" xr:uid="{00000000-0005-0000-0000-000088200000}"/>
    <cellStyle name="20% - Accent5 9 6 2" xfId="3545" xr:uid="{00000000-0005-0000-0000-000089200000}"/>
    <cellStyle name="20% - Accent5 9 6 2 2" xfId="14766" xr:uid="{00000000-0005-0000-0000-00008A200000}"/>
    <cellStyle name="20% - Accent5 9 6 2 3" xfId="18717" xr:uid="{00000000-0005-0000-0000-00008B200000}"/>
    <cellStyle name="20% - Accent5 9 6 3" xfId="3546" xr:uid="{00000000-0005-0000-0000-00008C200000}"/>
    <cellStyle name="20% - Accent5 9 6 3 2" xfId="14767" xr:uid="{00000000-0005-0000-0000-00008D200000}"/>
    <cellStyle name="20% - Accent5 9 6 3 3" xfId="18718" xr:uid="{00000000-0005-0000-0000-00008E200000}"/>
    <cellStyle name="20% - Accent5 9 6 4" xfId="14765" xr:uid="{00000000-0005-0000-0000-00008F200000}"/>
    <cellStyle name="20% - Accent5 9 6 5" xfId="18716" xr:uid="{00000000-0005-0000-0000-000090200000}"/>
    <cellStyle name="20% - Accent5 9 7" xfId="3547" xr:uid="{00000000-0005-0000-0000-000091200000}"/>
    <cellStyle name="20% - Accent5 9 7 2" xfId="14768" xr:uid="{00000000-0005-0000-0000-000092200000}"/>
    <cellStyle name="20% - Accent5 9 7 3" xfId="18719" xr:uid="{00000000-0005-0000-0000-000093200000}"/>
    <cellStyle name="20% - Accent5 9 8" xfId="3548" xr:uid="{00000000-0005-0000-0000-000094200000}"/>
    <cellStyle name="20% - Accent5 9 8 2" xfId="14769" xr:uid="{00000000-0005-0000-0000-000095200000}"/>
    <cellStyle name="20% - Accent5 9 8 3" xfId="18720" xr:uid="{00000000-0005-0000-0000-000096200000}"/>
    <cellStyle name="20% - Accent5 9 9" xfId="14737" xr:uid="{00000000-0005-0000-0000-000097200000}"/>
    <cellStyle name="20% - Accent5 9_Volatility" xfId="3549" xr:uid="{00000000-0005-0000-0000-000098200000}"/>
    <cellStyle name="20% - Accent6 10" xfId="3550" xr:uid="{00000000-0005-0000-0000-000099200000}"/>
    <cellStyle name="20% - Accent6 10 10" xfId="18721" xr:uid="{00000000-0005-0000-0000-00009A200000}"/>
    <cellStyle name="20% - Accent6 10 2" xfId="3551" xr:uid="{00000000-0005-0000-0000-00009B200000}"/>
    <cellStyle name="20% - Accent6 10 2 2" xfId="3552" xr:uid="{00000000-0005-0000-0000-00009C200000}"/>
    <cellStyle name="20% - Accent6 10 2 2 2" xfId="3553" xr:uid="{00000000-0005-0000-0000-00009D200000}"/>
    <cellStyle name="20% - Accent6 10 2 2 2 2" xfId="14773" xr:uid="{00000000-0005-0000-0000-00009E200000}"/>
    <cellStyle name="20% - Accent6 10 2 2 2 3" xfId="18724" xr:uid="{00000000-0005-0000-0000-00009F200000}"/>
    <cellStyle name="20% - Accent6 10 2 2 3" xfId="3554" xr:uid="{00000000-0005-0000-0000-0000A0200000}"/>
    <cellStyle name="20% - Accent6 10 2 2 3 2" xfId="14774" xr:uid="{00000000-0005-0000-0000-0000A1200000}"/>
    <cellStyle name="20% - Accent6 10 2 2 3 3" xfId="18725" xr:uid="{00000000-0005-0000-0000-0000A2200000}"/>
    <cellStyle name="20% - Accent6 10 2 2 4" xfId="14772" xr:uid="{00000000-0005-0000-0000-0000A3200000}"/>
    <cellStyle name="20% - Accent6 10 2 2 5" xfId="18723" xr:uid="{00000000-0005-0000-0000-0000A4200000}"/>
    <cellStyle name="20% - Accent6 10 2 3" xfId="3555" xr:uid="{00000000-0005-0000-0000-0000A5200000}"/>
    <cellStyle name="20% - Accent6 10 2 3 2" xfId="3556" xr:uid="{00000000-0005-0000-0000-0000A6200000}"/>
    <cellStyle name="20% - Accent6 10 2 3 2 2" xfId="14776" xr:uid="{00000000-0005-0000-0000-0000A7200000}"/>
    <cellStyle name="20% - Accent6 10 2 3 2 3" xfId="18727" xr:uid="{00000000-0005-0000-0000-0000A8200000}"/>
    <cellStyle name="20% - Accent6 10 2 3 3" xfId="3557" xr:uid="{00000000-0005-0000-0000-0000A9200000}"/>
    <cellStyle name="20% - Accent6 10 2 3 3 2" xfId="14777" xr:uid="{00000000-0005-0000-0000-0000AA200000}"/>
    <cellStyle name="20% - Accent6 10 2 3 3 3" xfId="18728" xr:uid="{00000000-0005-0000-0000-0000AB200000}"/>
    <cellStyle name="20% - Accent6 10 2 3 4" xfId="14775" xr:uid="{00000000-0005-0000-0000-0000AC200000}"/>
    <cellStyle name="20% - Accent6 10 2 3 5" xfId="18726" xr:uid="{00000000-0005-0000-0000-0000AD200000}"/>
    <cellStyle name="20% - Accent6 10 2 4" xfId="3558" xr:uid="{00000000-0005-0000-0000-0000AE200000}"/>
    <cellStyle name="20% - Accent6 10 2 4 2" xfId="3559" xr:uid="{00000000-0005-0000-0000-0000AF200000}"/>
    <cellStyle name="20% - Accent6 10 2 4 2 2" xfId="14779" xr:uid="{00000000-0005-0000-0000-0000B0200000}"/>
    <cellStyle name="20% - Accent6 10 2 4 2 3" xfId="18730" xr:uid="{00000000-0005-0000-0000-0000B1200000}"/>
    <cellStyle name="20% - Accent6 10 2 4 3" xfId="3560" xr:uid="{00000000-0005-0000-0000-0000B2200000}"/>
    <cellStyle name="20% - Accent6 10 2 4 3 2" xfId="14780" xr:uid="{00000000-0005-0000-0000-0000B3200000}"/>
    <cellStyle name="20% - Accent6 10 2 4 3 3" xfId="18731" xr:uid="{00000000-0005-0000-0000-0000B4200000}"/>
    <cellStyle name="20% - Accent6 10 2 4 4" xfId="14778" xr:uid="{00000000-0005-0000-0000-0000B5200000}"/>
    <cellStyle name="20% - Accent6 10 2 4 5" xfId="18729" xr:uid="{00000000-0005-0000-0000-0000B6200000}"/>
    <cellStyle name="20% - Accent6 10 2 5" xfId="3561" xr:uid="{00000000-0005-0000-0000-0000B7200000}"/>
    <cellStyle name="20% - Accent6 10 2 5 2" xfId="14781" xr:uid="{00000000-0005-0000-0000-0000B8200000}"/>
    <cellStyle name="20% - Accent6 10 2 5 3" xfId="18732" xr:uid="{00000000-0005-0000-0000-0000B9200000}"/>
    <cellStyle name="20% - Accent6 10 2 6" xfId="3562" xr:uid="{00000000-0005-0000-0000-0000BA200000}"/>
    <cellStyle name="20% - Accent6 10 2 6 2" xfId="14782" xr:uid="{00000000-0005-0000-0000-0000BB200000}"/>
    <cellStyle name="20% - Accent6 10 2 6 3" xfId="18733" xr:uid="{00000000-0005-0000-0000-0000BC200000}"/>
    <cellStyle name="20% - Accent6 10 2 7" xfId="14771" xr:uid="{00000000-0005-0000-0000-0000BD200000}"/>
    <cellStyle name="20% - Accent6 10 2 8" xfId="18722" xr:uid="{00000000-0005-0000-0000-0000BE200000}"/>
    <cellStyle name="20% - Accent6 10 2_Volatility" xfId="3563" xr:uid="{00000000-0005-0000-0000-0000BF200000}"/>
    <cellStyle name="20% - Accent6 10 3" xfId="3564" xr:uid="{00000000-0005-0000-0000-0000C0200000}"/>
    <cellStyle name="20% - Accent6 10 3 2" xfId="3565" xr:uid="{00000000-0005-0000-0000-0000C1200000}"/>
    <cellStyle name="20% - Accent6 10 3 2 2" xfId="3566" xr:uid="{00000000-0005-0000-0000-0000C2200000}"/>
    <cellStyle name="20% - Accent6 10 3 2 2 2" xfId="14785" xr:uid="{00000000-0005-0000-0000-0000C3200000}"/>
    <cellStyle name="20% - Accent6 10 3 2 2 3" xfId="18736" xr:uid="{00000000-0005-0000-0000-0000C4200000}"/>
    <cellStyle name="20% - Accent6 10 3 2 3" xfId="3567" xr:uid="{00000000-0005-0000-0000-0000C5200000}"/>
    <cellStyle name="20% - Accent6 10 3 2 3 2" xfId="14786" xr:uid="{00000000-0005-0000-0000-0000C6200000}"/>
    <cellStyle name="20% - Accent6 10 3 2 3 3" xfId="18737" xr:uid="{00000000-0005-0000-0000-0000C7200000}"/>
    <cellStyle name="20% - Accent6 10 3 2 4" xfId="14784" xr:uid="{00000000-0005-0000-0000-0000C8200000}"/>
    <cellStyle name="20% - Accent6 10 3 2 5" xfId="18735" xr:uid="{00000000-0005-0000-0000-0000C9200000}"/>
    <cellStyle name="20% - Accent6 10 3 3" xfId="3568" xr:uid="{00000000-0005-0000-0000-0000CA200000}"/>
    <cellStyle name="20% - Accent6 10 3 3 2" xfId="3569" xr:uid="{00000000-0005-0000-0000-0000CB200000}"/>
    <cellStyle name="20% - Accent6 10 3 3 2 2" xfId="14788" xr:uid="{00000000-0005-0000-0000-0000CC200000}"/>
    <cellStyle name="20% - Accent6 10 3 3 2 3" xfId="18739" xr:uid="{00000000-0005-0000-0000-0000CD200000}"/>
    <cellStyle name="20% - Accent6 10 3 3 3" xfId="3570" xr:uid="{00000000-0005-0000-0000-0000CE200000}"/>
    <cellStyle name="20% - Accent6 10 3 3 3 2" xfId="14789" xr:uid="{00000000-0005-0000-0000-0000CF200000}"/>
    <cellStyle name="20% - Accent6 10 3 3 3 3" xfId="18740" xr:uid="{00000000-0005-0000-0000-0000D0200000}"/>
    <cellStyle name="20% - Accent6 10 3 3 4" xfId="14787" xr:uid="{00000000-0005-0000-0000-0000D1200000}"/>
    <cellStyle name="20% - Accent6 10 3 3 5" xfId="18738" xr:uid="{00000000-0005-0000-0000-0000D2200000}"/>
    <cellStyle name="20% - Accent6 10 3 4" xfId="3571" xr:uid="{00000000-0005-0000-0000-0000D3200000}"/>
    <cellStyle name="20% - Accent6 10 3 4 2" xfId="14790" xr:uid="{00000000-0005-0000-0000-0000D4200000}"/>
    <cellStyle name="20% - Accent6 10 3 4 3" xfId="18741" xr:uid="{00000000-0005-0000-0000-0000D5200000}"/>
    <cellStyle name="20% - Accent6 10 3 5" xfId="3572" xr:uid="{00000000-0005-0000-0000-0000D6200000}"/>
    <cellStyle name="20% - Accent6 10 3 5 2" xfId="14791" xr:uid="{00000000-0005-0000-0000-0000D7200000}"/>
    <cellStyle name="20% - Accent6 10 3 5 3" xfId="18742" xr:uid="{00000000-0005-0000-0000-0000D8200000}"/>
    <cellStyle name="20% - Accent6 10 3 6" xfId="14783" xr:uid="{00000000-0005-0000-0000-0000D9200000}"/>
    <cellStyle name="20% - Accent6 10 3 7" xfId="18734" xr:uid="{00000000-0005-0000-0000-0000DA200000}"/>
    <cellStyle name="20% - Accent6 10 3_Volatility" xfId="3573" xr:uid="{00000000-0005-0000-0000-0000DB200000}"/>
    <cellStyle name="20% - Accent6 10 4" xfId="3574" xr:uid="{00000000-0005-0000-0000-0000DC200000}"/>
    <cellStyle name="20% - Accent6 10 4 2" xfId="3575" xr:uid="{00000000-0005-0000-0000-0000DD200000}"/>
    <cellStyle name="20% - Accent6 10 4 2 2" xfId="14793" xr:uid="{00000000-0005-0000-0000-0000DE200000}"/>
    <cellStyle name="20% - Accent6 10 4 2 3" xfId="18744" xr:uid="{00000000-0005-0000-0000-0000DF200000}"/>
    <cellStyle name="20% - Accent6 10 4 3" xfId="3576" xr:uid="{00000000-0005-0000-0000-0000E0200000}"/>
    <cellStyle name="20% - Accent6 10 4 3 2" xfId="14794" xr:uid="{00000000-0005-0000-0000-0000E1200000}"/>
    <cellStyle name="20% - Accent6 10 4 3 3" xfId="18745" xr:uid="{00000000-0005-0000-0000-0000E2200000}"/>
    <cellStyle name="20% - Accent6 10 4 4" xfId="14792" xr:uid="{00000000-0005-0000-0000-0000E3200000}"/>
    <cellStyle name="20% - Accent6 10 4 5" xfId="18743" xr:uid="{00000000-0005-0000-0000-0000E4200000}"/>
    <cellStyle name="20% - Accent6 10 5" xfId="3577" xr:uid="{00000000-0005-0000-0000-0000E5200000}"/>
    <cellStyle name="20% - Accent6 10 5 2" xfId="3578" xr:uid="{00000000-0005-0000-0000-0000E6200000}"/>
    <cellStyle name="20% - Accent6 10 5 2 2" xfId="14796" xr:uid="{00000000-0005-0000-0000-0000E7200000}"/>
    <cellStyle name="20% - Accent6 10 5 2 3" xfId="18747" xr:uid="{00000000-0005-0000-0000-0000E8200000}"/>
    <cellStyle name="20% - Accent6 10 5 3" xfId="3579" xr:uid="{00000000-0005-0000-0000-0000E9200000}"/>
    <cellStyle name="20% - Accent6 10 5 3 2" xfId="14797" xr:uid="{00000000-0005-0000-0000-0000EA200000}"/>
    <cellStyle name="20% - Accent6 10 5 3 3" xfId="18748" xr:uid="{00000000-0005-0000-0000-0000EB200000}"/>
    <cellStyle name="20% - Accent6 10 5 4" xfId="14795" xr:uid="{00000000-0005-0000-0000-0000EC200000}"/>
    <cellStyle name="20% - Accent6 10 5 5" xfId="18746" xr:uid="{00000000-0005-0000-0000-0000ED200000}"/>
    <cellStyle name="20% - Accent6 10 6" xfId="3580" xr:uid="{00000000-0005-0000-0000-0000EE200000}"/>
    <cellStyle name="20% - Accent6 10 6 2" xfId="3581" xr:uid="{00000000-0005-0000-0000-0000EF200000}"/>
    <cellStyle name="20% - Accent6 10 6 2 2" xfId="14799" xr:uid="{00000000-0005-0000-0000-0000F0200000}"/>
    <cellStyle name="20% - Accent6 10 6 2 3" xfId="18750" xr:uid="{00000000-0005-0000-0000-0000F1200000}"/>
    <cellStyle name="20% - Accent6 10 6 3" xfId="3582" xr:uid="{00000000-0005-0000-0000-0000F2200000}"/>
    <cellStyle name="20% - Accent6 10 6 3 2" xfId="14800" xr:uid="{00000000-0005-0000-0000-0000F3200000}"/>
    <cellStyle name="20% - Accent6 10 6 3 3" xfId="18751" xr:uid="{00000000-0005-0000-0000-0000F4200000}"/>
    <cellStyle name="20% - Accent6 10 6 4" xfId="14798" xr:uid="{00000000-0005-0000-0000-0000F5200000}"/>
    <cellStyle name="20% - Accent6 10 6 5" xfId="18749" xr:uid="{00000000-0005-0000-0000-0000F6200000}"/>
    <cellStyle name="20% - Accent6 10 7" xfId="3583" xr:uid="{00000000-0005-0000-0000-0000F7200000}"/>
    <cellStyle name="20% - Accent6 10 7 2" xfId="14801" xr:uid="{00000000-0005-0000-0000-0000F8200000}"/>
    <cellStyle name="20% - Accent6 10 7 3" xfId="18752" xr:uid="{00000000-0005-0000-0000-0000F9200000}"/>
    <cellStyle name="20% - Accent6 10 8" xfId="3584" xr:uid="{00000000-0005-0000-0000-0000FA200000}"/>
    <cellStyle name="20% - Accent6 10 8 2" xfId="14802" xr:uid="{00000000-0005-0000-0000-0000FB200000}"/>
    <cellStyle name="20% - Accent6 10 8 3" xfId="18753" xr:uid="{00000000-0005-0000-0000-0000FC200000}"/>
    <cellStyle name="20% - Accent6 10 9" xfId="14770" xr:uid="{00000000-0005-0000-0000-0000FD200000}"/>
    <cellStyle name="20% - Accent6 10_Volatility" xfId="3585" xr:uid="{00000000-0005-0000-0000-0000FE200000}"/>
    <cellStyle name="20% - Accent6 11" xfId="3586" xr:uid="{00000000-0005-0000-0000-0000FF200000}"/>
    <cellStyle name="20% - Accent6 11 10" xfId="18754" xr:uid="{00000000-0005-0000-0000-000000210000}"/>
    <cellStyle name="20% - Accent6 11 2" xfId="3587" xr:uid="{00000000-0005-0000-0000-000001210000}"/>
    <cellStyle name="20% - Accent6 11 2 2" xfId="3588" xr:uid="{00000000-0005-0000-0000-000002210000}"/>
    <cellStyle name="20% - Accent6 11 2 2 2" xfId="3589" xr:uid="{00000000-0005-0000-0000-000003210000}"/>
    <cellStyle name="20% - Accent6 11 2 2 2 2" xfId="14806" xr:uid="{00000000-0005-0000-0000-000004210000}"/>
    <cellStyle name="20% - Accent6 11 2 2 2 3" xfId="18757" xr:uid="{00000000-0005-0000-0000-000005210000}"/>
    <cellStyle name="20% - Accent6 11 2 2 3" xfId="3590" xr:uid="{00000000-0005-0000-0000-000006210000}"/>
    <cellStyle name="20% - Accent6 11 2 2 3 2" xfId="14807" xr:uid="{00000000-0005-0000-0000-000007210000}"/>
    <cellStyle name="20% - Accent6 11 2 2 3 3" xfId="18758" xr:uid="{00000000-0005-0000-0000-000008210000}"/>
    <cellStyle name="20% - Accent6 11 2 2 4" xfId="14805" xr:uid="{00000000-0005-0000-0000-000009210000}"/>
    <cellStyle name="20% - Accent6 11 2 2 5" xfId="18756" xr:uid="{00000000-0005-0000-0000-00000A210000}"/>
    <cellStyle name="20% - Accent6 11 2 3" xfId="3591" xr:uid="{00000000-0005-0000-0000-00000B210000}"/>
    <cellStyle name="20% - Accent6 11 2 3 2" xfId="3592" xr:uid="{00000000-0005-0000-0000-00000C210000}"/>
    <cellStyle name="20% - Accent6 11 2 3 2 2" xfId="14809" xr:uid="{00000000-0005-0000-0000-00000D210000}"/>
    <cellStyle name="20% - Accent6 11 2 3 2 3" xfId="18760" xr:uid="{00000000-0005-0000-0000-00000E210000}"/>
    <cellStyle name="20% - Accent6 11 2 3 3" xfId="3593" xr:uid="{00000000-0005-0000-0000-00000F210000}"/>
    <cellStyle name="20% - Accent6 11 2 3 3 2" xfId="14810" xr:uid="{00000000-0005-0000-0000-000010210000}"/>
    <cellStyle name="20% - Accent6 11 2 3 3 3" xfId="18761" xr:uid="{00000000-0005-0000-0000-000011210000}"/>
    <cellStyle name="20% - Accent6 11 2 3 4" xfId="14808" xr:uid="{00000000-0005-0000-0000-000012210000}"/>
    <cellStyle name="20% - Accent6 11 2 3 5" xfId="18759" xr:uid="{00000000-0005-0000-0000-000013210000}"/>
    <cellStyle name="20% - Accent6 11 2 4" xfId="3594" xr:uid="{00000000-0005-0000-0000-000014210000}"/>
    <cellStyle name="20% - Accent6 11 2 4 2" xfId="3595" xr:uid="{00000000-0005-0000-0000-000015210000}"/>
    <cellStyle name="20% - Accent6 11 2 4 2 2" xfId="14812" xr:uid="{00000000-0005-0000-0000-000016210000}"/>
    <cellStyle name="20% - Accent6 11 2 4 2 3" xfId="18763" xr:uid="{00000000-0005-0000-0000-000017210000}"/>
    <cellStyle name="20% - Accent6 11 2 4 3" xfId="3596" xr:uid="{00000000-0005-0000-0000-000018210000}"/>
    <cellStyle name="20% - Accent6 11 2 4 3 2" xfId="14813" xr:uid="{00000000-0005-0000-0000-000019210000}"/>
    <cellStyle name="20% - Accent6 11 2 4 3 3" xfId="18764" xr:uid="{00000000-0005-0000-0000-00001A210000}"/>
    <cellStyle name="20% - Accent6 11 2 4 4" xfId="14811" xr:uid="{00000000-0005-0000-0000-00001B210000}"/>
    <cellStyle name="20% - Accent6 11 2 4 5" xfId="18762" xr:uid="{00000000-0005-0000-0000-00001C210000}"/>
    <cellStyle name="20% - Accent6 11 2 5" xfId="3597" xr:uid="{00000000-0005-0000-0000-00001D210000}"/>
    <cellStyle name="20% - Accent6 11 2 5 2" xfId="14814" xr:uid="{00000000-0005-0000-0000-00001E210000}"/>
    <cellStyle name="20% - Accent6 11 2 5 3" xfId="18765" xr:uid="{00000000-0005-0000-0000-00001F210000}"/>
    <cellStyle name="20% - Accent6 11 2 6" xfId="3598" xr:uid="{00000000-0005-0000-0000-000020210000}"/>
    <cellStyle name="20% - Accent6 11 2 6 2" xfId="14815" xr:uid="{00000000-0005-0000-0000-000021210000}"/>
    <cellStyle name="20% - Accent6 11 2 6 3" xfId="18766" xr:uid="{00000000-0005-0000-0000-000022210000}"/>
    <cellStyle name="20% - Accent6 11 2 7" xfId="14804" xr:uid="{00000000-0005-0000-0000-000023210000}"/>
    <cellStyle name="20% - Accent6 11 2 8" xfId="18755" xr:uid="{00000000-0005-0000-0000-000024210000}"/>
    <cellStyle name="20% - Accent6 11 2_Volatility" xfId="3599" xr:uid="{00000000-0005-0000-0000-000025210000}"/>
    <cellStyle name="20% - Accent6 11 3" xfId="3600" xr:uid="{00000000-0005-0000-0000-000026210000}"/>
    <cellStyle name="20% - Accent6 11 3 2" xfId="3601" xr:uid="{00000000-0005-0000-0000-000027210000}"/>
    <cellStyle name="20% - Accent6 11 3 2 2" xfId="3602" xr:uid="{00000000-0005-0000-0000-000028210000}"/>
    <cellStyle name="20% - Accent6 11 3 2 2 2" xfId="14818" xr:uid="{00000000-0005-0000-0000-000029210000}"/>
    <cellStyle name="20% - Accent6 11 3 2 2 3" xfId="18769" xr:uid="{00000000-0005-0000-0000-00002A210000}"/>
    <cellStyle name="20% - Accent6 11 3 2 3" xfId="3603" xr:uid="{00000000-0005-0000-0000-00002B210000}"/>
    <cellStyle name="20% - Accent6 11 3 2 3 2" xfId="14819" xr:uid="{00000000-0005-0000-0000-00002C210000}"/>
    <cellStyle name="20% - Accent6 11 3 2 3 3" xfId="18770" xr:uid="{00000000-0005-0000-0000-00002D210000}"/>
    <cellStyle name="20% - Accent6 11 3 2 4" xfId="14817" xr:uid="{00000000-0005-0000-0000-00002E210000}"/>
    <cellStyle name="20% - Accent6 11 3 2 5" xfId="18768" xr:uid="{00000000-0005-0000-0000-00002F210000}"/>
    <cellStyle name="20% - Accent6 11 3 3" xfId="3604" xr:uid="{00000000-0005-0000-0000-000030210000}"/>
    <cellStyle name="20% - Accent6 11 3 3 2" xfId="3605" xr:uid="{00000000-0005-0000-0000-000031210000}"/>
    <cellStyle name="20% - Accent6 11 3 3 2 2" xfId="14821" xr:uid="{00000000-0005-0000-0000-000032210000}"/>
    <cellStyle name="20% - Accent6 11 3 3 2 3" xfId="18772" xr:uid="{00000000-0005-0000-0000-000033210000}"/>
    <cellStyle name="20% - Accent6 11 3 3 3" xfId="3606" xr:uid="{00000000-0005-0000-0000-000034210000}"/>
    <cellStyle name="20% - Accent6 11 3 3 3 2" xfId="14822" xr:uid="{00000000-0005-0000-0000-000035210000}"/>
    <cellStyle name="20% - Accent6 11 3 3 3 3" xfId="18773" xr:uid="{00000000-0005-0000-0000-000036210000}"/>
    <cellStyle name="20% - Accent6 11 3 3 4" xfId="14820" xr:uid="{00000000-0005-0000-0000-000037210000}"/>
    <cellStyle name="20% - Accent6 11 3 3 5" xfId="18771" xr:uid="{00000000-0005-0000-0000-000038210000}"/>
    <cellStyle name="20% - Accent6 11 3 4" xfId="3607" xr:uid="{00000000-0005-0000-0000-000039210000}"/>
    <cellStyle name="20% - Accent6 11 3 4 2" xfId="14823" xr:uid="{00000000-0005-0000-0000-00003A210000}"/>
    <cellStyle name="20% - Accent6 11 3 4 3" xfId="18774" xr:uid="{00000000-0005-0000-0000-00003B210000}"/>
    <cellStyle name="20% - Accent6 11 3 5" xfId="3608" xr:uid="{00000000-0005-0000-0000-00003C210000}"/>
    <cellStyle name="20% - Accent6 11 3 5 2" xfId="14824" xr:uid="{00000000-0005-0000-0000-00003D210000}"/>
    <cellStyle name="20% - Accent6 11 3 5 3" xfId="18775" xr:uid="{00000000-0005-0000-0000-00003E210000}"/>
    <cellStyle name="20% - Accent6 11 3 6" xfId="14816" xr:uid="{00000000-0005-0000-0000-00003F210000}"/>
    <cellStyle name="20% - Accent6 11 3 7" xfId="18767" xr:uid="{00000000-0005-0000-0000-000040210000}"/>
    <cellStyle name="20% - Accent6 11 3_Volatility" xfId="3609" xr:uid="{00000000-0005-0000-0000-000041210000}"/>
    <cellStyle name="20% - Accent6 11 4" xfId="3610" xr:uid="{00000000-0005-0000-0000-000042210000}"/>
    <cellStyle name="20% - Accent6 11 4 2" xfId="3611" xr:uid="{00000000-0005-0000-0000-000043210000}"/>
    <cellStyle name="20% - Accent6 11 4 2 2" xfId="14826" xr:uid="{00000000-0005-0000-0000-000044210000}"/>
    <cellStyle name="20% - Accent6 11 4 2 3" xfId="18777" xr:uid="{00000000-0005-0000-0000-000045210000}"/>
    <cellStyle name="20% - Accent6 11 4 3" xfId="3612" xr:uid="{00000000-0005-0000-0000-000046210000}"/>
    <cellStyle name="20% - Accent6 11 4 3 2" xfId="14827" xr:uid="{00000000-0005-0000-0000-000047210000}"/>
    <cellStyle name="20% - Accent6 11 4 3 3" xfId="18778" xr:uid="{00000000-0005-0000-0000-000048210000}"/>
    <cellStyle name="20% - Accent6 11 4 4" xfId="14825" xr:uid="{00000000-0005-0000-0000-000049210000}"/>
    <cellStyle name="20% - Accent6 11 4 5" xfId="18776" xr:uid="{00000000-0005-0000-0000-00004A210000}"/>
    <cellStyle name="20% - Accent6 11 5" xfId="3613" xr:uid="{00000000-0005-0000-0000-00004B210000}"/>
    <cellStyle name="20% - Accent6 11 5 2" xfId="3614" xr:uid="{00000000-0005-0000-0000-00004C210000}"/>
    <cellStyle name="20% - Accent6 11 5 2 2" xfId="14829" xr:uid="{00000000-0005-0000-0000-00004D210000}"/>
    <cellStyle name="20% - Accent6 11 5 2 3" xfId="18780" xr:uid="{00000000-0005-0000-0000-00004E210000}"/>
    <cellStyle name="20% - Accent6 11 5 3" xfId="3615" xr:uid="{00000000-0005-0000-0000-00004F210000}"/>
    <cellStyle name="20% - Accent6 11 5 3 2" xfId="14830" xr:uid="{00000000-0005-0000-0000-000050210000}"/>
    <cellStyle name="20% - Accent6 11 5 3 3" xfId="18781" xr:uid="{00000000-0005-0000-0000-000051210000}"/>
    <cellStyle name="20% - Accent6 11 5 4" xfId="14828" xr:uid="{00000000-0005-0000-0000-000052210000}"/>
    <cellStyle name="20% - Accent6 11 5 5" xfId="18779" xr:uid="{00000000-0005-0000-0000-000053210000}"/>
    <cellStyle name="20% - Accent6 11 6" xfId="3616" xr:uid="{00000000-0005-0000-0000-000054210000}"/>
    <cellStyle name="20% - Accent6 11 6 2" xfId="3617" xr:uid="{00000000-0005-0000-0000-000055210000}"/>
    <cellStyle name="20% - Accent6 11 6 2 2" xfId="14832" xr:uid="{00000000-0005-0000-0000-000056210000}"/>
    <cellStyle name="20% - Accent6 11 6 2 3" xfId="18783" xr:uid="{00000000-0005-0000-0000-000057210000}"/>
    <cellStyle name="20% - Accent6 11 6 3" xfId="3618" xr:uid="{00000000-0005-0000-0000-000058210000}"/>
    <cellStyle name="20% - Accent6 11 6 3 2" xfId="14833" xr:uid="{00000000-0005-0000-0000-000059210000}"/>
    <cellStyle name="20% - Accent6 11 6 3 3" xfId="18784" xr:uid="{00000000-0005-0000-0000-00005A210000}"/>
    <cellStyle name="20% - Accent6 11 6 4" xfId="14831" xr:uid="{00000000-0005-0000-0000-00005B210000}"/>
    <cellStyle name="20% - Accent6 11 6 5" xfId="18782" xr:uid="{00000000-0005-0000-0000-00005C210000}"/>
    <cellStyle name="20% - Accent6 11 7" xfId="3619" xr:uid="{00000000-0005-0000-0000-00005D210000}"/>
    <cellStyle name="20% - Accent6 11 7 2" xfId="14834" xr:uid="{00000000-0005-0000-0000-00005E210000}"/>
    <cellStyle name="20% - Accent6 11 7 3" xfId="18785" xr:uid="{00000000-0005-0000-0000-00005F210000}"/>
    <cellStyle name="20% - Accent6 11 8" xfId="3620" xr:uid="{00000000-0005-0000-0000-000060210000}"/>
    <cellStyle name="20% - Accent6 11 8 2" xfId="14835" xr:uid="{00000000-0005-0000-0000-000061210000}"/>
    <cellStyle name="20% - Accent6 11 8 3" xfId="18786" xr:uid="{00000000-0005-0000-0000-000062210000}"/>
    <cellStyle name="20% - Accent6 11 9" xfId="14803" xr:uid="{00000000-0005-0000-0000-000063210000}"/>
    <cellStyle name="20% - Accent6 11_Volatility" xfId="3621" xr:uid="{00000000-0005-0000-0000-000064210000}"/>
    <cellStyle name="20% - Accent6 12" xfId="3622" xr:uid="{00000000-0005-0000-0000-000065210000}"/>
    <cellStyle name="20% - Accent6 12 10" xfId="18787" xr:uid="{00000000-0005-0000-0000-000066210000}"/>
    <cellStyle name="20% - Accent6 12 2" xfId="3623" xr:uid="{00000000-0005-0000-0000-000067210000}"/>
    <cellStyle name="20% - Accent6 12 2 2" xfId="3624" xr:uid="{00000000-0005-0000-0000-000068210000}"/>
    <cellStyle name="20% - Accent6 12 2 2 2" xfId="3625" xr:uid="{00000000-0005-0000-0000-000069210000}"/>
    <cellStyle name="20% - Accent6 12 2 2 2 2" xfId="14839" xr:uid="{00000000-0005-0000-0000-00006A210000}"/>
    <cellStyle name="20% - Accent6 12 2 2 2 3" xfId="18790" xr:uid="{00000000-0005-0000-0000-00006B210000}"/>
    <cellStyle name="20% - Accent6 12 2 2 3" xfId="3626" xr:uid="{00000000-0005-0000-0000-00006C210000}"/>
    <cellStyle name="20% - Accent6 12 2 2 3 2" xfId="14840" xr:uid="{00000000-0005-0000-0000-00006D210000}"/>
    <cellStyle name="20% - Accent6 12 2 2 3 3" xfId="18791" xr:uid="{00000000-0005-0000-0000-00006E210000}"/>
    <cellStyle name="20% - Accent6 12 2 2 4" xfId="14838" xr:uid="{00000000-0005-0000-0000-00006F210000}"/>
    <cellStyle name="20% - Accent6 12 2 2 5" xfId="18789" xr:uid="{00000000-0005-0000-0000-000070210000}"/>
    <cellStyle name="20% - Accent6 12 2 3" xfId="3627" xr:uid="{00000000-0005-0000-0000-000071210000}"/>
    <cellStyle name="20% - Accent6 12 2 3 2" xfId="3628" xr:uid="{00000000-0005-0000-0000-000072210000}"/>
    <cellStyle name="20% - Accent6 12 2 3 2 2" xfId="14842" xr:uid="{00000000-0005-0000-0000-000073210000}"/>
    <cellStyle name="20% - Accent6 12 2 3 2 3" xfId="18793" xr:uid="{00000000-0005-0000-0000-000074210000}"/>
    <cellStyle name="20% - Accent6 12 2 3 3" xfId="3629" xr:uid="{00000000-0005-0000-0000-000075210000}"/>
    <cellStyle name="20% - Accent6 12 2 3 3 2" xfId="14843" xr:uid="{00000000-0005-0000-0000-000076210000}"/>
    <cellStyle name="20% - Accent6 12 2 3 3 3" xfId="18794" xr:uid="{00000000-0005-0000-0000-000077210000}"/>
    <cellStyle name="20% - Accent6 12 2 3 4" xfId="14841" xr:uid="{00000000-0005-0000-0000-000078210000}"/>
    <cellStyle name="20% - Accent6 12 2 3 5" xfId="18792" xr:uid="{00000000-0005-0000-0000-000079210000}"/>
    <cellStyle name="20% - Accent6 12 2 4" xfId="3630" xr:uid="{00000000-0005-0000-0000-00007A210000}"/>
    <cellStyle name="20% - Accent6 12 2 4 2" xfId="3631" xr:uid="{00000000-0005-0000-0000-00007B210000}"/>
    <cellStyle name="20% - Accent6 12 2 4 2 2" xfId="14845" xr:uid="{00000000-0005-0000-0000-00007C210000}"/>
    <cellStyle name="20% - Accent6 12 2 4 2 3" xfId="18796" xr:uid="{00000000-0005-0000-0000-00007D210000}"/>
    <cellStyle name="20% - Accent6 12 2 4 3" xfId="3632" xr:uid="{00000000-0005-0000-0000-00007E210000}"/>
    <cellStyle name="20% - Accent6 12 2 4 3 2" xfId="14846" xr:uid="{00000000-0005-0000-0000-00007F210000}"/>
    <cellStyle name="20% - Accent6 12 2 4 3 3" xfId="18797" xr:uid="{00000000-0005-0000-0000-000080210000}"/>
    <cellStyle name="20% - Accent6 12 2 4 4" xfId="14844" xr:uid="{00000000-0005-0000-0000-000081210000}"/>
    <cellStyle name="20% - Accent6 12 2 4 5" xfId="18795" xr:uid="{00000000-0005-0000-0000-000082210000}"/>
    <cellStyle name="20% - Accent6 12 2 5" xfId="3633" xr:uid="{00000000-0005-0000-0000-000083210000}"/>
    <cellStyle name="20% - Accent6 12 2 5 2" xfId="14847" xr:uid="{00000000-0005-0000-0000-000084210000}"/>
    <cellStyle name="20% - Accent6 12 2 5 3" xfId="18798" xr:uid="{00000000-0005-0000-0000-000085210000}"/>
    <cellStyle name="20% - Accent6 12 2 6" xfId="3634" xr:uid="{00000000-0005-0000-0000-000086210000}"/>
    <cellStyle name="20% - Accent6 12 2 6 2" xfId="14848" xr:uid="{00000000-0005-0000-0000-000087210000}"/>
    <cellStyle name="20% - Accent6 12 2 6 3" xfId="18799" xr:uid="{00000000-0005-0000-0000-000088210000}"/>
    <cellStyle name="20% - Accent6 12 2 7" xfId="14837" xr:uid="{00000000-0005-0000-0000-000089210000}"/>
    <cellStyle name="20% - Accent6 12 2 8" xfId="18788" xr:uid="{00000000-0005-0000-0000-00008A210000}"/>
    <cellStyle name="20% - Accent6 12 2_Volatility" xfId="3635" xr:uid="{00000000-0005-0000-0000-00008B210000}"/>
    <cellStyle name="20% - Accent6 12 3" xfId="3636" xr:uid="{00000000-0005-0000-0000-00008C210000}"/>
    <cellStyle name="20% - Accent6 12 3 2" xfId="3637" xr:uid="{00000000-0005-0000-0000-00008D210000}"/>
    <cellStyle name="20% - Accent6 12 3 2 2" xfId="3638" xr:uid="{00000000-0005-0000-0000-00008E210000}"/>
    <cellStyle name="20% - Accent6 12 3 2 2 2" xfId="14851" xr:uid="{00000000-0005-0000-0000-00008F210000}"/>
    <cellStyle name="20% - Accent6 12 3 2 2 3" xfId="18802" xr:uid="{00000000-0005-0000-0000-000090210000}"/>
    <cellStyle name="20% - Accent6 12 3 2 3" xfId="3639" xr:uid="{00000000-0005-0000-0000-000091210000}"/>
    <cellStyle name="20% - Accent6 12 3 2 3 2" xfId="14852" xr:uid="{00000000-0005-0000-0000-000092210000}"/>
    <cellStyle name="20% - Accent6 12 3 2 3 3" xfId="18803" xr:uid="{00000000-0005-0000-0000-000093210000}"/>
    <cellStyle name="20% - Accent6 12 3 2 4" xfId="14850" xr:uid="{00000000-0005-0000-0000-000094210000}"/>
    <cellStyle name="20% - Accent6 12 3 2 5" xfId="18801" xr:uid="{00000000-0005-0000-0000-000095210000}"/>
    <cellStyle name="20% - Accent6 12 3 3" xfId="3640" xr:uid="{00000000-0005-0000-0000-000096210000}"/>
    <cellStyle name="20% - Accent6 12 3 3 2" xfId="3641" xr:uid="{00000000-0005-0000-0000-000097210000}"/>
    <cellStyle name="20% - Accent6 12 3 3 2 2" xfId="14854" xr:uid="{00000000-0005-0000-0000-000098210000}"/>
    <cellStyle name="20% - Accent6 12 3 3 2 3" xfId="18805" xr:uid="{00000000-0005-0000-0000-000099210000}"/>
    <cellStyle name="20% - Accent6 12 3 3 3" xfId="3642" xr:uid="{00000000-0005-0000-0000-00009A210000}"/>
    <cellStyle name="20% - Accent6 12 3 3 3 2" xfId="14855" xr:uid="{00000000-0005-0000-0000-00009B210000}"/>
    <cellStyle name="20% - Accent6 12 3 3 3 3" xfId="18806" xr:uid="{00000000-0005-0000-0000-00009C210000}"/>
    <cellStyle name="20% - Accent6 12 3 3 4" xfId="14853" xr:uid="{00000000-0005-0000-0000-00009D210000}"/>
    <cellStyle name="20% - Accent6 12 3 3 5" xfId="18804" xr:uid="{00000000-0005-0000-0000-00009E210000}"/>
    <cellStyle name="20% - Accent6 12 3 4" xfId="3643" xr:uid="{00000000-0005-0000-0000-00009F210000}"/>
    <cellStyle name="20% - Accent6 12 3 4 2" xfId="14856" xr:uid="{00000000-0005-0000-0000-0000A0210000}"/>
    <cellStyle name="20% - Accent6 12 3 4 3" xfId="18807" xr:uid="{00000000-0005-0000-0000-0000A1210000}"/>
    <cellStyle name="20% - Accent6 12 3 5" xfId="3644" xr:uid="{00000000-0005-0000-0000-0000A2210000}"/>
    <cellStyle name="20% - Accent6 12 3 5 2" xfId="14857" xr:uid="{00000000-0005-0000-0000-0000A3210000}"/>
    <cellStyle name="20% - Accent6 12 3 5 3" xfId="18808" xr:uid="{00000000-0005-0000-0000-0000A4210000}"/>
    <cellStyle name="20% - Accent6 12 3 6" xfId="14849" xr:uid="{00000000-0005-0000-0000-0000A5210000}"/>
    <cellStyle name="20% - Accent6 12 3 7" xfId="18800" xr:uid="{00000000-0005-0000-0000-0000A6210000}"/>
    <cellStyle name="20% - Accent6 12 3_Volatility" xfId="3645" xr:uid="{00000000-0005-0000-0000-0000A7210000}"/>
    <cellStyle name="20% - Accent6 12 4" xfId="3646" xr:uid="{00000000-0005-0000-0000-0000A8210000}"/>
    <cellStyle name="20% - Accent6 12 4 2" xfId="3647" xr:uid="{00000000-0005-0000-0000-0000A9210000}"/>
    <cellStyle name="20% - Accent6 12 4 2 2" xfId="14859" xr:uid="{00000000-0005-0000-0000-0000AA210000}"/>
    <cellStyle name="20% - Accent6 12 4 2 3" xfId="18810" xr:uid="{00000000-0005-0000-0000-0000AB210000}"/>
    <cellStyle name="20% - Accent6 12 4 3" xfId="3648" xr:uid="{00000000-0005-0000-0000-0000AC210000}"/>
    <cellStyle name="20% - Accent6 12 4 3 2" xfId="14860" xr:uid="{00000000-0005-0000-0000-0000AD210000}"/>
    <cellStyle name="20% - Accent6 12 4 3 3" xfId="18811" xr:uid="{00000000-0005-0000-0000-0000AE210000}"/>
    <cellStyle name="20% - Accent6 12 4 4" xfId="14858" xr:uid="{00000000-0005-0000-0000-0000AF210000}"/>
    <cellStyle name="20% - Accent6 12 4 5" xfId="18809" xr:uid="{00000000-0005-0000-0000-0000B0210000}"/>
    <cellStyle name="20% - Accent6 12 5" xfId="3649" xr:uid="{00000000-0005-0000-0000-0000B1210000}"/>
    <cellStyle name="20% - Accent6 12 5 2" xfId="3650" xr:uid="{00000000-0005-0000-0000-0000B2210000}"/>
    <cellStyle name="20% - Accent6 12 5 2 2" xfId="14862" xr:uid="{00000000-0005-0000-0000-0000B3210000}"/>
    <cellStyle name="20% - Accent6 12 5 2 3" xfId="18813" xr:uid="{00000000-0005-0000-0000-0000B4210000}"/>
    <cellStyle name="20% - Accent6 12 5 3" xfId="3651" xr:uid="{00000000-0005-0000-0000-0000B5210000}"/>
    <cellStyle name="20% - Accent6 12 5 3 2" xfId="14863" xr:uid="{00000000-0005-0000-0000-0000B6210000}"/>
    <cellStyle name="20% - Accent6 12 5 3 3" xfId="18814" xr:uid="{00000000-0005-0000-0000-0000B7210000}"/>
    <cellStyle name="20% - Accent6 12 5 4" xfId="14861" xr:uid="{00000000-0005-0000-0000-0000B8210000}"/>
    <cellStyle name="20% - Accent6 12 5 5" xfId="18812" xr:uid="{00000000-0005-0000-0000-0000B9210000}"/>
    <cellStyle name="20% - Accent6 12 6" xfId="3652" xr:uid="{00000000-0005-0000-0000-0000BA210000}"/>
    <cellStyle name="20% - Accent6 12 6 2" xfId="3653" xr:uid="{00000000-0005-0000-0000-0000BB210000}"/>
    <cellStyle name="20% - Accent6 12 6 2 2" xfId="14865" xr:uid="{00000000-0005-0000-0000-0000BC210000}"/>
    <cellStyle name="20% - Accent6 12 6 2 3" xfId="18816" xr:uid="{00000000-0005-0000-0000-0000BD210000}"/>
    <cellStyle name="20% - Accent6 12 6 3" xfId="3654" xr:uid="{00000000-0005-0000-0000-0000BE210000}"/>
    <cellStyle name="20% - Accent6 12 6 3 2" xfId="14866" xr:uid="{00000000-0005-0000-0000-0000BF210000}"/>
    <cellStyle name="20% - Accent6 12 6 3 3" xfId="18817" xr:uid="{00000000-0005-0000-0000-0000C0210000}"/>
    <cellStyle name="20% - Accent6 12 6 4" xfId="14864" xr:uid="{00000000-0005-0000-0000-0000C1210000}"/>
    <cellStyle name="20% - Accent6 12 6 5" xfId="18815" xr:uid="{00000000-0005-0000-0000-0000C2210000}"/>
    <cellStyle name="20% - Accent6 12 7" xfId="3655" xr:uid="{00000000-0005-0000-0000-0000C3210000}"/>
    <cellStyle name="20% - Accent6 12 7 2" xfId="14867" xr:uid="{00000000-0005-0000-0000-0000C4210000}"/>
    <cellStyle name="20% - Accent6 12 7 3" xfId="18818" xr:uid="{00000000-0005-0000-0000-0000C5210000}"/>
    <cellStyle name="20% - Accent6 12 8" xfId="3656" xr:uid="{00000000-0005-0000-0000-0000C6210000}"/>
    <cellStyle name="20% - Accent6 12 8 2" xfId="14868" xr:uid="{00000000-0005-0000-0000-0000C7210000}"/>
    <cellStyle name="20% - Accent6 12 8 3" xfId="18819" xr:uid="{00000000-0005-0000-0000-0000C8210000}"/>
    <cellStyle name="20% - Accent6 12 9" xfId="14836" xr:uid="{00000000-0005-0000-0000-0000C9210000}"/>
    <cellStyle name="20% - Accent6 12_Volatility" xfId="3657" xr:uid="{00000000-0005-0000-0000-0000CA210000}"/>
    <cellStyle name="20% - Accent6 13" xfId="3658" xr:uid="{00000000-0005-0000-0000-0000CB210000}"/>
    <cellStyle name="20% - Accent6 13 10" xfId="18820" xr:uid="{00000000-0005-0000-0000-0000CC210000}"/>
    <cellStyle name="20% - Accent6 13 2" xfId="3659" xr:uid="{00000000-0005-0000-0000-0000CD210000}"/>
    <cellStyle name="20% - Accent6 13 2 2" xfId="3660" xr:uid="{00000000-0005-0000-0000-0000CE210000}"/>
    <cellStyle name="20% - Accent6 13 2 2 2" xfId="3661" xr:uid="{00000000-0005-0000-0000-0000CF210000}"/>
    <cellStyle name="20% - Accent6 13 2 2 2 2" xfId="14872" xr:uid="{00000000-0005-0000-0000-0000D0210000}"/>
    <cellStyle name="20% - Accent6 13 2 2 2 3" xfId="18823" xr:uid="{00000000-0005-0000-0000-0000D1210000}"/>
    <cellStyle name="20% - Accent6 13 2 2 3" xfId="3662" xr:uid="{00000000-0005-0000-0000-0000D2210000}"/>
    <cellStyle name="20% - Accent6 13 2 2 3 2" xfId="14873" xr:uid="{00000000-0005-0000-0000-0000D3210000}"/>
    <cellStyle name="20% - Accent6 13 2 2 3 3" xfId="18824" xr:uid="{00000000-0005-0000-0000-0000D4210000}"/>
    <cellStyle name="20% - Accent6 13 2 2 4" xfId="14871" xr:uid="{00000000-0005-0000-0000-0000D5210000}"/>
    <cellStyle name="20% - Accent6 13 2 2 5" xfId="18822" xr:uid="{00000000-0005-0000-0000-0000D6210000}"/>
    <cellStyle name="20% - Accent6 13 2 3" xfId="3663" xr:uid="{00000000-0005-0000-0000-0000D7210000}"/>
    <cellStyle name="20% - Accent6 13 2 3 2" xfId="3664" xr:uid="{00000000-0005-0000-0000-0000D8210000}"/>
    <cellStyle name="20% - Accent6 13 2 3 2 2" xfId="14875" xr:uid="{00000000-0005-0000-0000-0000D9210000}"/>
    <cellStyle name="20% - Accent6 13 2 3 2 3" xfId="18826" xr:uid="{00000000-0005-0000-0000-0000DA210000}"/>
    <cellStyle name="20% - Accent6 13 2 3 3" xfId="3665" xr:uid="{00000000-0005-0000-0000-0000DB210000}"/>
    <cellStyle name="20% - Accent6 13 2 3 3 2" xfId="14876" xr:uid="{00000000-0005-0000-0000-0000DC210000}"/>
    <cellStyle name="20% - Accent6 13 2 3 3 3" xfId="18827" xr:uid="{00000000-0005-0000-0000-0000DD210000}"/>
    <cellStyle name="20% - Accent6 13 2 3 4" xfId="14874" xr:uid="{00000000-0005-0000-0000-0000DE210000}"/>
    <cellStyle name="20% - Accent6 13 2 3 5" xfId="18825" xr:uid="{00000000-0005-0000-0000-0000DF210000}"/>
    <cellStyle name="20% - Accent6 13 2 4" xfId="3666" xr:uid="{00000000-0005-0000-0000-0000E0210000}"/>
    <cellStyle name="20% - Accent6 13 2 4 2" xfId="3667" xr:uid="{00000000-0005-0000-0000-0000E1210000}"/>
    <cellStyle name="20% - Accent6 13 2 4 2 2" xfId="14878" xr:uid="{00000000-0005-0000-0000-0000E2210000}"/>
    <cellStyle name="20% - Accent6 13 2 4 2 3" xfId="18829" xr:uid="{00000000-0005-0000-0000-0000E3210000}"/>
    <cellStyle name="20% - Accent6 13 2 4 3" xfId="3668" xr:uid="{00000000-0005-0000-0000-0000E4210000}"/>
    <cellStyle name="20% - Accent6 13 2 4 3 2" xfId="14879" xr:uid="{00000000-0005-0000-0000-0000E5210000}"/>
    <cellStyle name="20% - Accent6 13 2 4 3 3" xfId="18830" xr:uid="{00000000-0005-0000-0000-0000E6210000}"/>
    <cellStyle name="20% - Accent6 13 2 4 4" xfId="14877" xr:uid="{00000000-0005-0000-0000-0000E7210000}"/>
    <cellStyle name="20% - Accent6 13 2 4 5" xfId="18828" xr:uid="{00000000-0005-0000-0000-0000E8210000}"/>
    <cellStyle name="20% - Accent6 13 2 5" xfId="3669" xr:uid="{00000000-0005-0000-0000-0000E9210000}"/>
    <cellStyle name="20% - Accent6 13 2 5 2" xfId="14880" xr:uid="{00000000-0005-0000-0000-0000EA210000}"/>
    <cellStyle name="20% - Accent6 13 2 5 3" xfId="18831" xr:uid="{00000000-0005-0000-0000-0000EB210000}"/>
    <cellStyle name="20% - Accent6 13 2 6" xfId="3670" xr:uid="{00000000-0005-0000-0000-0000EC210000}"/>
    <cellStyle name="20% - Accent6 13 2 6 2" xfId="14881" xr:uid="{00000000-0005-0000-0000-0000ED210000}"/>
    <cellStyle name="20% - Accent6 13 2 6 3" xfId="18832" xr:uid="{00000000-0005-0000-0000-0000EE210000}"/>
    <cellStyle name="20% - Accent6 13 2 7" xfId="14870" xr:uid="{00000000-0005-0000-0000-0000EF210000}"/>
    <cellStyle name="20% - Accent6 13 2 8" xfId="18821" xr:uid="{00000000-0005-0000-0000-0000F0210000}"/>
    <cellStyle name="20% - Accent6 13 2_Volatility" xfId="3671" xr:uid="{00000000-0005-0000-0000-0000F1210000}"/>
    <cellStyle name="20% - Accent6 13 3" xfId="3672" xr:uid="{00000000-0005-0000-0000-0000F2210000}"/>
    <cellStyle name="20% - Accent6 13 3 2" xfId="3673" xr:uid="{00000000-0005-0000-0000-0000F3210000}"/>
    <cellStyle name="20% - Accent6 13 3 2 2" xfId="3674" xr:uid="{00000000-0005-0000-0000-0000F4210000}"/>
    <cellStyle name="20% - Accent6 13 3 2 2 2" xfId="14884" xr:uid="{00000000-0005-0000-0000-0000F5210000}"/>
    <cellStyle name="20% - Accent6 13 3 2 2 3" xfId="18835" xr:uid="{00000000-0005-0000-0000-0000F6210000}"/>
    <cellStyle name="20% - Accent6 13 3 2 3" xfId="3675" xr:uid="{00000000-0005-0000-0000-0000F7210000}"/>
    <cellStyle name="20% - Accent6 13 3 2 3 2" xfId="14885" xr:uid="{00000000-0005-0000-0000-0000F8210000}"/>
    <cellStyle name="20% - Accent6 13 3 2 3 3" xfId="18836" xr:uid="{00000000-0005-0000-0000-0000F9210000}"/>
    <cellStyle name="20% - Accent6 13 3 2 4" xfId="14883" xr:uid="{00000000-0005-0000-0000-0000FA210000}"/>
    <cellStyle name="20% - Accent6 13 3 2 5" xfId="18834" xr:uid="{00000000-0005-0000-0000-0000FB210000}"/>
    <cellStyle name="20% - Accent6 13 3 3" xfId="3676" xr:uid="{00000000-0005-0000-0000-0000FC210000}"/>
    <cellStyle name="20% - Accent6 13 3 3 2" xfId="3677" xr:uid="{00000000-0005-0000-0000-0000FD210000}"/>
    <cellStyle name="20% - Accent6 13 3 3 2 2" xfId="14887" xr:uid="{00000000-0005-0000-0000-0000FE210000}"/>
    <cellStyle name="20% - Accent6 13 3 3 2 3" xfId="18838" xr:uid="{00000000-0005-0000-0000-0000FF210000}"/>
    <cellStyle name="20% - Accent6 13 3 3 3" xfId="3678" xr:uid="{00000000-0005-0000-0000-000000220000}"/>
    <cellStyle name="20% - Accent6 13 3 3 3 2" xfId="14888" xr:uid="{00000000-0005-0000-0000-000001220000}"/>
    <cellStyle name="20% - Accent6 13 3 3 3 3" xfId="18839" xr:uid="{00000000-0005-0000-0000-000002220000}"/>
    <cellStyle name="20% - Accent6 13 3 3 4" xfId="14886" xr:uid="{00000000-0005-0000-0000-000003220000}"/>
    <cellStyle name="20% - Accent6 13 3 3 5" xfId="18837" xr:uid="{00000000-0005-0000-0000-000004220000}"/>
    <cellStyle name="20% - Accent6 13 3 4" xfId="3679" xr:uid="{00000000-0005-0000-0000-000005220000}"/>
    <cellStyle name="20% - Accent6 13 3 4 2" xfId="14889" xr:uid="{00000000-0005-0000-0000-000006220000}"/>
    <cellStyle name="20% - Accent6 13 3 4 3" xfId="18840" xr:uid="{00000000-0005-0000-0000-000007220000}"/>
    <cellStyle name="20% - Accent6 13 3 5" xfId="3680" xr:uid="{00000000-0005-0000-0000-000008220000}"/>
    <cellStyle name="20% - Accent6 13 3 5 2" xfId="14890" xr:uid="{00000000-0005-0000-0000-000009220000}"/>
    <cellStyle name="20% - Accent6 13 3 5 3" xfId="18841" xr:uid="{00000000-0005-0000-0000-00000A220000}"/>
    <cellStyle name="20% - Accent6 13 3 6" xfId="14882" xr:uid="{00000000-0005-0000-0000-00000B220000}"/>
    <cellStyle name="20% - Accent6 13 3 7" xfId="18833" xr:uid="{00000000-0005-0000-0000-00000C220000}"/>
    <cellStyle name="20% - Accent6 13 3_Volatility" xfId="3681" xr:uid="{00000000-0005-0000-0000-00000D220000}"/>
    <cellStyle name="20% - Accent6 13 4" xfId="3682" xr:uid="{00000000-0005-0000-0000-00000E220000}"/>
    <cellStyle name="20% - Accent6 13 4 2" xfId="3683" xr:uid="{00000000-0005-0000-0000-00000F220000}"/>
    <cellStyle name="20% - Accent6 13 4 2 2" xfId="14892" xr:uid="{00000000-0005-0000-0000-000010220000}"/>
    <cellStyle name="20% - Accent6 13 4 2 3" xfId="18843" xr:uid="{00000000-0005-0000-0000-000011220000}"/>
    <cellStyle name="20% - Accent6 13 4 3" xfId="3684" xr:uid="{00000000-0005-0000-0000-000012220000}"/>
    <cellStyle name="20% - Accent6 13 4 3 2" xfId="14893" xr:uid="{00000000-0005-0000-0000-000013220000}"/>
    <cellStyle name="20% - Accent6 13 4 3 3" xfId="18844" xr:uid="{00000000-0005-0000-0000-000014220000}"/>
    <cellStyle name="20% - Accent6 13 4 4" xfId="14891" xr:uid="{00000000-0005-0000-0000-000015220000}"/>
    <cellStyle name="20% - Accent6 13 4 5" xfId="18842" xr:uid="{00000000-0005-0000-0000-000016220000}"/>
    <cellStyle name="20% - Accent6 13 5" xfId="3685" xr:uid="{00000000-0005-0000-0000-000017220000}"/>
    <cellStyle name="20% - Accent6 13 5 2" xfId="3686" xr:uid="{00000000-0005-0000-0000-000018220000}"/>
    <cellStyle name="20% - Accent6 13 5 2 2" xfId="14895" xr:uid="{00000000-0005-0000-0000-000019220000}"/>
    <cellStyle name="20% - Accent6 13 5 2 3" xfId="18846" xr:uid="{00000000-0005-0000-0000-00001A220000}"/>
    <cellStyle name="20% - Accent6 13 5 3" xfId="3687" xr:uid="{00000000-0005-0000-0000-00001B220000}"/>
    <cellStyle name="20% - Accent6 13 5 3 2" xfId="14896" xr:uid="{00000000-0005-0000-0000-00001C220000}"/>
    <cellStyle name="20% - Accent6 13 5 3 3" xfId="18847" xr:uid="{00000000-0005-0000-0000-00001D220000}"/>
    <cellStyle name="20% - Accent6 13 5 4" xfId="14894" xr:uid="{00000000-0005-0000-0000-00001E220000}"/>
    <cellStyle name="20% - Accent6 13 5 5" xfId="18845" xr:uid="{00000000-0005-0000-0000-00001F220000}"/>
    <cellStyle name="20% - Accent6 13 6" xfId="3688" xr:uid="{00000000-0005-0000-0000-000020220000}"/>
    <cellStyle name="20% - Accent6 13 6 2" xfId="3689" xr:uid="{00000000-0005-0000-0000-000021220000}"/>
    <cellStyle name="20% - Accent6 13 6 2 2" xfId="14898" xr:uid="{00000000-0005-0000-0000-000022220000}"/>
    <cellStyle name="20% - Accent6 13 6 2 3" xfId="18849" xr:uid="{00000000-0005-0000-0000-000023220000}"/>
    <cellStyle name="20% - Accent6 13 6 3" xfId="3690" xr:uid="{00000000-0005-0000-0000-000024220000}"/>
    <cellStyle name="20% - Accent6 13 6 3 2" xfId="14899" xr:uid="{00000000-0005-0000-0000-000025220000}"/>
    <cellStyle name="20% - Accent6 13 6 3 3" xfId="18850" xr:uid="{00000000-0005-0000-0000-000026220000}"/>
    <cellStyle name="20% - Accent6 13 6 4" xfId="14897" xr:uid="{00000000-0005-0000-0000-000027220000}"/>
    <cellStyle name="20% - Accent6 13 6 5" xfId="18848" xr:uid="{00000000-0005-0000-0000-000028220000}"/>
    <cellStyle name="20% - Accent6 13 7" xfId="3691" xr:uid="{00000000-0005-0000-0000-000029220000}"/>
    <cellStyle name="20% - Accent6 13 7 2" xfId="14900" xr:uid="{00000000-0005-0000-0000-00002A220000}"/>
    <cellStyle name="20% - Accent6 13 7 3" xfId="18851" xr:uid="{00000000-0005-0000-0000-00002B220000}"/>
    <cellStyle name="20% - Accent6 13 8" xfId="3692" xr:uid="{00000000-0005-0000-0000-00002C220000}"/>
    <cellStyle name="20% - Accent6 13 8 2" xfId="14901" xr:uid="{00000000-0005-0000-0000-00002D220000}"/>
    <cellStyle name="20% - Accent6 13 8 3" xfId="18852" xr:uid="{00000000-0005-0000-0000-00002E220000}"/>
    <cellStyle name="20% - Accent6 13 9" xfId="14869" xr:uid="{00000000-0005-0000-0000-00002F220000}"/>
    <cellStyle name="20% - Accent6 13_Volatility" xfId="3693" xr:uid="{00000000-0005-0000-0000-000030220000}"/>
    <cellStyle name="20% - Accent6 14" xfId="3694" xr:uid="{00000000-0005-0000-0000-000031220000}"/>
    <cellStyle name="20% - Accent6 14 10" xfId="18853" xr:uid="{00000000-0005-0000-0000-000032220000}"/>
    <cellStyle name="20% - Accent6 14 2" xfId="3695" xr:uid="{00000000-0005-0000-0000-000033220000}"/>
    <cellStyle name="20% - Accent6 14 2 2" xfId="3696" xr:uid="{00000000-0005-0000-0000-000034220000}"/>
    <cellStyle name="20% - Accent6 14 2 2 2" xfId="3697" xr:uid="{00000000-0005-0000-0000-000035220000}"/>
    <cellStyle name="20% - Accent6 14 2 2 2 2" xfId="14905" xr:uid="{00000000-0005-0000-0000-000036220000}"/>
    <cellStyle name="20% - Accent6 14 2 2 2 3" xfId="18856" xr:uid="{00000000-0005-0000-0000-000037220000}"/>
    <cellStyle name="20% - Accent6 14 2 2 3" xfId="3698" xr:uid="{00000000-0005-0000-0000-000038220000}"/>
    <cellStyle name="20% - Accent6 14 2 2 3 2" xfId="14906" xr:uid="{00000000-0005-0000-0000-000039220000}"/>
    <cellStyle name="20% - Accent6 14 2 2 3 3" xfId="18857" xr:uid="{00000000-0005-0000-0000-00003A220000}"/>
    <cellStyle name="20% - Accent6 14 2 2 4" xfId="14904" xr:uid="{00000000-0005-0000-0000-00003B220000}"/>
    <cellStyle name="20% - Accent6 14 2 2 5" xfId="18855" xr:uid="{00000000-0005-0000-0000-00003C220000}"/>
    <cellStyle name="20% - Accent6 14 2 3" xfId="3699" xr:uid="{00000000-0005-0000-0000-00003D220000}"/>
    <cellStyle name="20% - Accent6 14 2 3 2" xfId="3700" xr:uid="{00000000-0005-0000-0000-00003E220000}"/>
    <cellStyle name="20% - Accent6 14 2 3 2 2" xfId="14908" xr:uid="{00000000-0005-0000-0000-00003F220000}"/>
    <cellStyle name="20% - Accent6 14 2 3 2 3" xfId="18859" xr:uid="{00000000-0005-0000-0000-000040220000}"/>
    <cellStyle name="20% - Accent6 14 2 3 3" xfId="3701" xr:uid="{00000000-0005-0000-0000-000041220000}"/>
    <cellStyle name="20% - Accent6 14 2 3 3 2" xfId="14909" xr:uid="{00000000-0005-0000-0000-000042220000}"/>
    <cellStyle name="20% - Accent6 14 2 3 3 3" xfId="18860" xr:uid="{00000000-0005-0000-0000-000043220000}"/>
    <cellStyle name="20% - Accent6 14 2 3 4" xfId="14907" xr:uid="{00000000-0005-0000-0000-000044220000}"/>
    <cellStyle name="20% - Accent6 14 2 3 5" xfId="18858" xr:uid="{00000000-0005-0000-0000-000045220000}"/>
    <cellStyle name="20% - Accent6 14 2 4" xfId="3702" xr:uid="{00000000-0005-0000-0000-000046220000}"/>
    <cellStyle name="20% - Accent6 14 2 4 2" xfId="3703" xr:uid="{00000000-0005-0000-0000-000047220000}"/>
    <cellStyle name="20% - Accent6 14 2 4 2 2" xfId="14911" xr:uid="{00000000-0005-0000-0000-000048220000}"/>
    <cellStyle name="20% - Accent6 14 2 4 2 3" xfId="18862" xr:uid="{00000000-0005-0000-0000-000049220000}"/>
    <cellStyle name="20% - Accent6 14 2 4 3" xfId="3704" xr:uid="{00000000-0005-0000-0000-00004A220000}"/>
    <cellStyle name="20% - Accent6 14 2 4 3 2" xfId="14912" xr:uid="{00000000-0005-0000-0000-00004B220000}"/>
    <cellStyle name="20% - Accent6 14 2 4 3 3" xfId="18863" xr:uid="{00000000-0005-0000-0000-00004C220000}"/>
    <cellStyle name="20% - Accent6 14 2 4 4" xfId="14910" xr:uid="{00000000-0005-0000-0000-00004D220000}"/>
    <cellStyle name="20% - Accent6 14 2 4 5" xfId="18861" xr:uid="{00000000-0005-0000-0000-00004E220000}"/>
    <cellStyle name="20% - Accent6 14 2 5" xfId="3705" xr:uid="{00000000-0005-0000-0000-00004F220000}"/>
    <cellStyle name="20% - Accent6 14 2 5 2" xfId="14913" xr:uid="{00000000-0005-0000-0000-000050220000}"/>
    <cellStyle name="20% - Accent6 14 2 5 3" xfId="18864" xr:uid="{00000000-0005-0000-0000-000051220000}"/>
    <cellStyle name="20% - Accent6 14 2 6" xfId="3706" xr:uid="{00000000-0005-0000-0000-000052220000}"/>
    <cellStyle name="20% - Accent6 14 2 6 2" xfId="14914" xr:uid="{00000000-0005-0000-0000-000053220000}"/>
    <cellStyle name="20% - Accent6 14 2 6 3" xfId="18865" xr:uid="{00000000-0005-0000-0000-000054220000}"/>
    <cellStyle name="20% - Accent6 14 2 7" xfId="14903" xr:uid="{00000000-0005-0000-0000-000055220000}"/>
    <cellStyle name="20% - Accent6 14 2 8" xfId="18854" xr:uid="{00000000-0005-0000-0000-000056220000}"/>
    <cellStyle name="20% - Accent6 14 2_Volatility" xfId="3707" xr:uid="{00000000-0005-0000-0000-000057220000}"/>
    <cellStyle name="20% - Accent6 14 3" xfId="3708" xr:uid="{00000000-0005-0000-0000-000058220000}"/>
    <cellStyle name="20% - Accent6 14 3 2" xfId="3709" xr:uid="{00000000-0005-0000-0000-000059220000}"/>
    <cellStyle name="20% - Accent6 14 3 2 2" xfId="3710" xr:uid="{00000000-0005-0000-0000-00005A220000}"/>
    <cellStyle name="20% - Accent6 14 3 2 2 2" xfId="14917" xr:uid="{00000000-0005-0000-0000-00005B220000}"/>
    <cellStyle name="20% - Accent6 14 3 2 2 3" xfId="18868" xr:uid="{00000000-0005-0000-0000-00005C220000}"/>
    <cellStyle name="20% - Accent6 14 3 2 3" xfId="3711" xr:uid="{00000000-0005-0000-0000-00005D220000}"/>
    <cellStyle name="20% - Accent6 14 3 2 3 2" xfId="14918" xr:uid="{00000000-0005-0000-0000-00005E220000}"/>
    <cellStyle name="20% - Accent6 14 3 2 3 3" xfId="18869" xr:uid="{00000000-0005-0000-0000-00005F220000}"/>
    <cellStyle name="20% - Accent6 14 3 2 4" xfId="14916" xr:uid="{00000000-0005-0000-0000-000060220000}"/>
    <cellStyle name="20% - Accent6 14 3 2 5" xfId="18867" xr:uid="{00000000-0005-0000-0000-000061220000}"/>
    <cellStyle name="20% - Accent6 14 3 3" xfId="3712" xr:uid="{00000000-0005-0000-0000-000062220000}"/>
    <cellStyle name="20% - Accent6 14 3 3 2" xfId="3713" xr:uid="{00000000-0005-0000-0000-000063220000}"/>
    <cellStyle name="20% - Accent6 14 3 3 2 2" xfId="14920" xr:uid="{00000000-0005-0000-0000-000064220000}"/>
    <cellStyle name="20% - Accent6 14 3 3 2 3" xfId="18871" xr:uid="{00000000-0005-0000-0000-000065220000}"/>
    <cellStyle name="20% - Accent6 14 3 3 3" xfId="3714" xr:uid="{00000000-0005-0000-0000-000066220000}"/>
    <cellStyle name="20% - Accent6 14 3 3 3 2" xfId="14921" xr:uid="{00000000-0005-0000-0000-000067220000}"/>
    <cellStyle name="20% - Accent6 14 3 3 3 3" xfId="18872" xr:uid="{00000000-0005-0000-0000-000068220000}"/>
    <cellStyle name="20% - Accent6 14 3 3 4" xfId="14919" xr:uid="{00000000-0005-0000-0000-000069220000}"/>
    <cellStyle name="20% - Accent6 14 3 3 5" xfId="18870" xr:uid="{00000000-0005-0000-0000-00006A220000}"/>
    <cellStyle name="20% - Accent6 14 3 4" xfId="3715" xr:uid="{00000000-0005-0000-0000-00006B220000}"/>
    <cellStyle name="20% - Accent6 14 3 4 2" xfId="14922" xr:uid="{00000000-0005-0000-0000-00006C220000}"/>
    <cellStyle name="20% - Accent6 14 3 4 3" xfId="18873" xr:uid="{00000000-0005-0000-0000-00006D220000}"/>
    <cellStyle name="20% - Accent6 14 3 5" xfId="3716" xr:uid="{00000000-0005-0000-0000-00006E220000}"/>
    <cellStyle name="20% - Accent6 14 3 5 2" xfId="14923" xr:uid="{00000000-0005-0000-0000-00006F220000}"/>
    <cellStyle name="20% - Accent6 14 3 5 3" xfId="18874" xr:uid="{00000000-0005-0000-0000-000070220000}"/>
    <cellStyle name="20% - Accent6 14 3 6" xfId="14915" xr:uid="{00000000-0005-0000-0000-000071220000}"/>
    <cellStyle name="20% - Accent6 14 3 7" xfId="18866" xr:uid="{00000000-0005-0000-0000-000072220000}"/>
    <cellStyle name="20% - Accent6 14 3_Volatility" xfId="3717" xr:uid="{00000000-0005-0000-0000-000073220000}"/>
    <cellStyle name="20% - Accent6 14 4" xfId="3718" xr:uid="{00000000-0005-0000-0000-000074220000}"/>
    <cellStyle name="20% - Accent6 14 4 2" xfId="3719" xr:uid="{00000000-0005-0000-0000-000075220000}"/>
    <cellStyle name="20% - Accent6 14 4 2 2" xfId="14925" xr:uid="{00000000-0005-0000-0000-000076220000}"/>
    <cellStyle name="20% - Accent6 14 4 2 3" xfId="18876" xr:uid="{00000000-0005-0000-0000-000077220000}"/>
    <cellStyle name="20% - Accent6 14 4 3" xfId="3720" xr:uid="{00000000-0005-0000-0000-000078220000}"/>
    <cellStyle name="20% - Accent6 14 4 3 2" xfId="14926" xr:uid="{00000000-0005-0000-0000-000079220000}"/>
    <cellStyle name="20% - Accent6 14 4 3 3" xfId="18877" xr:uid="{00000000-0005-0000-0000-00007A220000}"/>
    <cellStyle name="20% - Accent6 14 4 4" xfId="14924" xr:uid="{00000000-0005-0000-0000-00007B220000}"/>
    <cellStyle name="20% - Accent6 14 4 5" xfId="18875" xr:uid="{00000000-0005-0000-0000-00007C220000}"/>
    <cellStyle name="20% - Accent6 14 5" xfId="3721" xr:uid="{00000000-0005-0000-0000-00007D220000}"/>
    <cellStyle name="20% - Accent6 14 5 2" xfId="3722" xr:uid="{00000000-0005-0000-0000-00007E220000}"/>
    <cellStyle name="20% - Accent6 14 5 2 2" xfId="14928" xr:uid="{00000000-0005-0000-0000-00007F220000}"/>
    <cellStyle name="20% - Accent6 14 5 2 3" xfId="18879" xr:uid="{00000000-0005-0000-0000-000080220000}"/>
    <cellStyle name="20% - Accent6 14 5 3" xfId="3723" xr:uid="{00000000-0005-0000-0000-000081220000}"/>
    <cellStyle name="20% - Accent6 14 5 3 2" xfId="14929" xr:uid="{00000000-0005-0000-0000-000082220000}"/>
    <cellStyle name="20% - Accent6 14 5 3 3" xfId="18880" xr:uid="{00000000-0005-0000-0000-000083220000}"/>
    <cellStyle name="20% - Accent6 14 5 4" xfId="14927" xr:uid="{00000000-0005-0000-0000-000084220000}"/>
    <cellStyle name="20% - Accent6 14 5 5" xfId="18878" xr:uid="{00000000-0005-0000-0000-000085220000}"/>
    <cellStyle name="20% - Accent6 14 6" xfId="3724" xr:uid="{00000000-0005-0000-0000-000086220000}"/>
    <cellStyle name="20% - Accent6 14 6 2" xfId="3725" xr:uid="{00000000-0005-0000-0000-000087220000}"/>
    <cellStyle name="20% - Accent6 14 6 2 2" xfId="14931" xr:uid="{00000000-0005-0000-0000-000088220000}"/>
    <cellStyle name="20% - Accent6 14 6 2 3" xfId="18882" xr:uid="{00000000-0005-0000-0000-000089220000}"/>
    <cellStyle name="20% - Accent6 14 6 3" xfId="3726" xr:uid="{00000000-0005-0000-0000-00008A220000}"/>
    <cellStyle name="20% - Accent6 14 6 3 2" xfId="14932" xr:uid="{00000000-0005-0000-0000-00008B220000}"/>
    <cellStyle name="20% - Accent6 14 6 3 3" xfId="18883" xr:uid="{00000000-0005-0000-0000-00008C220000}"/>
    <cellStyle name="20% - Accent6 14 6 4" xfId="14930" xr:uid="{00000000-0005-0000-0000-00008D220000}"/>
    <cellStyle name="20% - Accent6 14 6 5" xfId="18881" xr:uid="{00000000-0005-0000-0000-00008E220000}"/>
    <cellStyle name="20% - Accent6 14 7" xfId="3727" xr:uid="{00000000-0005-0000-0000-00008F220000}"/>
    <cellStyle name="20% - Accent6 14 7 2" xfId="14933" xr:uid="{00000000-0005-0000-0000-000090220000}"/>
    <cellStyle name="20% - Accent6 14 7 3" xfId="18884" xr:uid="{00000000-0005-0000-0000-000091220000}"/>
    <cellStyle name="20% - Accent6 14 8" xfId="3728" xr:uid="{00000000-0005-0000-0000-000092220000}"/>
    <cellStyle name="20% - Accent6 14 8 2" xfId="14934" xr:uid="{00000000-0005-0000-0000-000093220000}"/>
    <cellStyle name="20% - Accent6 14 8 3" xfId="18885" xr:uid="{00000000-0005-0000-0000-000094220000}"/>
    <cellStyle name="20% - Accent6 14 9" xfId="14902" xr:uid="{00000000-0005-0000-0000-000095220000}"/>
    <cellStyle name="20% - Accent6 14_Volatility" xfId="3729" xr:uid="{00000000-0005-0000-0000-000096220000}"/>
    <cellStyle name="20% - Accent6 15" xfId="3730" xr:uid="{00000000-0005-0000-0000-000097220000}"/>
    <cellStyle name="20% - Accent6 15 10" xfId="18886" xr:uid="{00000000-0005-0000-0000-000098220000}"/>
    <cellStyle name="20% - Accent6 15 2" xfId="3731" xr:uid="{00000000-0005-0000-0000-000099220000}"/>
    <cellStyle name="20% - Accent6 15 2 2" xfId="3732" xr:uid="{00000000-0005-0000-0000-00009A220000}"/>
    <cellStyle name="20% - Accent6 15 2 2 2" xfId="3733" xr:uid="{00000000-0005-0000-0000-00009B220000}"/>
    <cellStyle name="20% - Accent6 15 2 2 2 2" xfId="14938" xr:uid="{00000000-0005-0000-0000-00009C220000}"/>
    <cellStyle name="20% - Accent6 15 2 2 2 3" xfId="18889" xr:uid="{00000000-0005-0000-0000-00009D220000}"/>
    <cellStyle name="20% - Accent6 15 2 2 3" xfId="3734" xr:uid="{00000000-0005-0000-0000-00009E220000}"/>
    <cellStyle name="20% - Accent6 15 2 2 3 2" xfId="14939" xr:uid="{00000000-0005-0000-0000-00009F220000}"/>
    <cellStyle name="20% - Accent6 15 2 2 3 3" xfId="18890" xr:uid="{00000000-0005-0000-0000-0000A0220000}"/>
    <cellStyle name="20% - Accent6 15 2 2 4" xfId="14937" xr:uid="{00000000-0005-0000-0000-0000A1220000}"/>
    <cellStyle name="20% - Accent6 15 2 2 5" xfId="18888" xr:uid="{00000000-0005-0000-0000-0000A2220000}"/>
    <cellStyle name="20% - Accent6 15 2 3" xfId="3735" xr:uid="{00000000-0005-0000-0000-0000A3220000}"/>
    <cellStyle name="20% - Accent6 15 2 3 2" xfId="3736" xr:uid="{00000000-0005-0000-0000-0000A4220000}"/>
    <cellStyle name="20% - Accent6 15 2 3 2 2" xfId="14941" xr:uid="{00000000-0005-0000-0000-0000A5220000}"/>
    <cellStyle name="20% - Accent6 15 2 3 2 3" xfId="18892" xr:uid="{00000000-0005-0000-0000-0000A6220000}"/>
    <cellStyle name="20% - Accent6 15 2 3 3" xfId="3737" xr:uid="{00000000-0005-0000-0000-0000A7220000}"/>
    <cellStyle name="20% - Accent6 15 2 3 3 2" xfId="14942" xr:uid="{00000000-0005-0000-0000-0000A8220000}"/>
    <cellStyle name="20% - Accent6 15 2 3 3 3" xfId="18893" xr:uid="{00000000-0005-0000-0000-0000A9220000}"/>
    <cellStyle name="20% - Accent6 15 2 3 4" xfId="14940" xr:uid="{00000000-0005-0000-0000-0000AA220000}"/>
    <cellStyle name="20% - Accent6 15 2 3 5" xfId="18891" xr:uid="{00000000-0005-0000-0000-0000AB220000}"/>
    <cellStyle name="20% - Accent6 15 2 4" xfId="3738" xr:uid="{00000000-0005-0000-0000-0000AC220000}"/>
    <cellStyle name="20% - Accent6 15 2 4 2" xfId="3739" xr:uid="{00000000-0005-0000-0000-0000AD220000}"/>
    <cellStyle name="20% - Accent6 15 2 4 2 2" xfId="14944" xr:uid="{00000000-0005-0000-0000-0000AE220000}"/>
    <cellStyle name="20% - Accent6 15 2 4 2 3" xfId="18895" xr:uid="{00000000-0005-0000-0000-0000AF220000}"/>
    <cellStyle name="20% - Accent6 15 2 4 3" xfId="3740" xr:uid="{00000000-0005-0000-0000-0000B0220000}"/>
    <cellStyle name="20% - Accent6 15 2 4 3 2" xfId="14945" xr:uid="{00000000-0005-0000-0000-0000B1220000}"/>
    <cellStyle name="20% - Accent6 15 2 4 3 3" xfId="18896" xr:uid="{00000000-0005-0000-0000-0000B2220000}"/>
    <cellStyle name="20% - Accent6 15 2 4 4" xfId="14943" xr:uid="{00000000-0005-0000-0000-0000B3220000}"/>
    <cellStyle name="20% - Accent6 15 2 4 5" xfId="18894" xr:uid="{00000000-0005-0000-0000-0000B4220000}"/>
    <cellStyle name="20% - Accent6 15 2 5" xfId="3741" xr:uid="{00000000-0005-0000-0000-0000B5220000}"/>
    <cellStyle name="20% - Accent6 15 2 5 2" xfId="14946" xr:uid="{00000000-0005-0000-0000-0000B6220000}"/>
    <cellStyle name="20% - Accent6 15 2 5 3" xfId="18897" xr:uid="{00000000-0005-0000-0000-0000B7220000}"/>
    <cellStyle name="20% - Accent6 15 2 6" xfId="3742" xr:uid="{00000000-0005-0000-0000-0000B8220000}"/>
    <cellStyle name="20% - Accent6 15 2 6 2" xfId="14947" xr:uid="{00000000-0005-0000-0000-0000B9220000}"/>
    <cellStyle name="20% - Accent6 15 2 6 3" xfId="18898" xr:uid="{00000000-0005-0000-0000-0000BA220000}"/>
    <cellStyle name="20% - Accent6 15 2 7" xfId="14936" xr:uid="{00000000-0005-0000-0000-0000BB220000}"/>
    <cellStyle name="20% - Accent6 15 2 8" xfId="18887" xr:uid="{00000000-0005-0000-0000-0000BC220000}"/>
    <cellStyle name="20% - Accent6 15 2_Volatility" xfId="3743" xr:uid="{00000000-0005-0000-0000-0000BD220000}"/>
    <cellStyle name="20% - Accent6 15 3" xfId="3744" xr:uid="{00000000-0005-0000-0000-0000BE220000}"/>
    <cellStyle name="20% - Accent6 15 3 2" xfId="3745" xr:uid="{00000000-0005-0000-0000-0000BF220000}"/>
    <cellStyle name="20% - Accent6 15 3 2 2" xfId="3746" xr:uid="{00000000-0005-0000-0000-0000C0220000}"/>
    <cellStyle name="20% - Accent6 15 3 2 2 2" xfId="14950" xr:uid="{00000000-0005-0000-0000-0000C1220000}"/>
    <cellStyle name="20% - Accent6 15 3 2 2 3" xfId="18901" xr:uid="{00000000-0005-0000-0000-0000C2220000}"/>
    <cellStyle name="20% - Accent6 15 3 2 3" xfId="3747" xr:uid="{00000000-0005-0000-0000-0000C3220000}"/>
    <cellStyle name="20% - Accent6 15 3 2 3 2" xfId="14951" xr:uid="{00000000-0005-0000-0000-0000C4220000}"/>
    <cellStyle name="20% - Accent6 15 3 2 3 3" xfId="18902" xr:uid="{00000000-0005-0000-0000-0000C5220000}"/>
    <cellStyle name="20% - Accent6 15 3 2 4" xfId="14949" xr:uid="{00000000-0005-0000-0000-0000C6220000}"/>
    <cellStyle name="20% - Accent6 15 3 2 5" xfId="18900" xr:uid="{00000000-0005-0000-0000-0000C7220000}"/>
    <cellStyle name="20% - Accent6 15 3 3" xfId="3748" xr:uid="{00000000-0005-0000-0000-0000C8220000}"/>
    <cellStyle name="20% - Accent6 15 3 3 2" xfId="3749" xr:uid="{00000000-0005-0000-0000-0000C9220000}"/>
    <cellStyle name="20% - Accent6 15 3 3 2 2" xfId="14953" xr:uid="{00000000-0005-0000-0000-0000CA220000}"/>
    <cellStyle name="20% - Accent6 15 3 3 2 3" xfId="18904" xr:uid="{00000000-0005-0000-0000-0000CB220000}"/>
    <cellStyle name="20% - Accent6 15 3 3 3" xfId="3750" xr:uid="{00000000-0005-0000-0000-0000CC220000}"/>
    <cellStyle name="20% - Accent6 15 3 3 3 2" xfId="14954" xr:uid="{00000000-0005-0000-0000-0000CD220000}"/>
    <cellStyle name="20% - Accent6 15 3 3 3 3" xfId="18905" xr:uid="{00000000-0005-0000-0000-0000CE220000}"/>
    <cellStyle name="20% - Accent6 15 3 3 4" xfId="14952" xr:uid="{00000000-0005-0000-0000-0000CF220000}"/>
    <cellStyle name="20% - Accent6 15 3 3 5" xfId="18903" xr:uid="{00000000-0005-0000-0000-0000D0220000}"/>
    <cellStyle name="20% - Accent6 15 3 4" xfId="3751" xr:uid="{00000000-0005-0000-0000-0000D1220000}"/>
    <cellStyle name="20% - Accent6 15 3 4 2" xfId="14955" xr:uid="{00000000-0005-0000-0000-0000D2220000}"/>
    <cellStyle name="20% - Accent6 15 3 4 3" xfId="18906" xr:uid="{00000000-0005-0000-0000-0000D3220000}"/>
    <cellStyle name="20% - Accent6 15 3 5" xfId="3752" xr:uid="{00000000-0005-0000-0000-0000D4220000}"/>
    <cellStyle name="20% - Accent6 15 3 5 2" xfId="14956" xr:uid="{00000000-0005-0000-0000-0000D5220000}"/>
    <cellStyle name="20% - Accent6 15 3 5 3" xfId="18907" xr:uid="{00000000-0005-0000-0000-0000D6220000}"/>
    <cellStyle name="20% - Accent6 15 3 6" xfId="14948" xr:uid="{00000000-0005-0000-0000-0000D7220000}"/>
    <cellStyle name="20% - Accent6 15 3 7" xfId="18899" xr:uid="{00000000-0005-0000-0000-0000D8220000}"/>
    <cellStyle name="20% - Accent6 15 3_Volatility" xfId="3753" xr:uid="{00000000-0005-0000-0000-0000D9220000}"/>
    <cellStyle name="20% - Accent6 15 4" xfId="3754" xr:uid="{00000000-0005-0000-0000-0000DA220000}"/>
    <cellStyle name="20% - Accent6 15 4 2" xfId="3755" xr:uid="{00000000-0005-0000-0000-0000DB220000}"/>
    <cellStyle name="20% - Accent6 15 4 2 2" xfId="14958" xr:uid="{00000000-0005-0000-0000-0000DC220000}"/>
    <cellStyle name="20% - Accent6 15 4 2 3" xfId="18909" xr:uid="{00000000-0005-0000-0000-0000DD220000}"/>
    <cellStyle name="20% - Accent6 15 4 3" xfId="3756" xr:uid="{00000000-0005-0000-0000-0000DE220000}"/>
    <cellStyle name="20% - Accent6 15 4 3 2" xfId="14959" xr:uid="{00000000-0005-0000-0000-0000DF220000}"/>
    <cellStyle name="20% - Accent6 15 4 3 3" xfId="18910" xr:uid="{00000000-0005-0000-0000-0000E0220000}"/>
    <cellStyle name="20% - Accent6 15 4 4" xfId="14957" xr:uid="{00000000-0005-0000-0000-0000E1220000}"/>
    <cellStyle name="20% - Accent6 15 4 5" xfId="18908" xr:uid="{00000000-0005-0000-0000-0000E2220000}"/>
    <cellStyle name="20% - Accent6 15 5" xfId="3757" xr:uid="{00000000-0005-0000-0000-0000E3220000}"/>
    <cellStyle name="20% - Accent6 15 5 2" xfId="3758" xr:uid="{00000000-0005-0000-0000-0000E4220000}"/>
    <cellStyle name="20% - Accent6 15 5 2 2" xfId="14961" xr:uid="{00000000-0005-0000-0000-0000E5220000}"/>
    <cellStyle name="20% - Accent6 15 5 2 3" xfId="18912" xr:uid="{00000000-0005-0000-0000-0000E6220000}"/>
    <cellStyle name="20% - Accent6 15 5 3" xfId="3759" xr:uid="{00000000-0005-0000-0000-0000E7220000}"/>
    <cellStyle name="20% - Accent6 15 5 3 2" xfId="14962" xr:uid="{00000000-0005-0000-0000-0000E8220000}"/>
    <cellStyle name="20% - Accent6 15 5 3 3" xfId="18913" xr:uid="{00000000-0005-0000-0000-0000E9220000}"/>
    <cellStyle name="20% - Accent6 15 5 4" xfId="14960" xr:uid="{00000000-0005-0000-0000-0000EA220000}"/>
    <cellStyle name="20% - Accent6 15 5 5" xfId="18911" xr:uid="{00000000-0005-0000-0000-0000EB220000}"/>
    <cellStyle name="20% - Accent6 15 6" xfId="3760" xr:uid="{00000000-0005-0000-0000-0000EC220000}"/>
    <cellStyle name="20% - Accent6 15 6 2" xfId="3761" xr:uid="{00000000-0005-0000-0000-0000ED220000}"/>
    <cellStyle name="20% - Accent6 15 6 2 2" xfId="14964" xr:uid="{00000000-0005-0000-0000-0000EE220000}"/>
    <cellStyle name="20% - Accent6 15 6 2 3" xfId="18915" xr:uid="{00000000-0005-0000-0000-0000EF220000}"/>
    <cellStyle name="20% - Accent6 15 6 3" xfId="3762" xr:uid="{00000000-0005-0000-0000-0000F0220000}"/>
    <cellStyle name="20% - Accent6 15 6 3 2" xfId="14965" xr:uid="{00000000-0005-0000-0000-0000F1220000}"/>
    <cellStyle name="20% - Accent6 15 6 3 3" xfId="18916" xr:uid="{00000000-0005-0000-0000-0000F2220000}"/>
    <cellStyle name="20% - Accent6 15 6 4" xfId="14963" xr:uid="{00000000-0005-0000-0000-0000F3220000}"/>
    <cellStyle name="20% - Accent6 15 6 5" xfId="18914" xr:uid="{00000000-0005-0000-0000-0000F4220000}"/>
    <cellStyle name="20% - Accent6 15 7" xfId="3763" xr:uid="{00000000-0005-0000-0000-0000F5220000}"/>
    <cellStyle name="20% - Accent6 15 7 2" xfId="14966" xr:uid="{00000000-0005-0000-0000-0000F6220000}"/>
    <cellStyle name="20% - Accent6 15 7 3" xfId="18917" xr:uid="{00000000-0005-0000-0000-0000F7220000}"/>
    <cellStyle name="20% - Accent6 15 8" xfId="3764" xr:uid="{00000000-0005-0000-0000-0000F8220000}"/>
    <cellStyle name="20% - Accent6 15 8 2" xfId="14967" xr:uid="{00000000-0005-0000-0000-0000F9220000}"/>
    <cellStyle name="20% - Accent6 15 8 3" xfId="18918" xr:uid="{00000000-0005-0000-0000-0000FA220000}"/>
    <cellStyle name="20% - Accent6 15 9" xfId="14935" xr:uid="{00000000-0005-0000-0000-0000FB220000}"/>
    <cellStyle name="20% - Accent6 15_Volatility" xfId="3765" xr:uid="{00000000-0005-0000-0000-0000FC220000}"/>
    <cellStyle name="20% - Accent6 16" xfId="3766" xr:uid="{00000000-0005-0000-0000-0000FD220000}"/>
    <cellStyle name="20% - Accent6 16 2" xfId="14968" xr:uid="{00000000-0005-0000-0000-0000FE220000}"/>
    <cellStyle name="20% - Accent6 16 3" xfId="18919" xr:uid="{00000000-0005-0000-0000-0000FF220000}"/>
    <cellStyle name="20% - Accent6 17" xfId="3767" xr:uid="{00000000-0005-0000-0000-000000230000}"/>
    <cellStyle name="20% - Accent6 17 2" xfId="14969" xr:uid="{00000000-0005-0000-0000-000001230000}"/>
    <cellStyle name="20% - Accent6 17 3" xfId="18920" xr:uid="{00000000-0005-0000-0000-000002230000}"/>
    <cellStyle name="20% - Accent6 18" xfId="3768" xr:uid="{00000000-0005-0000-0000-000003230000}"/>
    <cellStyle name="20% - Accent6 18 2" xfId="14970" xr:uid="{00000000-0005-0000-0000-000004230000}"/>
    <cellStyle name="20% - Accent6 18 3" xfId="18921" xr:uid="{00000000-0005-0000-0000-000005230000}"/>
    <cellStyle name="20% - Accent6 19" xfId="3769" xr:uid="{00000000-0005-0000-0000-000006230000}"/>
    <cellStyle name="20% - Accent6 19 2" xfId="14971" xr:uid="{00000000-0005-0000-0000-000007230000}"/>
    <cellStyle name="20% - Accent6 19 3" xfId="18922" xr:uid="{00000000-0005-0000-0000-000008230000}"/>
    <cellStyle name="20% - Accent6 2" xfId="3770" xr:uid="{00000000-0005-0000-0000-000009230000}"/>
    <cellStyle name="20% - Accent6 2 10" xfId="18923" xr:uid="{00000000-0005-0000-0000-00000A230000}"/>
    <cellStyle name="20% - Accent6 2 2" xfId="3771" xr:uid="{00000000-0005-0000-0000-00000B230000}"/>
    <cellStyle name="20% - Accent6 2 2 2" xfId="3772" xr:uid="{00000000-0005-0000-0000-00000C230000}"/>
    <cellStyle name="20% - Accent6 2 2 2 2" xfId="3773" xr:uid="{00000000-0005-0000-0000-00000D230000}"/>
    <cellStyle name="20% - Accent6 2 2 2 2 2" xfId="14975" xr:uid="{00000000-0005-0000-0000-00000E230000}"/>
    <cellStyle name="20% - Accent6 2 2 2 2 3" xfId="18926" xr:uid="{00000000-0005-0000-0000-00000F230000}"/>
    <cellStyle name="20% - Accent6 2 2 2 3" xfId="3774" xr:uid="{00000000-0005-0000-0000-000010230000}"/>
    <cellStyle name="20% - Accent6 2 2 2 3 2" xfId="14976" xr:uid="{00000000-0005-0000-0000-000011230000}"/>
    <cellStyle name="20% - Accent6 2 2 2 3 3" xfId="18927" xr:uid="{00000000-0005-0000-0000-000012230000}"/>
    <cellStyle name="20% - Accent6 2 2 2 4" xfId="14974" xr:uid="{00000000-0005-0000-0000-000013230000}"/>
    <cellStyle name="20% - Accent6 2 2 2 5" xfId="18925" xr:uid="{00000000-0005-0000-0000-000014230000}"/>
    <cellStyle name="20% - Accent6 2 2 3" xfId="3775" xr:uid="{00000000-0005-0000-0000-000015230000}"/>
    <cellStyle name="20% - Accent6 2 2 3 2" xfId="3776" xr:uid="{00000000-0005-0000-0000-000016230000}"/>
    <cellStyle name="20% - Accent6 2 2 3 2 2" xfId="14978" xr:uid="{00000000-0005-0000-0000-000017230000}"/>
    <cellStyle name="20% - Accent6 2 2 3 2 3" xfId="18929" xr:uid="{00000000-0005-0000-0000-000018230000}"/>
    <cellStyle name="20% - Accent6 2 2 3 3" xfId="3777" xr:uid="{00000000-0005-0000-0000-000019230000}"/>
    <cellStyle name="20% - Accent6 2 2 3 3 2" xfId="14979" xr:uid="{00000000-0005-0000-0000-00001A230000}"/>
    <cellStyle name="20% - Accent6 2 2 3 3 3" xfId="18930" xr:uid="{00000000-0005-0000-0000-00001B230000}"/>
    <cellStyle name="20% - Accent6 2 2 3 4" xfId="14977" xr:uid="{00000000-0005-0000-0000-00001C230000}"/>
    <cellStyle name="20% - Accent6 2 2 3 5" xfId="18928" xr:uid="{00000000-0005-0000-0000-00001D230000}"/>
    <cellStyle name="20% - Accent6 2 2 4" xfId="3778" xr:uid="{00000000-0005-0000-0000-00001E230000}"/>
    <cellStyle name="20% - Accent6 2 2 4 2" xfId="3779" xr:uid="{00000000-0005-0000-0000-00001F230000}"/>
    <cellStyle name="20% - Accent6 2 2 4 2 2" xfId="14981" xr:uid="{00000000-0005-0000-0000-000020230000}"/>
    <cellStyle name="20% - Accent6 2 2 4 2 3" xfId="18932" xr:uid="{00000000-0005-0000-0000-000021230000}"/>
    <cellStyle name="20% - Accent6 2 2 4 3" xfId="3780" xr:uid="{00000000-0005-0000-0000-000022230000}"/>
    <cellStyle name="20% - Accent6 2 2 4 3 2" xfId="14982" xr:uid="{00000000-0005-0000-0000-000023230000}"/>
    <cellStyle name="20% - Accent6 2 2 4 3 3" xfId="18933" xr:uid="{00000000-0005-0000-0000-000024230000}"/>
    <cellStyle name="20% - Accent6 2 2 4 4" xfId="14980" xr:uid="{00000000-0005-0000-0000-000025230000}"/>
    <cellStyle name="20% - Accent6 2 2 4 5" xfId="18931" xr:uid="{00000000-0005-0000-0000-000026230000}"/>
    <cellStyle name="20% - Accent6 2 2 5" xfId="3781" xr:uid="{00000000-0005-0000-0000-000027230000}"/>
    <cellStyle name="20% - Accent6 2 2 5 2" xfId="14983" xr:uid="{00000000-0005-0000-0000-000028230000}"/>
    <cellStyle name="20% - Accent6 2 2 5 3" xfId="18934" xr:uid="{00000000-0005-0000-0000-000029230000}"/>
    <cellStyle name="20% - Accent6 2 2 6" xfId="3782" xr:uid="{00000000-0005-0000-0000-00002A230000}"/>
    <cellStyle name="20% - Accent6 2 2 6 2" xfId="14984" xr:uid="{00000000-0005-0000-0000-00002B230000}"/>
    <cellStyle name="20% - Accent6 2 2 6 3" xfId="18935" xr:uid="{00000000-0005-0000-0000-00002C230000}"/>
    <cellStyle name="20% - Accent6 2 2 7" xfId="14973" xr:uid="{00000000-0005-0000-0000-00002D230000}"/>
    <cellStyle name="20% - Accent6 2 2 8" xfId="18924" xr:uid="{00000000-0005-0000-0000-00002E230000}"/>
    <cellStyle name="20% - Accent6 2 2_Volatility" xfId="3783" xr:uid="{00000000-0005-0000-0000-00002F230000}"/>
    <cellStyle name="20% - Accent6 2 3" xfId="3784" xr:uid="{00000000-0005-0000-0000-000030230000}"/>
    <cellStyle name="20% - Accent6 2 3 2" xfId="3785" xr:uid="{00000000-0005-0000-0000-000031230000}"/>
    <cellStyle name="20% - Accent6 2 3 2 2" xfId="3786" xr:uid="{00000000-0005-0000-0000-000032230000}"/>
    <cellStyle name="20% - Accent6 2 3 2 2 2" xfId="14987" xr:uid="{00000000-0005-0000-0000-000033230000}"/>
    <cellStyle name="20% - Accent6 2 3 2 2 3" xfId="18938" xr:uid="{00000000-0005-0000-0000-000034230000}"/>
    <cellStyle name="20% - Accent6 2 3 2 3" xfId="3787" xr:uid="{00000000-0005-0000-0000-000035230000}"/>
    <cellStyle name="20% - Accent6 2 3 2 3 2" xfId="14988" xr:uid="{00000000-0005-0000-0000-000036230000}"/>
    <cellStyle name="20% - Accent6 2 3 2 3 3" xfId="18939" xr:uid="{00000000-0005-0000-0000-000037230000}"/>
    <cellStyle name="20% - Accent6 2 3 2 4" xfId="14986" xr:uid="{00000000-0005-0000-0000-000038230000}"/>
    <cellStyle name="20% - Accent6 2 3 2 5" xfId="18937" xr:uid="{00000000-0005-0000-0000-000039230000}"/>
    <cellStyle name="20% - Accent6 2 3 3" xfId="3788" xr:uid="{00000000-0005-0000-0000-00003A230000}"/>
    <cellStyle name="20% - Accent6 2 3 3 2" xfId="3789" xr:uid="{00000000-0005-0000-0000-00003B230000}"/>
    <cellStyle name="20% - Accent6 2 3 3 2 2" xfId="14990" xr:uid="{00000000-0005-0000-0000-00003C230000}"/>
    <cellStyle name="20% - Accent6 2 3 3 2 3" xfId="18941" xr:uid="{00000000-0005-0000-0000-00003D230000}"/>
    <cellStyle name="20% - Accent6 2 3 3 3" xfId="3790" xr:uid="{00000000-0005-0000-0000-00003E230000}"/>
    <cellStyle name="20% - Accent6 2 3 3 3 2" xfId="14991" xr:uid="{00000000-0005-0000-0000-00003F230000}"/>
    <cellStyle name="20% - Accent6 2 3 3 3 3" xfId="18942" xr:uid="{00000000-0005-0000-0000-000040230000}"/>
    <cellStyle name="20% - Accent6 2 3 3 4" xfId="14989" xr:uid="{00000000-0005-0000-0000-000041230000}"/>
    <cellStyle name="20% - Accent6 2 3 3 5" xfId="18940" xr:uid="{00000000-0005-0000-0000-000042230000}"/>
    <cellStyle name="20% - Accent6 2 3 4" xfId="3791" xr:uid="{00000000-0005-0000-0000-000043230000}"/>
    <cellStyle name="20% - Accent6 2 3 4 2" xfId="14992" xr:uid="{00000000-0005-0000-0000-000044230000}"/>
    <cellStyle name="20% - Accent6 2 3 4 3" xfId="18943" xr:uid="{00000000-0005-0000-0000-000045230000}"/>
    <cellStyle name="20% - Accent6 2 3 5" xfId="3792" xr:uid="{00000000-0005-0000-0000-000046230000}"/>
    <cellStyle name="20% - Accent6 2 3 5 2" xfId="14993" xr:uid="{00000000-0005-0000-0000-000047230000}"/>
    <cellStyle name="20% - Accent6 2 3 5 3" xfId="18944" xr:uid="{00000000-0005-0000-0000-000048230000}"/>
    <cellStyle name="20% - Accent6 2 3 6" xfId="14985" xr:uid="{00000000-0005-0000-0000-000049230000}"/>
    <cellStyle name="20% - Accent6 2 3 7" xfId="18936" xr:uid="{00000000-0005-0000-0000-00004A230000}"/>
    <cellStyle name="20% - Accent6 2 3_Volatility" xfId="3793" xr:uid="{00000000-0005-0000-0000-00004B230000}"/>
    <cellStyle name="20% - Accent6 2 4" xfId="3794" xr:uid="{00000000-0005-0000-0000-00004C230000}"/>
    <cellStyle name="20% - Accent6 2 4 2" xfId="3795" xr:uid="{00000000-0005-0000-0000-00004D230000}"/>
    <cellStyle name="20% - Accent6 2 4 2 2" xfId="14995" xr:uid="{00000000-0005-0000-0000-00004E230000}"/>
    <cellStyle name="20% - Accent6 2 4 2 3" xfId="18946" xr:uid="{00000000-0005-0000-0000-00004F230000}"/>
    <cellStyle name="20% - Accent6 2 4 3" xfId="3796" xr:uid="{00000000-0005-0000-0000-000050230000}"/>
    <cellStyle name="20% - Accent6 2 4 3 2" xfId="14996" xr:uid="{00000000-0005-0000-0000-000051230000}"/>
    <cellStyle name="20% - Accent6 2 4 3 3" xfId="18947" xr:uid="{00000000-0005-0000-0000-000052230000}"/>
    <cellStyle name="20% - Accent6 2 4 4" xfId="14994" xr:uid="{00000000-0005-0000-0000-000053230000}"/>
    <cellStyle name="20% - Accent6 2 4 5" xfId="18945" xr:uid="{00000000-0005-0000-0000-000054230000}"/>
    <cellStyle name="20% - Accent6 2 5" xfId="3797" xr:uid="{00000000-0005-0000-0000-000055230000}"/>
    <cellStyle name="20% - Accent6 2 5 2" xfId="3798" xr:uid="{00000000-0005-0000-0000-000056230000}"/>
    <cellStyle name="20% - Accent6 2 5 2 2" xfId="14998" xr:uid="{00000000-0005-0000-0000-000057230000}"/>
    <cellStyle name="20% - Accent6 2 5 2 3" xfId="18949" xr:uid="{00000000-0005-0000-0000-000058230000}"/>
    <cellStyle name="20% - Accent6 2 5 3" xfId="3799" xr:uid="{00000000-0005-0000-0000-000059230000}"/>
    <cellStyle name="20% - Accent6 2 5 3 2" xfId="14999" xr:uid="{00000000-0005-0000-0000-00005A230000}"/>
    <cellStyle name="20% - Accent6 2 5 3 3" xfId="18950" xr:uid="{00000000-0005-0000-0000-00005B230000}"/>
    <cellStyle name="20% - Accent6 2 5 4" xfId="14997" xr:uid="{00000000-0005-0000-0000-00005C230000}"/>
    <cellStyle name="20% - Accent6 2 5 5" xfId="18948" xr:uid="{00000000-0005-0000-0000-00005D230000}"/>
    <cellStyle name="20% - Accent6 2 6" xfId="3800" xr:uid="{00000000-0005-0000-0000-00005E230000}"/>
    <cellStyle name="20% - Accent6 2 6 2" xfId="3801" xr:uid="{00000000-0005-0000-0000-00005F230000}"/>
    <cellStyle name="20% - Accent6 2 6 2 2" xfId="15001" xr:uid="{00000000-0005-0000-0000-000060230000}"/>
    <cellStyle name="20% - Accent6 2 6 2 3" xfId="18952" xr:uid="{00000000-0005-0000-0000-000061230000}"/>
    <cellStyle name="20% - Accent6 2 6 3" xfId="3802" xr:uid="{00000000-0005-0000-0000-000062230000}"/>
    <cellStyle name="20% - Accent6 2 6 3 2" xfId="15002" xr:uid="{00000000-0005-0000-0000-000063230000}"/>
    <cellStyle name="20% - Accent6 2 6 3 3" xfId="18953" xr:uid="{00000000-0005-0000-0000-000064230000}"/>
    <cellStyle name="20% - Accent6 2 6 4" xfId="15000" xr:uid="{00000000-0005-0000-0000-000065230000}"/>
    <cellStyle name="20% - Accent6 2 6 5" xfId="18951" xr:uid="{00000000-0005-0000-0000-000066230000}"/>
    <cellStyle name="20% - Accent6 2 7" xfId="3803" xr:uid="{00000000-0005-0000-0000-000067230000}"/>
    <cellStyle name="20% - Accent6 2 7 2" xfId="15003" xr:uid="{00000000-0005-0000-0000-000068230000}"/>
    <cellStyle name="20% - Accent6 2 7 3" xfId="18954" xr:uid="{00000000-0005-0000-0000-000069230000}"/>
    <cellStyle name="20% - Accent6 2 8" xfId="3804" xr:uid="{00000000-0005-0000-0000-00006A230000}"/>
    <cellStyle name="20% - Accent6 2 8 2" xfId="15004" xr:uid="{00000000-0005-0000-0000-00006B230000}"/>
    <cellStyle name="20% - Accent6 2 8 3" xfId="18955" xr:uid="{00000000-0005-0000-0000-00006C230000}"/>
    <cellStyle name="20% - Accent6 2 9" xfId="14972" xr:uid="{00000000-0005-0000-0000-00006D230000}"/>
    <cellStyle name="20% - Accent6 2_Volatility" xfId="3805" xr:uid="{00000000-0005-0000-0000-00006E230000}"/>
    <cellStyle name="20% - Accent6 3" xfId="3806" xr:uid="{00000000-0005-0000-0000-00006F230000}"/>
    <cellStyle name="20% - Accent6 3 10" xfId="18956" xr:uid="{00000000-0005-0000-0000-000070230000}"/>
    <cellStyle name="20% - Accent6 3 2" xfId="3807" xr:uid="{00000000-0005-0000-0000-000071230000}"/>
    <cellStyle name="20% - Accent6 3 2 2" xfId="3808" xr:uid="{00000000-0005-0000-0000-000072230000}"/>
    <cellStyle name="20% - Accent6 3 2 2 2" xfId="3809" xr:uid="{00000000-0005-0000-0000-000073230000}"/>
    <cellStyle name="20% - Accent6 3 2 2 2 2" xfId="15008" xr:uid="{00000000-0005-0000-0000-000074230000}"/>
    <cellStyle name="20% - Accent6 3 2 2 2 3" xfId="18959" xr:uid="{00000000-0005-0000-0000-000075230000}"/>
    <cellStyle name="20% - Accent6 3 2 2 3" xfId="3810" xr:uid="{00000000-0005-0000-0000-000076230000}"/>
    <cellStyle name="20% - Accent6 3 2 2 3 2" xfId="15009" xr:uid="{00000000-0005-0000-0000-000077230000}"/>
    <cellStyle name="20% - Accent6 3 2 2 3 3" xfId="18960" xr:uid="{00000000-0005-0000-0000-000078230000}"/>
    <cellStyle name="20% - Accent6 3 2 2 4" xfId="15007" xr:uid="{00000000-0005-0000-0000-000079230000}"/>
    <cellStyle name="20% - Accent6 3 2 2 5" xfId="18958" xr:uid="{00000000-0005-0000-0000-00007A230000}"/>
    <cellStyle name="20% - Accent6 3 2 3" xfId="3811" xr:uid="{00000000-0005-0000-0000-00007B230000}"/>
    <cellStyle name="20% - Accent6 3 2 3 2" xfId="3812" xr:uid="{00000000-0005-0000-0000-00007C230000}"/>
    <cellStyle name="20% - Accent6 3 2 3 2 2" xfId="15011" xr:uid="{00000000-0005-0000-0000-00007D230000}"/>
    <cellStyle name="20% - Accent6 3 2 3 2 3" xfId="18962" xr:uid="{00000000-0005-0000-0000-00007E230000}"/>
    <cellStyle name="20% - Accent6 3 2 3 3" xfId="3813" xr:uid="{00000000-0005-0000-0000-00007F230000}"/>
    <cellStyle name="20% - Accent6 3 2 3 3 2" xfId="15012" xr:uid="{00000000-0005-0000-0000-000080230000}"/>
    <cellStyle name="20% - Accent6 3 2 3 3 3" xfId="18963" xr:uid="{00000000-0005-0000-0000-000081230000}"/>
    <cellStyle name="20% - Accent6 3 2 3 4" xfId="15010" xr:uid="{00000000-0005-0000-0000-000082230000}"/>
    <cellStyle name="20% - Accent6 3 2 3 5" xfId="18961" xr:uid="{00000000-0005-0000-0000-000083230000}"/>
    <cellStyle name="20% - Accent6 3 2 4" xfId="3814" xr:uid="{00000000-0005-0000-0000-000084230000}"/>
    <cellStyle name="20% - Accent6 3 2 4 2" xfId="3815" xr:uid="{00000000-0005-0000-0000-000085230000}"/>
    <cellStyle name="20% - Accent6 3 2 4 2 2" xfId="15014" xr:uid="{00000000-0005-0000-0000-000086230000}"/>
    <cellStyle name="20% - Accent6 3 2 4 2 3" xfId="18965" xr:uid="{00000000-0005-0000-0000-000087230000}"/>
    <cellStyle name="20% - Accent6 3 2 4 3" xfId="3816" xr:uid="{00000000-0005-0000-0000-000088230000}"/>
    <cellStyle name="20% - Accent6 3 2 4 3 2" xfId="15015" xr:uid="{00000000-0005-0000-0000-000089230000}"/>
    <cellStyle name="20% - Accent6 3 2 4 3 3" xfId="18966" xr:uid="{00000000-0005-0000-0000-00008A230000}"/>
    <cellStyle name="20% - Accent6 3 2 4 4" xfId="15013" xr:uid="{00000000-0005-0000-0000-00008B230000}"/>
    <cellStyle name="20% - Accent6 3 2 4 5" xfId="18964" xr:uid="{00000000-0005-0000-0000-00008C230000}"/>
    <cellStyle name="20% - Accent6 3 2 5" xfId="3817" xr:uid="{00000000-0005-0000-0000-00008D230000}"/>
    <cellStyle name="20% - Accent6 3 2 5 2" xfId="15016" xr:uid="{00000000-0005-0000-0000-00008E230000}"/>
    <cellStyle name="20% - Accent6 3 2 5 3" xfId="18967" xr:uid="{00000000-0005-0000-0000-00008F230000}"/>
    <cellStyle name="20% - Accent6 3 2 6" xfId="3818" xr:uid="{00000000-0005-0000-0000-000090230000}"/>
    <cellStyle name="20% - Accent6 3 2 6 2" xfId="15017" xr:uid="{00000000-0005-0000-0000-000091230000}"/>
    <cellStyle name="20% - Accent6 3 2 6 3" xfId="18968" xr:uid="{00000000-0005-0000-0000-000092230000}"/>
    <cellStyle name="20% - Accent6 3 2 7" xfId="15006" xr:uid="{00000000-0005-0000-0000-000093230000}"/>
    <cellStyle name="20% - Accent6 3 2 8" xfId="18957" xr:uid="{00000000-0005-0000-0000-000094230000}"/>
    <cellStyle name="20% - Accent6 3 2_Volatility" xfId="3819" xr:uid="{00000000-0005-0000-0000-000095230000}"/>
    <cellStyle name="20% - Accent6 3 3" xfId="3820" xr:uid="{00000000-0005-0000-0000-000096230000}"/>
    <cellStyle name="20% - Accent6 3 3 2" xfId="3821" xr:uid="{00000000-0005-0000-0000-000097230000}"/>
    <cellStyle name="20% - Accent6 3 3 2 2" xfId="3822" xr:uid="{00000000-0005-0000-0000-000098230000}"/>
    <cellStyle name="20% - Accent6 3 3 2 2 2" xfId="15020" xr:uid="{00000000-0005-0000-0000-000099230000}"/>
    <cellStyle name="20% - Accent6 3 3 2 2 3" xfId="18971" xr:uid="{00000000-0005-0000-0000-00009A230000}"/>
    <cellStyle name="20% - Accent6 3 3 2 3" xfId="3823" xr:uid="{00000000-0005-0000-0000-00009B230000}"/>
    <cellStyle name="20% - Accent6 3 3 2 3 2" xfId="15021" xr:uid="{00000000-0005-0000-0000-00009C230000}"/>
    <cellStyle name="20% - Accent6 3 3 2 3 3" xfId="18972" xr:uid="{00000000-0005-0000-0000-00009D230000}"/>
    <cellStyle name="20% - Accent6 3 3 2 4" xfId="15019" xr:uid="{00000000-0005-0000-0000-00009E230000}"/>
    <cellStyle name="20% - Accent6 3 3 2 5" xfId="18970" xr:uid="{00000000-0005-0000-0000-00009F230000}"/>
    <cellStyle name="20% - Accent6 3 3 3" xfId="3824" xr:uid="{00000000-0005-0000-0000-0000A0230000}"/>
    <cellStyle name="20% - Accent6 3 3 3 2" xfId="3825" xr:uid="{00000000-0005-0000-0000-0000A1230000}"/>
    <cellStyle name="20% - Accent6 3 3 3 2 2" xfId="15023" xr:uid="{00000000-0005-0000-0000-0000A2230000}"/>
    <cellStyle name="20% - Accent6 3 3 3 2 3" xfId="18974" xr:uid="{00000000-0005-0000-0000-0000A3230000}"/>
    <cellStyle name="20% - Accent6 3 3 3 3" xfId="3826" xr:uid="{00000000-0005-0000-0000-0000A4230000}"/>
    <cellStyle name="20% - Accent6 3 3 3 3 2" xfId="15024" xr:uid="{00000000-0005-0000-0000-0000A5230000}"/>
    <cellStyle name="20% - Accent6 3 3 3 3 3" xfId="18975" xr:uid="{00000000-0005-0000-0000-0000A6230000}"/>
    <cellStyle name="20% - Accent6 3 3 3 4" xfId="15022" xr:uid="{00000000-0005-0000-0000-0000A7230000}"/>
    <cellStyle name="20% - Accent6 3 3 3 5" xfId="18973" xr:uid="{00000000-0005-0000-0000-0000A8230000}"/>
    <cellStyle name="20% - Accent6 3 3 4" xfId="3827" xr:uid="{00000000-0005-0000-0000-0000A9230000}"/>
    <cellStyle name="20% - Accent6 3 3 4 2" xfId="15025" xr:uid="{00000000-0005-0000-0000-0000AA230000}"/>
    <cellStyle name="20% - Accent6 3 3 4 3" xfId="18976" xr:uid="{00000000-0005-0000-0000-0000AB230000}"/>
    <cellStyle name="20% - Accent6 3 3 5" xfId="3828" xr:uid="{00000000-0005-0000-0000-0000AC230000}"/>
    <cellStyle name="20% - Accent6 3 3 5 2" xfId="15026" xr:uid="{00000000-0005-0000-0000-0000AD230000}"/>
    <cellStyle name="20% - Accent6 3 3 5 3" xfId="18977" xr:uid="{00000000-0005-0000-0000-0000AE230000}"/>
    <cellStyle name="20% - Accent6 3 3 6" xfId="15018" xr:uid="{00000000-0005-0000-0000-0000AF230000}"/>
    <cellStyle name="20% - Accent6 3 3 7" xfId="18969" xr:uid="{00000000-0005-0000-0000-0000B0230000}"/>
    <cellStyle name="20% - Accent6 3 3_Volatility" xfId="3829" xr:uid="{00000000-0005-0000-0000-0000B1230000}"/>
    <cellStyle name="20% - Accent6 3 4" xfId="3830" xr:uid="{00000000-0005-0000-0000-0000B2230000}"/>
    <cellStyle name="20% - Accent6 3 4 2" xfId="3831" xr:uid="{00000000-0005-0000-0000-0000B3230000}"/>
    <cellStyle name="20% - Accent6 3 4 2 2" xfId="15028" xr:uid="{00000000-0005-0000-0000-0000B4230000}"/>
    <cellStyle name="20% - Accent6 3 4 2 3" xfId="18979" xr:uid="{00000000-0005-0000-0000-0000B5230000}"/>
    <cellStyle name="20% - Accent6 3 4 3" xfId="3832" xr:uid="{00000000-0005-0000-0000-0000B6230000}"/>
    <cellStyle name="20% - Accent6 3 4 3 2" xfId="15029" xr:uid="{00000000-0005-0000-0000-0000B7230000}"/>
    <cellStyle name="20% - Accent6 3 4 3 3" xfId="18980" xr:uid="{00000000-0005-0000-0000-0000B8230000}"/>
    <cellStyle name="20% - Accent6 3 4 4" xfId="15027" xr:uid="{00000000-0005-0000-0000-0000B9230000}"/>
    <cellStyle name="20% - Accent6 3 4 5" xfId="18978" xr:uid="{00000000-0005-0000-0000-0000BA230000}"/>
    <cellStyle name="20% - Accent6 3 5" xfId="3833" xr:uid="{00000000-0005-0000-0000-0000BB230000}"/>
    <cellStyle name="20% - Accent6 3 5 2" xfId="3834" xr:uid="{00000000-0005-0000-0000-0000BC230000}"/>
    <cellStyle name="20% - Accent6 3 5 2 2" xfId="15031" xr:uid="{00000000-0005-0000-0000-0000BD230000}"/>
    <cellStyle name="20% - Accent6 3 5 2 3" xfId="18982" xr:uid="{00000000-0005-0000-0000-0000BE230000}"/>
    <cellStyle name="20% - Accent6 3 5 3" xfId="3835" xr:uid="{00000000-0005-0000-0000-0000BF230000}"/>
    <cellStyle name="20% - Accent6 3 5 3 2" xfId="15032" xr:uid="{00000000-0005-0000-0000-0000C0230000}"/>
    <cellStyle name="20% - Accent6 3 5 3 3" xfId="18983" xr:uid="{00000000-0005-0000-0000-0000C1230000}"/>
    <cellStyle name="20% - Accent6 3 5 4" xfId="15030" xr:uid="{00000000-0005-0000-0000-0000C2230000}"/>
    <cellStyle name="20% - Accent6 3 5 5" xfId="18981" xr:uid="{00000000-0005-0000-0000-0000C3230000}"/>
    <cellStyle name="20% - Accent6 3 6" xfId="3836" xr:uid="{00000000-0005-0000-0000-0000C4230000}"/>
    <cellStyle name="20% - Accent6 3 6 2" xfId="3837" xr:uid="{00000000-0005-0000-0000-0000C5230000}"/>
    <cellStyle name="20% - Accent6 3 6 2 2" xfId="15034" xr:uid="{00000000-0005-0000-0000-0000C6230000}"/>
    <cellStyle name="20% - Accent6 3 6 2 3" xfId="18985" xr:uid="{00000000-0005-0000-0000-0000C7230000}"/>
    <cellStyle name="20% - Accent6 3 6 3" xfId="3838" xr:uid="{00000000-0005-0000-0000-0000C8230000}"/>
    <cellStyle name="20% - Accent6 3 6 3 2" xfId="15035" xr:uid="{00000000-0005-0000-0000-0000C9230000}"/>
    <cellStyle name="20% - Accent6 3 6 3 3" xfId="18986" xr:uid="{00000000-0005-0000-0000-0000CA230000}"/>
    <cellStyle name="20% - Accent6 3 6 4" xfId="15033" xr:uid="{00000000-0005-0000-0000-0000CB230000}"/>
    <cellStyle name="20% - Accent6 3 6 5" xfId="18984" xr:uid="{00000000-0005-0000-0000-0000CC230000}"/>
    <cellStyle name="20% - Accent6 3 7" xfId="3839" xr:uid="{00000000-0005-0000-0000-0000CD230000}"/>
    <cellStyle name="20% - Accent6 3 7 2" xfId="15036" xr:uid="{00000000-0005-0000-0000-0000CE230000}"/>
    <cellStyle name="20% - Accent6 3 7 3" xfId="18987" xr:uid="{00000000-0005-0000-0000-0000CF230000}"/>
    <cellStyle name="20% - Accent6 3 8" xfId="3840" xr:uid="{00000000-0005-0000-0000-0000D0230000}"/>
    <cellStyle name="20% - Accent6 3 8 2" xfId="15037" xr:uid="{00000000-0005-0000-0000-0000D1230000}"/>
    <cellStyle name="20% - Accent6 3 8 3" xfId="18988" xr:uid="{00000000-0005-0000-0000-0000D2230000}"/>
    <cellStyle name="20% - Accent6 3 9" xfId="15005" xr:uid="{00000000-0005-0000-0000-0000D3230000}"/>
    <cellStyle name="20% - Accent6 3_Volatility" xfId="3841" xr:uid="{00000000-0005-0000-0000-0000D4230000}"/>
    <cellStyle name="20% - Accent6 4" xfId="3842" xr:uid="{00000000-0005-0000-0000-0000D5230000}"/>
    <cellStyle name="20% - Accent6 4 10" xfId="18989" xr:uid="{00000000-0005-0000-0000-0000D6230000}"/>
    <cellStyle name="20% - Accent6 4 2" xfId="3843" xr:uid="{00000000-0005-0000-0000-0000D7230000}"/>
    <cellStyle name="20% - Accent6 4 2 2" xfId="3844" xr:uid="{00000000-0005-0000-0000-0000D8230000}"/>
    <cellStyle name="20% - Accent6 4 2 2 2" xfId="3845" xr:uid="{00000000-0005-0000-0000-0000D9230000}"/>
    <cellStyle name="20% - Accent6 4 2 2 2 2" xfId="15041" xr:uid="{00000000-0005-0000-0000-0000DA230000}"/>
    <cellStyle name="20% - Accent6 4 2 2 2 3" xfId="18992" xr:uid="{00000000-0005-0000-0000-0000DB230000}"/>
    <cellStyle name="20% - Accent6 4 2 2 3" xfId="3846" xr:uid="{00000000-0005-0000-0000-0000DC230000}"/>
    <cellStyle name="20% - Accent6 4 2 2 3 2" xfId="15042" xr:uid="{00000000-0005-0000-0000-0000DD230000}"/>
    <cellStyle name="20% - Accent6 4 2 2 3 3" xfId="18993" xr:uid="{00000000-0005-0000-0000-0000DE230000}"/>
    <cellStyle name="20% - Accent6 4 2 2 4" xfId="15040" xr:uid="{00000000-0005-0000-0000-0000DF230000}"/>
    <cellStyle name="20% - Accent6 4 2 2 5" xfId="18991" xr:uid="{00000000-0005-0000-0000-0000E0230000}"/>
    <cellStyle name="20% - Accent6 4 2 3" xfId="3847" xr:uid="{00000000-0005-0000-0000-0000E1230000}"/>
    <cellStyle name="20% - Accent6 4 2 3 2" xfId="3848" xr:uid="{00000000-0005-0000-0000-0000E2230000}"/>
    <cellStyle name="20% - Accent6 4 2 3 2 2" xfId="15044" xr:uid="{00000000-0005-0000-0000-0000E3230000}"/>
    <cellStyle name="20% - Accent6 4 2 3 2 3" xfId="18995" xr:uid="{00000000-0005-0000-0000-0000E4230000}"/>
    <cellStyle name="20% - Accent6 4 2 3 3" xfId="3849" xr:uid="{00000000-0005-0000-0000-0000E5230000}"/>
    <cellStyle name="20% - Accent6 4 2 3 3 2" xfId="15045" xr:uid="{00000000-0005-0000-0000-0000E6230000}"/>
    <cellStyle name="20% - Accent6 4 2 3 3 3" xfId="18996" xr:uid="{00000000-0005-0000-0000-0000E7230000}"/>
    <cellStyle name="20% - Accent6 4 2 3 4" xfId="15043" xr:uid="{00000000-0005-0000-0000-0000E8230000}"/>
    <cellStyle name="20% - Accent6 4 2 3 5" xfId="18994" xr:uid="{00000000-0005-0000-0000-0000E9230000}"/>
    <cellStyle name="20% - Accent6 4 2 4" xfId="3850" xr:uid="{00000000-0005-0000-0000-0000EA230000}"/>
    <cellStyle name="20% - Accent6 4 2 4 2" xfId="3851" xr:uid="{00000000-0005-0000-0000-0000EB230000}"/>
    <cellStyle name="20% - Accent6 4 2 4 2 2" xfId="15047" xr:uid="{00000000-0005-0000-0000-0000EC230000}"/>
    <cellStyle name="20% - Accent6 4 2 4 2 3" xfId="18998" xr:uid="{00000000-0005-0000-0000-0000ED230000}"/>
    <cellStyle name="20% - Accent6 4 2 4 3" xfId="3852" xr:uid="{00000000-0005-0000-0000-0000EE230000}"/>
    <cellStyle name="20% - Accent6 4 2 4 3 2" xfId="15048" xr:uid="{00000000-0005-0000-0000-0000EF230000}"/>
    <cellStyle name="20% - Accent6 4 2 4 3 3" xfId="18999" xr:uid="{00000000-0005-0000-0000-0000F0230000}"/>
    <cellStyle name="20% - Accent6 4 2 4 4" xfId="15046" xr:uid="{00000000-0005-0000-0000-0000F1230000}"/>
    <cellStyle name="20% - Accent6 4 2 4 5" xfId="18997" xr:uid="{00000000-0005-0000-0000-0000F2230000}"/>
    <cellStyle name="20% - Accent6 4 2 5" xfId="3853" xr:uid="{00000000-0005-0000-0000-0000F3230000}"/>
    <cellStyle name="20% - Accent6 4 2 5 2" xfId="15049" xr:uid="{00000000-0005-0000-0000-0000F4230000}"/>
    <cellStyle name="20% - Accent6 4 2 5 3" xfId="19000" xr:uid="{00000000-0005-0000-0000-0000F5230000}"/>
    <cellStyle name="20% - Accent6 4 2 6" xfId="3854" xr:uid="{00000000-0005-0000-0000-0000F6230000}"/>
    <cellStyle name="20% - Accent6 4 2 6 2" xfId="15050" xr:uid="{00000000-0005-0000-0000-0000F7230000}"/>
    <cellStyle name="20% - Accent6 4 2 6 3" xfId="19001" xr:uid="{00000000-0005-0000-0000-0000F8230000}"/>
    <cellStyle name="20% - Accent6 4 2 7" xfId="15039" xr:uid="{00000000-0005-0000-0000-0000F9230000}"/>
    <cellStyle name="20% - Accent6 4 2 8" xfId="18990" xr:uid="{00000000-0005-0000-0000-0000FA230000}"/>
    <cellStyle name="20% - Accent6 4 2_Volatility" xfId="3855" xr:uid="{00000000-0005-0000-0000-0000FB230000}"/>
    <cellStyle name="20% - Accent6 4 3" xfId="3856" xr:uid="{00000000-0005-0000-0000-0000FC230000}"/>
    <cellStyle name="20% - Accent6 4 3 2" xfId="3857" xr:uid="{00000000-0005-0000-0000-0000FD230000}"/>
    <cellStyle name="20% - Accent6 4 3 2 2" xfId="3858" xr:uid="{00000000-0005-0000-0000-0000FE230000}"/>
    <cellStyle name="20% - Accent6 4 3 2 2 2" xfId="15053" xr:uid="{00000000-0005-0000-0000-0000FF230000}"/>
    <cellStyle name="20% - Accent6 4 3 2 2 3" xfId="19004" xr:uid="{00000000-0005-0000-0000-000000240000}"/>
    <cellStyle name="20% - Accent6 4 3 2 3" xfId="3859" xr:uid="{00000000-0005-0000-0000-000001240000}"/>
    <cellStyle name="20% - Accent6 4 3 2 3 2" xfId="15054" xr:uid="{00000000-0005-0000-0000-000002240000}"/>
    <cellStyle name="20% - Accent6 4 3 2 3 3" xfId="19005" xr:uid="{00000000-0005-0000-0000-000003240000}"/>
    <cellStyle name="20% - Accent6 4 3 2 4" xfId="15052" xr:uid="{00000000-0005-0000-0000-000004240000}"/>
    <cellStyle name="20% - Accent6 4 3 2 5" xfId="19003" xr:uid="{00000000-0005-0000-0000-000005240000}"/>
    <cellStyle name="20% - Accent6 4 3 3" xfId="3860" xr:uid="{00000000-0005-0000-0000-000006240000}"/>
    <cellStyle name="20% - Accent6 4 3 3 2" xfId="3861" xr:uid="{00000000-0005-0000-0000-000007240000}"/>
    <cellStyle name="20% - Accent6 4 3 3 2 2" xfId="15056" xr:uid="{00000000-0005-0000-0000-000008240000}"/>
    <cellStyle name="20% - Accent6 4 3 3 2 3" xfId="19007" xr:uid="{00000000-0005-0000-0000-000009240000}"/>
    <cellStyle name="20% - Accent6 4 3 3 3" xfId="3862" xr:uid="{00000000-0005-0000-0000-00000A240000}"/>
    <cellStyle name="20% - Accent6 4 3 3 3 2" xfId="15057" xr:uid="{00000000-0005-0000-0000-00000B240000}"/>
    <cellStyle name="20% - Accent6 4 3 3 3 3" xfId="19008" xr:uid="{00000000-0005-0000-0000-00000C240000}"/>
    <cellStyle name="20% - Accent6 4 3 3 4" xfId="15055" xr:uid="{00000000-0005-0000-0000-00000D240000}"/>
    <cellStyle name="20% - Accent6 4 3 3 5" xfId="19006" xr:uid="{00000000-0005-0000-0000-00000E240000}"/>
    <cellStyle name="20% - Accent6 4 3 4" xfId="3863" xr:uid="{00000000-0005-0000-0000-00000F240000}"/>
    <cellStyle name="20% - Accent6 4 3 4 2" xfId="15058" xr:uid="{00000000-0005-0000-0000-000010240000}"/>
    <cellStyle name="20% - Accent6 4 3 4 3" xfId="19009" xr:uid="{00000000-0005-0000-0000-000011240000}"/>
    <cellStyle name="20% - Accent6 4 3 5" xfId="3864" xr:uid="{00000000-0005-0000-0000-000012240000}"/>
    <cellStyle name="20% - Accent6 4 3 5 2" xfId="15059" xr:uid="{00000000-0005-0000-0000-000013240000}"/>
    <cellStyle name="20% - Accent6 4 3 5 3" xfId="19010" xr:uid="{00000000-0005-0000-0000-000014240000}"/>
    <cellStyle name="20% - Accent6 4 3 6" xfId="15051" xr:uid="{00000000-0005-0000-0000-000015240000}"/>
    <cellStyle name="20% - Accent6 4 3 7" xfId="19002" xr:uid="{00000000-0005-0000-0000-000016240000}"/>
    <cellStyle name="20% - Accent6 4 3_Volatility" xfId="3865" xr:uid="{00000000-0005-0000-0000-000017240000}"/>
    <cellStyle name="20% - Accent6 4 4" xfId="3866" xr:uid="{00000000-0005-0000-0000-000018240000}"/>
    <cellStyle name="20% - Accent6 4 4 2" xfId="3867" xr:uid="{00000000-0005-0000-0000-000019240000}"/>
    <cellStyle name="20% - Accent6 4 4 2 2" xfId="15061" xr:uid="{00000000-0005-0000-0000-00001A240000}"/>
    <cellStyle name="20% - Accent6 4 4 2 3" xfId="19012" xr:uid="{00000000-0005-0000-0000-00001B240000}"/>
    <cellStyle name="20% - Accent6 4 4 3" xfId="3868" xr:uid="{00000000-0005-0000-0000-00001C240000}"/>
    <cellStyle name="20% - Accent6 4 4 3 2" xfId="15062" xr:uid="{00000000-0005-0000-0000-00001D240000}"/>
    <cellStyle name="20% - Accent6 4 4 3 3" xfId="19013" xr:uid="{00000000-0005-0000-0000-00001E240000}"/>
    <cellStyle name="20% - Accent6 4 4 4" xfId="15060" xr:uid="{00000000-0005-0000-0000-00001F240000}"/>
    <cellStyle name="20% - Accent6 4 4 5" xfId="19011" xr:uid="{00000000-0005-0000-0000-000020240000}"/>
    <cellStyle name="20% - Accent6 4 5" xfId="3869" xr:uid="{00000000-0005-0000-0000-000021240000}"/>
    <cellStyle name="20% - Accent6 4 5 2" xfId="3870" xr:uid="{00000000-0005-0000-0000-000022240000}"/>
    <cellStyle name="20% - Accent6 4 5 2 2" xfId="15064" xr:uid="{00000000-0005-0000-0000-000023240000}"/>
    <cellStyle name="20% - Accent6 4 5 2 3" xfId="19015" xr:uid="{00000000-0005-0000-0000-000024240000}"/>
    <cellStyle name="20% - Accent6 4 5 3" xfId="3871" xr:uid="{00000000-0005-0000-0000-000025240000}"/>
    <cellStyle name="20% - Accent6 4 5 3 2" xfId="15065" xr:uid="{00000000-0005-0000-0000-000026240000}"/>
    <cellStyle name="20% - Accent6 4 5 3 3" xfId="19016" xr:uid="{00000000-0005-0000-0000-000027240000}"/>
    <cellStyle name="20% - Accent6 4 5 4" xfId="15063" xr:uid="{00000000-0005-0000-0000-000028240000}"/>
    <cellStyle name="20% - Accent6 4 5 5" xfId="19014" xr:uid="{00000000-0005-0000-0000-000029240000}"/>
    <cellStyle name="20% - Accent6 4 6" xfId="3872" xr:uid="{00000000-0005-0000-0000-00002A240000}"/>
    <cellStyle name="20% - Accent6 4 6 2" xfId="3873" xr:uid="{00000000-0005-0000-0000-00002B240000}"/>
    <cellStyle name="20% - Accent6 4 6 2 2" xfId="15067" xr:uid="{00000000-0005-0000-0000-00002C240000}"/>
    <cellStyle name="20% - Accent6 4 6 2 3" xfId="19018" xr:uid="{00000000-0005-0000-0000-00002D240000}"/>
    <cellStyle name="20% - Accent6 4 6 3" xfId="3874" xr:uid="{00000000-0005-0000-0000-00002E240000}"/>
    <cellStyle name="20% - Accent6 4 6 3 2" xfId="15068" xr:uid="{00000000-0005-0000-0000-00002F240000}"/>
    <cellStyle name="20% - Accent6 4 6 3 3" xfId="19019" xr:uid="{00000000-0005-0000-0000-000030240000}"/>
    <cellStyle name="20% - Accent6 4 6 4" xfId="15066" xr:uid="{00000000-0005-0000-0000-000031240000}"/>
    <cellStyle name="20% - Accent6 4 6 5" xfId="19017" xr:uid="{00000000-0005-0000-0000-000032240000}"/>
    <cellStyle name="20% - Accent6 4 7" xfId="3875" xr:uid="{00000000-0005-0000-0000-000033240000}"/>
    <cellStyle name="20% - Accent6 4 7 2" xfId="15069" xr:uid="{00000000-0005-0000-0000-000034240000}"/>
    <cellStyle name="20% - Accent6 4 7 3" xfId="19020" xr:uid="{00000000-0005-0000-0000-000035240000}"/>
    <cellStyle name="20% - Accent6 4 8" xfId="3876" xr:uid="{00000000-0005-0000-0000-000036240000}"/>
    <cellStyle name="20% - Accent6 4 8 2" xfId="15070" xr:uid="{00000000-0005-0000-0000-000037240000}"/>
    <cellStyle name="20% - Accent6 4 8 3" xfId="19021" xr:uid="{00000000-0005-0000-0000-000038240000}"/>
    <cellStyle name="20% - Accent6 4 9" xfId="15038" xr:uid="{00000000-0005-0000-0000-000039240000}"/>
    <cellStyle name="20% - Accent6 4_Volatility" xfId="3877" xr:uid="{00000000-0005-0000-0000-00003A240000}"/>
    <cellStyle name="20% - Accent6 5" xfId="3878" xr:uid="{00000000-0005-0000-0000-00003B240000}"/>
    <cellStyle name="20% - Accent6 5 10" xfId="19022" xr:uid="{00000000-0005-0000-0000-00003C240000}"/>
    <cellStyle name="20% - Accent6 5 2" xfId="3879" xr:uid="{00000000-0005-0000-0000-00003D240000}"/>
    <cellStyle name="20% - Accent6 5 2 2" xfId="3880" xr:uid="{00000000-0005-0000-0000-00003E240000}"/>
    <cellStyle name="20% - Accent6 5 2 2 2" xfId="3881" xr:uid="{00000000-0005-0000-0000-00003F240000}"/>
    <cellStyle name="20% - Accent6 5 2 2 2 2" xfId="15074" xr:uid="{00000000-0005-0000-0000-000040240000}"/>
    <cellStyle name="20% - Accent6 5 2 2 2 3" xfId="19025" xr:uid="{00000000-0005-0000-0000-000041240000}"/>
    <cellStyle name="20% - Accent6 5 2 2 3" xfId="3882" xr:uid="{00000000-0005-0000-0000-000042240000}"/>
    <cellStyle name="20% - Accent6 5 2 2 3 2" xfId="15075" xr:uid="{00000000-0005-0000-0000-000043240000}"/>
    <cellStyle name="20% - Accent6 5 2 2 3 3" xfId="19026" xr:uid="{00000000-0005-0000-0000-000044240000}"/>
    <cellStyle name="20% - Accent6 5 2 2 4" xfId="15073" xr:uid="{00000000-0005-0000-0000-000045240000}"/>
    <cellStyle name="20% - Accent6 5 2 2 5" xfId="19024" xr:uid="{00000000-0005-0000-0000-000046240000}"/>
    <cellStyle name="20% - Accent6 5 2 3" xfId="3883" xr:uid="{00000000-0005-0000-0000-000047240000}"/>
    <cellStyle name="20% - Accent6 5 2 3 2" xfId="3884" xr:uid="{00000000-0005-0000-0000-000048240000}"/>
    <cellStyle name="20% - Accent6 5 2 3 2 2" xfId="15077" xr:uid="{00000000-0005-0000-0000-000049240000}"/>
    <cellStyle name="20% - Accent6 5 2 3 2 3" xfId="19028" xr:uid="{00000000-0005-0000-0000-00004A240000}"/>
    <cellStyle name="20% - Accent6 5 2 3 3" xfId="3885" xr:uid="{00000000-0005-0000-0000-00004B240000}"/>
    <cellStyle name="20% - Accent6 5 2 3 3 2" xfId="15078" xr:uid="{00000000-0005-0000-0000-00004C240000}"/>
    <cellStyle name="20% - Accent6 5 2 3 3 3" xfId="19029" xr:uid="{00000000-0005-0000-0000-00004D240000}"/>
    <cellStyle name="20% - Accent6 5 2 3 4" xfId="15076" xr:uid="{00000000-0005-0000-0000-00004E240000}"/>
    <cellStyle name="20% - Accent6 5 2 3 5" xfId="19027" xr:uid="{00000000-0005-0000-0000-00004F240000}"/>
    <cellStyle name="20% - Accent6 5 2 4" xfId="3886" xr:uid="{00000000-0005-0000-0000-000050240000}"/>
    <cellStyle name="20% - Accent6 5 2 4 2" xfId="3887" xr:uid="{00000000-0005-0000-0000-000051240000}"/>
    <cellStyle name="20% - Accent6 5 2 4 2 2" xfId="15080" xr:uid="{00000000-0005-0000-0000-000052240000}"/>
    <cellStyle name="20% - Accent6 5 2 4 2 3" xfId="19031" xr:uid="{00000000-0005-0000-0000-000053240000}"/>
    <cellStyle name="20% - Accent6 5 2 4 3" xfId="3888" xr:uid="{00000000-0005-0000-0000-000054240000}"/>
    <cellStyle name="20% - Accent6 5 2 4 3 2" xfId="15081" xr:uid="{00000000-0005-0000-0000-000055240000}"/>
    <cellStyle name="20% - Accent6 5 2 4 3 3" xfId="19032" xr:uid="{00000000-0005-0000-0000-000056240000}"/>
    <cellStyle name="20% - Accent6 5 2 4 4" xfId="15079" xr:uid="{00000000-0005-0000-0000-000057240000}"/>
    <cellStyle name="20% - Accent6 5 2 4 5" xfId="19030" xr:uid="{00000000-0005-0000-0000-000058240000}"/>
    <cellStyle name="20% - Accent6 5 2 5" xfId="3889" xr:uid="{00000000-0005-0000-0000-000059240000}"/>
    <cellStyle name="20% - Accent6 5 2 5 2" xfId="15082" xr:uid="{00000000-0005-0000-0000-00005A240000}"/>
    <cellStyle name="20% - Accent6 5 2 5 3" xfId="19033" xr:uid="{00000000-0005-0000-0000-00005B240000}"/>
    <cellStyle name="20% - Accent6 5 2 6" xfId="3890" xr:uid="{00000000-0005-0000-0000-00005C240000}"/>
    <cellStyle name="20% - Accent6 5 2 6 2" xfId="15083" xr:uid="{00000000-0005-0000-0000-00005D240000}"/>
    <cellStyle name="20% - Accent6 5 2 6 3" xfId="19034" xr:uid="{00000000-0005-0000-0000-00005E240000}"/>
    <cellStyle name="20% - Accent6 5 2 7" xfId="15072" xr:uid="{00000000-0005-0000-0000-00005F240000}"/>
    <cellStyle name="20% - Accent6 5 2 8" xfId="19023" xr:uid="{00000000-0005-0000-0000-000060240000}"/>
    <cellStyle name="20% - Accent6 5 2_Volatility" xfId="3891" xr:uid="{00000000-0005-0000-0000-000061240000}"/>
    <cellStyle name="20% - Accent6 5 3" xfId="3892" xr:uid="{00000000-0005-0000-0000-000062240000}"/>
    <cellStyle name="20% - Accent6 5 3 2" xfId="3893" xr:uid="{00000000-0005-0000-0000-000063240000}"/>
    <cellStyle name="20% - Accent6 5 3 2 2" xfId="3894" xr:uid="{00000000-0005-0000-0000-000064240000}"/>
    <cellStyle name="20% - Accent6 5 3 2 2 2" xfId="15086" xr:uid="{00000000-0005-0000-0000-000065240000}"/>
    <cellStyle name="20% - Accent6 5 3 2 2 3" xfId="19037" xr:uid="{00000000-0005-0000-0000-000066240000}"/>
    <cellStyle name="20% - Accent6 5 3 2 3" xfId="3895" xr:uid="{00000000-0005-0000-0000-000067240000}"/>
    <cellStyle name="20% - Accent6 5 3 2 3 2" xfId="15087" xr:uid="{00000000-0005-0000-0000-000068240000}"/>
    <cellStyle name="20% - Accent6 5 3 2 3 3" xfId="19038" xr:uid="{00000000-0005-0000-0000-000069240000}"/>
    <cellStyle name="20% - Accent6 5 3 2 4" xfId="15085" xr:uid="{00000000-0005-0000-0000-00006A240000}"/>
    <cellStyle name="20% - Accent6 5 3 2 5" xfId="19036" xr:uid="{00000000-0005-0000-0000-00006B240000}"/>
    <cellStyle name="20% - Accent6 5 3 3" xfId="3896" xr:uid="{00000000-0005-0000-0000-00006C240000}"/>
    <cellStyle name="20% - Accent6 5 3 3 2" xfId="3897" xr:uid="{00000000-0005-0000-0000-00006D240000}"/>
    <cellStyle name="20% - Accent6 5 3 3 2 2" xfId="15089" xr:uid="{00000000-0005-0000-0000-00006E240000}"/>
    <cellStyle name="20% - Accent6 5 3 3 2 3" xfId="19040" xr:uid="{00000000-0005-0000-0000-00006F240000}"/>
    <cellStyle name="20% - Accent6 5 3 3 3" xfId="3898" xr:uid="{00000000-0005-0000-0000-000070240000}"/>
    <cellStyle name="20% - Accent6 5 3 3 3 2" xfId="15090" xr:uid="{00000000-0005-0000-0000-000071240000}"/>
    <cellStyle name="20% - Accent6 5 3 3 3 3" xfId="19041" xr:uid="{00000000-0005-0000-0000-000072240000}"/>
    <cellStyle name="20% - Accent6 5 3 3 4" xfId="15088" xr:uid="{00000000-0005-0000-0000-000073240000}"/>
    <cellStyle name="20% - Accent6 5 3 3 5" xfId="19039" xr:uid="{00000000-0005-0000-0000-000074240000}"/>
    <cellStyle name="20% - Accent6 5 3 4" xfId="3899" xr:uid="{00000000-0005-0000-0000-000075240000}"/>
    <cellStyle name="20% - Accent6 5 3 4 2" xfId="15091" xr:uid="{00000000-0005-0000-0000-000076240000}"/>
    <cellStyle name="20% - Accent6 5 3 4 3" xfId="19042" xr:uid="{00000000-0005-0000-0000-000077240000}"/>
    <cellStyle name="20% - Accent6 5 3 5" xfId="3900" xr:uid="{00000000-0005-0000-0000-000078240000}"/>
    <cellStyle name="20% - Accent6 5 3 5 2" xfId="15092" xr:uid="{00000000-0005-0000-0000-000079240000}"/>
    <cellStyle name="20% - Accent6 5 3 5 3" xfId="19043" xr:uid="{00000000-0005-0000-0000-00007A240000}"/>
    <cellStyle name="20% - Accent6 5 3 6" xfId="15084" xr:uid="{00000000-0005-0000-0000-00007B240000}"/>
    <cellStyle name="20% - Accent6 5 3 7" xfId="19035" xr:uid="{00000000-0005-0000-0000-00007C240000}"/>
    <cellStyle name="20% - Accent6 5 3_Volatility" xfId="3901" xr:uid="{00000000-0005-0000-0000-00007D240000}"/>
    <cellStyle name="20% - Accent6 5 4" xfId="3902" xr:uid="{00000000-0005-0000-0000-00007E240000}"/>
    <cellStyle name="20% - Accent6 5 4 2" xfId="3903" xr:uid="{00000000-0005-0000-0000-00007F240000}"/>
    <cellStyle name="20% - Accent6 5 4 2 2" xfId="15094" xr:uid="{00000000-0005-0000-0000-000080240000}"/>
    <cellStyle name="20% - Accent6 5 4 2 3" xfId="19045" xr:uid="{00000000-0005-0000-0000-000081240000}"/>
    <cellStyle name="20% - Accent6 5 4 3" xfId="3904" xr:uid="{00000000-0005-0000-0000-000082240000}"/>
    <cellStyle name="20% - Accent6 5 4 3 2" xfId="15095" xr:uid="{00000000-0005-0000-0000-000083240000}"/>
    <cellStyle name="20% - Accent6 5 4 3 3" xfId="19046" xr:uid="{00000000-0005-0000-0000-000084240000}"/>
    <cellStyle name="20% - Accent6 5 4 4" xfId="15093" xr:uid="{00000000-0005-0000-0000-000085240000}"/>
    <cellStyle name="20% - Accent6 5 4 5" xfId="19044" xr:uid="{00000000-0005-0000-0000-000086240000}"/>
    <cellStyle name="20% - Accent6 5 5" xfId="3905" xr:uid="{00000000-0005-0000-0000-000087240000}"/>
    <cellStyle name="20% - Accent6 5 5 2" xfId="3906" xr:uid="{00000000-0005-0000-0000-000088240000}"/>
    <cellStyle name="20% - Accent6 5 5 2 2" xfId="15097" xr:uid="{00000000-0005-0000-0000-000089240000}"/>
    <cellStyle name="20% - Accent6 5 5 2 3" xfId="19048" xr:uid="{00000000-0005-0000-0000-00008A240000}"/>
    <cellStyle name="20% - Accent6 5 5 3" xfId="3907" xr:uid="{00000000-0005-0000-0000-00008B240000}"/>
    <cellStyle name="20% - Accent6 5 5 3 2" xfId="15098" xr:uid="{00000000-0005-0000-0000-00008C240000}"/>
    <cellStyle name="20% - Accent6 5 5 3 3" xfId="19049" xr:uid="{00000000-0005-0000-0000-00008D240000}"/>
    <cellStyle name="20% - Accent6 5 5 4" xfId="15096" xr:uid="{00000000-0005-0000-0000-00008E240000}"/>
    <cellStyle name="20% - Accent6 5 5 5" xfId="19047" xr:uid="{00000000-0005-0000-0000-00008F240000}"/>
    <cellStyle name="20% - Accent6 5 6" xfId="3908" xr:uid="{00000000-0005-0000-0000-000090240000}"/>
    <cellStyle name="20% - Accent6 5 6 2" xfId="3909" xr:uid="{00000000-0005-0000-0000-000091240000}"/>
    <cellStyle name="20% - Accent6 5 6 2 2" xfId="15100" xr:uid="{00000000-0005-0000-0000-000092240000}"/>
    <cellStyle name="20% - Accent6 5 6 2 3" xfId="19051" xr:uid="{00000000-0005-0000-0000-000093240000}"/>
    <cellStyle name="20% - Accent6 5 6 3" xfId="3910" xr:uid="{00000000-0005-0000-0000-000094240000}"/>
    <cellStyle name="20% - Accent6 5 6 3 2" xfId="15101" xr:uid="{00000000-0005-0000-0000-000095240000}"/>
    <cellStyle name="20% - Accent6 5 6 3 3" xfId="19052" xr:uid="{00000000-0005-0000-0000-000096240000}"/>
    <cellStyle name="20% - Accent6 5 6 4" xfId="15099" xr:uid="{00000000-0005-0000-0000-000097240000}"/>
    <cellStyle name="20% - Accent6 5 6 5" xfId="19050" xr:uid="{00000000-0005-0000-0000-000098240000}"/>
    <cellStyle name="20% - Accent6 5 7" xfId="3911" xr:uid="{00000000-0005-0000-0000-000099240000}"/>
    <cellStyle name="20% - Accent6 5 7 2" xfId="15102" xr:uid="{00000000-0005-0000-0000-00009A240000}"/>
    <cellStyle name="20% - Accent6 5 7 3" xfId="19053" xr:uid="{00000000-0005-0000-0000-00009B240000}"/>
    <cellStyle name="20% - Accent6 5 8" xfId="3912" xr:uid="{00000000-0005-0000-0000-00009C240000}"/>
    <cellStyle name="20% - Accent6 5 8 2" xfId="15103" xr:uid="{00000000-0005-0000-0000-00009D240000}"/>
    <cellStyle name="20% - Accent6 5 8 3" xfId="19054" xr:uid="{00000000-0005-0000-0000-00009E240000}"/>
    <cellStyle name="20% - Accent6 5 9" xfId="15071" xr:uid="{00000000-0005-0000-0000-00009F240000}"/>
    <cellStyle name="20% - Accent6 5_Volatility" xfId="3913" xr:uid="{00000000-0005-0000-0000-0000A0240000}"/>
    <cellStyle name="20% - Accent6 6" xfId="3914" xr:uid="{00000000-0005-0000-0000-0000A1240000}"/>
    <cellStyle name="20% - Accent6 6 10" xfId="19055" xr:uid="{00000000-0005-0000-0000-0000A2240000}"/>
    <cellStyle name="20% - Accent6 6 2" xfId="3915" xr:uid="{00000000-0005-0000-0000-0000A3240000}"/>
    <cellStyle name="20% - Accent6 6 2 2" xfId="3916" xr:uid="{00000000-0005-0000-0000-0000A4240000}"/>
    <cellStyle name="20% - Accent6 6 2 2 2" xfId="3917" xr:uid="{00000000-0005-0000-0000-0000A5240000}"/>
    <cellStyle name="20% - Accent6 6 2 2 2 2" xfId="15107" xr:uid="{00000000-0005-0000-0000-0000A6240000}"/>
    <cellStyle name="20% - Accent6 6 2 2 2 3" xfId="19058" xr:uid="{00000000-0005-0000-0000-0000A7240000}"/>
    <cellStyle name="20% - Accent6 6 2 2 3" xfId="3918" xr:uid="{00000000-0005-0000-0000-0000A8240000}"/>
    <cellStyle name="20% - Accent6 6 2 2 3 2" xfId="15108" xr:uid="{00000000-0005-0000-0000-0000A9240000}"/>
    <cellStyle name="20% - Accent6 6 2 2 3 3" xfId="19059" xr:uid="{00000000-0005-0000-0000-0000AA240000}"/>
    <cellStyle name="20% - Accent6 6 2 2 4" xfId="15106" xr:uid="{00000000-0005-0000-0000-0000AB240000}"/>
    <cellStyle name="20% - Accent6 6 2 2 5" xfId="19057" xr:uid="{00000000-0005-0000-0000-0000AC240000}"/>
    <cellStyle name="20% - Accent6 6 2 3" xfId="3919" xr:uid="{00000000-0005-0000-0000-0000AD240000}"/>
    <cellStyle name="20% - Accent6 6 2 3 2" xfId="3920" xr:uid="{00000000-0005-0000-0000-0000AE240000}"/>
    <cellStyle name="20% - Accent6 6 2 3 2 2" xfId="15110" xr:uid="{00000000-0005-0000-0000-0000AF240000}"/>
    <cellStyle name="20% - Accent6 6 2 3 2 3" xfId="19061" xr:uid="{00000000-0005-0000-0000-0000B0240000}"/>
    <cellStyle name="20% - Accent6 6 2 3 3" xfId="3921" xr:uid="{00000000-0005-0000-0000-0000B1240000}"/>
    <cellStyle name="20% - Accent6 6 2 3 3 2" xfId="15111" xr:uid="{00000000-0005-0000-0000-0000B2240000}"/>
    <cellStyle name="20% - Accent6 6 2 3 3 3" xfId="19062" xr:uid="{00000000-0005-0000-0000-0000B3240000}"/>
    <cellStyle name="20% - Accent6 6 2 3 4" xfId="15109" xr:uid="{00000000-0005-0000-0000-0000B4240000}"/>
    <cellStyle name="20% - Accent6 6 2 3 5" xfId="19060" xr:uid="{00000000-0005-0000-0000-0000B5240000}"/>
    <cellStyle name="20% - Accent6 6 2 4" xfId="3922" xr:uid="{00000000-0005-0000-0000-0000B6240000}"/>
    <cellStyle name="20% - Accent6 6 2 4 2" xfId="3923" xr:uid="{00000000-0005-0000-0000-0000B7240000}"/>
    <cellStyle name="20% - Accent6 6 2 4 2 2" xfId="15113" xr:uid="{00000000-0005-0000-0000-0000B8240000}"/>
    <cellStyle name="20% - Accent6 6 2 4 2 3" xfId="19064" xr:uid="{00000000-0005-0000-0000-0000B9240000}"/>
    <cellStyle name="20% - Accent6 6 2 4 3" xfId="3924" xr:uid="{00000000-0005-0000-0000-0000BA240000}"/>
    <cellStyle name="20% - Accent6 6 2 4 3 2" xfId="15114" xr:uid="{00000000-0005-0000-0000-0000BB240000}"/>
    <cellStyle name="20% - Accent6 6 2 4 3 3" xfId="19065" xr:uid="{00000000-0005-0000-0000-0000BC240000}"/>
    <cellStyle name="20% - Accent6 6 2 4 4" xfId="15112" xr:uid="{00000000-0005-0000-0000-0000BD240000}"/>
    <cellStyle name="20% - Accent6 6 2 4 5" xfId="19063" xr:uid="{00000000-0005-0000-0000-0000BE240000}"/>
    <cellStyle name="20% - Accent6 6 2 5" xfId="3925" xr:uid="{00000000-0005-0000-0000-0000BF240000}"/>
    <cellStyle name="20% - Accent6 6 2 5 2" xfId="15115" xr:uid="{00000000-0005-0000-0000-0000C0240000}"/>
    <cellStyle name="20% - Accent6 6 2 5 3" xfId="19066" xr:uid="{00000000-0005-0000-0000-0000C1240000}"/>
    <cellStyle name="20% - Accent6 6 2 6" xfId="3926" xr:uid="{00000000-0005-0000-0000-0000C2240000}"/>
    <cellStyle name="20% - Accent6 6 2 6 2" xfId="15116" xr:uid="{00000000-0005-0000-0000-0000C3240000}"/>
    <cellStyle name="20% - Accent6 6 2 6 3" xfId="19067" xr:uid="{00000000-0005-0000-0000-0000C4240000}"/>
    <cellStyle name="20% - Accent6 6 2 7" xfId="15105" xr:uid="{00000000-0005-0000-0000-0000C5240000}"/>
    <cellStyle name="20% - Accent6 6 2 8" xfId="19056" xr:uid="{00000000-0005-0000-0000-0000C6240000}"/>
    <cellStyle name="20% - Accent6 6 2_Volatility" xfId="3927" xr:uid="{00000000-0005-0000-0000-0000C7240000}"/>
    <cellStyle name="20% - Accent6 6 3" xfId="3928" xr:uid="{00000000-0005-0000-0000-0000C8240000}"/>
    <cellStyle name="20% - Accent6 6 3 2" xfId="3929" xr:uid="{00000000-0005-0000-0000-0000C9240000}"/>
    <cellStyle name="20% - Accent6 6 3 2 2" xfId="3930" xr:uid="{00000000-0005-0000-0000-0000CA240000}"/>
    <cellStyle name="20% - Accent6 6 3 2 2 2" xfId="15119" xr:uid="{00000000-0005-0000-0000-0000CB240000}"/>
    <cellStyle name="20% - Accent6 6 3 2 2 3" xfId="19070" xr:uid="{00000000-0005-0000-0000-0000CC240000}"/>
    <cellStyle name="20% - Accent6 6 3 2 3" xfId="3931" xr:uid="{00000000-0005-0000-0000-0000CD240000}"/>
    <cellStyle name="20% - Accent6 6 3 2 3 2" xfId="15120" xr:uid="{00000000-0005-0000-0000-0000CE240000}"/>
    <cellStyle name="20% - Accent6 6 3 2 3 3" xfId="19071" xr:uid="{00000000-0005-0000-0000-0000CF240000}"/>
    <cellStyle name="20% - Accent6 6 3 2 4" xfId="15118" xr:uid="{00000000-0005-0000-0000-0000D0240000}"/>
    <cellStyle name="20% - Accent6 6 3 2 5" xfId="19069" xr:uid="{00000000-0005-0000-0000-0000D1240000}"/>
    <cellStyle name="20% - Accent6 6 3 3" xfId="3932" xr:uid="{00000000-0005-0000-0000-0000D2240000}"/>
    <cellStyle name="20% - Accent6 6 3 3 2" xfId="3933" xr:uid="{00000000-0005-0000-0000-0000D3240000}"/>
    <cellStyle name="20% - Accent6 6 3 3 2 2" xfId="15122" xr:uid="{00000000-0005-0000-0000-0000D4240000}"/>
    <cellStyle name="20% - Accent6 6 3 3 2 3" xfId="19073" xr:uid="{00000000-0005-0000-0000-0000D5240000}"/>
    <cellStyle name="20% - Accent6 6 3 3 3" xfId="3934" xr:uid="{00000000-0005-0000-0000-0000D6240000}"/>
    <cellStyle name="20% - Accent6 6 3 3 3 2" xfId="15123" xr:uid="{00000000-0005-0000-0000-0000D7240000}"/>
    <cellStyle name="20% - Accent6 6 3 3 3 3" xfId="19074" xr:uid="{00000000-0005-0000-0000-0000D8240000}"/>
    <cellStyle name="20% - Accent6 6 3 3 4" xfId="15121" xr:uid="{00000000-0005-0000-0000-0000D9240000}"/>
    <cellStyle name="20% - Accent6 6 3 3 5" xfId="19072" xr:uid="{00000000-0005-0000-0000-0000DA240000}"/>
    <cellStyle name="20% - Accent6 6 3 4" xfId="3935" xr:uid="{00000000-0005-0000-0000-0000DB240000}"/>
    <cellStyle name="20% - Accent6 6 3 4 2" xfId="15124" xr:uid="{00000000-0005-0000-0000-0000DC240000}"/>
    <cellStyle name="20% - Accent6 6 3 4 3" xfId="19075" xr:uid="{00000000-0005-0000-0000-0000DD240000}"/>
    <cellStyle name="20% - Accent6 6 3 5" xfId="3936" xr:uid="{00000000-0005-0000-0000-0000DE240000}"/>
    <cellStyle name="20% - Accent6 6 3 5 2" xfId="15125" xr:uid="{00000000-0005-0000-0000-0000DF240000}"/>
    <cellStyle name="20% - Accent6 6 3 5 3" xfId="19076" xr:uid="{00000000-0005-0000-0000-0000E0240000}"/>
    <cellStyle name="20% - Accent6 6 3 6" xfId="15117" xr:uid="{00000000-0005-0000-0000-0000E1240000}"/>
    <cellStyle name="20% - Accent6 6 3 7" xfId="19068" xr:uid="{00000000-0005-0000-0000-0000E2240000}"/>
    <cellStyle name="20% - Accent6 6 3_Volatility" xfId="3937" xr:uid="{00000000-0005-0000-0000-0000E3240000}"/>
    <cellStyle name="20% - Accent6 6 4" xfId="3938" xr:uid="{00000000-0005-0000-0000-0000E4240000}"/>
    <cellStyle name="20% - Accent6 6 4 2" xfId="3939" xr:uid="{00000000-0005-0000-0000-0000E5240000}"/>
    <cellStyle name="20% - Accent6 6 4 2 2" xfId="15127" xr:uid="{00000000-0005-0000-0000-0000E6240000}"/>
    <cellStyle name="20% - Accent6 6 4 2 3" xfId="19078" xr:uid="{00000000-0005-0000-0000-0000E7240000}"/>
    <cellStyle name="20% - Accent6 6 4 3" xfId="3940" xr:uid="{00000000-0005-0000-0000-0000E8240000}"/>
    <cellStyle name="20% - Accent6 6 4 3 2" xfId="15128" xr:uid="{00000000-0005-0000-0000-0000E9240000}"/>
    <cellStyle name="20% - Accent6 6 4 3 3" xfId="19079" xr:uid="{00000000-0005-0000-0000-0000EA240000}"/>
    <cellStyle name="20% - Accent6 6 4 4" xfId="15126" xr:uid="{00000000-0005-0000-0000-0000EB240000}"/>
    <cellStyle name="20% - Accent6 6 4 5" xfId="19077" xr:uid="{00000000-0005-0000-0000-0000EC240000}"/>
    <cellStyle name="20% - Accent6 6 5" xfId="3941" xr:uid="{00000000-0005-0000-0000-0000ED240000}"/>
    <cellStyle name="20% - Accent6 6 5 2" xfId="3942" xr:uid="{00000000-0005-0000-0000-0000EE240000}"/>
    <cellStyle name="20% - Accent6 6 5 2 2" xfId="15130" xr:uid="{00000000-0005-0000-0000-0000EF240000}"/>
    <cellStyle name="20% - Accent6 6 5 2 3" xfId="19081" xr:uid="{00000000-0005-0000-0000-0000F0240000}"/>
    <cellStyle name="20% - Accent6 6 5 3" xfId="3943" xr:uid="{00000000-0005-0000-0000-0000F1240000}"/>
    <cellStyle name="20% - Accent6 6 5 3 2" xfId="15131" xr:uid="{00000000-0005-0000-0000-0000F2240000}"/>
    <cellStyle name="20% - Accent6 6 5 3 3" xfId="19082" xr:uid="{00000000-0005-0000-0000-0000F3240000}"/>
    <cellStyle name="20% - Accent6 6 5 4" xfId="15129" xr:uid="{00000000-0005-0000-0000-0000F4240000}"/>
    <cellStyle name="20% - Accent6 6 5 5" xfId="19080" xr:uid="{00000000-0005-0000-0000-0000F5240000}"/>
    <cellStyle name="20% - Accent6 6 6" xfId="3944" xr:uid="{00000000-0005-0000-0000-0000F6240000}"/>
    <cellStyle name="20% - Accent6 6 6 2" xfId="3945" xr:uid="{00000000-0005-0000-0000-0000F7240000}"/>
    <cellStyle name="20% - Accent6 6 6 2 2" xfId="15133" xr:uid="{00000000-0005-0000-0000-0000F8240000}"/>
    <cellStyle name="20% - Accent6 6 6 2 3" xfId="19084" xr:uid="{00000000-0005-0000-0000-0000F9240000}"/>
    <cellStyle name="20% - Accent6 6 6 3" xfId="3946" xr:uid="{00000000-0005-0000-0000-0000FA240000}"/>
    <cellStyle name="20% - Accent6 6 6 3 2" xfId="15134" xr:uid="{00000000-0005-0000-0000-0000FB240000}"/>
    <cellStyle name="20% - Accent6 6 6 3 3" xfId="19085" xr:uid="{00000000-0005-0000-0000-0000FC240000}"/>
    <cellStyle name="20% - Accent6 6 6 4" xfId="15132" xr:uid="{00000000-0005-0000-0000-0000FD240000}"/>
    <cellStyle name="20% - Accent6 6 6 5" xfId="19083" xr:uid="{00000000-0005-0000-0000-0000FE240000}"/>
    <cellStyle name="20% - Accent6 6 7" xfId="3947" xr:uid="{00000000-0005-0000-0000-0000FF240000}"/>
    <cellStyle name="20% - Accent6 6 7 2" xfId="15135" xr:uid="{00000000-0005-0000-0000-000000250000}"/>
    <cellStyle name="20% - Accent6 6 7 3" xfId="19086" xr:uid="{00000000-0005-0000-0000-000001250000}"/>
    <cellStyle name="20% - Accent6 6 8" xfId="3948" xr:uid="{00000000-0005-0000-0000-000002250000}"/>
    <cellStyle name="20% - Accent6 6 8 2" xfId="15136" xr:uid="{00000000-0005-0000-0000-000003250000}"/>
    <cellStyle name="20% - Accent6 6 8 3" xfId="19087" xr:uid="{00000000-0005-0000-0000-000004250000}"/>
    <cellStyle name="20% - Accent6 6 9" xfId="15104" xr:uid="{00000000-0005-0000-0000-000005250000}"/>
    <cellStyle name="20% - Accent6 6_Volatility" xfId="3949" xr:uid="{00000000-0005-0000-0000-000006250000}"/>
    <cellStyle name="20% - Accent6 7" xfId="3950" xr:uid="{00000000-0005-0000-0000-000007250000}"/>
    <cellStyle name="20% - Accent6 7 10" xfId="19088" xr:uid="{00000000-0005-0000-0000-000008250000}"/>
    <cellStyle name="20% - Accent6 7 2" xfId="3951" xr:uid="{00000000-0005-0000-0000-000009250000}"/>
    <cellStyle name="20% - Accent6 7 2 2" xfId="3952" xr:uid="{00000000-0005-0000-0000-00000A250000}"/>
    <cellStyle name="20% - Accent6 7 2 2 2" xfId="3953" xr:uid="{00000000-0005-0000-0000-00000B250000}"/>
    <cellStyle name="20% - Accent6 7 2 2 2 2" xfId="15140" xr:uid="{00000000-0005-0000-0000-00000C250000}"/>
    <cellStyle name="20% - Accent6 7 2 2 2 3" xfId="19091" xr:uid="{00000000-0005-0000-0000-00000D250000}"/>
    <cellStyle name="20% - Accent6 7 2 2 3" xfId="3954" xr:uid="{00000000-0005-0000-0000-00000E250000}"/>
    <cellStyle name="20% - Accent6 7 2 2 3 2" xfId="15141" xr:uid="{00000000-0005-0000-0000-00000F250000}"/>
    <cellStyle name="20% - Accent6 7 2 2 3 3" xfId="19092" xr:uid="{00000000-0005-0000-0000-000010250000}"/>
    <cellStyle name="20% - Accent6 7 2 2 4" xfId="15139" xr:uid="{00000000-0005-0000-0000-000011250000}"/>
    <cellStyle name="20% - Accent6 7 2 2 5" xfId="19090" xr:uid="{00000000-0005-0000-0000-000012250000}"/>
    <cellStyle name="20% - Accent6 7 2 3" xfId="3955" xr:uid="{00000000-0005-0000-0000-000013250000}"/>
    <cellStyle name="20% - Accent6 7 2 3 2" xfId="3956" xr:uid="{00000000-0005-0000-0000-000014250000}"/>
    <cellStyle name="20% - Accent6 7 2 3 2 2" xfId="15143" xr:uid="{00000000-0005-0000-0000-000015250000}"/>
    <cellStyle name="20% - Accent6 7 2 3 2 3" xfId="19094" xr:uid="{00000000-0005-0000-0000-000016250000}"/>
    <cellStyle name="20% - Accent6 7 2 3 3" xfId="3957" xr:uid="{00000000-0005-0000-0000-000017250000}"/>
    <cellStyle name="20% - Accent6 7 2 3 3 2" xfId="15144" xr:uid="{00000000-0005-0000-0000-000018250000}"/>
    <cellStyle name="20% - Accent6 7 2 3 3 3" xfId="19095" xr:uid="{00000000-0005-0000-0000-000019250000}"/>
    <cellStyle name="20% - Accent6 7 2 3 4" xfId="15142" xr:uid="{00000000-0005-0000-0000-00001A250000}"/>
    <cellStyle name="20% - Accent6 7 2 3 5" xfId="19093" xr:uid="{00000000-0005-0000-0000-00001B250000}"/>
    <cellStyle name="20% - Accent6 7 2 4" xfId="3958" xr:uid="{00000000-0005-0000-0000-00001C250000}"/>
    <cellStyle name="20% - Accent6 7 2 4 2" xfId="3959" xr:uid="{00000000-0005-0000-0000-00001D250000}"/>
    <cellStyle name="20% - Accent6 7 2 4 2 2" xfId="15146" xr:uid="{00000000-0005-0000-0000-00001E250000}"/>
    <cellStyle name="20% - Accent6 7 2 4 2 3" xfId="19097" xr:uid="{00000000-0005-0000-0000-00001F250000}"/>
    <cellStyle name="20% - Accent6 7 2 4 3" xfId="3960" xr:uid="{00000000-0005-0000-0000-000020250000}"/>
    <cellStyle name="20% - Accent6 7 2 4 3 2" xfId="15147" xr:uid="{00000000-0005-0000-0000-000021250000}"/>
    <cellStyle name="20% - Accent6 7 2 4 3 3" xfId="19098" xr:uid="{00000000-0005-0000-0000-000022250000}"/>
    <cellStyle name="20% - Accent6 7 2 4 4" xfId="15145" xr:uid="{00000000-0005-0000-0000-000023250000}"/>
    <cellStyle name="20% - Accent6 7 2 4 5" xfId="19096" xr:uid="{00000000-0005-0000-0000-000024250000}"/>
    <cellStyle name="20% - Accent6 7 2 5" xfId="3961" xr:uid="{00000000-0005-0000-0000-000025250000}"/>
    <cellStyle name="20% - Accent6 7 2 5 2" xfId="15148" xr:uid="{00000000-0005-0000-0000-000026250000}"/>
    <cellStyle name="20% - Accent6 7 2 5 3" xfId="19099" xr:uid="{00000000-0005-0000-0000-000027250000}"/>
    <cellStyle name="20% - Accent6 7 2 6" xfId="3962" xr:uid="{00000000-0005-0000-0000-000028250000}"/>
    <cellStyle name="20% - Accent6 7 2 6 2" xfId="15149" xr:uid="{00000000-0005-0000-0000-000029250000}"/>
    <cellStyle name="20% - Accent6 7 2 6 3" xfId="19100" xr:uid="{00000000-0005-0000-0000-00002A250000}"/>
    <cellStyle name="20% - Accent6 7 2 7" xfId="15138" xr:uid="{00000000-0005-0000-0000-00002B250000}"/>
    <cellStyle name="20% - Accent6 7 2 8" xfId="19089" xr:uid="{00000000-0005-0000-0000-00002C250000}"/>
    <cellStyle name="20% - Accent6 7 2_Volatility" xfId="3963" xr:uid="{00000000-0005-0000-0000-00002D250000}"/>
    <cellStyle name="20% - Accent6 7 3" xfId="3964" xr:uid="{00000000-0005-0000-0000-00002E250000}"/>
    <cellStyle name="20% - Accent6 7 3 2" xfId="3965" xr:uid="{00000000-0005-0000-0000-00002F250000}"/>
    <cellStyle name="20% - Accent6 7 3 2 2" xfId="3966" xr:uid="{00000000-0005-0000-0000-000030250000}"/>
    <cellStyle name="20% - Accent6 7 3 2 2 2" xfId="15152" xr:uid="{00000000-0005-0000-0000-000031250000}"/>
    <cellStyle name="20% - Accent6 7 3 2 2 3" xfId="19103" xr:uid="{00000000-0005-0000-0000-000032250000}"/>
    <cellStyle name="20% - Accent6 7 3 2 3" xfId="3967" xr:uid="{00000000-0005-0000-0000-000033250000}"/>
    <cellStyle name="20% - Accent6 7 3 2 3 2" xfId="15153" xr:uid="{00000000-0005-0000-0000-000034250000}"/>
    <cellStyle name="20% - Accent6 7 3 2 3 3" xfId="19104" xr:uid="{00000000-0005-0000-0000-000035250000}"/>
    <cellStyle name="20% - Accent6 7 3 2 4" xfId="15151" xr:uid="{00000000-0005-0000-0000-000036250000}"/>
    <cellStyle name="20% - Accent6 7 3 2 5" xfId="19102" xr:uid="{00000000-0005-0000-0000-000037250000}"/>
    <cellStyle name="20% - Accent6 7 3 3" xfId="3968" xr:uid="{00000000-0005-0000-0000-000038250000}"/>
    <cellStyle name="20% - Accent6 7 3 3 2" xfId="3969" xr:uid="{00000000-0005-0000-0000-000039250000}"/>
    <cellStyle name="20% - Accent6 7 3 3 2 2" xfId="15155" xr:uid="{00000000-0005-0000-0000-00003A250000}"/>
    <cellStyle name="20% - Accent6 7 3 3 2 3" xfId="19106" xr:uid="{00000000-0005-0000-0000-00003B250000}"/>
    <cellStyle name="20% - Accent6 7 3 3 3" xfId="3970" xr:uid="{00000000-0005-0000-0000-00003C250000}"/>
    <cellStyle name="20% - Accent6 7 3 3 3 2" xfId="15156" xr:uid="{00000000-0005-0000-0000-00003D250000}"/>
    <cellStyle name="20% - Accent6 7 3 3 3 3" xfId="19107" xr:uid="{00000000-0005-0000-0000-00003E250000}"/>
    <cellStyle name="20% - Accent6 7 3 3 4" xfId="15154" xr:uid="{00000000-0005-0000-0000-00003F250000}"/>
    <cellStyle name="20% - Accent6 7 3 3 5" xfId="19105" xr:uid="{00000000-0005-0000-0000-000040250000}"/>
    <cellStyle name="20% - Accent6 7 3 4" xfId="3971" xr:uid="{00000000-0005-0000-0000-000041250000}"/>
    <cellStyle name="20% - Accent6 7 3 4 2" xfId="15157" xr:uid="{00000000-0005-0000-0000-000042250000}"/>
    <cellStyle name="20% - Accent6 7 3 4 3" xfId="19108" xr:uid="{00000000-0005-0000-0000-000043250000}"/>
    <cellStyle name="20% - Accent6 7 3 5" xfId="3972" xr:uid="{00000000-0005-0000-0000-000044250000}"/>
    <cellStyle name="20% - Accent6 7 3 5 2" xfId="15158" xr:uid="{00000000-0005-0000-0000-000045250000}"/>
    <cellStyle name="20% - Accent6 7 3 5 3" xfId="19109" xr:uid="{00000000-0005-0000-0000-000046250000}"/>
    <cellStyle name="20% - Accent6 7 3 6" xfId="15150" xr:uid="{00000000-0005-0000-0000-000047250000}"/>
    <cellStyle name="20% - Accent6 7 3 7" xfId="19101" xr:uid="{00000000-0005-0000-0000-000048250000}"/>
    <cellStyle name="20% - Accent6 7 3_Volatility" xfId="3973" xr:uid="{00000000-0005-0000-0000-000049250000}"/>
    <cellStyle name="20% - Accent6 7 4" xfId="3974" xr:uid="{00000000-0005-0000-0000-00004A250000}"/>
    <cellStyle name="20% - Accent6 7 4 2" xfId="3975" xr:uid="{00000000-0005-0000-0000-00004B250000}"/>
    <cellStyle name="20% - Accent6 7 4 2 2" xfId="15160" xr:uid="{00000000-0005-0000-0000-00004C250000}"/>
    <cellStyle name="20% - Accent6 7 4 2 3" xfId="19111" xr:uid="{00000000-0005-0000-0000-00004D250000}"/>
    <cellStyle name="20% - Accent6 7 4 3" xfId="3976" xr:uid="{00000000-0005-0000-0000-00004E250000}"/>
    <cellStyle name="20% - Accent6 7 4 3 2" xfId="15161" xr:uid="{00000000-0005-0000-0000-00004F250000}"/>
    <cellStyle name="20% - Accent6 7 4 3 3" xfId="19112" xr:uid="{00000000-0005-0000-0000-000050250000}"/>
    <cellStyle name="20% - Accent6 7 4 4" xfId="15159" xr:uid="{00000000-0005-0000-0000-000051250000}"/>
    <cellStyle name="20% - Accent6 7 4 5" xfId="19110" xr:uid="{00000000-0005-0000-0000-000052250000}"/>
    <cellStyle name="20% - Accent6 7 5" xfId="3977" xr:uid="{00000000-0005-0000-0000-000053250000}"/>
    <cellStyle name="20% - Accent6 7 5 2" xfId="3978" xr:uid="{00000000-0005-0000-0000-000054250000}"/>
    <cellStyle name="20% - Accent6 7 5 2 2" xfId="15163" xr:uid="{00000000-0005-0000-0000-000055250000}"/>
    <cellStyle name="20% - Accent6 7 5 2 3" xfId="19114" xr:uid="{00000000-0005-0000-0000-000056250000}"/>
    <cellStyle name="20% - Accent6 7 5 3" xfId="3979" xr:uid="{00000000-0005-0000-0000-000057250000}"/>
    <cellStyle name="20% - Accent6 7 5 3 2" xfId="15164" xr:uid="{00000000-0005-0000-0000-000058250000}"/>
    <cellStyle name="20% - Accent6 7 5 3 3" xfId="19115" xr:uid="{00000000-0005-0000-0000-000059250000}"/>
    <cellStyle name="20% - Accent6 7 5 4" xfId="15162" xr:uid="{00000000-0005-0000-0000-00005A250000}"/>
    <cellStyle name="20% - Accent6 7 5 5" xfId="19113" xr:uid="{00000000-0005-0000-0000-00005B250000}"/>
    <cellStyle name="20% - Accent6 7 6" xfId="3980" xr:uid="{00000000-0005-0000-0000-00005C250000}"/>
    <cellStyle name="20% - Accent6 7 6 2" xfId="3981" xr:uid="{00000000-0005-0000-0000-00005D250000}"/>
    <cellStyle name="20% - Accent6 7 6 2 2" xfId="15166" xr:uid="{00000000-0005-0000-0000-00005E250000}"/>
    <cellStyle name="20% - Accent6 7 6 2 3" xfId="19117" xr:uid="{00000000-0005-0000-0000-00005F250000}"/>
    <cellStyle name="20% - Accent6 7 6 3" xfId="3982" xr:uid="{00000000-0005-0000-0000-000060250000}"/>
    <cellStyle name="20% - Accent6 7 6 3 2" xfId="15167" xr:uid="{00000000-0005-0000-0000-000061250000}"/>
    <cellStyle name="20% - Accent6 7 6 3 3" xfId="19118" xr:uid="{00000000-0005-0000-0000-000062250000}"/>
    <cellStyle name="20% - Accent6 7 6 4" xfId="15165" xr:uid="{00000000-0005-0000-0000-000063250000}"/>
    <cellStyle name="20% - Accent6 7 6 5" xfId="19116" xr:uid="{00000000-0005-0000-0000-000064250000}"/>
    <cellStyle name="20% - Accent6 7 7" xfId="3983" xr:uid="{00000000-0005-0000-0000-000065250000}"/>
    <cellStyle name="20% - Accent6 7 7 2" xfId="15168" xr:uid="{00000000-0005-0000-0000-000066250000}"/>
    <cellStyle name="20% - Accent6 7 7 3" xfId="19119" xr:uid="{00000000-0005-0000-0000-000067250000}"/>
    <cellStyle name="20% - Accent6 7 8" xfId="3984" xr:uid="{00000000-0005-0000-0000-000068250000}"/>
    <cellStyle name="20% - Accent6 7 8 2" xfId="15169" xr:uid="{00000000-0005-0000-0000-000069250000}"/>
    <cellStyle name="20% - Accent6 7 8 3" xfId="19120" xr:uid="{00000000-0005-0000-0000-00006A250000}"/>
    <cellStyle name="20% - Accent6 7 9" xfId="15137" xr:uid="{00000000-0005-0000-0000-00006B250000}"/>
    <cellStyle name="20% - Accent6 7_Volatility" xfId="3985" xr:uid="{00000000-0005-0000-0000-00006C250000}"/>
    <cellStyle name="20% - Accent6 8" xfId="3986" xr:uid="{00000000-0005-0000-0000-00006D250000}"/>
    <cellStyle name="20% - Accent6 8 10" xfId="19121" xr:uid="{00000000-0005-0000-0000-00006E250000}"/>
    <cellStyle name="20% - Accent6 8 2" xfId="3987" xr:uid="{00000000-0005-0000-0000-00006F250000}"/>
    <cellStyle name="20% - Accent6 8 2 2" xfId="3988" xr:uid="{00000000-0005-0000-0000-000070250000}"/>
    <cellStyle name="20% - Accent6 8 2 2 2" xfId="3989" xr:uid="{00000000-0005-0000-0000-000071250000}"/>
    <cellStyle name="20% - Accent6 8 2 2 2 2" xfId="15173" xr:uid="{00000000-0005-0000-0000-000072250000}"/>
    <cellStyle name="20% - Accent6 8 2 2 2 3" xfId="19124" xr:uid="{00000000-0005-0000-0000-000073250000}"/>
    <cellStyle name="20% - Accent6 8 2 2 3" xfId="3990" xr:uid="{00000000-0005-0000-0000-000074250000}"/>
    <cellStyle name="20% - Accent6 8 2 2 3 2" xfId="15174" xr:uid="{00000000-0005-0000-0000-000075250000}"/>
    <cellStyle name="20% - Accent6 8 2 2 3 3" xfId="19125" xr:uid="{00000000-0005-0000-0000-000076250000}"/>
    <cellStyle name="20% - Accent6 8 2 2 4" xfId="15172" xr:uid="{00000000-0005-0000-0000-000077250000}"/>
    <cellStyle name="20% - Accent6 8 2 2 5" xfId="19123" xr:uid="{00000000-0005-0000-0000-000078250000}"/>
    <cellStyle name="20% - Accent6 8 2 3" xfId="3991" xr:uid="{00000000-0005-0000-0000-000079250000}"/>
    <cellStyle name="20% - Accent6 8 2 3 2" xfId="3992" xr:uid="{00000000-0005-0000-0000-00007A250000}"/>
    <cellStyle name="20% - Accent6 8 2 3 2 2" xfId="15176" xr:uid="{00000000-0005-0000-0000-00007B250000}"/>
    <cellStyle name="20% - Accent6 8 2 3 2 3" xfId="19127" xr:uid="{00000000-0005-0000-0000-00007C250000}"/>
    <cellStyle name="20% - Accent6 8 2 3 3" xfId="3993" xr:uid="{00000000-0005-0000-0000-00007D250000}"/>
    <cellStyle name="20% - Accent6 8 2 3 3 2" xfId="15177" xr:uid="{00000000-0005-0000-0000-00007E250000}"/>
    <cellStyle name="20% - Accent6 8 2 3 3 3" xfId="19128" xr:uid="{00000000-0005-0000-0000-00007F250000}"/>
    <cellStyle name="20% - Accent6 8 2 3 4" xfId="15175" xr:uid="{00000000-0005-0000-0000-000080250000}"/>
    <cellStyle name="20% - Accent6 8 2 3 5" xfId="19126" xr:uid="{00000000-0005-0000-0000-000081250000}"/>
    <cellStyle name="20% - Accent6 8 2 4" xfId="3994" xr:uid="{00000000-0005-0000-0000-000082250000}"/>
    <cellStyle name="20% - Accent6 8 2 4 2" xfId="3995" xr:uid="{00000000-0005-0000-0000-000083250000}"/>
    <cellStyle name="20% - Accent6 8 2 4 2 2" xfId="15179" xr:uid="{00000000-0005-0000-0000-000084250000}"/>
    <cellStyle name="20% - Accent6 8 2 4 2 3" xfId="19130" xr:uid="{00000000-0005-0000-0000-000085250000}"/>
    <cellStyle name="20% - Accent6 8 2 4 3" xfId="3996" xr:uid="{00000000-0005-0000-0000-000086250000}"/>
    <cellStyle name="20% - Accent6 8 2 4 3 2" xfId="15180" xr:uid="{00000000-0005-0000-0000-000087250000}"/>
    <cellStyle name="20% - Accent6 8 2 4 3 3" xfId="19131" xr:uid="{00000000-0005-0000-0000-000088250000}"/>
    <cellStyle name="20% - Accent6 8 2 4 4" xfId="15178" xr:uid="{00000000-0005-0000-0000-000089250000}"/>
    <cellStyle name="20% - Accent6 8 2 4 5" xfId="19129" xr:uid="{00000000-0005-0000-0000-00008A250000}"/>
    <cellStyle name="20% - Accent6 8 2 5" xfId="3997" xr:uid="{00000000-0005-0000-0000-00008B250000}"/>
    <cellStyle name="20% - Accent6 8 2 5 2" xfId="15181" xr:uid="{00000000-0005-0000-0000-00008C250000}"/>
    <cellStyle name="20% - Accent6 8 2 5 3" xfId="19132" xr:uid="{00000000-0005-0000-0000-00008D250000}"/>
    <cellStyle name="20% - Accent6 8 2 6" xfId="3998" xr:uid="{00000000-0005-0000-0000-00008E250000}"/>
    <cellStyle name="20% - Accent6 8 2 6 2" xfId="15182" xr:uid="{00000000-0005-0000-0000-00008F250000}"/>
    <cellStyle name="20% - Accent6 8 2 6 3" xfId="19133" xr:uid="{00000000-0005-0000-0000-000090250000}"/>
    <cellStyle name="20% - Accent6 8 2 7" xfId="15171" xr:uid="{00000000-0005-0000-0000-000091250000}"/>
    <cellStyle name="20% - Accent6 8 2 8" xfId="19122" xr:uid="{00000000-0005-0000-0000-000092250000}"/>
    <cellStyle name="20% - Accent6 8 2_Volatility" xfId="3999" xr:uid="{00000000-0005-0000-0000-000093250000}"/>
    <cellStyle name="20% - Accent6 8 3" xfId="4000" xr:uid="{00000000-0005-0000-0000-000094250000}"/>
    <cellStyle name="20% - Accent6 8 3 2" xfId="4001" xr:uid="{00000000-0005-0000-0000-000095250000}"/>
    <cellStyle name="20% - Accent6 8 3 2 2" xfId="4002" xr:uid="{00000000-0005-0000-0000-000096250000}"/>
    <cellStyle name="20% - Accent6 8 3 2 2 2" xfId="15185" xr:uid="{00000000-0005-0000-0000-000097250000}"/>
    <cellStyle name="20% - Accent6 8 3 2 2 3" xfId="19136" xr:uid="{00000000-0005-0000-0000-000098250000}"/>
    <cellStyle name="20% - Accent6 8 3 2 3" xfId="4003" xr:uid="{00000000-0005-0000-0000-000099250000}"/>
    <cellStyle name="20% - Accent6 8 3 2 3 2" xfId="15186" xr:uid="{00000000-0005-0000-0000-00009A250000}"/>
    <cellStyle name="20% - Accent6 8 3 2 3 3" xfId="19137" xr:uid="{00000000-0005-0000-0000-00009B250000}"/>
    <cellStyle name="20% - Accent6 8 3 2 4" xfId="15184" xr:uid="{00000000-0005-0000-0000-00009C250000}"/>
    <cellStyle name="20% - Accent6 8 3 2 5" xfId="19135" xr:uid="{00000000-0005-0000-0000-00009D250000}"/>
    <cellStyle name="20% - Accent6 8 3 3" xfId="4004" xr:uid="{00000000-0005-0000-0000-00009E250000}"/>
    <cellStyle name="20% - Accent6 8 3 3 2" xfId="4005" xr:uid="{00000000-0005-0000-0000-00009F250000}"/>
    <cellStyle name="20% - Accent6 8 3 3 2 2" xfId="15188" xr:uid="{00000000-0005-0000-0000-0000A0250000}"/>
    <cellStyle name="20% - Accent6 8 3 3 2 3" xfId="19139" xr:uid="{00000000-0005-0000-0000-0000A1250000}"/>
    <cellStyle name="20% - Accent6 8 3 3 3" xfId="4006" xr:uid="{00000000-0005-0000-0000-0000A2250000}"/>
    <cellStyle name="20% - Accent6 8 3 3 3 2" xfId="15189" xr:uid="{00000000-0005-0000-0000-0000A3250000}"/>
    <cellStyle name="20% - Accent6 8 3 3 3 3" xfId="19140" xr:uid="{00000000-0005-0000-0000-0000A4250000}"/>
    <cellStyle name="20% - Accent6 8 3 3 4" xfId="15187" xr:uid="{00000000-0005-0000-0000-0000A5250000}"/>
    <cellStyle name="20% - Accent6 8 3 3 5" xfId="19138" xr:uid="{00000000-0005-0000-0000-0000A6250000}"/>
    <cellStyle name="20% - Accent6 8 3 4" xfId="4007" xr:uid="{00000000-0005-0000-0000-0000A7250000}"/>
    <cellStyle name="20% - Accent6 8 3 4 2" xfId="15190" xr:uid="{00000000-0005-0000-0000-0000A8250000}"/>
    <cellStyle name="20% - Accent6 8 3 4 3" xfId="19141" xr:uid="{00000000-0005-0000-0000-0000A9250000}"/>
    <cellStyle name="20% - Accent6 8 3 5" xfId="4008" xr:uid="{00000000-0005-0000-0000-0000AA250000}"/>
    <cellStyle name="20% - Accent6 8 3 5 2" xfId="15191" xr:uid="{00000000-0005-0000-0000-0000AB250000}"/>
    <cellStyle name="20% - Accent6 8 3 5 3" xfId="19142" xr:uid="{00000000-0005-0000-0000-0000AC250000}"/>
    <cellStyle name="20% - Accent6 8 3 6" xfId="15183" xr:uid="{00000000-0005-0000-0000-0000AD250000}"/>
    <cellStyle name="20% - Accent6 8 3 7" xfId="19134" xr:uid="{00000000-0005-0000-0000-0000AE250000}"/>
    <cellStyle name="20% - Accent6 8 3_Volatility" xfId="4009" xr:uid="{00000000-0005-0000-0000-0000AF250000}"/>
    <cellStyle name="20% - Accent6 8 4" xfId="4010" xr:uid="{00000000-0005-0000-0000-0000B0250000}"/>
    <cellStyle name="20% - Accent6 8 4 2" xfId="4011" xr:uid="{00000000-0005-0000-0000-0000B1250000}"/>
    <cellStyle name="20% - Accent6 8 4 2 2" xfId="15193" xr:uid="{00000000-0005-0000-0000-0000B2250000}"/>
    <cellStyle name="20% - Accent6 8 4 2 3" xfId="19144" xr:uid="{00000000-0005-0000-0000-0000B3250000}"/>
    <cellStyle name="20% - Accent6 8 4 3" xfId="4012" xr:uid="{00000000-0005-0000-0000-0000B4250000}"/>
    <cellStyle name="20% - Accent6 8 4 3 2" xfId="15194" xr:uid="{00000000-0005-0000-0000-0000B5250000}"/>
    <cellStyle name="20% - Accent6 8 4 3 3" xfId="19145" xr:uid="{00000000-0005-0000-0000-0000B6250000}"/>
    <cellStyle name="20% - Accent6 8 4 4" xfId="15192" xr:uid="{00000000-0005-0000-0000-0000B7250000}"/>
    <cellStyle name="20% - Accent6 8 4 5" xfId="19143" xr:uid="{00000000-0005-0000-0000-0000B8250000}"/>
    <cellStyle name="20% - Accent6 8 5" xfId="4013" xr:uid="{00000000-0005-0000-0000-0000B9250000}"/>
    <cellStyle name="20% - Accent6 8 5 2" xfId="4014" xr:uid="{00000000-0005-0000-0000-0000BA250000}"/>
    <cellStyle name="20% - Accent6 8 5 2 2" xfId="15196" xr:uid="{00000000-0005-0000-0000-0000BB250000}"/>
    <cellStyle name="20% - Accent6 8 5 2 3" xfId="19147" xr:uid="{00000000-0005-0000-0000-0000BC250000}"/>
    <cellStyle name="20% - Accent6 8 5 3" xfId="4015" xr:uid="{00000000-0005-0000-0000-0000BD250000}"/>
    <cellStyle name="20% - Accent6 8 5 3 2" xfId="15197" xr:uid="{00000000-0005-0000-0000-0000BE250000}"/>
    <cellStyle name="20% - Accent6 8 5 3 3" xfId="19148" xr:uid="{00000000-0005-0000-0000-0000BF250000}"/>
    <cellStyle name="20% - Accent6 8 5 4" xfId="15195" xr:uid="{00000000-0005-0000-0000-0000C0250000}"/>
    <cellStyle name="20% - Accent6 8 5 5" xfId="19146" xr:uid="{00000000-0005-0000-0000-0000C1250000}"/>
    <cellStyle name="20% - Accent6 8 6" xfId="4016" xr:uid="{00000000-0005-0000-0000-0000C2250000}"/>
    <cellStyle name="20% - Accent6 8 6 2" xfId="4017" xr:uid="{00000000-0005-0000-0000-0000C3250000}"/>
    <cellStyle name="20% - Accent6 8 6 2 2" xfId="15199" xr:uid="{00000000-0005-0000-0000-0000C4250000}"/>
    <cellStyle name="20% - Accent6 8 6 2 3" xfId="19150" xr:uid="{00000000-0005-0000-0000-0000C5250000}"/>
    <cellStyle name="20% - Accent6 8 6 3" xfId="4018" xr:uid="{00000000-0005-0000-0000-0000C6250000}"/>
    <cellStyle name="20% - Accent6 8 6 3 2" xfId="15200" xr:uid="{00000000-0005-0000-0000-0000C7250000}"/>
    <cellStyle name="20% - Accent6 8 6 3 3" xfId="19151" xr:uid="{00000000-0005-0000-0000-0000C8250000}"/>
    <cellStyle name="20% - Accent6 8 6 4" xfId="15198" xr:uid="{00000000-0005-0000-0000-0000C9250000}"/>
    <cellStyle name="20% - Accent6 8 6 5" xfId="19149" xr:uid="{00000000-0005-0000-0000-0000CA250000}"/>
    <cellStyle name="20% - Accent6 8 7" xfId="4019" xr:uid="{00000000-0005-0000-0000-0000CB250000}"/>
    <cellStyle name="20% - Accent6 8 7 2" xfId="15201" xr:uid="{00000000-0005-0000-0000-0000CC250000}"/>
    <cellStyle name="20% - Accent6 8 7 3" xfId="19152" xr:uid="{00000000-0005-0000-0000-0000CD250000}"/>
    <cellStyle name="20% - Accent6 8 8" xfId="4020" xr:uid="{00000000-0005-0000-0000-0000CE250000}"/>
    <cellStyle name="20% - Accent6 8 8 2" xfId="15202" xr:uid="{00000000-0005-0000-0000-0000CF250000}"/>
    <cellStyle name="20% - Accent6 8 8 3" xfId="19153" xr:uid="{00000000-0005-0000-0000-0000D0250000}"/>
    <cellStyle name="20% - Accent6 8 9" xfId="15170" xr:uid="{00000000-0005-0000-0000-0000D1250000}"/>
    <cellStyle name="20% - Accent6 8_Volatility" xfId="4021" xr:uid="{00000000-0005-0000-0000-0000D2250000}"/>
    <cellStyle name="20% - Accent6 9" xfId="4022" xr:uid="{00000000-0005-0000-0000-0000D3250000}"/>
    <cellStyle name="20% - Accent6 9 10" xfId="19154" xr:uid="{00000000-0005-0000-0000-0000D4250000}"/>
    <cellStyle name="20% - Accent6 9 2" xfId="4023" xr:uid="{00000000-0005-0000-0000-0000D5250000}"/>
    <cellStyle name="20% - Accent6 9 2 2" xfId="4024" xr:uid="{00000000-0005-0000-0000-0000D6250000}"/>
    <cellStyle name="20% - Accent6 9 2 2 2" xfId="4025" xr:uid="{00000000-0005-0000-0000-0000D7250000}"/>
    <cellStyle name="20% - Accent6 9 2 2 2 2" xfId="15206" xr:uid="{00000000-0005-0000-0000-0000D8250000}"/>
    <cellStyle name="20% - Accent6 9 2 2 2 3" xfId="19157" xr:uid="{00000000-0005-0000-0000-0000D9250000}"/>
    <cellStyle name="20% - Accent6 9 2 2 3" xfId="4026" xr:uid="{00000000-0005-0000-0000-0000DA250000}"/>
    <cellStyle name="20% - Accent6 9 2 2 3 2" xfId="15207" xr:uid="{00000000-0005-0000-0000-0000DB250000}"/>
    <cellStyle name="20% - Accent6 9 2 2 3 3" xfId="19158" xr:uid="{00000000-0005-0000-0000-0000DC250000}"/>
    <cellStyle name="20% - Accent6 9 2 2 4" xfId="15205" xr:uid="{00000000-0005-0000-0000-0000DD250000}"/>
    <cellStyle name="20% - Accent6 9 2 2 5" xfId="19156" xr:uid="{00000000-0005-0000-0000-0000DE250000}"/>
    <cellStyle name="20% - Accent6 9 2 3" xfId="4027" xr:uid="{00000000-0005-0000-0000-0000DF250000}"/>
    <cellStyle name="20% - Accent6 9 2 3 2" xfId="4028" xr:uid="{00000000-0005-0000-0000-0000E0250000}"/>
    <cellStyle name="20% - Accent6 9 2 3 2 2" xfId="15209" xr:uid="{00000000-0005-0000-0000-0000E1250000}"/>
    <cellStyle name="20% - Accent6 9 2 3 2 3" xfId="19160" xr:uid="{00000000-0005-0000-0000-0000E2250000}"/>
    <cellStyle name="20% - Accent6 9 2 3 3" xfId="4029" xr:uid="{00000000-0005-0000-0000-0000E3250000}"/>
    <cellStyle name="20% - Accent6 9 2 3 3 2" xfId="15210" xr:uid="{00000000-0005-0000-0000-0000E4250000}"/>
    <cellStyle name="20% - Accent6 9 2 3 3 3" xfId="19161" xr:uid="{00000000-0005-0000-0000-0000E5250000}"/>
    <cellStyle name="20% - Accent6 9 2 3 4" xfId="15208" xr:uid="{00000000-0005-0000-0000-0000E6250000}"/>
    <cellStyle name="20% - Accent6 9 2 3 5" xfId="19159" xr:uid="{00000000-0005-0000-0000-0000E7250000}"/>
    <cellStyle name="20% - Accent6 9 2 4" xfId="4030" xr:uid="{00000000-0005-0000-0000-0000E8250000}"/>
    <cellStyle name="20% - Accent6 9 2 4 2" xfId="4031" xr:uid="{00000000-0005-0000-0000-0000E9250000}"/>
    <cellStyle name="20% - Accent6 9 2 4 2 2" xfId="15212" xr:uid="{00000000-0005-0000-0000-0000EA250000}"/>
    <cellStyle name="20% - Accent6 9 2 4 2 3" xfId="19163" xr:uid="{00000000-0005-0000-0000-0000EB250000}"/>
    <cellStyle name="20% - Accent6 9 2 4 3" xfId="4032" xr:uid="{00000000-0005-0000-0000-0000EC250000}"/>
    <cellStyle name="20% - Accent6 9 2 4 3 2" xfId="15213" xr:uid="{00000000-0005-0000-0000-0000ED250000}"/>
    <cellStyle name="20% - Accent6 9 2 4 3 3" xfId="19164" xr:uid="{00000000-0005-0000-0000-0000EE250000}"/>
    <cellStyle name="20% - Accent6 9 2 4 4" xfId="15211" xr:uid="{00000000-0005-0000-0000-0000EF250000}"/>
    <cellStyle name="20% - Accent6 9 2 4 5" xfId="19162" xr:uid="{00000000-0005-0000-0000-0000F0250000}"/>
    <cellStyle name="20% - Accent6 9 2 5" xfId="4033" xr:uid="{00000000-0005-0000-0000-0000F1250000}"/>
    <cellStyle name="20% - Accent6 9 2 5 2" xfId="15214" xr:uid="{00000000-0005-0000-0000-0000F2250000}"/>
    <cellStyle name="20% - Accent6 9 2 5 3" xfId="19165" xr:uid="{00000000-0005-0000-0000-0000F3250000}"/>
    <cellStyle name="20% - Accent6 9 2 6" xfId="4034" xr:uid="{00000000-0005-0000-0000-0000F4250000}"/>
    <cellStyle name="20% - Accent6 9 2 6 2" xfId="15215" xr:uid="{00000000-0005-0000-0000-0000F5250000}"/>
    <cellStyle name="20% - Accent6 9 2 6 3" xfId="19166" xr:uid="{00000000-0005-0000-0000-0000F6250000}"/>
    <cellStyle name="20% - Accent6 9 2 7" xfId="15204" xr:uid="{00000000-0005-0000-0000-0000F7250000}"/>
    <cellStyle name="20% - Accent6 9 2 8" xfId="19155" xr:uid="{00000000-0005-0000-0000-0000F8250000}"/>
    <cellStyle name="20% - Accent6 9 2_Volatility" xfId="4035" xr:uid="{00000000-0005-0000-0000-0000F9250000}"/>
    <cellStyle name="20% - Accent6 9 3" xfId="4036" xr:uid="{00000000-0005-0000-0000-0000FA250000}"/>
    <cellStyle name="20% - Accent6 9 3 2" xfId="4037" xr:uid="{00000000-0005-0000-0000-0000FB250000}"/>
    <cellStyle name="20% - Accent6 9 3 2 2" xfId="4038" xr:uid="{00000000-0005-0000-0000-0000FC250000}"/>
    <cellStyle name="20% - Accent6 9 3 2 2 2" xfId="15218" xr:uid="{00000000-0005-0000-0000-0000FD250000}"/>
    <cellStyle name="20% - Accent6 9 3 2 2 3" xfId="19169" xr:uid="{00000000-0005-0000-0000-0000FE250000}"/>
    <cellStyle name="20% - Accent6 9 3 2 3" xfId="4039" xr:uid="{00000000-0005-0000-0000-0000FF250000}"/>
    <cellStyle name="20% - Accent6 9 3 2 3 2" xfId="15219" xr:uid="{00000000-0005-0000-0000-000000260000}"/>
    <cellStyle name="20% - Accent6 9 3 2 3 3" xfId="19170" xr:uid="{00000000-0005-0000-0000-000001260000}"/>
    <cellStyle name="20% - Accent6 9 3 2 4" xfId="15217" xr:uid="{00000000-0005-0000-0000-000002260000}"/>
    <cellStyle name="20% - Accent6 9 3 2 5" xfId="19168" xr:uid="{00000000-0005-0000-0000-000003260000}"/>
    <cellStyle name="20% - Accent6 9 3 3" xfId="4040" xr:uid="{00000000-0005-0000-0000-000004260000}"/>
    <cellStyle name="20% - Accent6 9 3 3 2" xfId="4041" xr:uid="{00000000-0005-0000-0000-000005260000}"/>
    <cellStyle name="20% - Accent6 9 3 3 2 2" xfId="15221" xr:uid="{00000000-0005-0000-0000-000006260000}"/>
    <cellStyle name="20% - Accent6 9 3 3 2 3" xfId="19172" xr:uid="{00000000-0005-0000-0000-000007260000}"/>
    <cellStyle name="20% - Accent6 9 3 3 3" xfId="4042" xr:uid="{00000000-0005-0000-0000-000008260000}"/>
    <cellStyle name="20% - Accent6 9 3 3 3 2" xfId="15222" xr:uid="{00000000-0005-0000-0000-000009260000}"/>
    <cellStyle name="20% - Accent6 9 3 3 3 3" xfId="19173" xr:uid="{00000000-0005-0000-0000-00000A260000}"/>
    <cellStyle name="20% - Accent6 9 3 3 4" xfId="15220" xr:uid="{00000000-0005-0000-0000-00000B260000}"/>
    <cellStyle name="20% - Accent6 9 3 3 5" xfId="19171" xr:uid="{00000000-0005-0000-0000-00000C260000}"/>
    <cellStyle name="20% - Accent6 9 3 4" xfId="4043" xr:uid="{00000000-0005-0000-0000-00000D260000}"/>
    <cellStyle name="20% - Accent6 9 3 4 2" xfId="15223" xr:uid="{00000000-0005-0000-0000-00000E260000}"/>
    <cellStyle name="20% - Accent6 9 3 4 3" xfId="19174" xr:uid="{00000000-0005-0000-0000-00000F260000}"/>
    <cellStyle name="20% - Accent6 9 3 5" xfId="4044" xr:uid="{00000000-0005-0000-0000-000010260000}"/>
    <cellStyle name="20% - Accent6 9 3 5 2" xfId="15224" xr:uid="{00000000-0005-0000-0000-000011260000}"/>
    <cellStyle name="20% - Accent6 9 3 5 3" xfId="19175" xr:uid="{00000000-0005-0000-0000-000012260000}"/>
    <cellStyle name="20% - Accent6 9 3 6" xfId="15216" xr:uid="{00000000-0005-0000-0000-000013260000}"/>
    <cellStyle name="20% - Accent6 9 3 7" xfId="19167" xr:uid="{00000000-0005-0000-0000-000014260000}"/>
    <cellStyle name="20% - Accent6 9 3_Volatility" xfId="4045" xr:uid="{00000000-0005-0000-0000-000015260000}"/>
    <cellStyle name="20% - Accent6 9 4" xfId="4046" xr:uid="{00000000-0005-0000-0000-000016260000}"/>
    <cellStyle name="20% - Accent6 9 4 2" xfId="4047" xr:uid="{00000000-0005-0000-0000-000017260000}"/>
    <cellStyle name="20% - Accent6 9 4 2 2" xfId="15226" xr:uid="{00000000-0005-0000-0000-000018260000}"/>
    <cellStyle name="20% - Accent6 9 4 2 3" xfId="19177" xr:uid="{00000000-0005-0000-0000-000019260000}"/>
    <cellStyle name="20% - Accent6 9 4 3" xfId="4048" xr:uid="{00000000-0005-0000-0000-00001A260000}"/>
    <cellStyle name="20% - Accent6 9 4 3 2" xfId="15227" xr:uid="{00000000-0005-0000-0000-00001B260000}"/>
    <cellStyle name="20% - Accent6 9 4 3 3" xfId="19178" xr:uid="{00000000-0005-0000-0000-00001C260000}"/>
    <cellStyle name="20% - Accent6 9 4 4" xfId="15225" xr:uid="{00000000-0005-0000-0000-00001D260000}"/>
    <cellStyle name="20% - Accent6 9 4 5" xfId="19176" xr:uid="{00000000-0005-0000-0000-00001E260000}"/>
    <cellStyle name="20% - Accent6 9 5" xfId="4049" xr:uid="{00000000-0005-0000-0000-00001F260000}"/>
    <cellStyle name="20% - Accent6 9 5 2" xfId="4050" xr:uid="{00000000-0005-0000-0000-000020260000}"/>
    <cellStyle name="20% - Accent6 9 5 2 2" xfId="15229" xr:uid="{00000000-0005-0000-0000-000021260000}"/>
    <cellStyle name="20% - Accent6 9 5 2 3" xfId="19180" xr:uid="{00000000-0005-0000-0000-000022260000}"/>
    <cellStyle name="20% - Accent6 9 5 3" xfId="4051" xr:uid="{00000000-0005-0000-0000-000023260000}"/>
    <cellStyle name="20% - Accent6 9 5 3 2" xfId="15230" xr:uid="{00000000-0005-0000-0000-000024260000}"/>
    <cellStyle name="20% - Accent6 9 5 3 3" xfId="19181" xr:uid="{00000000-0005-0000-0000-000025260000}"/>
    <cellStyle name="20% - Accent6 9 5 4" xfId="15228" xr:uid="{00000000-0005-0000-0000-000026260000}"/>
    <cellStyle name="20% - Accent6 9 5 5" xfId="19179" xr:uid="{00000000-0005-0000-0000-000027260000}"/>
    <cellStyle name="20% - Accent6 9 6" xfId="4052" xr:uid="{00000000-0005-0000-0000-000028260000}"/>
    <cellStyle name="20% - Accent6 9 6 2" xfId="4053" xr:uid="{00000000-0005-0000-0000-000029260000}"/>
    <cellStyle name="20% - Accent6 9 6 2 2" xfId="15232" xr:uid="{00000000-0005-0000-0000-00002A260000}"/>
    <cellStyle name="20% - Accent6 9 6 2 3" xfId="19183" xr:uid="{00000000-0005-0000-0000-00002B260000}"/>
    <cellStyle name="20% - Accent6 9 6 3" xfId="4054" xr:uid="{00000000-0005-0000-0000-00002C260000}"/>
    <cellStyle name="20% - Accent6 9 6 3 2" xfId="15233" xr:uid="{00000000-0005-0000-0000-00002D260000}"/>
    <cellStyle name="20% - Accent6 9 6 3 3" xfId="19184" xr:uid="{00000000-0005-0000-0000-00002E260000}"/>
    <cellStyle name="20% - Accent6 9 6 4" xfId="15231" xr:uid="{00000000-0005-0000-0000-00002F260000}"/>
    <cellStyle name="20% - Accent6 9 6 5" xfId="19182" xr:uid="{00000000-0005-0000-0000-000030260000}"/>
    <cellStyle name="20% - Accent6 9 7" xfId="4055" xr:uid="{00000000-0005-0000-0000-000031260000}"/>
    <cellStyle name="20% - Accent6 9 7 2" xfId="15234" xr:uid="{00000000-0005-0000-0000-000032260000}"/>
    <cellStyle name="20% - Accent6 9 7 3" xfId="19185" xr:uid="{00000000-0005-0000-0000-000033260000}"/>
    <cellStyle name="20% - Accent6 9 8" xfId="4056" xr:uid="{00000000-0005-0000-0000-000034260000}"/>
    <cellStyle name="20% - Accent6 9 8 2" xfId="15235" xr:uid="{00000000-0005-0000-0000-000035260000}"/>
    <cellStyle name="20% - Accent6 9 8 3" xfId="19186" xr:uid="{00000000-0005-0000-0000-000036260000}"/>
    <cellStyle name="20% - Accent6 9 9" xfId="15203" xr:uid="{00000000-0005-0000-0000-000037260000}"/>
    <cellStyle name="20% - Accent6 9_Volatility" xfId="4057" xr:uid="{00000000-0005-0000-0000-000038260000}"/>
    <cellStyle name="20% - Ênfase1" xfId="4058" xr:uid="{00000000-0005-0000-0000-000039260000}"/>
    <cellStyle name="20% - Ênfase2" xfId="4059" xr:uid="{00000000-0005-0000-0000-00003A260000}"/>
    <cellStyle name="20% - Ênfase3" xfId="4060" xr:uid="{00000000-0005-0000-0000-00003B260000}"/>
    <cellStyle name="20% - Ênfase4" xfId="4061" xr:uid="{00000000-0005-0000-0000-00003C260000}"/>
    <cellStyle name="20% - Ênfase5" xfId="4062" xr:uid="{00000000-0005-0000-0000-00003D260000}"/>
    <cellStyle name="20% - Ênfase6" xfId="4063" xr:uid="{00000000-0005-0000-0000-00003E260000}"/>
    <cellStyle name="20% - Énfasis1" xfId="4064" xr:uid="{00000000-0005-0000-0000-00003F260000}"/>
    <cellStyle name="20% - Énfasis2" xfId="4065" xr:uid="{00000000-0005-0000-0000-000040260000}"/>
    <cellStyle name="20% - Énfasis3" xfId="4066" xr:uid="{00000000-0005-0000-0000-000041260000}"/>
    <cellStyle name="20% - Énfasis4" xfId="4067" xr:uid="{00000000-0005-0000-0000-000042260000}"/>
    <cellStyle name="20% - Énfasis5" xfId="4068" xr:uid="{00000000-0005-0000-0000-000043260000}"/>
    <cellStyle name="20% - Énfasis6" xfId="4069" xr:uid="{00000000-0005-0000-0000-000044260000}"/>
    <cellStyle name="20% - 강조색1" xfId="4070" xr:uid="{00000000-0005-0000-0000-000045260000}"/>
    <cellStyle name="20% - 강조색1 2" xfId="4071" xr:uid="{00000000-0005-0000-0000-000046260000}"/>
    <cellStyle name="20% - 강조색2" xfId="4072" xr:uid="{00000000-0005-0000-0000-000047260000}"/>
    <cellStyle name="20% - 강조색2 2" xfId="4073" xr:uid="{00000000-0005-0000-0000-000048260000}"/>
    <cellStyle name="20% - 강조색3" xfId="4074" xr:uid="{00000000-0005-0000-0000-000049260000}"/>
    <cellStyle name="20% - 강조색3 2" xfId="4075" xr:uid="{00000000-0005-0000-0000-00004A260000}"/>
    <cellStyle name="20% - 강조색4" xfId="4076" xr:uid="{00000000-0005-0000-0000-00004B260000}"/>
    <cellStyle name="20% - 강조색4 2" xfId="4077" xr:uid="{00000000-0005-0000-0000-00004C260000}"/>
    <cellStyle name="20% - 강조색5" xfId="4078" xr:uid="{00000000-0005-0000-0000-00004D260000}"/>
    <cellStyle name="20% - 강조색5 2" xfId="4079" xr:uid="{00000000-0005-0000-0000-00004E260000}"/>
    <cellStyle name="20% - 강조색6" xfId="4080" xr:uid="{00000000-0005-0000-0000-00004F260000}"/>
    <cellStyle name="20% - 강조색6 2" xfId="4081" xr:uid="{00000000-0005-0000-0000-000050260000}"/>
    <cellStyle name="2DecimalPercent" xfId="4082" xr:uid="{00000000-0005-0000-0000-000051260000}"/>
    <cellStyle name="2DecimalPercent 2" xfId="4083" xr:uid="{00000000-0005-0000-0000-000052260000}"/>
    <cellStyle name="2DecimalPercent 2 2" xfId="4084" xr:uid="{00000000-0005-0000-0000-000053260000}"/>
    <cellStyle name="2DecimalPercent 3" xfId="4085" xr:uid="{00000000-0005-0000-0000-000054260000}"/>
    <cellStyle name="2DecimalPercent 4" xfId="4086" xr:uid="{00000000-0005-0000-0000-000055260000}"/>
    <cellStyle name="2DecimalPercent 5" xfId="4087" xr:uid="{00000000-0005-0000-0000-000056260000}"/>
    <cellStyle name="2Decimals" xfId="4088" xr:uid="{00000000-0005-0000-0000-000057260000}"/>
    <cellStyle name="2Decimals 2" xfId="4089" xr:uid="{00000000-0005-0000-0000-000058260000}"/>
    <cellStyle name="2Decimals 2 2" xfId="4090" xr:uid="{00000000-0005-0000-0000-000059260000}"/>
    <cellStyle name="2Decimals 3" xfId="4091" xr:uid="{00000000-0005-0000-0000-00005A260000}"/>
    <cellStyle name="2Decimals 4" xfId="4092" xr:uid="{00000000-0005-0000-0000-00005B260000}"/>
    <cellStyle name="2Decimals 5" xfId="4093" xr:uid="{00000000-0005-0000-0000-00005C260000}"/>
    <cellStyle name="2places" xfId="4094" xr:uid="{00000000-0005-0000-0000-00005D260000}"/>
    <cellStyle name="³f¹ô[0]_P721-Spd" xfId="4095" xr:uid="{00000000-0005-0000-0000-00005E260000}"/>
    <cellStyle name="³f¹ô_P721-Spd" xfId="4096" xr:uid="{00000000-0005-0000-0000-00005F260000}"/>
    <cellStyle name="4 spaces" xfId="16346" xr:uid="{00000000-0005-0000-0000-000060260000}"/>
    <cellStyle name="40% - Accent1 10" xfId="4097" xr:uid="{00000000-0005-0000-0000-000061260000}"/>
    <cellStyle name="40% - Accent1 10 10" xfId="19187" xr:uid="{00000000-0005-0000-0000-000062260000}"/>
    <cellStyle name="40% - Accent1 10 2" xfId="4098" xr:uid="{00000000-0005-0000-0000-000063260000}"/>
    <cellStyle name="40% - Accent1 10 2 2" xfId="4099" xr:uid="{00000000-0005-0000-0000-000064260000}"/>
    <cellStyle name="40% - Accent1 10 2 2 2" xfId="4100" xr:uid="{00000000-0005-0000-0000-000065260000}"/>
    <cellStyle name="40% - Accent1 10 2 2 2 2" xfId="15239" xr:uid="{00000000-0005-0000-0000-000066260000}"/>
    <cellStyle name="40% - Accent1 10 2 2 2 3" xfId="19190" xr:uid="{00000000-0005-0000-0000-000067260000}"/>
    <cellStyle name="40% - Accent1 10 2 2 3" xfId="4101" xr:uid="{00000000-0005-0000-0000-000068260000}"/>
    <cellStyle name="40% - Accent1 10 2 2 3 2" xfId="15240" xr:uid="{00000000-0005-0000-0000-000069260000}"/>
    <cellStyle name="40% - Accent1 10 2 2 3 3" xfId="19191" xr:uid="{00000000-0005-0000-0000-00006A260000}"/>
    <cellStyle name="40% - Accent1 10 2 2 4" xfId="15238" xr:uid="{00000000-0005-0000-0000-00006B260000}"/>
    <cellStyle name="40% - Accent1 10 2 2 5" xfId="19189" xr:uid="{00000000-0005-0000-0000-00006C260000}"/>
    <cellStyle name="40% - Accent1 10 2 3" xfId="4102" xr:uid="{00000000-0005-0000-0000-00006D260000}"/>
    <cellStyle name="40% - Accent1 10 2 3 2" xfId="4103" xr:uid="{00000000-0005-0000-0000-00006E260000}"/>
    <cellStyle name="40% - Accent1 10 2 3 2 2" xfId="15242" xr:uid="{00000000-0005-0000-0000-00006F260000}"/>
    <cellStyle name="40% - Accent1 10 2 3 2 3" xfId="19193" xr:uid="{00000000-0005-0000-0000-000070260000}"/>
    <cellStyle name="40% - Accent1 10 2 3 3" xfId="4104" xr:uid="{00000000-0005-0000-0000-000071260000}"/>
    <cellStyle name="40% - Accent1 10 2 3 3 2" xfId="15243" xr:uid="{00000000-0005-0000-0000-000072260000}"/>
    <cellStyle name="40% - Accent1 10 2 3 3 3" xfId="19194" xr:uid="{00000000-0005-0000-0000-000073260000}"/>
    <cellStyle name="40% - Accent1 10 2 3 4" xfId="15241" xr:uid="{00000000-0005-0000-0000-000074260000}"/>
    <cellStyle name="40% - Accent1 10 2 3 5" xfId="19192" xr:uid="{00000000-0005-0000-0000-000075260000}"/>
    <cellStyle name="40% - Accent1 10 2 4" xfId="4105" xr:uid="{00000000-0005-0000-0000-000076260000}"/>
    <cellStyle name="40% - Accent1 10 2 4 2" xfId="4106" xr:uid="{00000000-0005-0000-0000-000077260000}"/>
    <cellStyle name="40% - Accent1 10 2 4 2 2" xfId="15245" xr:uid="{00000000-0005-0000-0000-000078260000}"/>
    <cellStyle name="40% - Accent1 10 2 4 2 3" xfId="19196" xr:uid="{00000000-0005-0000-0000-000079260000}"/>
    <cellStyle name="40% - Accent1 10 2 4 3" xfId="4107" xr:uid="{00000000-0005-0000-0000-00007A260000}"/>
    <cellStyle name="40% - Accent1 10 2 4 3 2" xfId="15246" xr:uid="{00000000-0005-0000-0000-00007B260000}"/>
    <cellStyle name="40% - Accent1 10 2 4 3 3" xfId="19197" xr:uid="{00000000-0005-0000-0000-00007C260000}"/>
    <cellStyle name="40% - Accent1 10 2 4 4" xfId="15244" xr:uid="{00000000-0005-0000-0000-00007D260000}"/>
    <cellStyle name="40% - Accent1 10 2 4 5" xfId="19195" xr:uid="{00000000-0005-0000-0000-00007E260000}"/>
    <cellStyle name="40% - Accent1 10 2 5" xfId="4108" xr:uid="{00000000-0005-0000-0000-00007F260000}"/>
    <cellStyle name="40% - Accent1 10 2 5 2" xfId="15247" xr:uid="{00000000-0005-0000-0000-000080260000}"/>
    <cellStyle name="40% - Accent1 10 2 5 3" xfId="19198" xr:uid="{00000000-0005-0000-0000-000081260000}"/>
    <cellStyle name="40% - Accent1 10 2 6" xfId="4109" xr:uid="{00000000-0005-0000-0000-000082260000}"/>
    <cellStyle name="40% - Accent1 10 2 6 2" xfId="15248" xr:uid="{00000000-0005-0000-0000-000083260000}"/>
    <cellStyle name="40% - Accent1 10 2 6 3" xfId="19199" xr:uid="{00000000-0005-0000-0000-000084260000}"/>
    <cellStyle name="40% - Accent1 10 2 7" xfId="15237" xr:uid="{00000000-0005-0000-0000-000085260000}"/>
    <cellStyle name="40% - Accent1 10 2 8" xfId="19188" xr:uid="{00000000-0005-0000-0000-000086260000}"/>
    <cellStyle name="40% - Accent1 10 2_Volatility" xfId="4110" xr:uid="{00000000-0005-0000-0000-000087260000}"/>
    <cellStyle name="40% - Accent1 10 3" xfId="4111" xr:uid="{00000000-0005-0000-0000-000088260000}"/>
    <cellStyle name="40% - Accent1 10 3 2" xfId="4112" xr:uid="{00000000-0005-0000-0000-000089260000}"/>
    <cellStyle name="40% - Accent1 10 3 2 2" xfId="4113" xr:uid="{00000000-0005-0000-0000-00008A260000}"/>
    <cellStyle name="40% - Accent1 10 3 2 2 2" xfId="15251" xr:uid="{00000000-0005-0000-0000-00008B260000}"/>
    <cellStyle name="40% - Accent1 10 3 2 2 3" xfId="19202" xr:uid="{00000000-0005-0000-0000-00008C260000}"/>
    <cellStyle name="40% - Accent1 10 3 2 3" xfId="4114" xr:uid="{00000000-0005-0000-0000-00008D260000}"/>
    <cellStyle name="40% - Accent1 10 3 2 3 2" xfId="15252" xr:uid="{00000000-0005-0000-0000-00008E260000}"/>
    <cellStyle name="40% - Accent1 10 3 2 3 3" xfId="19203" xr:uid="{00000000-0005-0000-0000-00008F260000}"/>
    <cellStyle name="40% - Accent1 10 3 2 4" xfId="15250" xr:uid="{00000000-0005-0000-0000-000090260000}"/>
    <cellStyle name="40% - Accent1 10 3 2 5" xfId="19201" xr:uid="{00000000-0005-0000-0000-000091260000}"/>
    <cellStyle name="40% - Accent1 10 3 3" xfId="4115" xr:uid="{00000000-0005-0000-0000-000092260000}"/>
    <cellStyle name="40% - Accent1 10 3 3 2" xfId="4116" xr:uid="{00000000-0005-0000-0000-000093260000}"/>
    <cellStyle name="40% - Accent1 10 3 3 2 2" xfId="15254" xr:uid="{00000000-0005-0000-0000-000094260000}"/>
    <cellStyle name="40% - Accent1 10 3 3 2 3" xfId="19205" xr:uid="{00000000-0005-0000-0000-000095260000}"/>
    <cellStyle name="40% - Accent1 10 3 3 3" xfId="4117" xr:uid="{00000000-0005-0000-0000-000096260000}"/>
    <cellStyle name="40% - Accent1 10 3 3 3 2" xfId="15255" xr:uid="{00000000-0005-0000-0000-000097260000}"/>
    <cellStyle name="40% - Accent1 10 3 3 3 3" xfId="19206" xr:uid="{00000000-0005-0000-0000-000098260000}"/>
    <cellStyle name="40% - Accent1 10 3 3 4" xfId="15253" xr:uid="{00000000-0005-0000-0000-000099260000}"/>
    <cellStyle name="40% - Accent1 10 3 3 5" xfId="19204" xr:uid="{00000000-0005-0000-0000-00009A260000}"/>
    <cellStyle name="40% - Accent1 10 3 4" xfId="4118" xr:uid="{00000000-0005-0000-0000-00009B260000}"/>
    <cellStyle name="40% - Accent1 10 3 4 2" xfId="15256" xr:uid="{00000000-0005-0000-0000-00009C260000}"/>
    <cellStyle name="40% - Accent1 10 3 4 3" xfId="19207" xr:uid="{00000000-0005-0000-0000-00009D260000}"/>
    <cellStyle name="40% - Accent1 10 3 5" xfId="4119" xr:uid="{00000000-0005-0000-0000-00009E260000}"/>
    <cellStyle name="40% - Accent1 10 3 5 2" xfId="15257" xr:uid="{00000000-0005-0000-0000-00009F260000}"/>
    <cellStyle name="40% - Accent1 10 3 5 3" xfId="19208" xr:uid="{00000000-0005-0000-0000-0000A0260000}"/>
    <cellStyle name="40% - Accent1 10 3 6" xfId="15249" xr:uid="{00000000-0005-0000-0000-0000A1260000}"/>
    <cellStyle name="40% - Accent1 10 3 7" xfId="19200" xr:uid="{00000000-0005-0000-0000-0000A2260000}"/>
    <cellStyle name="40% - Accent1 10 3_Volatility" xfId="4120" xr:uid="{00000000-0005-0000-0000-0000A3260000}"/>
    <cellStyle name="40% - Accent1 10 4" xfId="4121" xr:uid="{00000000-0005-0000-0000-0000A4260000}"/>
    <cellStyle name="40% - Accent1 10 4 2" xfId="4122" xr:uid="{00000000-0005-0000-0000-0000A5260000}"/>
    <cellStyle name="40% - Accent1 10 4 2 2" xfId="15259" xr:uid="{00000000-0005-0000-0000-0000A6260000}"/>
    <cellStyle name="40% - Accent1 10 4 2 3" xfId="19210" xr:uid="{00000000-0005-0000-0000-0000A7260000}"/>
    <cellStyle name="40% - Accent1 10 4 3" xfId="4123" xr:uid="{00000000-0005-0000-0000-0000A8260000}"/>
    <cellStyle name="40% - Accent1 10 4 3 2" xfId="15260" xr:uid="{00000000-0005-0000-0000-0000A9260000}"/>
    <cellStyle name="40% - Accent1 10 4 3 3" xfId="19211" xr:uid="{00000000-0005-0000-0000-0000AA260000}"/>
    <cellStyle name="40% - Accent1 10 4 4" xfId="15258" xr:uid="{00000000-0005-0000-0000-0000AB260000}"/>
    <cellStyle name="40% - Accent1 10 4 5" xfId="19209" xr:uid="{00000000-0005-0000-0000-0000AC260000}"/>
    <cellStyle name="40% - Accent1 10 5" xfId="4124" xr:uid="{00000000-0005-0000-0000-0000AD260000}"/>
    <cellStyle name="40% - Accent1 10 5 2" xfId="4125" xr:uid="{00000000-0005-0000-0000-0000AE260000}"/>
    <cellStyle name="40% - Accent1 10 5 2 2" xfId="15262" xr:uid="{00000000-0005-0000-0000-0000AF260000}"/>
    <cellStyle name="40% - Accent1 10 5 2 3" xfId="19213" xr:uid="{00000000-0005-0000-0000-0000B0260000}"/>
    <cellStyle name="40% - Accent1 10 5 3" xfId="4126" xr:uid="{00000000-0005-0000-0000-0000B1260000}"/>
    <cellStyle name="40% - Accent1 10 5 3 2" xfId="15263" xr:uid="{00000000-0005-0000-0000-0000B2260000}"/>
    <cellStyle name="40% - Accent1 10 5 3 3" xfId="19214" xr:uid="{00000000-0005-0000-0000-0000B3260000}"/>
    <cellStyle name="40% - Accent1 10 5 4" xfId="15261" xr:uid="{00000000-0005-0000-0000-0000B4260000}"/>
    <cellStyle name="40% - Accent1 10 5 5" xfId="19212" xr:uid="{00000000-0005-0000-0000-0000B5260000}"/>
    <cellStyle name="40% - Accent1 10 6" xfId="4127" xr:uid="{00000000-0005-0000-0000-0000B6260000}"/>
    <cellStyle name="40% - Accent1 10 6 2" xfId="4128" xr:uid="{00000000-0005-0000-0000-0000B7260000}"/>
    <cellStyle name="40% - Accent1 10 6 2 2" xfId="15265" xr:uid="{00000000-0005-0000-0000-0000B8260000}"/>
    <cellStyle name="40% - Accent1 10 6 2 3" xfId="19216" xr:uid="{00000000-0005-0000-0000-0000B9260000}"/>
    <cellStyle name="40% - Accent1 10 6 3" xfId="4129" xr:uid="{00000000-0005-0000-0000-0000BA260000}"/>
    <cellStyle name="40% - Accent1 10 6 3 2" xfId="15266" xr:uid="{00000000-0005-0000-0000-0000BB260000}"/>
    <cellStyle name="40% - Accent1 10 6 3 3" xfId="19217" xr:uid="{00000000-0005-0000-0000-0000BC260000}"/>
    <cellStyle name="40% - Accent1 10 6 4" xfId="15264" xr:uid="{00000000-0005-0000-0000-0000BD260000}"/>
    <cellStyle name="40% - Accent1 10 6 5" xfId="19215" xr:uid="{00000000-0005-0000-0000-0000BE260000}"/>
    <cellStyle name="40% - Accent1 10 7" xfId="4130" xr:uid="{00000000-0005-0000-0000-0000BF260000}"/>
    <cellStyle name="40% - Accent1 10 7 2" xfId="15267" xr:uid="{00000000-0005-0000-0000-0000C0260000}"/>
    <cellStyle name="40% - Accent1 10 7 3" xfId="19218" xr:uid="{00000000-0005-0000-0000-0000C1260000}"/>
    <cellStyle name="40% - Accent1 10 8" xfId="4131" xr:uid="{00000000-0005-0000-0000-0000C2260000}"/>
    <cellStyle name="40% - Accent1 10 8 2" xfId="15268" xr:uid="{00000000-0005-0000-0000-0000C3260000}"/>
    <cellStyle name="40% - Accent1 10 8 3" xfId="19219" xr:uid="{00000000-0005-0000-0000-0000C4260000}"/>
    <cellStyle name="40% - Accent1 10 9" xfId="15236" xr:uid="{00000000-0005-0000-0000-0000C5260000}"/>
    <cellStyle name="40% - Accent1 10_Volatility" xfId="4132" xr:uid="{00000000-0005-0000-0000-0000C6260000}"/>
    <cellStyle name="40% - Accent1 11" xfId="4133" xr:uid="{00000000-0005-0000-0000-0000C7260000}"/>
    <cellStyle name="40% - Accent1 11 10" xfId="19220" xr:uid="{00000000-0005-0000-0000-0000C8260000}"/>
    <cellStyle name="40% - Accent1 11 2" xfId="4134" xr:uid="{00000000-0005-0000-0000-0000C9260000}"/>
    <cellStyle name="40% - Accent1 11 2 2" xfId="4135" xr:uid="{00000000-0005-0000-0000-0000CA260000}"/>
    <cellStyle name="40% - Accent1 11 2 2 2" xfId="4136" xr:uid="{00000000-0005-0000-0000-0000CB260000}"/>
    <cellStyle name="40% - Accent1 11 2 2 2 2" xfId="15272" xr:uid="{00000000-0005-0000-0000-0000CC260000}"/>
    <cellStyle name="40% - Accent1 11 2 2 2 3" xfId="19223" xr:uid="{00000000-0005-0000-0000-0000CD260000}"/>
    <cellStyle name="40% - Accent1 11 2 2 3" xfId="4137" xr:uid="{00000000-0005-0000-0000-0000CE260000}"/>
    <cellStyle name="40% - Accent1 11 2 2 3 2" xfId="15273" xr:uid="{00000000-0005-0000-0000-0000CF260000}"/>
    <cellStyle name="40% - Accent1 11 2 2 3 3" xfId="19224" xr:uid="{00000000-0005-0000-0000-0000D0260000}"/>
    <cellStyle name="40% - Accent1 11 2 2 4" xfId="15271" xr:uid="{00000000-0005-0000-0000-0000D1260000}"/>
    <cellStyle name="40% - Accent1 11 2 2 5" xfId="19222" xr:uid="{00000000-0005-0000-0000-0000D2260000}"/>
    <cellStyle name="40% - Accent1 11 2 3" xfId="4138" xr:uid="{00000000-0005-0000-0000-0000D3260000}"/>
    <cellStyle name="40% - Accent1 11 2 3 2" xfId="4139" xr:uid="{00000000-0005-0000-0000-0000D4260000}"/>
    <cellStyle name="40% - Accent1 11 2 3 2 2" xfId="15275" xr:uid="{00000000-0005-0000-0000-0000D5260000}"/>
    <cellStyle name="40% - Accent1 11 2 3 2 3" xfId="19226" xr:uid="{00000000-0005-0000-0000-0000D6260000}"/>
    <cellStyle name="40% - Accent1 11 2 3 3" xfId="4140" xr:uid="{00000000-0005-0000-0000-0000D7260000}"/>
    <cellStyle name="40% - Accent1 11 2 3 3 2" xfId="15276" xr:uid="{00000000-0005-0000-0000-0000D8260000}"/>
    <cellStyle name="40% - Accent1 11 2 3 3 3" xfId="19227" xr:uid="{00000000-0005-0000-0000-0000D9260000}"/>
    <cellStyle name="40% - Accent1 11 2 3 4" xfId="15274" xr:uid="{00000000-0005-0000-0000-0000DA260000}"/>
    <cellStyle name="40% - Accent1 11 2 3 5" xfId="19225" xr:uid="{00000000-0005-0000-0000-0000DB260000}"/>
    <cellStyle name="40% - Accent1 11 2 4" xfId="4141" xr:uid="{00000000-0005-0000-0000-0000DC260000}"/>
    <cellStyle name="40% - Accent1 11 2 4 2" xfId="4142" xr:uid="{00000000-0005-0000-0000-0000DD260000}"/>
    <cellStyle name="40% - Accent1 11 2 4 2 2" xfId="15278" xr:uid="{00000000-0005-0000-0000-0000DE260000}"/>
    <cellStyle name="40% - Accent1 11 2 4 2 3" xfId="19229" xr:uid="{00000000-0005-0000-0000-0000DF260000}"/>
    <cellStyle name="40% - Accent1 11 2 4 3" xfId="4143" xr:uid="{00000000-0005-0000-0000-0000E0260000}"/>
    <cellStyle name="40% - Accent1 11 2 4 3 2" xfId="15279" xr:uid="{00000000-0005-0000-0000-0000E1260000}"/>
    <cellStyle name="40% - Accent1 11 2 4 3 3" xfId="19230" xr:uid="{00000000-0005-0000-0000-0000E2260000}"/>
    <cellStyle name="40% - Accent1 11 2 4 4" xfId="15277" xr:uid="{00000000-0005-0000-0000-0000E3260000}"/>
    <cellStyle name="40% - Accent1 11 2 4 5" xfId="19228" xr:uid="{00000000-0005-0000-0000-0000E4260000}"/>
    <cellStyle name="40% - Accent1 11 2 5" xfId="4144" xr:uid="{00000000-0005-0000-0000-0000E5260000}"/>
    <cellStyle name="40% - Accent1 11 2 5 2" xfId="15280" xr:uid="{00000000-0005-0000-0000-0000E6260000}"/>
    <cellStyle name="40% - Accent1 11 2 5 3" xfId="19231" xr:uid="{00000000-0005-0000-0000-0000E7260000}"/>
    <cellStyle name="40% - Accent1 11 2 6" xfId="4145" xr:uid="{00000000-0005-0000-0000-0000E8260000}"/>
    <cellStyle name="40% - Accent1 11 2 6 2" xfId="15281" xr:uid="{00000000-0005-0000-0000-0000E9260000}"/>
    <cellStyle name="40% - Accent1 11 2 6 3" xfId="19232" xr:uid="{00000000-0005-0000-0000-0000EA260000}"/>
    <cellStyle name="40% - Accent1 11 2 7" xfId="15270" xr:uid="{00000000-0005-0000-0000-0000EB260000}"/>
    <cellStyle name="40% - Accent1 11 2 8" xfId="19221" xr:uid="{00000000-0005-0000-0000-0000EC260000}"/>
    <cellStyle name="40% - Accent1 11 2_Volatility" xfId="4146" xr:uid="{00000000-0005-0000-0000-0000ED260000}"/>
    <cellStyle name="40% - Accent1 11 3" xfId="4147" xr:uid="{00000000-0005-0000-0000-0000EE260000}"/>
    <cellStyle name="40% - Accent1 11 3 2" xfId="4148" xr:uid="{00000000-0005-0000-0000-0000EF260000}"/>
    <cellStyle name="40% - Accent1 11 3 2 2" xfId="4149" xr:uid="{00000000-0005-0000-0000-0000F0260000}"/>
    <cellStyle name="40% - Accent1 11 3 2 2 2" xfId="15284" xr:uid="{00000000-0005-0000-0000-0000F1260000}"/>
    <cellStyle name="40% - Accent1 11 3 2 2 3" xfId="19235" xr:uid="{00000000-0005-0000-0000-0000F2260000}"/>
    <cellStyle name="40% - Accent1 11 3 2 3" xfId="4150" xr:uid="{00000000-0005-0000-0000-0000F3260000}"/>
    <cellStyle name="40% - Accent1 11 3 2 3 2" xfId="15285" xr:uid="{00000000-0005-0000-0000-0000F4260000}"/>
    <cellStyle name="40% - Accent1 11 3 2 3 3" xfId="19236" xr:uid="{00000000-0005-0000-0000-0000F5260000}"/>
    <cellStyle name="40% - Accent1 11 3 2 4" xfId="15283" xr:uid="{00000000-0005-0000-0000-0000F6260000}"/>
    <cellStyle name="40% - Accent1 11 3 2 5" xfId="19234" xr:uid="{00000000-0005-0000-0000-0000F7260000}"/>
    <cellStyle name="40% - Accent1 11 3 3" xfId="4151" xr:uid="{00000000-0005-0000-0000-0000F8260000}"/>
    <cellStyle name="40% - Accent1 11 3 3 2" xfId="4152" xr:uid="{00000000-0005-0000-0000-0000F9260000}"/>
    <cellStyle name="40% - Accent1 11 3 3 2 2" xfId="15287" xr:uid="{00000000-0005-0000-0000-0000FA260000}"/>
    <cellStyle name="40% - Accent1 11 3 3 2 3" xfId="19238" xr:uid="{00000000-0005-0000-0000-0000FB260000}"/>
    <cellStyle name="40% - Accent1 11 3 3 3" xfId="4153" xr:uid="{00000000-0005-0000-0000-0000FC260000}"/>
    <cellStyle name="40% - Accent1 11 3 3 3 2" xfId="15288" xr:uid="{00000000-0005-0000-0000-0000FD260000}"/>
    <cellStyle name="40% - Accent1 11 3 3 3 3" xfId="19239" xr:uid="{00000000-0005-0000-0000-0000FE260000}"/>
    <cellStyle name="40% - Accent1 11 3 3 4" xfId="15286" xr:uid="{00000000-0005-0000-0000-0000FF260000}"/>
    <cellStyle name="40% - Accent1 11 3 3 5" xfId="19237" xr:uid="{00000000-0005-0000-0000-000000270000}"/>
    <cellStyle name="40% - Accent1 11 3 4" xfId="4154" xr:uid="{00000000-0005-0000-0000-000001270000}"/>
    <cellStyle name="40% - Accent1 11 3 4 2" xfId="15289" xr:uid="{00000000-0005-0000-0000-000002270000}"/>
    <cellStyle name="40% - Accent1 11 3 4 3" xfId="19240" xr:uid="{00000000-0005-0000-0000-000003270000}"/>
    <cellStyle name="40% - Accent1 11 3 5" xfId="4155" xr:uid="{00000000-0005-0000-0000-000004270000}"/>
    <cellStyle name="40% - Accent1 11 3 5 2" xfId="15290" xr:uid="{00000000-0005-0000-0000-000005270000}"/>
    <cellStyle name="40% - Accent1 11 3 5 3" xfId="19241" xr:uid="{00000000-0005-0000-0000-000006270000}"/>
    <cellStyle name="40% - Accent1 11 3 6" xfId="15282" xr:uid="{00000000-0005-0000-0000-000007270000}"/>
    <cellStyle name="40% - Accent1 11 3 7" xfId="19233" xr:uid="{00000000-0005-0000-0000-000008270000}"/>
    <cellStyle name="40% - Accent1 11 3_Volatility" xfId="4156" xr:uid="{00000000-0005-0000-0000-000009270000}"/>
    <cellStyle name="40% - Accent1 11 4" xfId="4157" xr:uid="{00000000-0005-0000-0000-00000A270000}"/>
    <cellStyle name="40% - Accent1 11 4 2" xfId="4158" xr:uid="{00000000-0005-0000-0000-00000B270000}"/>
    <cellStyle name="40% - Accent1 11 4 2 2" xfId="15292" xr:uid="{00000000-0005-0000-0000-00000C270000}"/>
    <cellStyle name="40% - Accent1 11 4 2 3" xfId="19243" xr:uid="{00000000-0005-0000-0000-00000D270000}"/>
    <cellStyle name="40% - Accent1 11 4 3" xfId="4159" xr:uid="{00000000-0005-0000-0000-00000E270000}"/>
    <cellStyle name="40% - Accent1 11 4 3 2" xfId="15293" xr:uid="{00000000-0005-0000-0000-00000F270000}"/>
    <cellStyle name="40% - Accent1 11 4 3 3" xfId="19244" xr:uid="{00000000-0005-0000-0000-000010270000}"/>
    <cellStyle name="40% - Accent1 11 4 4" xfId="15291" xr:uid="{00000000-0005-0000-0000-000011270000}"/>
    <cellStyle name="40% - Accent1 11 4 5" xfId="19242" xr:uid="{00000000-0005-0000-0000-000012270000}"/>
    <cellStyle name="40% - Accent1 11 5" xfId="4160" xr:uid="{00000000-0005-0000-0000-000013270000}"/>
    <cellStyle name="40% - Accent1 11 5 2" xfId="4161" xr:uid="{00000000-0005-0000-0000-000014270000}"/>
    <cellStyle name="40% - Accent1 11 5 2 2" xfId="15295" xr:uid="{00000000-0005-0000-0000-000015270000}"/>
    <cellStyle name="40% - Accent1 11 5 2 3" xfId="19246" xr:uid="{00000000-0005-0000-0000-000016270000}"/>
    <cellStyle name="40% - Accent1 11 5 3" xfId="4162" xr:uid="{00000000-0005-0000-0000-000017270000}"/>
    <cellStyle name="40% - Accent1 11 5 3 2" xfId="15296" xr:uid="{00000000-0005-0000-0000-000018270000}"/>
    <cellStyle name="40% - Accent1 11 5 3 3" xfId="19247" xr:uid="{00000000-0005-0000-0000-000019270000}"/>
    <cellStyle name="40% - Accent1 11 5 4" xfId="15294" xr:uid="{00000000-0005-0000-0000-00001A270000}"/>
    <cellStyle name="40% - Accent1 11 5 5" xfId="19245" xr:uid="{00000000-0005-0000-0000-00001B270000}"/>
    <cellStyle name="40% - Accent1 11 6" xfId="4163" xr:uid="{00000000-0005-0000-0000-00001C270000}"/>
    <cellStyle name="40% - Accent1 11 6 2" xfId="4164" xr:uid="{00000000-0005-0000-0000-00001D270000}"/>
    <cellStyle name="40% - Accent1 11 6 2 2" xfId="15298" xr:uid="{00000000-0005-0000-0000-00001E270000}"/>
    <cellStyle name="40% - Accent1 11 6 2 3" xfId="19249" xr:uid="{00000000-0005-0000-0000-00001F270000}"/>
    <cellStyle name="40% - Accent1 11 6 3" xfId="4165" xr:uid="{00000000-0005-0000-0000-000020270000}"/>
    <cellStyle name="40% - Accent1 11 6 3 2" xfId="15299" xr:uid="{00000000-0005-0000-0000-000021270000}"/>
    <cellStyle name="40% - Accent1 11 6 3 3" xfId="19250" xr:uid="{00000000-0005-0000-0000-000022270000}"/>
    <cellStyle name="40% - Accent1 11 6 4" xfId="15297" xr:uid="{00000000-0005-0000-0000-000023270000}"/>
    <cellStyle name="40% - Accent1 11 6 5" xfId="19248" xr:uid="{00000000-0005-0000-0000-000024270000}"/>
    <cellStyle name="40% - Accent1 11 7" xfId="4166" xr:uid="{00000000-0005-0000-0000-000025270000}"/>
    <cellStyle name="40% - Accent1 11 7 2" xfId="15300" xr:uid="{00000000-0005-0000-0000-000026270000}"/>
    <cellStyle name="40% - Accent1 11 7 3" xfId="19251" xr:uid="{00000000-0005-0000-0000-000027270000}"/>
    <cellStyle name="40% - Accent1 11 8" xfId="4167" xr:uid="{00000000-0005-0000-0000-000028270000}"/>
    <cellStyle name="40% - Accent1 11 8 2" xfId="15301" xr:uid="{00000000-0005-0000-0000-000029270000}"/>
    <cellStyle name="40% - Accent1 11 8 3" xfId="19252" xr:uid="{00000000-0005-0000-0000-00002A270000}"/>
    <cellStyle name="40% - Accent1 11 9" xfId="15269" xr:uid="{00000000-0005-0000-0000-00002B270000}"/>
    <cellStyle name="40% - Accent1 11_Volatility" xfId="4168" xr:uid="{00000000-0005-0000-0000-00002C270000}"/>
    <cellStyle name="40% - Accent1 12" xfId="4169" xr:uid="{00000000-0005-0000-0000-00002D270000}"/>
    <cellStyle name="40% - Accent1 12 10" xfId="19253" xr:uid="{00000000-0005-0000-0000-00002E270000}"/>
    <cellStyle name="40% - Accent1 12 2" xfId="4170" xr:uid="{00000000-0005-0000-0000-00002F270000}"/>
    <cellStyle name="40% - Accent1 12 2 2" xfId="4171" xr:uid="{00000000-0005-0000-0000-000030270000}"/>
    <cellStyle name="40% - Accent1 12 2 2 2" xfId="4172" xr:uid="{00000000-0005-0000-0000-000031270000}"/>
    <cellStyle name="40% - Accent1 12 2 2 2 2" xfId="15305" xr:uid="{00000000-0005-0000-0000-000032270000}"/>
    <cellStyle name="40% - Accent1 12 2 2 2 3" xfId="19256" xr:uid="{00000000-0005-0000-0000-000033270000}"/>
    <cellStyle name="40% - Accent1 12 2 2 3" xfId="4173" xr:uid="{00000000-0005-0000-0000-000034270000}"/>
    <cellStyle name="40% - Accent1 12 2 2 3 2" xfId="15306" xr:uid="{00000000-0005-0000-0000-000035270000}"/>
    <cellStyle name="40% - Accent1 12 2 2 3 3" xfId="19257" xr:uid="{00000000-0005-0000-0000-000036270000}"/>
    <cellStyle name="40% - Accent1 12 2 2 4" xfId="15304" xr:uid="{00000000-0005-0000-0000-000037270000}"/>
    <cellStyle name="40% - Accent1 12 2 2 5" xfId="19255" xr:uid="{00000000-0005-0000-0000-000038270000}"/>
    <cellStyle name="40% - Accent1 12 2 3" xfId="4174" xr:uid="{00000000-0005-0000-0000-000039270000}"/>
    <cellStyle name="40% - Accent1 12 2 3 2" xfId="4175" xr:uid="{00000000-0005-0000-0000-00003A270000}"/>
    <cellStyle name="40% - Accent1 12 2 3 2 2" xfId="15308" xr:uid="{00000000-0005-0000-0000-00003B270000}"/>
    <cellStyle name="40% - Accent1 12 2 3 2 3" xfId="19259" xr:uid="{00000000-0005-0000-0000-00003C270000}"/>
    <cellStyle name="40% - Accent1 12 2 3 3" xfId="4176" xr:uid="{00000000-0005-0000-0000-00003D270000}"/>
    <cellStyle name="40% - Accent1 12 2 3 3 2" xfId="15309" xr:uid="{00000000-0005-0000-0000-00003E270000}"/>
    <cellStyle name="40% - Accent1 12 2 3 3 3" xfId="19260" xr:uid="{00000000-0005-0000-0000-00003F270000}"/>
    <cellStyle name="40% - Accent1 12 2 3 4" xfId="15307" xr:uid="{00000000-0005-0000-0000-000040270000}"/>
    <cellStyle name="40% - Accent1 12 2 3 5" xfId="19258" xr:uid="{00000000-0005-0000-0000-000041270000}"/>
    <cellStyle name="40% - Accent1 12 2 4" xfId="4177" xr:uid="{00000000-0005-0000-0000-000042270000}"/>
    <cellStyle name="40% - Accent1 12 2 4 2" xfId="4178" xr:uid="{00000000-0005-0000-0000-000043270000}"/>
    <cellStyle name="40% - Accent1 12 2 4 2 2" xfId="15311" xr:uid="{00000000-0005-0000-0000-000044270000}"/>
    <cellStyle name="40% - Accent1 12 2 4 2 3" xfId="19262" xr:uid="{00000000-0005-0000-0000-000045270000}"/>
    <cellStyle name="40% - Accent1 12 2 4 3" xfId="4179" xr:uid="{00000000-0005-0000-0000-000046270000}"/>
    <cellStyle name="40% - Accent1 12 2 4 3 2" xfId="15312" xr:uid="{00000000-0005-0000-0000-000047270000}"/>
    <cellStyle name="40% - Accent1 12 2 4 3 3" xfId="19263" xr:uid="{00000000-0005-0000-0000-000048270000}"/>
    <cellStyle name="40% - Accent1 12 2 4 4" xfId="15310" xr:uid="{00000000-0005-0000-0000-000049270000}"/>
    <cellStyle name="40% - Accent1 12 2 4 5" xfId="19261" xr:uid="{00000000-0005-0000-0000-00004A270000}"/>
    <cellStyle name="40% - Accent1 12 2 5" xfId="4180" xr:uid="{00000000-0005-0000-0000-00004B270000}"/>
    <cellStyle name="40% - Accent1 12 2 5 2" xfId="15313" xr:uid="{00000000-0005-0000-0000-00004C270000}"/>
    <cellStyle name="40% - Accent1 12 2 5 3" xfId="19264" xr:uid="{00000000-0005-0000-0000-00004D270000}"/>
    <cellStyle name="40% - Accent1 12 2 6" xfId="4181" xr:uid="{00000000-0005-0000-0000-00004E270000}"/>
    <cellStyle name="40% - Accent1 12 2 6 2" xfId="15314" xr:uid="{00000000-0005-0000-0000-00004F270000}"/>
    <cellStyle name="40% - Accent1 12 2 6 3" xfId="19265" xr:uid="{00000000-0005-0000-0000-000050270000}"/>
    <cellStyle name="40% - Accent1 12 2 7" xfId="15303" xr:uid="{00000000-0005-0000-0000-000051270000}"/>
    <cellStyle name="40% - Accent1 12 2 8" xfId="19254" xr:uid="{00000000-0005-0000-0000-000052270000}"/>
    <cellStyle name="40% - Accent1 12 2_Volatility" xfId="4182" xr:uid="{00000000-0005-0000-0000-000053270000}"/>
    <cellStyle name="40% - Accent1 12 3" xfId="4183" xr:uid="{00000000-0005-0000-0000-000054270000}"/>
    <cellStyle name="40% - Accent1 12 3 2" xfId="4184" xr:uid="{00000000-0005-0000-0000-000055270000}"/>
    <cellStyle name="40% - Accent1 12 3 2 2" xfId="4185" xr:uid="{00000000-0005-0000-0000-000056270000}"/>
    <cellStyle name="40% - Accent1 12 3 2 2 2" xfId="15317" xr:uid="{00000000-0005-0000-0000-000057270000}"/>
    <cellStyle name="40% - Accent1 12 3 2 2 3" xfId="19268" xr:uid="{00000000-0005-0000-0000-000058270000}"/>
    <cellStyle name="40% - Accent1 12 3 2 3" xfId="4186" xr:uid="{00000000-0005-0000-0000-000059270000}"/>
    <cellStyle name="40% - Accent1 12 3 2 3 2" xfId="15318" xr:uid="{00000000-0005-0000-0000-00005A270000}"/>
    <cellStyle name="40% - Accent1 12 3 2 3 3" xfId="19269" xr:uid="{00000000-0005-0000-0000-00005B270000}"/>
    <cellStyle name="40% - Accent1 12 3 2 4" xfId="15316" xr:uid="{00000000-0005-0000-0000-00005C270000}"/>
    <cellStyle name="40% - Accent1 12 3 2 5" xfId="19267" xr:uid="{00000000-0005-0000-0000-00005D270000}"/>
    <cellStyle name="40% - Accent1 12 3 3" xfId="4187" xr:uid="{00000000-0005-0000-0000-00005E270000}"/>
    <cellStyle name="40% - Accent1 12 3 3 2" xfId="4188" xr:uid="{00000000-0005-0000-0000-00005F270000}"/>
    <cellStyle name="40% - Accent1 12 3 3 2 2" xfId="15320" xr:uid="{00000000-0005-0000-0000-000060270000}"/>
    <cellStyle name="40% - Accent1 12 3 3 2 3" xfId="19271" xr:uid="{00000000-0005-0000-0000-000061270000}"/>
    <cellStyle name="40% - Accent1 12 3 3 3" xfId="4189" xr:uid="{00000000-0005-0000-0000-000062270000}"/>
    <cellStyle name="40% - Accent1 12 3 3 3 2" xfId="15321" xr:uid="{00000000-0005-0000-0000-000063270000}"/>
    <cellStyle name="40% - Accent1 12 3 3 3 3" xfId="19272" xr:uid="{00000000-0005-0000-0000-000064270000}"/>
    <cellStyle name="40% - Accent1 12 3 3 4" xfId="15319" xr:uid="{00000000-0005-0000-0000-000065270000}"/>
    <cellStyle name="40% - Accent1 12 3 3 5" xfId="19270" xr:uid="{00000000-0005-0000-0000-000066270000}"/>
    <cellStyle name="40% - Accent1 12 3 4" xfId="4190" xr:uid="{00000000-0005-0000-0000-000067270000}"/>
    <cellStyle name="40% - Accent1 12 3 4 2" xfId="15322" xr:uid="{00000000-0005-0000-0000-000068270000}"/>
    <cellStyle name="40% - Accent1 12 3 4 3" xfId="19273" xr:uid="{00000000-0005-0000-0000-000069270000}"/>
    <cellStyle name="40% - Accent1 12 3 5" xfId="4191" xr:uid="{00000000-0005-0000-0000-00006A270000}"/>
    <cellStyle name="40% - Accent1 12 3 5 2" xfId="15323" xr:uid="{00000000-0005-0000-0000-00006B270000}"/>
    <cellStyle name="40% - Accent1 12 3 5 3" xfId="19274" xr:uid="{00000000-0005-0000-0000-00006C270000}"/>
    <cellStyle name="40% - Accent1 12 3 6" xfId="15315" xr:uid="{00000000-0005-0000-0000-00006D270000}"/>
    <cellStyle name="40% - Accent1 12 3 7" xfId="19266" xr:uid="{00000000-0005-0000-0000-00006E270000}"/>
    <cellStyle name="40% - Accent1 12 3_Volatility" xfId="4192" xr:uid="{00000000-0005-0000-0000-00006F270000}"/>
    <cellStyle name="40% - Accent1 12 4" xfId="4193" xr:uid="{00000000-0005-0000-0000-000070270000}"/>
    <cellStyle name="40% - Accent1 12 4 2" xfId="4194" xr:uid="{00000000-0005-0000-0000-000071270000}"/>
    <cellStyle name="40% - Accent1 12 4 2 2" xfId="15325" xr:uid="{00000000-0005-0000-0000-000072270000}"/>
    <cellStyle name="40% - Accent1 12 4 2 3" xfId="19276" xr:uid="{00000000-0005-0000-0000-000073270000}"/>
    <cellStyle name="40% - Accent1 12 4 3" xfId="4195" xr:uid="{00000000-0005-0000-0000-000074270000}"/>
    <cellStyle name="40% - Accent1 12 4 3 2" xfId="15326" xr:uid="{00000000-0005-0000-0000-000075270000}"/>
    <cellStyle name="40% - Accent1 12 4 3 3" xfId="19277" xr:uid="{00000000-0005-0000-0000-000076270000}"/>
    <cellStyle name="40% - Accent1 12 4 4" xfId="15324" xr:uid="{00000000-0005-0000-0000-000077270000}"/>
    <cellStyle name="40% - Accent1 12 4 5" xfId="19275" xr:uid="{00000000-0005-0000-0000-000078270000}"/>
    <cellStyle name="40% - Accent1 12 5" xfId="4196" xr:uid="{00000000-0005-0000-0000-000079270000}"/>
    <cellStyle name="40% - Accent1 12 5 2" xfId="4197" xr:uid="{00000000-0005-0000-0000-00007A270000}"/>
    <cellStyle name="40% - Accent1 12 5 2 2" xfId="15328" xr:uid="{00000000-0005-0000-0000-00007B270000}"/>
    <cellStyle name="40% - Accent1 12 5 2 3" xfId="19279" xr:uid="{00000000-0005-0000-0000-00007C270000}"/>
    <cellStyle name="40% - Accent1 12 5 3" xfId="4198" xr:uid="{00000000-0005-0000-0000-00007D270000}"/>
    <cellStyle name="40% - Accent1 12 5 3 2" xfId="15329" xr:uid="{00000000-0005-0000-0000-00007E270000}"/>
    <cellStyle name="40% - Accent1 12 5 3 3" xfId="19280" xr:uid="{00000000-0005-0000-0000-00007F270000}"/>
    <cellStyle name="40% - Accent1 12 5 4" xfId="15327" xr:uid="{00000000-0005-0000-0000-000080270000}"/>
    <cellStyle name="40% - Accent1 12 5 5" xfId="19278" xr:uid="{00000000-0005-0000-0000-000081270000}"/>
    <cellStyle name="40% - Accent1 12 6" xfId="4199" xr:uid="{00000000-0005-0000-0000-000082270000}"/>
    <cellStyle name="40% - Accent1 12 6 2" xfId="4200" xr:uid="{00000000-0005-0000-0000-000083270000}"/>
    <cellStyle name="40% - Accent1 12 6 2 2" xfId="15331" xr:uid="{00000000-0005-0000-0000-000084270000}"/>
    <cellStyle name="40% - Accent1 12 6 2 3" xfId="19282" xr:uid="{00000000-0005-0000-0000-000085270000}"/>
    <cellStyle name="40% - Accent1 12 6 3" xfId="4201" xr:uid="{00000000-0005-0000-0000-000086270000}"/>
    <cellStyle name="40% - Accent1 12 6 3 2" xfId="15332" xr:uid="{00000000-0005-0000-0000-000087270000}"/>
    <cellStyle name="40% - Accent1 12 6 3 3" xfId="19283" xr:uid="{00000000-0005-0000-0000-000088270000}"/>
    <cellStyle name="40% - Accent1 12 6 4" xfId="15330" xr:uid="{00000000-0005-0000-0000-000089270000}"/>
    <cellStyle name="40% - Accent1 12 6 5" xfId="19281" xr:uid="{00000000-0005-0000-0000-00008A270000}"/>
    <cellStyle name="40% - Accent1 12 7" xfId="4202" xr:uid="{00000000-0005-0000-0000-00008B270000}"/>
    <cellStyle name="40% - Accent1 12 7 2" xfId="15333" xr:uid="{00000000-0005-0000-0000-00008C270000}"/>
    <cellStyle name="40% - Accent1 12 7 3" xfId="19284" xr:uid="{00000000-0005-0000-0000-00008D270000}"/>
    <cellStyle name="40% - Accent1 12 8" xfId="4203" xr:uid="{00000000-0005-0000-0000-00008E270000}"/>
    <cellStyle name="40% - Accent1 12 8 2" xfId="15334" xr:uid="{00000000-0005-0000-0000-00008F270000}"/>
    <cellStyle name="40% - Accent1 12 8 3" xfId="19285" xr:uid="{00000000-0005-0000-0000-000090270000}"/>
    <cellStyle name="40% - Accent1 12 9" xfId="15302" xr:uid="{00000000-0005-0000-0000-000091270000}"/>
    <cellStyle name="40% - Accent1 12_Volatility" xfId="4204" xr:uid="{00000000-0005-0000-0000-000092270000}"/>
    <cellStyle name="40% - Accent1 13" xfId="4205" xr:uid="{00000000-0005-0000-0000-000093270000}"/>
    <cellStyle name="40% - Accent1 13 10" xfId="19286" xr:uid="{00000000-0005-0000-0000-000094270000}"/>
    <cellStyle name="40% - Accent1 13 2" xfId="4206" xr:uid="{00000000-0005-0000-0000-000095270000}"/>
    <cellStyle name="40% - Accent1 13 2 2" xfId="4207" xr:uid="{00000000-0005-0000-0000-000096270000}"/>
    <cellStyle name="40% - Accent1 13 2 2 2" xfId="4208" xr:uid="{00000000-0005-0000-0000-000097270000}"/>
    <cellStyle name="40% - Accent1 13 2 2 2 2" xfId="15338" xr:uid="{00000000-0005-0000-0000-000098270000}"/>
    <cellStyle name="40% - Accent1 13 2 2 2 3" xfId="19289" xr:uid="{00000000-0005-0000-0000-000099270000}"/>
    <cellStyle name="40% - Accent1 13 2 2 3" xfId="4209" xr:uid="{00000000-0005-0000-0000-00009A270000}"/>
    <cellStyle name="40% - Accent1 13 2 2 3 2" xfId="15339" xr:uid="{00000000-0005-0000-0000-00009B270000}"/>
    <cellStyle name="40% - Accent1 13 2 2 3 3" xfId="19290" xr:uid="{00000000-0005-0000-0000-00009C270000}"/>
    <cellStyle name="40% - Accent1 13 2 2 4" xfId="15337" xr:uid="{00000000-0005-0000-0000-00009D270000}"/>
    <cellStyle name="40% - Accent1 13 2 2 5" xfId="19288" xr:uid="{00000000-0005-0000-0000-00009E270000}"/>
    <cellStyle name="40% - Accent1 13 2 3" xfId="4210" xr:uid="{00000000-0005-0000-0000-00009F270000}"/>
    <cellStyle name="40% - Accent1 13 2 3 2" xfId="4211" xr:uid="{00000000-0005-0000-0000-0000A0270000}"/>
    <cellStyle name="40% - Accent1 13 2 3 2 2" xfId="15341" xr:uid="{00000000-0005-0000-0000-0000A1270000}"/>
    <cellStyle name="40% - Accent1 13 2 3 2 3" xfId="19292" xr:uid="{00000000-0005-0000-0000-0000A2270000}"/>
    <cellStyle name="40% - Accent1 13 2 3 3" xfId="4212" xr:uid="{00000000-0005-0000-0000-0000A3270000}"/>
    <cellStyle name="40% - Accent1 13 2 3 3 2" xfId="15342" xr:uid="{00000000-0005-0000-0000-0000A4270000}"/>
    <cellStyle name="40% - Accent1 13 2 3 3 3" xfId="19293" xr:uid="{00000000-0005-0000-0000-0000A5270000}"/>
    <cellStyle name="40% - Accent1 13 2 3 4" xfId="15340" xr:uid="{00000000-0005-0000-0000-0000A6270000}"/>
    <cellStyle name="40% - Accent1 13 2 3 5" xfId="19291" xr:uid="{00000000-0005-0000-0000-0000A7270000}"/>
    <cellStyle name="40% - Accent1 13 2 4" xfId="4213" xr:uid="{00000000-0005-0000-0000-0000A8270000}"/>
    <cellStyle name="40% - Accent1 13 2 4 2" xfId="4214" xr:uid="{00000000-0005-0000-0000-0000A9270000}"/>
    <cellStyle name="40% - Accent1 13 2 4 2 2" xfId="15344" xr:uid="{00000000-0005-0000-0000-0000AA270000}"/>
    <cellStyle name="40% - Accent1 13 2 4 2 3" xfId="19295" xr:uid="{00000000-0005-0000-0000-0000AB270000}"/>
    <cellStyle name="40% - Accent1 13 2 4 3" xfId="4215" xr:uid="{00000000-0005-0000-0000-0000AC270000}"/>
    <cellStyle name="40% - Accent1 13 2 4 3 2" xfId="15345" xr:uid="{00000000-0005-0000-0000-0000AD270000}"/>
    <cellStyle name="40% - Accent1 13 2 4 3 3" xfId="19296" xr:uid="{00000000-0005-0000-0000-0000AE270000}"/>
    <cellStyle name="40% - Accent1 13 2 4 4" xfId="15343" xr:uid="{00000000-0005-0000-0000-0000AF270000}"/>
    <cellStyle name="40% - Accent1 13 2 4 5" xfId="19294" xr:uid="{00000000-0005-0000-0000-0000B0270000}"/>
    <cellStyle name="40% - Accent1 13 2 5" xfId="4216" xr:uid="{00000000-0005-0000-0000-0000B1270000}"/>
    <cellStyle name="40% - Accent1 13 2 5 2" xfId="15346" xr:uid="{00000000-0005-0000-0000-0000B2270000}"/>
    <cellStyle name="40% - Accent1 13 2 5 3" xfId="19297" xr:uid="{00000000-0005-0000-0000-0000B3270000}"/>
    <cellStyle name="40% - Accent1 13 2 6" xfId="4217" xr:uid="{00000000-0005-0000-0000-0000B4270000}"/>
    <cellStyle name="40% - Accent1 13 2 6 2" xfId="15347" xr:uid="{00000000-0005-0000-0000-0000B5270000}"/>
    <cellStyle name="40% - Accent1 13 2 6 3" xfId="19298" xr:uid="{00000000-0005-0000-0000-0000B6270000}"/>
    <cellStyle name="40% - Accent1 13 2 7" xfId="15336" xr:uid="{00000000-0005-0000-0000-0000B7270000}"/>
    <cellStyle name="40% - Accent1 13 2 8" xfId="19287" xr:uid="{00000000-0005-0000-0000-0000B8270000}"/>
    <cellStyle name="40% - Accent1 13 2_Volatility" xfId="4218" xr:uid="{00000000-0005-0000-0000-0000B9270000}"/>
    <cellStyle name="40% - Accent1 13 3" xfId="4219" xr:uid="{00000000-0005-0000-0000-0000BA270000}"/>
    <cellStyle name="40% - Accent1 13 3 2" xfId="4220" xr:uid="{00000000-0005-0000-0000-0000BB270000}"/>
    <cellStyle name="40% - Accent1 13 3 2 2" xfId="4221" xr:uid="{00000000-0005-0000-0000-0000BC270000}"/>
    <cellStyle name="40% - Accent1 13 3 2 2 2" xfId="15350" xr:uid="{00000000-0005-0000-0000-0000BD270000}"/>
    <cellStyle name="40% - Accent1 13 3 2 2 3" xfId="19301" xr:uid="{00000000-0005-0000-0000-0000BE270000}"/>
    <cellStyle name="40% - Accent1 13 3 2 3" xfId="4222" xr:uid="{00000000-0005-0000-0000-0000BF270000}"/>
    <cellStyle name="40% - Accent1 13 3 2 3 2" xfId="15351" xr:uid="{00000000-0005-0000-0000-0000C0270000}"/>
    <cellStyle name="40% - Accent1 13 3 2 3 3" xfId="19302" xr:uid="{00000000-0005-0000-0000-0000C1270000}"/>
    <cellStyle name="40% - Accent1 13 3 2 4" xfId="15349" xr:uid="{00000000-0005-0000-0000-0000C2270000}"/>
    <cellStyle name="40% - Accent1 13 3 2 5" xfId="19300" xr:uid="{00000000-0005-0000-0000-0000C3270000}"/>
    <cellStyle name="40% - Accent1 13 3 3" xfId="4223" xr:uid="{00000000-0005-0000-0000-0000C4270000}"/>
    <cellStyle name="40% - Accent1 13 3 3 2" xfId="4224" xr:uid="{00000000-0005-0000-0000-0000C5270000}"/>
    <cellStyle name="40% - Accent1 13 3 3 2 2" xfId="15353" xr:uid="{00000000-0005-0000-0000-0000C6270000}"/>
    <cellStyle name="40% - Accent1 13 3 3 2 3" xfId="19304" xr:uid="{00000000-0005-0000-0000-0000C7270000}"/>
    <cellStyle name="40% - Accent1 13 3 3 3" xfId="4225" xr:uid="{00000000-0005-0000-0000-0000C8270000}"/>
    <cellStyle name="40% - Accent1 13 3 3 3 2" xfId="15354" xr:uid="{00000000-0005-0000-0000-0000C9270000}"/>
    <cellStyle name="40% - Accent1 13 3 3 3 3" xfId="19305" xr:uid="{00000000-0005-0000-0000-0000CA270000}"/>
    <cellStyle name="40% - Accent1 13 3 3 4" xfId="15352" xr:uid="{00000000-0005-0000-0000-0000CB270000}"/>
    <cellStyle name="40% - Accent1 13 3 3 5" xfId="19303" xr:uid="{00000000-0005-0000-0000-0000CC270000}"/>
    <cellStyle name="40% - Accent1 13 3 4" xfId="4226" xr:uid="{00000000-0005-0000-0000-0000CD270000}"/>
    <cellStyle name="40% - Accent1 13 3 4 2" xfId="15355" xr:uid="{00000000-0005-0000-0000-0000CE270000}"/>
    <cellStyle name="40% - Accent1 13 3 4 3" xfId="19306" xr:uid="{00000000-0005-0000-0000-0000CF270000}"/>
    <cellStyle name="40% - Accent1 13 3 5" xfId="4227" xr:uid="{00000000-0005-0000-0000-0000D0270000}"/>
    <cellStyle name="40% - Accent1 13 3 5 2" xfId="15356" xr:uid="{00000000-0005-0000-0000-0000D1270000}"/>
    <cellStyle name="40% - Accent1 13 3 5 3" xfId="19307" xr:uid="{00000000-0005-0000-0000-0000D2270000}"/>
    <cellStyle name="40% - Accent1 13 3 6" xfId="15348" xr:uid="{00000000-0005-0000-0000-0000D3270000}"/>
    <cellStyle name="40% - Accent1 13 3 7" xfId="19299" xr:uid="{00000000-0005-0000-0000-0000D4270000}"/>
    <cellStyle name="40% - Accent1 13 3_Volatility" xfId="4228" xr:uid="{00000000-0005-0000-0000-0000D5270000}"/>
    <cellStyle name="40% - Accent1 13 4" xfId="4229" xr:uid="{00000000-0005-0000-0000-0000D6270000}"/>
    <cellStyle name="40% - Accent1 13 4 2" xfId="4230" xr:uid="{00000000-0005-0000-0000-0000D7270000}"/>
    <cellStyle name="40% - Accent1 13 4 2 2" xfId="15358" xr:uid="{00000000-0005-0000-0000-0000D8270000}"/>
    <cellStyle name="40% - Accent1 13 4 2 3" xfId="19309" xr:uid="{00000000-0005-0000-0000-0000D9270000}"/>
    <cellStyle name="40% - Accent1 13 4 3" xfId="4231" xr:uid="{00000000-0005-0000-0000-0000DA270000}"/>
    <cellStyle name="40% - Accent1 13 4 3 2" xfId="15359" xr:uid="{00000000-0005-0000-0000-0000DB270000}"/>
    <cellStyle name="40% - Accent1 13 4 3 3" xfId="19310" xr:uid="{00000000-0005-0000-0000-0000DC270000}"/>
    <cellStyle name="40% - Accent1 13 4 4" xfId="15357" xr:uid="{00000000-0005-0000-0000-0000DD270000}"/>
    <cellStyle name="40% - Accent1 13 4 5" xfId="19308" xr:uid="{00000000-0005-0000-0000-0000DE270000}"/>
    <cellStyle name="40% - Accent1 13 5" xfId="4232" xr:uid="{00000000-0005-0000-0000-0000DF270000}"/>
    <cellStyle name="40% - Accent1 13 5 2" xfId="4233" xr:uid="{00000000-0005-0000-0000-0000E0270000}"/>
    <cellStyle name="40% - Accent1 13 5 2 2" xfId="15361" xr:uid="{00000000-0005-0000-0000-0000E1270000}"/>
    <cellStyle name="40% - Accent1 13 5 2 3" xfId="19312" xr:uid="{00000000-0005-0000-0000-0000E2270000}"/>
    <cellStyle name="40% - Accent1 13 5 3" xfId="4234" xr:uid="{00000000-0005-0000-0000-0000E3270000}"/>
    <cellStyle name="40% - Accent1 13 5 3 2" xfId="15362" xr:uid="{00000000-0005-0000-0000-0000E4270000}"/>
    <cellStyle name="40% - Accent1 13 5 3 3" xfId="19313" xr:uid="{00000000-0005-0000-0000-0000E5270000}"/>
    <cellStyle name="40% - Accent1 13 5 4" xfId="15360" xr:uid="{00000000-0005-0000-0000-0000E6270000}"/>
    <cellStyle name="40% - Accent1 13 5 5" xfId="19311" xr:uid="{00000000-0005-0000-0000-0000E7270000}"/>
    <cellStyle name="40% - Accent1 13 6" xfId="4235" xr:uid="{00000000-0005-0000-0000-0000E8270000}"/>
    <cellStyle name="40% - Accent1 13 6 2" xfId="4236" xr:uid="{00000000-0005-0000-0000-0000E9270000}"/>
    <cellStyle name="40% - Accent1 13 6 2 2" xfId="15364" xr:uid="{00000000-0005-0000-0000-0000EA270000}"/>
    <cellStyle name="40% - Accent1 13 6 2 3" xfId="19315" xr:uid="{00000000-0005-0000-0000-0000EB270000}"/>
    <cellStyle name="40% - Accent1 13 6 3" xfId="4237" xr:uid="{00000000-0005-0000-0000-0000EC270000}"/>
    <cellStyle name="40% - Accent1 13 6 3 2" xfId="15365" xr:uid="{00000000-0005-0000-0000-0000ED270000}"/>
    <cellStyle name="40% - Accent1 13 6 3 3" xfId="19316" xr:uid="{00000000-0005-0000-0000-0000EE270000}"/>
    <cellStyle name="40% - Accent1 13 6 4" xfId="15363" xr:uid="{00000000-0005-0000-0000-0000EF270000}"/>
    <cellStyle name="40% - Accent1 13 6 5" xfId="19314" xr:uid="{00000000-0005-0000-0000-0000F0270000}"/>
    <cellStyle name="40% - Accent1 13 7" xfId="4238" xr:uid="{00000000-0005-0000-0000-0000F1270000}"/>
    <cellStyle name="40% - Accent1 13 7 2" xfId="15366" xr:uid="{00000000-0005-0000-0000-0000F2270000}"/>
    <cellStyle name="40% - Accent1 13 7 3" xfId="19317" xr:uid="{00000000-0005-0000-0000-0000F3270000}"/>
    <cellStyle name="40% - Accent1 13 8" xfId="4239" xr:uid="{00000000-0005-0000-0000-0000F4270000}"/>
    <cellStyle name="40% - Accent1 13 8 2" xfId="15367" xr:uid="{00000000-0005-0000-0000-0000F5270000}"/>
    <cellStyle name="40% - Accent1 13 8 3" xfId="19318" xr:uid="{00000000-0005-0000-0000-0000F6270000}"/>
    <cellStyle name="40% - Accent1 13 9" xfId="15335" xr:uid="{00000000-0005-0000-0000-0000F7270000}"/>
    <cellStyle name="40% - Accent1 13_Volatility" xfId="4240" xr:uid="{00000000-0005-0000-0000-0000F8270000}"/>
    <cellStyle name="40% - Accent1 14" xfId="4241" xr:uid="{00000000-0005-0000-0000-0000F9270000}"/>
    <cellStyle name="40% - Accent1 14 10" xfId="19319" xr:uid="{00000000-0005-0000-0000-0000FA270000}"/>
    <cellStyle name="40% - Accent1 14 2" xfId="4242" xr:uid="{00000000-0005-0000-0000-0000FB270000}"/>
    <cellStyle name="40% - Accent1 14 2 2" xfId="4243" xr:uid="{00000000-0005-0000-0000-0000FC270000}"/>
    <cellStyle name="40% - Accent1 14 2 2 2" xfId="4244" xr:uid="{00000000-0005-0000-0000-0000FD270000}"/>
    <cellStyle name="40% - Accent1 14 2 2 2 2" xfId="15371" xr:uid="{00000000-0005-0000-0000-0000FE270000}"/>
    <cellStyle name="40% - Accent1 14 2 2 2 3" xfId="19322" xr:uid="{00000000-0005-0000-0000-0000FF270000}"/>
    <cellStyle name="40% - Accent1 14 2 2 3" xfId="4245" xr:uid="{00000000-0005-0000-0000-000000280000}"/>
    <cellStyle name="40% - Accent1 14 2 2 3 2" xfId="15372" xr:uid="{00000000-0005-0000-0000-000001280000}"/>
    <cellStyle name="40% - Accent1 14 2 2 3 3" xfId="19323" xr:uid="{00000000-0005-0000-0000-000002280000}"/>
    <cellStyle name="40% - Accent1 14 2 2 4" xfId="15370" xr:uid="{00000000-0005-0000-0000-000003280000}"/>
    <cellStyle name="40% - Accent1 14 2 2 5" xfId="19321" xr:uid="{00000000-0005-0000-0000-000004280000}"/>
    <cellStyle name="40% - Accent1 14 2 3" xfId="4246" xr:uid="{00000000-0005-0000-0000-000005280000}"/>
    <cellStyle name="40% - Accent1 14 2 3 2" xfId="4247" xr:uid="{00000000-0005-0000-0000-000006280000}"/>
    <cellStyle name="40% - Accent1 14 2 3 2 2" xfId="15374" xr:uid="{00000000-0005-0000-0000-000007280000}"/>
    <cellStyle name="40% - Accent1 14 2 3 2 3" xfId="19325" xr:uid="{00000000-0005-0000-0000-000008280000}"/>
    <cellStyle name="40% - Accent1 14 2 3 3" xfId="4248" xr:uid="{00000000-0005-0000-0000-000009280000}"/>
    <cellStyle name="40% - Accent1 14 2 3 3 2" xfId="15375" xr:uid="{00000000-0005-0000-0000-00000A280000}"/>
    <cellStyle name="40% - Accent1 14 2 3 3 3" xfId="19326" xr:uid="{00000000-0005-0000-0000-00000B280000}"/>
    <cellStyle name="40% - Accent1 14 2 3 4" xfId="15373" xr:uid="{00000000-0005-0000-0000-00000C280000}"/>
    <cellStyle name="40% - Accent1 14 2 3 5" xfId="19324" xr:uid="{00000000-0005-0000-0000-00000D280000}"/>
    <cellStyle name="40% - Accent1 14 2 4" xfId="4249" xr:uid="{00000000-0005-0000-0000-00000E280000}"/>
    <cellStyle name="40% - Accent1 14 2 4 2" xfId="4250" xr:uid="{00000000-0005-0000-0000-00000F280000}"/>
    <cellStyle name="40% - Accent1 14 2 4 2 2" xfId="15377" xr:uid="{00000000-0005-0000-0000-000010280000}"/>
    <cellStyle name="40% - Accent1 14 2 4 2 3" xfId="19328" xr:uid="{00000000-0005-0000-0000-000011280000}"/>
    <cellStyle name="40% - Accent1 14 2 4 3" xfId="4251" xr:uid="{00000000-0005-0000-0000-000012280000}"/>
    <cellStyle name="40% - Accent1 14 2 4 3 2" xfId="15378" xr:uid="{00000000-0005-0000-0000-000013280000}"/>
    <cellStyle name="40% - Accent1 14 2 4 3 3" xfId="19329" xr:uid="{00000000-0005-0000-0000-000014280000}"/>
    <cellStyle name="40% - Accent1 14 2 4 4" xfId="15376" xr:uid="{00000000-0005-0000-0000-000015280000}"/>
    <cellStyle name="40% - Accent1 14 2 4 5" xfId="19327" xr:uid="{00000000-0005-0000-0000-000016280000}"/>
    <cellStyle name="40% - Accent1 14 2 5" xfId="4252" xr:uid="{00000000-0005-0000-0000-000017280000}"/>
    <cellStyle name="40% - Accent1 14 2 5 2" xfId="15379" xr:uid="{00000000-0005-0000-0000-000018280000}"/>
    <cellStyle name="40% - Accent1 14 2 5 3" xfId="19330" xr:uid="{00000000-0005-0000-0000-000019280000}"/>
    <cellStyle name="40% - Accent1 14 2 6" xfId="4253" xr:uid="{00000000-0005-0000-0000-00001A280000}"/>
    <cellStyle name="40% - Accent1 14 2 6 2" xfId="15380" xr:uid="{00000000-0005-0000-0000-00001B280000}"/>
    <cellStyle name="40% - Accent1 14 2 6 3" xfId="19331" xr:uid="{00000000-0005-0000-0000-00001C280000}"/>
    <cellStyle name="40% - Accent1 14 2 7" xfId="15369" xr:uid="{00000000-0005-0000-0000-00001D280000}"/>
    <cellStyle name="40% - Accent1 14 2 8" xfId="19320" xr:uid="{00000000-0005-0000-0000-00001E280000}"/>
    <cellStyle name="40% - Accent1 14 2_Volatility" xfId="4254" xr:uid="{00000000-0005-0000-0000-00001F280000}"/>
    <cellStyle name="40% - Accent1 14 3" xfId="4255" xr:uid="{00000000-0005-0000-0000-000020280000}"/>
    <cellStyle name="40% - Accent1 14 3 2" xfId="4256" xr:uid="{00000000-0005-0000-0000-000021280000}"/>
    <cellStyle name="40% - Accent1 14 3 2 2" xfId="4257" xr:uid="{00000000-0005-0000-0000-000022280000}"/>
    <cellStyle name="40% - Accent1 14 3 2 2 2" xfId="15383" xr:uid="{00000000-0005-0000-0000-000023280000}"/>
    <cellStyle name="40% - Accent1 14 3 2 2 3" xfId="19334" xr:uid="{00000000-0005-0000-0000-000024280000}"/>
    <cellStyle name="40% - Accent1 14 3 2 3" xfId="4258" xr:uid="{00000000-0005-0000-0000-000025280000}"/>
    <cellStyle name="40% - Accent1 14 3 2 3 2" xfId="15384" xr:uid="{00000000-0005-0000-0000-000026280000}"/>
    <cellStyle name="40% - Accent1 14 3 2 3 3" xfId="19335" xr:uid="{00000000-0005-0000-0000-000027280000}"/>
    <cellStyle name="40% - Accent1 14 3 2 4" xfId="15382" xr:uid="{00000000-0005-0000-0000-000028280000}"/>
    <cellStyle name="40% - Accent1 14 3 2 5" xfId="19333" xr:uid="{00000000-0005-0000-0000-000029280000}"/>
    <cellStyle name="40% - Accent1 14 3 3" xfId="4259" xr:uid="{00000000-0005-0000-0000-00002A280000}"/>
    <cellStyle name="40% - Accent1 14 3 3 2" xfId="4260" xr:uid="{00000000-0005-0000-0000-00002B280000}"/>
    <cellStyle name="40% - Accent1 14 3 3 2 2" xfId="15386" xr:uid="{00000000-0005-0000-0000-00002C280000}"/>
    <cellStyle name="40% - Accent1 14 3 3 2 3" xfId="19337" xr:uid="{00000000-0005-0000-0000-00002D280000}"/>
    <cellStyle name="40% - Accent1 14 3 3 3" xfId="4261" xr:uid="{00000000-0005-0000-0000-00002E280000}"/>
    <cellStyle name="40% - Accent1 14 3 3 3 2" xfId="15387" xr:uid="{00000000-0005-0000-0000-00002F280000}"/>
    <cellStyle name="40% - Accent1 14 3 3 3 3" xfId="19338" xr:uid="{00000000-0005-0000-0000-000030280000}"/>
    <cellStyle name="40% - Accent1 14 3 3 4" xfId="15385" xr:uid="{00000000-0005-0000-0000-000031280000}"/>
    <cellStyle name="40% - Accent1 14 3 3 5" xfId="19336" xr:uid="{00000000-0005-0000-0000-000032280000}"/>
    <cellStyle name="40% - Accent1 14 3 4" xfId="4262" xr:uid="{00000000-0005-0000-0000-000033280000}"/>
    <cellStyle name="40% - Accent1 14 3 4 2" xfId="15388" xr:uid="{00000000-0005-0000-0000-000034280000}"/>
    <cellStyle name="40% - Accent1 14 3 4 3" xfId="19339" xr:uid="{00000000-0005-0000-0000-000035280000}"/>
    <cellStyle name="40% - Accent1 14 3 5" xfId="4263" xr:uid="{00000000-0005-0000-0000-000036280000}"/>
    <cellStyle name="40% - Accent1 14 3 5 2" xfId="15389" xr:uid="{00000000-0005-0000-0000-000037280000}"/>
    <cellStyle name="40% - Accent1 14 3 5 3" xfId="19340" xr:uid="{00000000-0005-0000-0000-000038280000}"/>
    <cellStyle name="40% - Accent1 14 3 6" xfId="15381" xr:uid="{00000000-0005-0000-0000-000039280000}"/>
    <cellStyle name="40% - Accent1 14 3 7" xfId="19332" xr:uid="{00000000-0005-0000-0000-00003A280000}"/>
    <cellStyle name="40% - Accent1 14 3_Volatility" xfId="4264" xr:uid="{00000000-0005-0000-0000-00003B280000}"/>
    <cellStyle name="40% - Accent1 14 4" xfId="4265" xr:uid="{00000000-0005-0000-0000-00003C280000}"/>
    <cellStyle name="40% - Accent1 14 4 2" xfId="4266" xr:uid="{00000000-0005-0000-0000-00003D280000}"/>
    <cellStyle name="40% - Accent1 14 4 2 2" xfId="15391" xr:uid="{00000000-0005-0000-0000-00003E280000}"/>
    <cellStyle name="40% - Accent1 14 4 2 3" xfId="19342" xr:uid="{00000000-0005-0000-0000-00003F280000}"/>
    <cellStyle name="40% - Accent1 14 4 3" xfId="4267" xr:uid="{00000000-0005-0000-0000-000040280000}"/>
    <cellStyle name="40% - Accent1 14 4 3 2" xfId="15392" xr:uid="{00000000-0005-0000-0000-000041280000}"/>
    <cellStyle name="40% - Accent1 14 4 3 3" xfId="19343" xr:uid="{00000000-0005-0000-0000-000042280000}"/>
    <cellStyle name="40% - Accent1 14 4 4" xfId="15390" xr:uid="{00000000-0005-0000-0000-000043280000}"/>
    <cellStyle name="40% - Accent1 14 4 5" xfId="19341" xr:uid="{00000000-0005-0000-0000-000044280000}"/>
    <cellStyle name="40% - Accent1 14 5" xfId="4268" xr:uid="{00000000-0005-0000-0000-000045280000}"/>
    <cellStyle name="40% - Accent1 14 5 2" xfId="4269" xr:uid="{00000000-0005-0000-0000-000046280000}"/>
    <cellStyle name="40% - Accent1 14 5 2 2" xfId="15394" xr:uid="{00000000-0005-0000-0000-000047280000}"/>
    <cellStyle name="40% - Accent1 14 5 2 3" xfId="19345" xr:uid="{00000000-0005-0000-0000-000048280000}"/>
    <cellStyle name="40% - Accent1 14 5 3" xfId="4270" xr:uid="{00000000-0005-0000-0000-000049280000}"/>
    <cellStyle name="40% - Accent1 14 5 3 2" xfId="15395" xr:uid="{00000000-0005-0000-0000-00004A280000}"/>
    <cellStyle name="40% - Accent1 14 5 3 3" xfId="19346" xr:uid="{00000000-0005-0000-0000-00004B280000}"/>
    <cellStyle name="40% - Accent1 14 5 4" xfId="15393" xr:uid="{00000000-0005-0000-0000-00004C280000}"/>
    <cellStyle name="40% - Accent1 14 5 5" xfId="19344" xr:uid="{00000000-0005-0000-0000-00004D280000}"/>
    <cellStyle name="40% - Accent1 14 6" xfId="4271" xr:uid="{00000000-0005-0000-0000-00004E280000}"/>
    <cellStyle name="40% - Accent1 14 6 2" xfId="4272" xr:uid="{00000000-0005-0000-0000-00004F280000}"/>
    <cellStyle name="40% - Accent1 14 6 2 2" xfId="15397" xr:uid="{00000000-0005-0000-0000-000050280000}"/>
    <cellStyle name="40% - Accent1 14 6 2 3" xfId="19348" xr:uid="{00000000-0005-0000-0000-000051280000}"/>
    <cellStyle name="40% - Accent1 14 6 3" xfId="4273" xr:uid="{00000000-0005-0000-0000-000052280000}"/>
    <cellStyle name="40% - Accent1 14 6 3 2" xfId="15398" xr:uid="{00000000-0005-0000-0000-000053280000}"/>
    <cellStyle name="40% - Accent1 14 6 3 3" xfId="19349" xr:uid="{00000000-0005-0000-0000-000054280000}"/>
    <cellStyle name="40% - Accent1 14 6 4" xfId="15396" xr:uid="{00000000-0005-0000-0000-000055280000}"/>
    <cellStyle name="40% - Accent1 14 6 5" xfId="19347" xr:uid="{00000000-0005-0000-0000-000056280000}"/>
    <cellStyle name="40% - Accent1 14 7" xfId="4274" xr:uid="{00000000-0005-0000-0000-000057280000}"/>
    <cellStyle name="40% - Accent1 14 7 2" xfId="15399" xr:uid="{00000000-0005-0000-0000-000058280000}"/>
    <cellStyle name="40% - Accent1 14 7 3" xfId="19350" xr:uid="{00000000-0005-0000-0000-000059280000}"/>
    <cellStyle name="40% - Accent1 14 8" xfId="4275" xr:uid="{00000000-0005-0000-0000-00005A280000}"/>
    <cellStyle name="40% - Accent1 14 8 2" xfId="15400" xr:uid="{00000000-0005-0000-0000-00005B280000}"/>
    <cellStyle name="40% - Accent1 14 8 3" xfId="19351" xr:uid="{00000000-0005-0000-0000-00005C280000}"/>
    <cellStyle name="40% - Accent1 14 9" xfId="15368" xr:uid="{00000000-0005-0000-0000-00005D280000}"/>
    <cellStyle name="40% - Accent1 14_Volatility" xfId="4276" xr:uid="{00000000-0005-0000-0000-00005E280000}"/>
    <cellStyle name="40% - Accent1 15" xfId="4277" xr:uid="{00000000-0005-0000-0000-00005F280000}"/>
    <cellStyle name="40% - Accent1 15 10" xfId="19352" xr:uid="{00000000-0005-0000-0000-000060280000}"/>
    <cellStyle name="40% - Accent1 15 2" xfId="4278" xr:uid="{00000000-0005-0000-0000-000061280000}"/>
    <cellStyle name="40% - Accent1 15 2 2" xfId="4279" xr:uid="{00000000-0005-0000-0000-000062280000}"/>
    <cellStyle name="40% - Accent1 15 2 2 2" xfId="4280" xr:uid="{00000000-0005-0000-0000-000063280000}"/>
    <cellStyle name="40% - Accent1 15 2 2 2 2" xfId="15404" xr:uid="{00000000-0005-0000-0000-000064280000}"/>
    <cellStyle name="40% - Accent1 15 2 2 2 3" xfId="19355" xr:uid="{00000000-0005-0000-0000-000065280000}"/>
    <cellStyle name="40% - Accent1 15 2 2 3" xfId="4281" xr:uid="{00000000-0005-0000-0000-000066280000}"/>
    <cellStyle name="40% - Accent1 15 2 2 3 2" xfId="15405" xr:uid="{00000000-0005-0000-0000-000067280000}"/>
    <cellStyle name="40% - Accent1 15 2 2 3 3" xfId="19356" xr:uid="{00000000-0005-0000-0000-000068280000}"/>
    <cellStyle name="40% - Accent1 15 2 2 4" xfId="15403" xr:uid="{00000000-0005-0000-0000-000069280000}"/>
    <cellStyle name="40% - Accent1 15 2 2 5" xfId="19354" xr:uid="{00000000-0005-0000-0000-00006A280000}"/>
    <cellStyle name="40% - Accent1 15 2 3" xfId="4282" xr:uid="{00000000-0005-0000-0000-00006B280000}"/>
    <cellStyle name="40% - Accent1 15 2 3 2" xfId="4283" xr:uid="{00000000-0005-0000-0000-00006C280000}"/>
    <cellStyle name="40% - Accent1 15 2 3 2 2" xfId="15407" xr:uid="{00000000-0005-0000-0000-00006D280000}"/>
    <cellStyle name="40% - Accent1 15 2 3 2 3" xfId="19358" xr:uid="{00000000-0005-0000-0000-00006E280000}"/>
    <cellStyle name="40% - Accent1 15 2 3 3" xfId="4284" xr:uid="{00000000-0005-0000-0000-00006F280000}"/>
    <cellStyle name="40% - Accent1 15 2 3 3 2" xfId="15408" xr:uid="{00000000-0005-0000-0000-000070280000}"/>
    <cellStyle name="40% - Accent1 15 2 3 3 3" xfId="19359" xr:uid="{00000000-0005-0000-0000-000071280000}"/>
    <cellStyle name="40% - Accent1 15 2 3 4" xfId="15406" xr:uid="{00000000-0005-0000-0000-000072280000}"/>
    <cellStyle name="40% - Accent1 15 2 3 5" xfId="19357" xr:uid="{00000000-0005-0000-0000-000073280000}"/>
    <cellStyle name="40% - Accent1 15 2 4" xfId="4285" xr:uid="{00000000-0005-0000-0000-000074280000}"/>
    <cellStyle name="40% - Accent1 15 2 4 2" xfId="4286" xr:uid="{00000000-0005-0000-0000-000075280000}"/>
    <cellStyle name="40% - Accent1 15 2 4 2 2" xfId="15410" xr:uid="{00000000-0005-0000-0000-000076280000}"/>
    <cellStyle name="40% - Accent1 15 2 4 2 3" xfId="19361" xr:uid="{00000000-0005-0000-0000-000077280000}"/>
    <cellStyle name="40% - Accent1 15 2 4 3" xfId="4287" xr:uid="{00000000-0005-0000-0000-000078280000}"/>
    <cellStyle name="40% - Accent1 15 2 4 3 2" xfId="15411" xr:uid="{00000000-0005-0000-0000-000079280000}"/>
    <cellStyle name="40% - Accent1 15 2 4 3 3" xfId="19362" xr:uid="{00000000-0005-0000-0000-00007A280000}"/>
    <cellStyle name="40% - Accent1 15 2 4 4" xfId="15409" xr:uid="{00000000-0005-0000-0000-00007B280000}"/>
    <cellStyle name="40% - Accent1 15 2 4 5" xfId="19360" xr:uid="{00000000-0005-0000-0000-00007C280000}"/>
    <cellStyle name="40% - Accent1 15 2 5" xfId="4288" xr:uid="{00000000-0005-0000-0000-00007D280000}"/>
    <cellStyle name="40% - Accent1 15 2 5 2" xfId="15412" xr:uid="{00000000-0005-0000-0000-00007E280000}"/>
    <cellStyle name="40% - Accent1 15 2 5 3" xfId="19363" xr:uid="{00000000-0005-0000-0000-00007F280000}"/>
    <cellStyle name="40% - Accent1 15 2 6" xfId="4289" xr:uid="{00000000-0005-0000-0000-000080280000}"/>
    <cellStyle name="40% - Accent1 15 2 6 2" xfId="15413" xr:uid="{00000000-0005-0000-0000-000081280000}"/>
    <cellStyle name="40% - Accent1 15 2 6 3" xfId="19364" xr:uid="{00000000-0005-0000-0000-000082280000}"/>
    <cellStyle name="40% - Accent1 15 2 7" xfId="15402" xr:uid="{00000000-0005-0000-0000-000083280000}"/>
    <cellStyle name="40% - Accent1 15 2 8" xfId="19353" xr:uid="{00000000-0005-0000-0000-000084280000}"/>
    <cellStyle name="40% - Accent1 15 2_Volatility" xfId="4290" xr:uid="{00000000-0005-0000-0000-000085280000}"/>
    <cellStyle name="40% - Accent1 15 3" xfId="4291" xr:uid="{00000000-0005-0000-0000-000086280000}"/>
    <cellStyle name="40% - Accent1 15 3 2" xfId="4292" xr:uid="{00000000-0005-0000-0000-000087280000}"/>
    <cellStyle name="40% - Accent1 15 3 2 2" xfId="4293" xr:uid="{00000000-0005-0000-0000-000088280000}"/>
    <cellStyle name="40% - Accent1 15 3 2 2 2" xfId="15416" xr:uid="{00000000-0005-0000-0000-000089280000}"/>
    <cellStyle name="40% - Accent1 15 3 2 2 3" xfId="19367" xr:uid="{00000000-0005-0000-0000-00008A280000}"/>
    <cellStyle name="40% - Accent1 15 3 2 3" xfId="4294" xr:uid="{00000000-0005-0000-0000-00008B280000}"/>
    <cellStyle name="40% - Accent1 15 3 2 3 2" xfId="15417" xr:uid="{00000000-0005-0000-0000-00008C280000}"/>
    <cellStyle name="40% - Accent1 15 3 2 3 3" xfId="19368" xr:uid="{00000000-0005-0000-0000-00008D280000}"/>
    <cellStyle name="40% - Accent1 15 3 2 4" xfId="15415" xr:uid="{00000000-0005-0000-0000-00008E280000}"/>
    <cellStyle name="40% - Accent1 15 3 2 5" xfId="19366" xr:uid="{00000000-0005-0000-0000-00008F280000}"/>
    <cellStyle name="40% - Accent1 15 3 3" xfId="4295" xr:uid="{00000000-0005-0000-0000-000090280000}"/>
    <cellStyle name="40% - Accent1 15 3 3 2" xfId="4296" xr:uid="{00000000-0005-0000-0000-000091280000}"/>
    <cellStyle name="40% - Accent1 15 3 3 2 2" xfId="15419" xr:uid="{00000000-0005-0000-0000-000092280000}"/>
    <cellStyle name="40% - Accent1 15 3 3 2 3" xfId="19370" xr:uid="{00000000-0005-0000-0000-000093280000}"/>
    <cellStyle name="40% - Accent1 15 3 3 3" xfId="4297" xr:uid="{00000000-0005-0000-0000-000094280000}"/>
    <cellStyle name="40% - Accent1 15 3 3 3 2" xfId="15420" xr:uid="{00000000-0005-0000-0000-000095280000}"/>
    <cellStyle name="40% - Accent1 15 3 3 3 3" xfId="19371" xr:uid="{00000000-0005-0000-0000-000096280000}"/>
    <cellStyle name="40% - Accent1 15 3 3 4" xfId="15418" xr:uid="{00000000-0005-0000-0000-000097280000}"/>
    <cellStyle name="40% - Accent1 15 3 3 5" xfId="19369" xr:uid="{00000000-0005-0000-0000-000098280000}"/>
    <cellStyle name="40% - Accent1 15 3 4" xfId="4298" xr:uid="{00000000-0005-0000-0000-000099280000}"/>
    <cellStyle name="40% - Accent1 15 3 4 2" xfId="15421" xr:uid="{00000000-0005-0000-0000-00009A280000}"/>
    <cellStyle name="40% - Accent1 15 3 4 3" xfId="19372" xr:uid="{00000000-0005-0000-0000-00009B280000}"/>
    <cellStyle name="40% - Accent1 15 3 5" xfId="4299" xr:uid="{00000000-0005-0000-0000-00009C280000}"/>
    <cellStyle name="40% - Accent1 15 3 5 2" xfId="15422" xr:uid="{00000000-0005-0000-0000-00009D280000}"/>
    <cellStyle name="40% - Accent1 15 3 5 3" xfId="19373" xr:uid="{00000000-0005-0000-0000-00009E280000}"/>
    <cellStyle name="40% - Accent1 15 3 6" xfId="15414" xr:uid="{00000000-0005-0000-0000-00009F280000}"/>
    <cellStyle name="40% - Accent1 15 3 7" xfId="19365" xr:uid="{00000000-0005-0000-0000-0000A0280000}"/>
    <cellStyle name="40% - Accent1 15 3_Volatility" xfId="4300" xr:uid="{00000000-0005-0000-0000-0000A1280000}"/>
    <cellStyle name="40% - Accent1 15 4" xfId="4301" xr:uid="{00000000-0005-0000-0000-0000A2280000}"/>
    <cellStyle name="40% - Accent1 15 4 2" xfId="4302" xr:uid="{00000000-0005-0000-0000-0000A3280000}"/>
    <cellStyle name="40% - Accent1 15 4 2 2" xfId="15424" xr:uid="{00000000-0005-0000-0000-0000A4280000}"/>
    <cellStyle name="40% - Accent1 15 4 2 3" xfId="19375" xr:uid="{00000000-0005-0000-0000-0000A5280000}"/>
    <cellStyle name="40% - Accent1 15 4 3" xfId="4303" xr:uid="{00000000-0005-0000-0000-0000A6280000}"/>
    <cellStyle name="40% - Accent1 15 4 3 2" xfId="15425" xr:uid="{00000000-0005-0000-0000-0000A7280000}"/>
    <cellStyle name="40% - Accent1 15 4 3 3" xfId="19376" xr:uid="{00000000-0005-0000-0000-0000A8280000}"/>
    <cellStyle name="40% - Accent1 15 4 4" xfId="15423" xr:uid="{00000000-0005-0000-0000-0000A9280000}"/>
    <cellStyle name="40% - Accent1 15 4 5" xfId="19374" xr:uid="{00000000-0005-0000-0000-0000AA280000}"/>
    <cellStyle name="40% - Accent1 15 5" xfId="4304" xr:uid="{00000000-0005-0000-0000-0000AB280000}"/>
    <cellStyle name="40% - Accent1 15 5 2" xfId="4305" xr:uid="{00000000-0005-0000-0000-0000AC280000}"/>
    <cellStyle name="40% - Accent1 15 5 2 2" xfId="15427" xr:uid="{00000000-0005-0000-0000-0000AD280000}"/>
    <cellStyle name="40% - Accent1 15 5 2 3" xfId="19378" xr:uid="{00000000-0005-0000-0000-0000AE280000}"/>
    <cellStyle name="40% - Accent1 15 5 3" xfId="4306" xr:uid="{00000000-0005-0000-0000-0000AF280000}"/>
    <cellStyle name="40% - Accent1 15 5 3 2" xfId="15428" xr:uid="{00000000-0005-0000-0000-0000B0280000}"/>
    <cellStyle name="40% - Accent1 15 5 3 3" xfId="19379" xr:uid="{00000000-0005-0000-0000-0000B1280000}"/>
    <cellStyle name="40% - Accent1 15 5 4" xfId="15426" xr:uid="{00000000-0005-0000-0000-0000B2280000}"/>
    <cellStyle name="40% - Accent1 15 5 5" xfId="19377" xr:uid="{00000000-0005-0000-0000-0000B3280000}"/>
    <cellStyle name="40% - Accent1 15 6" xfId="4307" xr:uid="{00000000-0005-0000-0000-0000B4280000}"/>
    <cellStyle name="40% - Accent1 15 6 2" xfId="4308" xr:uid="{00000000-0005-0000-0000-0000B5280000}"/>
    <cellStyle name="40% - Accent1 15 6 2 2" xfId="15430" xr:uid="{00000000-0005-0000-0000-0000B6280000}"/>
    <cellStyle name="40% - Accent1 15 6 2 3" xfId="19381" xr:uid="{00000000-0005-0000-0000-0000B7280000}"/>
    <cellStyle name="40% - Accent1 15 6 3" xfId="4309" xr:uid="{00000000-0005-0000-0000-0000B8280000}"/>
    <cellStyle name="40% - Accent1 15 6 3 2" xfId="15431" xr:uid="{00000000-0005-0000-0000-0000B9280000}"/>
    <cellStyle name="40% - Accent1 15 6 3 3" xfId="19382" xr:uid="{00000000-0005-0000-0000-0000BA280000}"/>
    <cellStyle name="40% - Accent1 15 6 4" xfId="15429" xr:uid="{00000000-0005-0000-0000-0000BB280000}"/>
    <cellStyle name="40% - Accent1 15 6 5" xfId="19380" xr:uid="{00000000-0005-0000-0000-0000BC280000}"/>
    <cellStyle name="40% - Accent1 15 7" xfId="4310" xr:uid="{00000000-0005-0000-0000-0000BD280000}"/>
    <cellStyle name="40% - Accent1 15 7 2" xfId="15432" xr:uid="{00000000-0005-0000-0000-0000BE280000}"/>
    <cellStyle name="40% - Accent1 15 7 3" xfId="19383" xr:uid="{00000000-0005-0000-0000-0000BF280000}"/>
    <cellStyle name="40% - Accent1 15 8" xfId="4311" xr:uid="{00000000-0005-0000-0000-0000C0280000}"/>
    <cellStyle name="40% - Accent1 15 8 2" xfId="15433" xr:uid="{00000000-0005-0000-0000-0000C1280000}"/>
    <cellStyle name="40% - Accent1 15 8 3" xfId="19384" xr:uid="{00000000-0005-0000-0000-0000C2280000}"/>
    <cellStyle name="40% - Accent1 15 9" xfId="15401" xr:uid="{00000000-0005-0000-0000-0000C3280000}"/>
    <cellStyle name="40% - Accent1 15_Volatility" xfId="4312" xr:uid="{00000000-0005-0000-0000-0000C4280000}"/>
    <cellStyle name="40% - Accent1 16" xfId="4313" xr:uid="{00000000-0005-0000-0000-0000C5280000}"/>
    <cellStyle name="40% - Accent1 16 2" xfId="15434" xr:uid="{00000000-0005-0000-0000-0000C6280000}"/>
    <cellStyle name="40% - Accent1 16 3" xfId="19385" xr:uid="{00000000-0005-0000-0000-0000C7280000}"/>
    <cellStyle name="40% - Accent1 17" xfId="4314" xr:uid="{00000000-0005-0000-0000-0000C8280000}"/>
    <cellStyle name="40% - Accent1 17 2" xfId="15435" xr:uid="{00000000-0005-0000-0000-0000C9280000}"/>
    <cellStyle name="40% - Accent1 17 3" xfId="19386" xr:uid="{00000000-0005-0000-0000-0000CA280000}"/>
    <cellStyle name="40% - Accent1 18" xfId="4315" xr:uid="{00000000-0005-0000-0000-0000CB280000}"/>
    <cellStyle name="40% - Accent1 18 2" xfId="15436" xr:uid="{00000000-0005-0000-0000-0000CC280000}"/>
    <cellStyle name="40% - Accent1 18 3" xfId="19387" xr:uid="{00000000-0005-0000-0000-0000CD280000}"/>
    <cellStyle name="40% - Accent1 19" xfId="4316" xr:uid="{00000000-0005-0000-0000-0000CE280000}"/>
    <cellStyle name="40% - Accent1 19 2" xfId="15437" xr:uid="{00000000-0005-0000-0000-0000CF280000}"/>
    <cellStyle name="40% - Accent1 19 3" xfId="19388" xr:uid="{00000000-0005-0000-0000-0000D0280000}"/>
    <cellStyle name="40% - Accent1 2" xfId="4317" xr:uid="{00000000-0005-0000-0000-0000D1280000}"/>
    <cellStyle name="40% - Accent1 2 10" xfId="19389" xr:uid="{00000000-0005-0000-0000-0000D2280000}"/>
    <cellStyle name="40% - Accent1 2 2" xfId="4318" xr:uid="{00000000-0005-0000-0000-0000D3280000}"/>
    <cellStyle name="40% - Accent1 2 2 2" xfId="4319" xr:uid="{00000000-0005-0000-0000-0000D4280000}"/>
    <cellStyle name="40% - Accent1 2 2 2 2" xfId="4320" xr:uid="{00000000-0005-0000-0000-0000D5280000}"/>
    <cellStyle name="40% - Accent1 2 2 2 2 2" xfId="15441" xr:uid="{00000000-0005-0000-0000-0000D6280000}"/>
    <cellStyle name="40% - Accent1 2 2 2 2 3" xfId="19392" xr:uid="{00000000-0005-0000-0000-0000D7280000}"/>
    <cellStyle name="40% - Accent1 2 2 2 3" xfId="4321" xr:uid="{00000000-0005-0000-0000-0000D8280000}"/>
    <cellStyle name="40% - Accent1 2 2 2 3 2" xfId="15442" xr:uid="{00000000-0005-0000-0000-0000D9280000}"/>
    <cellStyle name="40% - Accent1 2 2 2 3 3" xfId="19393" xr:uid="{00000000-0005-0000-0000-0000DA280000}"/>
    <cellStyle name="40% - Accent1 2 2 2 4" xfId="15440" xr:uid="{00000000-0005-0000-0000-0000DB280000}"/>
    <cellStyle name="40% - Accent1 2 2 2 5" xfId="19391" xr:uid="{00000000-0005-0000-0000-0000DC280000}"/>
    <cellStyle name="40% - Accent1 2 2 3" xfId="4322" xr:uid="{00000000-0005-0000-0000-0000DD280000}"/>
    <cellStyle name="40% - Accent1 2 2 3 2" xfId="4323" xr:uid="{00000000-0005-0000-0000-0000DE280000}"/>
    <cellStyle name="40% - Accent1 2 2 3 2 2" xfId="15444" xr:uid="{00000000-0005-0000-0000-0000DF280000}"/>
    <cellStyle name="40% - Accent1 2 2 3 2 3" xfId="19395" xr:uid="{00000000-0005-0000-0000-0000E0280000}"/>
    <cellStyle name="40% - Accent1 2 2 3 3" xfId="4324" xr:uid="{00000000-0005-0000-0000-0000E1280000}"/>
    <cellStyle name="40% - Accent1 2 2 3 3 2" xfId="15445" xr:uid="{00000000-0005-0000-0000-0000E2280000}"/>
    <cellStyle name="40% - Accent1 2 2 3 3 3" xfId="19396" xr:uid="{00000000-0005-0000-0000-0000E3280000}"/>
    <cellStyle name="40% - Accent1 2 2 3 4" xfId="15443" xr:uid="{00000000-0005-0000-0000-0000E4280000}"/>
    <cellStyle name="40% - Accent1 2 2 3 5" xfId="19394" xr:uid="{00000000-0005-0000-0000-0000E5280000}"/>
    <cellStyle name="40% - Accent1 2 2 4" xfId="4325" xr:uid="{00000000-0005-0000-0000-0000E6280000}"/>
    <cellStyle name="40% - Accent1 2 2 4 2" xfId="4326" xr:uid="{00000000-0005-0000-0000-0000E7280000}"/>
    <cellStyle name="40% - Accent1 2 2 4 2 2" xfId="15447" xr:uid="{00000000-0005-0000-0000-0000E8280000}"/>
    <cellStyle name="40% - Accent1 2 2 4 2 3" xfId="19398" xr:uid="{00000000-0005-0000-0000-0000E9280000}"/>
    <cellStyle name="40% - Accent1 2 2 4 3" xfId="4327" xr:uid="{00000000-0005-0000-0000-0000EA280000}"/>
    <cellStyle name="40% - Accent1 2 2 4 3 2" xfId="15448" xr:uid="{00000000-0005-0000-0000-0000EB280000}"/>
    <cellStyle name="40% - Accent1 2 2 4 3 3" xfId="19399" xr:uid="{00000000-0005-0000-0000-0000EC280000}"/>
    <cellStyle name="40% - Accent1 2 2 4 4" xfId="15446" xr:uid="{00000000-0005-0000-0000-0000ED280000}"/>
    <cellStyle name="40% - Accent1 2 2 4 5" xfId="19397" xr:uid="{00000000-0005-0000-0000-0000EE280000}"/>
    <cellStyle name="40% - Accent1 2 2 5" xfId="4328" xr:uid="{00000000-0005-0000-0000-0000EF280000}"/>
    <cellStyle name="40% - Accent1 2 2 5 2" xfId="15449" xr:uid="{00000000-0005-0000-0000-0000F0280000}"/>
    <cellStyle name="40% - Accent1 2 2 5 3" xfId="19400" xr:uid="{00000000-0005-0000-0000-0000F1280000}"/>
    <cellStyle name="40% - Accent1 2 2 6" xfId="4329" xr:uid="{00000000-0005-0000-0000-0000F2280000}"/>
    <cellStyle name="40% - Accent1 2 2 6 2" xfId="15450" xr:uid="{00000000-0005-0000-0000-0000F3280000}"/>
    <cellStyle name="40% - Accent1 2 2 6 3" xfId="19401" xr:uid="{00000000-0005-0000-0000-0000F4280000}"/>
    <cellStyle name="40% - Accent1 2 2 7" xfId="15439" xr:uid="{00000000-0005-0000-0000-0000F5280000}"/>
    <cellStyle name="40% - Accent1 2 2 8" xfId="19390" xr:uid="{00000000-0005-0000-0000-0000F6280000}"/>
    <cellStyle name="40% - Accent1 2 2_Volatility" xfId="4330" xr:uid="{00000000-0005-0000-0000-0000F7280000}"/>
    <cellStyle name="40% - Accent1 2 3" xfId="4331" xr:uid="{00000000-0005-0000-0000-0000F8280000}"/>
    <cellStyle name="40% - Accent1 2 3 2" xfId="4332" xr:uid="{00000000-0005-0000-0000-0000F9280000}"/>
    <cellStyle name="40% - Accent1 2 3 2 2" xfId="4333" xr:uid="{00000000-0005-0000-0000-0000FA280000}"/>
    <cellStyle name="40% - Accent1 2 3 2 2 2" xfId="15453" xr:uid="{00000000-0005-0000-0000-0000FB280000}"/>
    <cellStyle name="40% - Accent1 2 3 2 2 3" xfId="19404" xr:uid="{00000000-0005-0000-0000-0000FC280000}"/>
    <cellStyle name="40% - Accent1 2 3 2 3" xfId="4334" xr:uid="{00000000-0005-0000-0000-0000FD280000}"/>
    <cellStyle name="40% - Accent1 2 3 2 3 2" xfId="15454" xr:uid="{00000000-0005-0000-0000-0000FE280000}"/>
    <cellStyle name="40% - Accent1 2 3 2 3 3" xfId="19405" xr:uid="{00000000-0005-0000-0000-0000FF280000}"/>
    <cellStyle name="40% - Accent1 2 3 2 4" xfId="15452" xr:uid="{00000000-0005-0000-0000-000000290000}"/>
    <cellStyle name="40% - Accent1 2 3 2 5" xfId="19403" xr:uid="{00000000-0005-0000-0000-000001290000}"/>
    <cellStyle name="40% - Accent1 2 3 3" xfId="4335" xr:uid="{00000000-0005-0000-0000-000002290000}"/>
    <cellStyle name="40% - Accent1 2 3 3 2" xfId="4336" xr:uid="{00000000-0005-0000-0000-000003290000}"/>
    <cellStyle name="40% - Accent1 2 3 3 2 2" xfId="15456" xr:uid="{00000000-0005-0000-0000-000004290000}"/>
    <cellStyle name="40% - Accent1 2 3 3 2 3" xfId="19407" xr:uid="{00000000-0005-0000-0000-000005290000}"/>
    <cellStyle name="40% - Accent1 2 3 3 3" xfId="4337" xr:uid="{00000000-0005-0000-0000-000006290000}"/>
    <cellStyle name="40% - Accent1 2 3 3 3 2" xfId="15457" xr:uid="{00000000-0005-0000-0000-000007290000}"/>
    <cellStyle name="40% - Accent1 2 3 3 3 3" xfId="19408" xr:uid="{00000000-0005-0000-0000-000008290000}"/>
    <cellStyle name="40% - Accent1 2 3 3 4" xfId="15455" xr:uid="{00000000-0005-0000-0000-000009290000}"/>
    <cellStyle name="40% - Accent1 2 3 3 5" xfId="19406" xr:uid="{00000000-0005-0000-0000-00000A290000}"/>
    <cellStyle name="40% - Accent1 2 3 4" xfId="4338" xr:uid="{00000000-0005-0000-0000-00000B290000}"/>
    <cellStyle name="40% - Accent1 2 3 4 2" xfId="15458" xr:uid="{00000000-0005-0000-0000-00000C290000}"/>
    <cellStyle name="40% - Accent1 2 3 4 3" xfId="19409" xr:uid="{00000000-0005-0000-0000-00000D290000}"/>
    <cellStyle name="40% - Accent1 2 3 5" xfId="4339" xr:uid="{00000000-0005-0000-0000-00000E290000}"/>
    <cellStyle name="40% - Accent1 2 3 5 2" xfId="15459" xr:uid="{00000000-0005-0000-0000-00000F290000}"/>
    <cellStyle name="40% - Accent1 2 3 5 3" xfId="19410" xr:uid="{00000000-0005-0000-0000-000010290000}"/>
    <cellStyle name="40% - Accent1 2 3 6" xfId="15451" xr:uid="{00000000-0005-0000-0000-000011290000}"/>
    <cellStyle name="40% - Accent1 2 3 7" xfId="19402" xr:uid="{00000000-0005-0000-0000-000012290000}"/>
    <cellStyle name="40% - Accent1 2 3_Volatility" xfId="4340" xr:uid="{00000000-0005-0000-0000-000013290000}"/>
    <cellStyle name="40% - Accent1 2 4" xfId="4341" xr:uid="{00000000-0005-0000-0000-000014290000}"/>
    <cellStyle name="40% - Accent1 2 4 2" xfId="4342" xr:uid="{00000000-0005-0000-0000-000015290000}"/>
    <cellStyle name="40% - Accent1 2 4 2 2" xfId="15461" xr:uid="{00000000-0005-0000-0000-000016290000}"/>
    <cellStyle name="40% - Accent1 2 4 2 3" xfId="19412" xr:uid="{00000000-0005-0000-0000-000017290000}"/>
    <cellStyle name="40% - Accent1 2 4 3" xfId="4343" xr:uid="{00000000-0005-0000-0000-000018290000}"/>
    <cellStyle name="40% - Accent1 2 4 3 2" xfId="15462" xr:uid="{00000000-0005-0000-0000-000019290000}"/>
    <cellStyle name="40% - Accent1 2 4 3 3" xfId="19413" xr:uid="{00000000-0005-0000-0000-00001A290000}"/>
    <cellStyle name="40% - Accent1 2 4 4" xfId="15460" xr:uid="{00000000-0005-0000-0000-00001B290000}"/>
    <cellStyle name="40% - Accent1 2 4 5" xfId="19411" xr:uid="{00000000-0005-0000-0000-00001C290000}"/>
    <cellStyle name="40% - Accent1 2 5" xfId="4344" xr:uid="{00000000-0005-0000-0000-00001D290000}"/>
    <cellStyle name="40% - Accent1 2 5 2" xfId="4345" xr:uid="{00000000-0005-0000-0000-00001E290000}"/>
    <cellStyle name="40% - Accent1 2 5 2 2" xfId="15464" xr:uid="{00000000-0005-0000-0000-00001F290000}"/>
    <cellStyle name="40% - Accent1 2 5 2 3" xfId="19415" xr:uid="{00000000-0005-0000-0000-000020290000}"/>
    <cellStyle name="40% - Accent1 2 5 3" xfId="4346" xr:uid="{00000000-0005-0000-0000-000021290000}"/>
    <cellStyle name="40% - Accent1 2 5 3 2" xfId="15465" xr:uid="{00000000-0005-0000-0000-000022290000}"/>
    <cellStyle name="40% - Accent1 2 5 3 3" xfId="19416" xr:uid="{00000000-0005-0000-0000-000023290000}"/>
    <cellStyle name="40% - Accent1 2 5 4" xfId="15463" xr:uid="{00000000-0005-0000-0000-000024290000}"/>
    <cellStyle name="40% - Accent1 2 5 5" xfId="19414" xr:uid="{00000000-0005-0000-0000-000025290000}"/>
    <cellStyle name="40% - Accent1 2 6" xfId="4347" xr:uid="{00000000-0005-0000-0000-000026290000}"/>
    <cellStyle name="40% - Accent1 2 6 2" xfId="4348" xr:uid="{00000000-0005-0000-0000-000027290000}"/>
    <cellStyle name="40% - Accent1 2 6 2 2" xfId="15467" xr:uid="{00000000-0005-0000-0000-000028290000}"/>
    <cellStyle name="40% - Accent1 2 6 2 3" xfId="19418" xr:uid="{00000000-0005-0000-0000-000029290000}"/>
    <cellStyle name="40% - Accent1 2 6 3" xfId="4349" xr:uid="{00000000-0005-0000-0000-00002A290000}"/>
    <cellStyle name="40% - Accent1 2 6 3 2" xfId="15468" xr:uid="{00000000-0005-0000-0000-00002B290000}"/>
    <cellStyle name="40% - Accent1 2 6 3 3" xfId="19419" xr:uid="{00000000-0005-0000-0000-00002C290000}"/>
    <cellStyle name="40% - Accent1 2 6 4" xfId="15466" xr:uid="{00000000-0005-0000-0000-00002D290000}"/>
    <cellStyle name="40% - Accent1 2 6 5" xfId="19417" xr:uid="{00000000-0005-0000-0000-00002E290000}"/>
    <cellStyle name="40% - Accent1 2 7" xfId="4350" xr:uid="{00000000-0005-0000-0000-00002F290000}"/>
    <cellStyle name="40% - Accent1 2 7 2" xfId="15469" xr:uid="{00000000-0005-0000-0000-000030290000}"/>
    <cellStyle name="40% - Accent1 2 7 3" xfId="19420" xr:uid="{00000000-0005-0000-0000-000031290000}"/>
    <cellStyle name="40% - Accent1 2 8" xfId="4351" xr:uid="{00000000-0005-0000-0000-000032290000}"/>
    <cellStyle name="40% - Accent1 2 8 2" xfId="15470" xr:uid="{00000000-0005-0000-0000-000033290000}"/>
    <cellStyle name="40% - Accent1 2 8 3" xfId="19421" xr:uid="{00000000-0005-0000-0000-000034290000}"/>
    <cellStyle name="40% - Accent1 2 9" xfId="15438" xr:uid="{00000000-0005-0000-0000-000035290000}"/>
    <cellStyle name="40% - Accent1 2_Volatility" xfId="4352" xr:uid="{00000000-0005-0000-0000-000036290000}"/>
    <cellStyle name="40% - Accent1 3" xfId="4353" xr:uid="{00000000-0005-0000-0000-000037290000}"/>
    <cellStyle name="40% - Accent1 3 10" xfId="19422" xr:uid="{00000000-0005-0000-0000-000038290000}"/>
    <cellStyle name="40% - Accent1 3 2" xfId="4354" xr:uid="{00000000-0005-0000-0000-000039290000}"/>
    <cellStyle name="40% - Accent1 3 2 2" xfId="4355" xr:uid="{00000000-0005-0000-0000-00003A290000}"/>
    <cellStyle name="40% - Accent1 3 2 2 2" xfId="4356" xr:uid="{00000000-0005-0000-0000-00003B290000}"/>
    <cellStyle name="40% - Accent1 3 2 2 2 2" xfId="15474" xr:uid="{00000000-0005-0000-0000-00003C290000}"/>
    <cellStyle name="40% - Accent1 3 2 2 2 3" xfId="19425" xr:uid="{00000000-0005-0000-0000-00003D290000}"/>
    <cellStyle name="40% - Accent1 3 2 2 3" xfId="4357" xr:uid="{00000000-0005-0000-0000-00003E290000}"/>
    <cellStyle name="40% - Accent1 3 2 2 3 2" xfId="15475" xr:uid="{00000000-0005-0000-0000-00003F290000}"/>
    <cellStyle name="40% - Accent1 3 2 2 3 3" xfId="19426" xr:uid="{00000000-0005-0000-0000-000040290000}"/>
    <cellStyle name="40% - Accent1 3 2 2 4" xfId="15473" xr:uid="{00000000-0005-0000-0000-000041290000}"/>
    <cellStyle name="40% - Accent1 3 2 2 5" xfId="19424" xr:uid="{00000000-0005-0000-0000-000042290000}"/>
    <cellStyle name="40% - Accent1 3 2 3" xfId="4358" xr:uid="{00000000-0005-0000-0000-000043290000}"/>
    <cellStyle name="40% - Accent1 3 2 3 2" xfId="4359" xr:uid="{00000000-0005-0000-0000-000044290000}"/>
    <cellStyle name="40% - Accent1 3 2 3 2 2" xfId="15477" xr:uid="{00000000-0005-0000-0000-000045290000}"/>
    <cellStyle name="40% - Accent1 3 2 3 2 3" xfId="19428" xr:uid="{00000000-0005-0000-0000-000046290000}"/>
    <cellStyle name="40% - Accent1 3 2 3 3" xfId="4360" xr:uid="{00000000-0005-0000-0000-000047290000}"/>
    <cellStyle name="40% - Accent1 3 2 3 3 2" xfId="15478" xr:uid="{00000000-0005-0000-0000-000048290000}"/>
    <cellStyle name="40% - Accent1 3 2 3 3 3" xfId="19429" xr:uid="{00000000-0005-0000-0000-000049290000}"/>
    <cellStyle name="40% - Accent1 3 2 3 4" xfId="15476" xr:uid="{00000000-0005-0000-0000-00004A290000}"/>
    <cellStyle name="40% - Accent1 3 2 3 5" xfId="19427" xr:uid="{00000000-0005-0000-0000-00004B290000}"/>
    <cellStyle name="40% - Accent1 3 2 4" xfId="4361" xr:uid="{00000000-0005-0000-0000-00004C290000}"/>
    <cellStyle name="40% - Accent1 3 2 4 2" xfId="4362" xr:uid="{00000000-0005-0000-0000-00004D290000}"/>
    <cellStyle name="40% - Accent1 3 2 4 2 2" xfId="15480" xr:uid="{00000000-0005-0000-0000-00004E290000}"/>
    <cellStyle name="40% - Accent1 3 2 4 2 3" xfId="19431" xr:uid="{00000000-0005-0000-0000-00004F290000}"/>
    <cellStyle name="40% - Accent1 3 2 4 3" xfId="4363" xr:uid="{00000000-0005-0000-0000-000050290000}"/>
    <cellStyle name="40% - Accent1 3 2 4 3 2" xfId="15481" xr:uid="{00000000-0005-0000-0000-000051290000}"/>
    <cellStyle name="40% - Accent1 3 2 4 3 3" xfId="19432" xr:uid="{00000000-0005-0000-0000-000052290000}"/>
    <cellStyle name="40% - Accent1 3 2 4 4" xfId="15479" xr:uid="{00000000-0005-0000-0000-000053290000}"/>
    <cellStyle name="40% - Accent1 3 2 4 5" xfId="19430" xr:uid="{00000000-0005-0000-0000-000054290000}"/>
    <cellStyle name="40% - Accent1 3 2 5" xfId="4364" xr:uid="{00000000-0005-0000-0000-000055290000}"/>
    <cellStyle name="40% - Accent1 3 2 5 2" xfId="15482" xr:uid="{00000000-0005-0000-0000-000056290000}"/>
    <cellStyle name="40% - Accent1 3 2 5 3" xfId="19433" xr:uid="{00000000-0005-0000-0000-000057290000}"/>
    <cellStyle name="40% - Accent1 3 2 6" xfId="4365" xr:uid="{00000000-0005-0000-0000-000058290000}"/>
    <cellStyle name="40% - Accent1 3 2 6 2" xfId="15483" xr:uid="{00000000-0005-0000-0000-000059290000}"/>
    <cellStyle name="40% - Accent1 3 2 6 3" xfId="19434" xr:uid="{00000000-0005-0000-0000-00005A290000}"/>
    <cellStyle name="40% - Accent1 3 2 7" xfId="15472" xr:uid="{00000000-0005-0000-0000-00005B290000}"/>
    <cellStyle name="40% - Accent1 3 2 8" xfId="19423" xr:uid="{00000000-0005-0000-0000-00005C290000}"/>
    <cellStyle name="40% - Accent1 3 2_Volatility" xfId="4366" xr:uid="{00000000-0005-0000-0000-00005D290000}"/>
    <cellStyle name="40% - Accent1 3 3" xfId="4367" xr:uid="{00000000-0005-0000-0000-00005E290000}"/>
    <cellStyle name="40% - Accent1 3 3 2" xfId="4368" xr:uid="{00000000-0005-0000-0000-00005F290000}"/>
    <cellStyle name="40% - Accent1 3 3 2 2" xfId="4369" xr:uid="{00000000-0005-0000-0000-000060290000}"/>
    <cellStyle name="40% - Accent1 3 3 2 2 2" xfId="15486" xr:uid="{00000000-0005-0000-0000-000061290000}"/>
    <cellStyle name="40% - Accent1 3 3 2 2 3" xfId="19437" xr:uid="{00000000-0005-0000-0000-000062290000}"/>
    <cellStyle name="40% - Accent1 3 3 2 3" xfId="4370" xr:uid="{00000000-0005-0000-0000-000063290000}"/>
    <cellStyle name="40% - Accent1 3 3 2 3 2" xfId="15487" xr:uid="{00000000-0005-0000-0000-000064290000}"/>
    <cellStyle name="40% - Accent1 3 3 2 3 3" xfId="19438" xr:uid="{00000000-0005-0000-0000-000065290000}"/>
    <cellStyle name="40% - Accent1 3 3 2 4" xfId="15485" xr:uid="{00000000-0005-0000-0000-000066290000}"/>
    <cellStyle name="40% - Accent1 3 3 2 5" xfId="19436" xr:uid="{00000000-0005-0000-0000-000067290000}"/>
    <cellStyle name="40% - Accent1 3 3 3" xfId="4371" xr:uid="{00000000-0005-0000-0000-000068290000}"/>
    <cellStyle name="40% - Accent1 3 3 3 2" xfId="4372" xr:uid="{00000000-0005-0000-0000-000069290000}"/>
    <cellStyle name="40% - Accent1 3 3 3 2 2" xfId="15489" xr:uid="{00000000-0005-0000-0000-00006A290000}"/>
    <cellStyle name="40% - Accent1 3 3 3 2 3" xfId="19440" xr:uid="{00000000-0005-0000-0000-00006B290000}"/>
    <cellStyle name="40% - Accent1 3 3 3 3" xfId="4373" xr:uid="{00000000-0005-0000-0000-00006C290000}"/>
    <cellStyle name="40% - Accent1 3 3 3 3 2" xfId="15490" xr:uid="{00000000-0005-0000-0000-00006D290000}"/>
    <cellStyle name="40% - Accent1 3 3 3 3 3" xfId="19441" xr:uid="{00000000-0005-0000-0000-00006E290000}"/>
    <cellStyle name="40% - Accent1 3 3 3 4" xfId="15488" xr:uid="{00000000-0005-0000-0000-00006F290000}"/>
    <cellStyle name="40% - Accent1 3 3 3 5" xfId="19439" xr:uid="{00000000-0005-0000-0000-000070290000}"/>
    <cellStyle name="40% - Accent1 3 3 4" xfId="4374" xr:uid="{00000000-0005-0000-0000-000071290000}"/>
    <cellStyle name="40% - Accent1 3 3 4 2" xfId="15491" xr:uid="{00000000-0005-0000-0000-000072290000}"/>
    <cellStyle name="40% - Accent1 3 3 4 3" xfId="19442" xr:uid="{00000000-0005-0000-0000-000073290000}"/>
    <cellStyle name="40% - Accent1 3 3 5" xfId="4375" xr:uid="{00000000-0005-0000-0000-000074290000}"/>
    <cellStyle name="40% - Accent1 3 3 5 2" xfId="15492" xr:uid="{00000000-0005-0000-0000-000075290000}"/>
    <cellStyle name="40% - Accent1 3 3 5 3" xfId="19443" xr:uid="{00000000-0005-0000-0000-000076290000}"/>
    <cellStyle name="40% - Accent1 3 3 6" xfId="15484" xr:uid="{00000000-0005-0000-0000-000077290000}"/>
    <cellStyle name="40% - Accent1 3 3 7" xfId="19435" xr:uid="{00000000-0005-0000-0000-000078290000}"/>
    <cellStyle name="40% - Accent1 3 3_Volatility" xfId="4376" xr:uid="{00000000-0005-0000-0000-000079290000}"/>
    <cellStyle name="40% - Accent1 3 4" xfId="4377" xr:uid="{00000000-0005-0000-0000-00007A290000}"/>
    <cellStyle name="40% - Accent1 3 4 2" xfId="4378" xr:uid="{00000000-0005-0000-0000-00007B290000}"/>
    <cellStyle name="40% - Accent1 3 4 2 2" xfId="15494" xr:uid="{00000000-0005-0000-0000-00007C290000}"/>
    <cellStyle name="40% - Accent1 3 4 2 3" xfId="19445" xr:uid="{00000000-0005-0000-0000-00007D290000}"/>
    <cellStyle name="40% - Accent1 3 4 3" xfId="4379" xr:uid="{00000000-0005-0000-0000-00007E290000}"/>
    <cellStyle name="40% - Accent1 3 4 3 2" xfId="15495" xr:uid="{00000000-0005-0000-0000-00007F290000}"/>
    <cellStyle name="40% - Accent1 3 4 3 3" xfId="19446" xr:uid="{00000000-0005-0000-0000-000080290000}"/>
    <cellStyle name="40% - Accent1 3 4 4" xfId="15493" xr:uid="{00000000-0005-0000-0000-000081290000}"/>
    <cellStyle name="40% - Accent1 3 4 5" xfId="19444" xr:uid="{00000000-0005-0000-0000-000082290000}"/>
    <cellStyle name="40% - Accent1 3 5" xfId="4380" xr:uid="{00000000-0005-0000-0000-000083290000}"/>
    <cellStyle name="40% - Accent1 3 5 2" xfId="4381" xr:uid="{00000000-0005-0000-0000-000084290000}"/>
    <cellStyle name="40% - Accent1 3 5 2 2" xfId="15497" xr:uid="{00000000-0005-0000-0000-000085290000}"/>
    <cellStyle name="40% - Accent1 3 5 2 3" xfId="19448" xr:uid="{00000000-0005-0000-0000-000086290000}"/>
    <cellStyle name="40% - Accent1 3 5 3" xfId="4382" xr:uid="{00000000-0005-0000-0000-000087290000}"/>
    <cellStyle name="40% - Accent1 3 5 3 2" xfId="15498" xr:uid="{00000000-0005-0000-0000-000088290000}"/>
    <cellStyle name="40% - Accent1 3 5 3 3" xfId="19449" xr:uid="{00000000-0005-0000-0000-000089290000}"/>
    <cellStyle name="40% - Accent1 3 5 4" xfId="15496" xr:uid="{00000000-0005-0000-0000-00008A290000}"/>
    <cellStyle name="40% - Accent1 3 5 5" xfId="19447" xr:uid="{00000000-0005-0000-0000-00008B290000}"/>
    <cellStyle name="40% - Accent1 3 6" xfId="4383" xr:uid="{00000000-0005-0000-0000-00008C290000}"/>
    <cellStyle name="40% - Accent1 3 6 2" xfId="4384" xr:uid="{00000000-0005-0000-0000-00008D290000}"/>
    <cellStyle name="40% - Accent1 3 6 2 2" xfId="15500" xr:uid="{00000000-0005-0000-0000-00008E290000}"/>
    <cellStyle name="40% - Accent1 3 6 2 3" xfId="19451" xr:uid="{00000000-0005-0000-0000-00008F290000}"/>
    <cellStyle name="40% - Accent1 3 6 3" xfId="4385" xr:uid="{00000000-0005-0000-0000-000090290000}"/>
    <cellStyle name="40% - Accent1 3 6 3 2" xfId="15501" xr:uid="{00000000-0005-0000-0000-000091290000}"/>
    <cellStyle name="40% - Accent1 3 6 3 3" xfId="19452" xr:uid="{00000000-0005-0000-0000-000092290000}"/>
    <cellStyle name="40% - Accent1 3 6 4" xfId="15499" xr:uid="{00000000-0005-0000-0000-000093290000}"/>
    <cellStyle name="40% - Accent1 3 6 5" xfId="19450" xr:uid="{00000000-0005-0000-0000-000094290000}"/>
    <cellStyle name="40% - Accent1 3 7" xfId="4386" xr:uid="{00000000-0005-0000-0000-000095290000}"/>
    <cellStyle name="40% - Accent1 3 7 2" xfId="15502" xr:uid="{00000000-0005-0000-0000-000096290000}"/>
    <cellStyle name="40% - Accent1 3 7 3" xfId="19453" xr:uid="{00000000-0005-0000-0000-000097290000}"/>
    <cellStyle name="40% - Accent1 3 8" xfId="4387" xr:uid="{00000000-0005-0000-0000-000098290000}"/>
    <cellStyle name="40% - Accent1 3 8 2" xfId="15503" xr:uid="{00000000-0005-0000-0000-000099290000}"/>
    <cellStyle name="40% - Accent1 3 8 3" xfId="19454" xr:uid="{00000000-0005-0000-0000-00009A290000}"/>
    <cellStyle name="40% - Accent1 3 9" xfId="15471" xr:uid="{00000000-0005-0000-0000-00009B290000}"/>
    <cellStyle name="40% - Accent1 3_Volatility" xfId="4388" xr:uid="{00000000-0005-0000-0000-00009C290000}"/>
    <cellStyle name="40% - Accent1 4" xfId="4389" xr:uid="{00000000-0005-0000-0000-00009D290000}"/>
    <cellStyle name="40% - Accent1 4 10" xfId="19455" xr:uid="{00000000-0005-0000-0000-00009E290000}"/>
    <cellStyle name="40% - Accent1 4 2" xfId="4390" xr:uid="{00000000-0005-0000-0000-00009F290000}"/>
    <cellStyle name="40% - Accent1 4 2 2" xfId="4391" xr:uid="{00000000-0005-0000-0000-0000A0290000}"/>
    <cellStyle name="40% - Accent1 4 2 2 2" xfId="4392" xr:uid="{00000000-0005-0000-0000-0000A1290000}"/>
    <cellStyle name="40% - Accent1 4 2 2 2 2" xfId="15507" xr:uid="{00000000-0005-0000-0000-0000A2290000}"/>
    <cellStyle name="40% - Accent1 4 2 2 2 3" xfId="19458" xr:uid="{00000000-0005-0000-0000-0000A3290000}"/>
    <cellStyle name="40% - Accent1 4 2 2 3" xfId="4393" xr:uid="{00000000-0005-0000-0000-0000A4290000}"/>
    <cellStyle name="40% - Accent1 4 2 2 3 2" xfId="15508" xr:uid="{00000000-0005-0000-0000-0000A5290000}"/>
    <cellStyle name="40% - Accent1 4 2 2 3 3" xfId="19459" xr:uid="{00000000-0005-0000-0000-0000A6290000}"/>
    <cellStyle name="40% - Accent1 4 2 2 4" xfId="15506" xr:uid="{00000000-0005-0000-0000-0000A7290000}"/>
    <cellStyle name="40% - Accent1 4 2 2 5" xfId="19457" xr:uid="{00000000-0005-0000-0000-0000A8290000}"/>
    <cellStyle name="40% - Accent1 4 2 3" xfId="4394" xr:uid="{00000000-0005-0000-0000-0000A9290000}"/>
    <cellStyle name="40% - Accent1 4 2 3 2" xfId="4395" xr:uid="{00000000-0005-0000-0000-0000AA290000}"/>
    <cellStyle name="40% - Accent1 4 2 3 2 2" xfId="15510" xr:uid="{00000000-0005-0000-0000-0000AB290000}"/>
    <cellStyle name="40% - Accent1 4 2 3 2 3" xfId="19461" xr:uid="{00000000-0005-0000-0000-0000AC290000}"/>
    <cellStyle name="40% - Accent1 4 2 3 3" xfId="4396" xr:uid="{00000000-0005-0000-0000-0000AD290000}"/>
    <cellStyle name="40% - Accent1 4 2 3 3 2" xfId="15511" xr:uid="{00000000-0005-0000-0000-0000AE290000}"/>
    <cellStyle name="40% - Accent1 4 2 3 3 3" xfId="19462" xr:uid="{00000000-0005-0000-0000-0000AF290000}"/>
    <cellStyle name="40% - Accent1 4 2 3 4" xfId="15509" xr:uid="{00000000-0005-0000-0000-0000B0290000}"/>
    <cellStyle name="40% - Accent1 4 2 3 5" xfId="19460" xr:uid="{00000000-0005-0000-0000-0000B1290000}"/>
    <cellStyle name="40% - Accent1 4 2 4" xfId="4397" xr:uid="{00000000-0005-0000-0000-0000B2290000}"/>
    <cellStyle name="40% - Accent1 4 2 4 2" xfId="4398" xr:uid="{00000000-0005-0000-0000-0000B3290000}"/>
    <cellStyle name="40% - Accent1 4 2 4 2 2" xfId="15513" xr:uid="{00000000-0005-0000-0000-0000B4290000}"/>
    <cellStyle name="40% - Accent1 4 2 4 2 3" xfId="19464" xr:uid="{00000000-0005-0000-0000-0000B5290000}"/>
    <cellStyle name="40% - Accent1 4 2 4 3" xfId="4399" xr:uid="{00000000-0005-0000-0000-0000B6290000}"/>
    <cellStyle name="40% - Accent1 4 2 4 3 2" xfId="15514" xr:uid="{00000000-0005-0000-0000-0000B7290000}"/>
    <cellStyle name="40% - Accent1 4 2 4 3 3" xfId="19465" xr:uid="{00000000-0005-0000-0000-0000B8290000}"/>
    <cellStyle name="40% - Accent1 4 2 4 4" xfId="15512" xr:uid="{00000000-0005-0000-0000-0000B9290000}"/>
    <cellStyle name="40% - Accent1 4 2 4 5" xfId="19463" xr:uid="{00000000-0005-0000-0000-0000BA290000}"/>
    <cellStyle name="40% - Accent1 4 2 5" xfId="4400" xr:uid="{00000000-0005-0000-0000-0000BB290000}"/>
    <cellStyle name="40% - Accent1 4 2 5 2" xfId="15515" xr:uid="{00000000-0005-0000-0000-0000BC290000}"/>
    <cellStyle name="40% - Accent1 4 2 5 3" xfId="19466" xr:uid="{00000000-0005-0000-0000-0000BD290000}"/>
    <cellStyle name="40% - Accent1 4 2 6" xfId="4401" xr:uid="{00000000-0005-0000-0000-0000BE290000}"/>
    <cellStyle name="40% - Accent1 4 2 6 2" xfId="15516" xr:uid="{00000000-0005-0000-0000-0000BF290000}"/>
    <cellStyle name="40% - Accent1 4 2 6 3" xfId="19467" xr:uid="{00000000-0005-0000-0000-0000C0290000}"/>
    <cellStyle name="40% - Accent1 4 2 7" xfId="15505" xr:uid="{00000000-0005-0000-0000-0000C1290000}"/>
    <cellStyle name="40% - Accent1 4 2 8" xfId="19456" xr:uid="{00000000-0005-0000-0000-0000C2290000}"/>
    <cellStyle name="40% - Accent1 4 2_Volatility" xfId="4402" xr:uid="{00000000-0005-0000-0000-0000C3290000}"/>
    <cellStyle name="40% - Accent1 4 3" xfId="4403" xr:uid="{00000000-0005-0000-0000-0000C4290000}"/>
    <cellStyle name="40% - Accent1 4 3 2" xfId="4404" xr:uid="{00000000-0005-0000-0000-0000C5290000}"/>
    <cellStyle name="40% - Accent1 4 3 2 2" xfId="4405" xr:uid="{00000000-0005-0000-0000-0000C6290000}"/>
    <cellStyle name="40% - Accent1 4 3 2 2 2" xfId="15519" xr:uid="{00000000-0005-0000-0000-0000C7290000}"/>
    <cellStyle name="40% - Accent1 4 3 2 2 3" xfId="19470" xr:uid="{00000000-0005-0000-0000-0000C8290000}"/>
    <cellStyle name="40% - Accent1 4 3 2 3" xfId="4406" xr:uid="{00000000-0005-0000-0000-0000C9290000}"/>
    <cellStyle name="40% - Accent1 4 3 2 3 2" xfId="15520" xr:uid="{00000000-0005-0000-0000-0000CA290000}"/>
    <cellStyle name="40% - Accent1 4 3 2 3 3" xfId="19471" xr:uid="{00000000-0005-0000-0000-0000CB290000}"/>
    <cellStyle name="40% - Accent1 4 3 2 4" xfId="15518" xr:uid="{00000000-0005-0000-0000-0000CC290000}"/>
    <cellStyle name="40% - Accent1 4 3 2 5" xfId="19469" xr:uid="{00000000-0005-0000-0000-0000CD290000}"/>
    <cellStyle name="40% - Accent1 4 3 3" xfId="4407" xr:uid="{00000000-0005-0000-0000-0000CE290000}"/>
    <cellStyle name="40% - Accent1 4 3 3 2" xfId="4408" xr:uid="{00000000-0005-0000-0000-0000CF290000}"/>
    <cellStyle name="40% - Accent1 4 3 3 2 2" xfId="15522" xr:uid="{00000000-0005-0000-0000-0000D0290000}"/>
    <cellStyle name="40% - Accent1 4 3 3 2 3" xfId="19473" xr:uid="{00000000-0005-0000-0000-0000D1290000}"/>
    <cellStyle name="40% - Accent1 4 3 3 3" xfId="4409" xr:uid="{00000000-0005-0000-0000-0000D2290000}"/>
    <cellStyle name="40% - Accent1 4 3 3 3 2" xfId="15523" xr:uid="{00000000-0005-0000-0000-0000D3290000}"/>
    <cellStyle name="40% - Accent1 4 3 3 3 3" xfId="19474" xr:uid="{00000000-0005-0000-0000-0000D4290000}"/>
    <cellStyle name="40% - Accent1 4 3 3 4" xfId="15521" xr:uid="{00000000-0005-0000-0000-0000D5290000}"/>
    <cellStyle name="40% - Accent1 4 3 3 5" xfId="19472" xr:uid="{00000000-0005-0000-0000-0000D6290000}"/>
    <cellStyle name="40% - Accent1 4 3 4" xfId="4410" xr:uid="{00000000-0005-0000-0000-0000D7290000}"/>
    <cellStyle name="40% - Accent1 4 3 4 2" xfId="15524" xr:uid="{00000000-0005-0000-0000-0000D8290000}"/>
    <cellStyle name="40% - Accent1 4 3 4 3" xfId="19475" xr:uid="{00000000-0005-0000-0000-0000D9290000}"/>
    <cellStyle name="40% - Accent1 4 3 5" xfId="4411" xr:uid="{00000000-0005-0000-0000-0000DA290000}"/>
    <cellStyle name="40% - Accent1 4 3 5 2" xfId="15525" xr:uid="{00000000-0005-0000-0000-0000DB290000}"/>
    <cellStyle name="40% - Accent1 4 3 5 3" xfId="19476" xr:uid="{00000000-0005-0000-0000-0000DC290000}"/>
    <cellStyle name="40% - Accent1 4 3 6" xfId="15517" xr:uid="{00000000-0005-0000-0000-0000DD290000}"/>
    <cellStyle name="40% - Accent1 4 3 7" xfId="19468" xr:uid="{00000000-0005-0000-0000-0000DE290000}"/>
    <cellStyle name="40% - Accent1 4 3_Volatility" xfId="4412" xr:uid="{00000000-0005-0000-0000-0000DF290000}"/>
    <cellStyle name="40% - Accent1 4 4" xfId="4413" xr:uid="{00000000-0005-0000-0000-0000E0290000}"/>
    <cellStyle name="40% - Accent1 4 4 2" xfId="4414" xr:uid="{00000000-0005-0000-0000-0000E1290000}"/>
    <cellStyle name="40% - Accent1 4 4 2 2" xfId="15527" xr:uid="{00000000-0005-0000-0000-0000E2290000}"/>
    <cellStyle name="40% - Accent1 4 4 2 3" xfId="19478" xr:uid="{00000000-0005-0000-0000-0000E3290000}"/>
    <cellStyle name="40% - Accent1 4 4 3" xfId="4415" xr:uid="{00000000-0005-0000-0000-0000E4290000}"/>
    <cellStyle name="40% - Accent1 4 4 3 2" xfId="15528" xr:uid="{00000000-0005-0000-0000-0000E5290000}"/>
    <cellStyle name="40% - Accent1 4 4 3 3" xfId="19479" xr:uid="{00000000-0005-0000-0000-0000E6290000}"/>
    <cellStyle name="40% - Accent1 4 4 4" xfId="15526" xr:uid="{00000000-0005-0000-0000-0000E7290000}"/>
    <cellStyle name="40% - Accent1 4 4 5" xfId="19477" xr:uid="{00000000-0005-0000-0000-0000E8290000}"/>
    <cellStyle name="40% - Accent1 4 5" xfId="4416" xr:uid="{00000000-0005-0000-0000-0000E9290000}"/>
    <cellStyle name="40% - Accent1 4 5 2" xfId="4417" xr:uid="{00000000-0005-0000-0000-0000EA290000}"/>
    <cellStyle name="40% - Accent1 4 5 2 2" xfId="15530" xr:uid="{00000000-0005-0000-0000-0000EB290000}"/>
    <cellStyle name="40% - Accent1 4 5 2 3" xfId="19481" xr:uid="{00000000-0005-0000-0000-0000EC290000}"/>
    <cellStyle name="40% - Accent1 4 5 3" xfId="4418" xr:uid="{00000000-0005-0000-0000-0000ED290000}"/>
    <cellStyle name="40% - Accent1 4 5 3 2" xfId="15531" xr:uid="{00000000-0005-0000-0000-0000EE290000}"/>
    <cellStyle name="40% - Accent1 4 5 3 3" xfId="19482" xr:uid="{00000000-0005-0000-0000-0000EF290000}"/>
    <cellStyle name="40% - Accent1 4 5 4" xfId="15529" xr:uid="{00000000-0005-0000-0000-0000F0290000}"/>
    <cellStyle name="40% - Accent1 4 5 5" xfId="19480" xr:uid="{00000000-0005-0000-0000-0000F1290000}"/>
    <cellStyle name="40% - Accent1 4 6" xfId="4419" xr:uid="{00000000-0005-0000-0000-0000F2290000}"/>
    <cellStyle name="40% - Accent1 4 6 2" xfId="4420" xr:uid="{00000000-0005-0000-0000-0000F3290000}"/>
    <cellStyle name="40% - Accent1 4 6 2 2" xfId="15533" xr:uid="{00000000-0005-0000-0000-0000F4290000}"/>
    <cellStyle name="40% - Accent1 4 6 2 3" xfId="19484" xr:uid="{00000000-0005-0000-0000-0000F5290000}"/>
    <cellStyle name="40% - Accent1 4 6 3" xfId="4421" xr:uid="{00000000-0005-0000-0000-0000F6290000}"/>
    <cellStyle name="40% - Accent1 4 6 3 2" xfId="15534" xr:uid="{00000000-0005-0000-0000-0000F7290000}"/>
    <cellStyle name="40% - Accent1 4 6 3 3" xfId="19485" xr:uid="{00000000-0005-0000-0000-0000F8290000}"/>
    <cellStyle name="40% - Accent1 4 6 4" xfId="15532" xr:uid="{00000000-0005-0000-0000-0000F9290000}"/>
    <cellStyle name="40% - Accent1 4 6 5" xfId="19483" xr:uid="{00000000-0005-0000-0000-0000FA290000}"/>
    <cellStyle name="40% - Accent1 4 7" xfId="4422" xr:uid="{00000000-0005-0000-0000-0000FB290000}"/>
    <cellStyle name="40% - Accent1 4 7 2" xfId="15535" xr:uid="{00000000-0005-0000-0000-0000FC290000}"/>
    <cellStyle name="40% - Accent1 4 7 3" xfId="19486" xr:uid="{00000000-0005-0000-0000-0000FD290000}"/>
    <cellStyle name="40% - Accent1 4 8" xfId="4423" xr:uid="{00000000-0005-0000-0000-0000FE290000}"/>
    <cellStyle name="40% - Accent1 4 8 2" xfId="15536" xr:uid="{00000000-0005-0000-0000-0000FF290000}"/>
    <cellStyle name="40% - Accent1 4 8 3" xfId="19487" xr:uid="{00000000-0005-0000-0000-0000002A0000}"/>
    <cellStyle name="40% - Accent1 4 9" xfId="15504" xr:uid="{00000000-0005-0000-0000-0000012A0000}"/>
    <cellStyle name="40% - Accent1 4_Volatility" xfId="4424" xr:uid="{00000000-0005-0000-0000-0000022A0000}"/>
    <cellStyle name="40% - Accent1 5" xfId="4425" xr:uid="{00000000-0005-0000-0000-0000032A0000}"/>
    <cellStyle name="40% - Accent1 5 10" xfId="19488" xr:uid="{00000000-0005-0000-0000-0000042A0000}"/>
    <cellStyle name="40% - Accent1 5 2" xfId="4426" xr:uid="{00000000-0005-0000-0000-0000052A0000}"/>
    <cellStyle name="40% - Accent1 5 2 2" xfId="4427" xr:uid="{00000000-0005-0000-0000-0000062A0000}"/>
    <cellStyle name="40% - Accent1 5 2 2 2" xfId="4428" xr:uid="{00000000-0005-0000-0000-0000072A0000}"/>
    <cellStyle name="40% - Accent1 5 2 2 2 2" xfId="15540" xr:uid="{00000000-0005-0000-0000-0000082A0000}"/>
    <cellStyle name="40% - Accent1 5 2 2 2 3" xfId="19491" xr:uid="{00000000-0005-0000-0000-0000092A0000}"/>
    <cellStyle name="40% - Accent1 5 2 2 3" xfId="4429" xr:uid="{00000000-0005-0000-0000-00000A2A0000}"/>
    <cellStyle name="40% - Accent1 5 2 2 3 2" xfId="15541" xr:uid="{00000000-0005-0000-0000-00000B2A0000}"/>
    <cellStyle name="40% - Accent1 5 2 2 3 3" xfId="19492" xr:uid="{00000000-0005-0000-0000-00000C2A0000}"/>
    <cellStyle name="40% - Accent1 5 2 2 4" xfId="15539" xr:uid="{00000000-0005-0000-0000-00000D2A0000}"/>
    <cellStyle name="40% - Accent1 5 2 2 5" xfId="19490" xr:uid="{00000000-0005-0000-0000-00000E2A0000}"/>
    <cellStyle name="40% - Accent1 5 2 3" xfId="4430" xr:uid="{00000000-0005-0000-0000-00000F2A0000}"/>
    <cellStyle name="40% - Accent1 5 2 3 2" xfId="4431" xr:uid="{00000000-0005-0000-0000-0000102A0000}"/>
    <cellStyle name="40% - Accent1 5 2 3 2 2" xfId="15543" xr:uid="{00000000-0005-0000-0000-0000112A0000}"/>
    <cellStyle name="40% - Accent1 5 2 3 2 3" xfId="19494" xr:uid="{00000000-0005-0000-0000-0000122A0000}"/>
    <cellStyle name="40% - Accent1 5 2 3 3" xfId="4432" xr:uid="{00000000-0005-0000-0000-0000132A0000}"/>
    <cellStyle name="40% - Accent1 5 2 3 3 2" xfId="15544" xr:uid="{00000000-0005-0000-0000-0000142A0000}"/>
    <cellStyle name="40% - Accent1 5 2 3 3 3" xfId="19495" xr:uid="{00000000-0005-0000-0000-0000152A0000}"/>
    <cellStyle name="40% - Accent1 5 2 3 4" xfId="15542" xr:uid="{00000000-0005-0000-0000-0000162A0000}"/>
    <cellStyle name="40% - Accent1 5 2 3 5" xfId="19493" xr:uid="{00000000-0005-0000-0000-0000172A0000}"/>
    <cellStyle name="40% - Accent1 5 2 4" xfId="4433" xr:uid="{00000000-0005-0000-0000-0000182A0000}"/>
    <cellStyle name="40% - Accent1 5 2 4 2" xfId="4434" xr:uid="{00000000-0005-0000-0000-0000192A0000}"/>
    <cellStyle name="40% - Accent1 5 2 4 2 2" xfId="15546" xr:uid="{00000000-0005-0000-0000-00001A2A0000}"/>
    <cellStyle name="40% - Accent1 5 2 4 2 3" xfId="19497" xr:uid="{00000000-0005-0000-0000-00001B2A0000}"/>
    <cellStyle name="40% - Accent1 5 2 4 3" xfId="4435" xr:uid="{00000000-0005-0000-0000-00001C2A0000}"/>
    <cellStyle name="40% - Accent1 5 2 4 3 2" xfId="15547" xr:uid="{00000000-0005-0000-0000-00001D2A0000}"/>
    <cellStyle name="40% - Accent1 5 2 4 3 3" xfId="19498" xr:uid="{00000000-0005-0000-0000-00001E2A0000}"/>
    <cellStyle name="40% - Accent1 5 2 4 4" xfId="15545" xr:uid="{00000000-0005-0000-0000-00001F2A0000}"/>
    <cellStyle name="40% - Accent1 5 2 4 5" xfId="19496" xr:uid="{00000000-0005-0000-0000-0000202A0000}"/>
    <cellStyle name="40% - Accent1 5 2 5" xfId="4436" xr:uid="{00000000-0005-0000-0000-0000212A0000}"/>
    <cellStyle name="40% - Accent1 5 2 5 2" xfId="15548" xr:uid="{00000000-0005-0000-0000-0000222A0000}"/>
    <cellStyle name="40% - Accent1 5 2 5 3" xfId="19499" xr:uid="{00000000-0005-0000-0000-0000232A0000}"/>
    <cellStyle name="40% - Accent1 5 2 6" xfId="4437" xr:uid="{00000000-0005-0000-0000-0000242A0000}"/>
    <cellStyle name="40% - Accent1 5 2 6 2" xfId="15549" xr:uid="{00000000-0005-0000-0000-0000252A0000}"/>
    <cellStyle name="40% - Accent1 5 2 6 3" xfId="19500" xr:uid="{00000000-0005-0000-0000-0000262A0000}"/>
    <cellStyle name="40% - Accent1 5 2 7" xfId="15538" xr:uid="{00000000-0005-0000-0000-0000272A0000}"/>
    <cellStyle name="40% - Accent1 5 2 8" xfId="19489" xr:uid="{00000000-0005-0000-0000-0000282A0000}"/>
    <cellStyle name="40% - Accent1 5 2_Volatility" xfId="4438" xr:uid="{00000000-0005-0000-0000-0000292A0000}"/>
    <cellStyle name="40% - Accent1 5 3" xfId="4439" xr:uid="{00000000-0005-0000-0000-00002A2A0000}"/>
    <cellStyle name="40% - Accent1 5 3 2" xfId="4440" xr:uid="{00000000-0005-0000-0000-00002B2A0000}"/>
    <cellStyle name="40% - Accent1 5 3 2 2" xfId="4441" xr:uid="{00000000-0005-0000-0000-00002C2A0000}"/>
    <cellStyle name="40% - Accent1 5 3 2 2 2" xfId="15552" xr:uid="{00000000-0005-0000-0000-00002D2A0000}"/>
    <cellStyle name="40% - Accent1 5 3 2 2 3" xfId="19503" xr:uid="{00000000-0005-0000-0000-00002E2A0000}"/>
    <cellStyle name="40% - Accent1 5 3 2 3" xfId="4442" xr:uid="{00000000-0005-0000-0000-00002F2A0000}"/>
    <cellStyle name="40% - Accent1 5 3 2 3 2" xfId="15553" xr:uid="{00000000-0005-0000-0000-0000302A0000}"/>
    <cellStyle name="40% - Accent1 5 3 2 3 3" xfId="19504" xr:uid="{00000000-0005-0000-0000-0000312A0000}"/>
    <cellStyle name="40% - Accent1 5 3 2 4" xfId="15551" xr:uid="{00000000-0005-0000-0000-0000322A0000}"/>
    <cellStyle name="40% - Accent1 5 3 2 5" xfId="19502" xr:uid="{00000000-0005-0000-0000-0000332A0000}"/>
    <cellStyle name="40% - Accent1 5 3 3" xfId="4443" xr:uid="{00000000-0005-0000-0000-0000342A0000}"/>
    <cellStyle name="40% - Accent1 5 3 3 2" xfId="4444" xr:uid="{00000000-0005-0000-0000-0000352A0000}"/>
    <cellStyle name="40% - Accent1 5 3 3 2 2" xfId="15555" xr:uid="{00000000-0005-0000-0000-0000362A0000}"/>
    <cellStyle name="40% - Accent1 5 3 3 2 3" xfId="19506" xr:uid="{00000000-0005-0000-0000-0000372A0000}"/>
    <cellStyle name="40% - Accent1 5 3 3 3" xfId="4445" xr:uid="{00000000-0005-0000-0000-0000382A0000}"/>
    <cellStyle name="40% - Accent1 5 3 3 3 2" xfId="15556" xr:uid="{00000000-0005-0000-0000-0000392A0000}"/>
    <cellStyle name="40% - Accent1 5 3 3 3 3" xfId="19507" xr:uid="{00000000-0005-0000-0000-00003A2A0000}"/>
    <cellStyle name="40% - Accent1 5 3 3 4" xfId="15554" xr:uid="{00000000-0005-0000-0000-00003B2A0000}"/>
    <cellStyle name="40% - Accent1 5 3 3 5" xfId="19505" xr:uid="{00000000-0005-0000-0000-00003C2A0000}"/>
    <cellStyle name="40% - Accent1 5 3 4" xfId="4446" xr:uid="{00000000-0005-0000-0000-00003D2A0000}"/>
    <cellStyle name="40% - Accent1 5 3 4 2" xfId="15557" xr:uid="{00000000-0005-0000-0000-00003E2A0000}"/>
    <cellStyle name="40% - Accent1 5 3 4 3" xfId="19508" xr:uid="{00000000-0005-0000-0000-00003F2A0000}"/>
    <cellStyle name="40% - Accent1 5 3 5" xfId="4447" xr:uid="{00000000-0005-0000-0000-0000402A0000}"/>
    <cellStyle name="40% - Accent1 5 3 5 2" xfId="15558" xr:uid="{00000000-0005-0000-0000-0000412A0000}"/>
    <cellStyle name="40% - Accent1 5 3 5 3" xfId="19509" xr:uid="{00000000-0005-0000-0000-0000422A0000}"/>
    <cellStyle name="40% - Accent1 5 3 6" xfId="15550" xr:uid="{00000000-0005-0000-0000-0000432A0000}"/>
    <cellStyle name="40% - Accent1 5 3 7" xfId="19501" xr:uid="{00000000-0005-0000-0000-0000442A0000}"/>
    <cellStyle name="40% - Accent1 5 3_Volatility" xfId="4448" xr:uid="{00000000-0005-0000-0000-0000452A0000}"/>
    <cellStyle name="40% - Accent1 5 4" xfId="4449" xr:uid="{00000000-0005-0000-0000-0000462A0000}"/>
    <cellStyle name="40% - Accent1 5 4 2" xfId="4450" xr:uid="{00000000-0005-0000-0000-0000472A0000}"/>
    <cellStyle name="40% - Accent1 5 4 2 2" xfId="15560" xr:uid="{00000000-0005-0000-0000-0000482A0000}"/>
    <cellStyle name="40% - Accent1 5 4 2 3" xfId="19511" xr:uid="{00000000-0005-0000-0000-0000492A0000}"/>
    <cellStyle name="40% - Accent1 5 4 3" xfId="4451" xr:uid="{00000000-0005-0000-0000-00004A2A0000}"/>
    <cellStyle name="40% - Accent1 5 4 3 2" xfId="15561" xr:uid="{00000000-0005-0000-0000-00004B2A0000}"/>
    <cellStyle name="40% - Accent1 5 4 3 3" xfId="19512" xr:uid="{00000000-0005-0000-0000-00004C2A0000}"/>
    <cellStyle name="40% - Accent1 5 4 4" xfId="15559" xr:uid="{00000000-0005-0000-0000-00004D2A0000}"/>
    <cellStyle name="40% - Accent1 5 4 5" xfId="19510" xr:uid="{00000000-0005-0000-0000-00004E2A0000}"/>
    <cellStyle name="40% - Accent1 5 5" xfId="4452" xr:uid="{00000000-0005-0000-0000-00004F2A0000}"/>
    <cellStyle name="40% - Accent1 5 5 2" xfId="4453" xr:uid="{00000000-0005-0000-0000-0000502A0000}"/>
    <cellStyle name="40% - Accent1 5 5 2 2" xfId="15563" xr:uid="{00000000-0005-0000-0000-0000512A0000}"/>
    <cellStyle name="40% - Accent1 5 5 2 3" xfId="19514" xr:uid="{00000000-0005-0000-0000-0000522A0000}"/>
    <cellStyle name="40% - Accent1 5 5 3" xfId="4454" xr:uid="{00000000-0005-0000-0000-0000532A0000}"/>
    <cellStyle name="40% - Accent1 5 5 3 2" xfId="15564" xr:uid="{00000000-0005-0000-0000-0000542A0000}"/>
    <cellStyle name="40% - Accent1 5 5 3 3" xfId="19515" xr:uid="{00000000-0005-0000-0000-0000552A0000}"/>
    <cellStyle name="40% - Accent1 5 5 4" xfId="15562" xr:uid="{00000000-0005-0000-0000-0000562A0000}"/>
    <cellStyle name="40% - Accent1 5 5 5" xfId="19513" xr:uid="{00000000-0005-0000-0000-0000572A0000}"/>
    <cellStyle name="40% - Accent1 5 6" xfId="4455" xr:uid="{00000000-0005-0000-0000-0000582A0000}"/>
    <cellStyle name="40% - Accent1 5 6 2" xfId="4456" xr:uid="{00000000-0005-0000-0000-0000592A0000}"/>
    <cellStyle name="40% - Accent1 5 6 2 2" xfId="15566" xr:uid="{00000000-0005-0000-0000-00005A2A0000}"/>
    <cellStyle name="40% - Accent1 5 6 2 3" xfId="19517" xr:uid="{00000000-0005-0000-0000-00005B2A0000}"/>
    <cellStyle name="40% - Accent1 5 6 3" xfId="4457" xr:uid="{00000000-0005-0000-0000-00005C2A0000}"/>
    <cellStyle name="40% - Accent1 5 6 3 2" xfId="15567" xr:uid="{00000000-0005-0000-0000-00005D2A0000}"/>
    <cellStyle name="40% - Accent1 5 6 3 3" xfId="19518" xr:uid="{00000000-0005-0000-0000-00005E2A0000}"/>
    <cellStyle name="40% - Accent1 5 6 4" xfId="15565" xr:uid="{00000000-0005-0000-0000-00005F2A0000}"/>
    <cellStyle name="40% - Accent1 5 6 5" xfId="19516" xr:uid="{00000000-0005-0000-0000-0000602A0000}"/>
    <cellStyle name="40% - Accent1 5 7" xfId="4458" xr:uid="{00000000-0005-0000-0000-0000612A0000}"/>
    <cellStyle name="40% - Accent1 5 7 2" xfId="15568" xr:uid="{00000000-0005-0000-0000-0000622A0000}"/>
    <cellStyle name="40% - Accent1 5 7 3" xfId="19519" xr:uid="{00000000-0005-0000-0000-0000632A0000}"/>
    <cellStyle name="40% - Accent1 5 8" xfId="4459" xr:uid="{00000000-0005-0000-0000-0000642A0000}"/>
    <cellStyle name="40% - Accent1 5 8 2" xfId="15569" xr:uid="{00000000-0005-0000-0000-0000652A0000}"/>
    <cellStyle name="40% - Accent1 5 8 3" xfId="19520" xr:uid="{00000000-0005-0000-0000-0000662A0000}"/>
    <cellStyle name="40% - Accent1 5 9" xfId="15537" xr:uid="{00000000-0005-0000-0000-0000672A0000}"/>
    <cellStyle name="40% - Accent1 5_Volatility" xfId="4460" xr:uid="{00000000-0005-0000-0000-0000682A0000}"/>
    <cellStyle name="40% - Accent1 6" xfId="4461" xr:uid="{00000000-0005-0000-0000-0000692A0000}"/>
    <cellStyle name="40% - Accent1 6 10" xfId="19521" xr:uid="{00000000-0005-0000-0000-00006A2A0000}"/>
    <cellStyle name="40% - Accent1 6 2" xfId="4462" xr:uid="{00000000-0005-0000-0000-00006B2A0000}"/>
    <cellStyle name="40% - Accent1 6 2 2" xfId="4463" xr:uid="{00000000-0005-0000-0000-00006C2A0000}"/>
    <cellStyle name="40% - Accent1 6 2 2 2" xfId="4464" xr:uid="{00000000-0005-0000-0000-00006D2A0000}"/>
    <cellStyle name="40% - Accent1 6 2 2 2 2" xfId="15573" xr:uid="{00000000-0005-0000-0000-00006E2A0000}"/>
    <cellStyle name="40% - Accent1 6 2 2 2 3" xfId="19524" xr:uid="{00000000-0005-0000-0000-00006F2A0000}"/>
    <cellStyle name="40% - Accent1 6 2 2 3" xfId="4465" xr:uid="{00000000-0005-0000-0000-0000702A0000}"/>
    <cellStyle name="40% - Accent1 6 2 2 3 2" xfId="15574" xr:uid="{00000000-0005-0000-0000-0000712A0000}"/>
    <cellStyle name="40% - Accent1 6 2 2 3 3" xfId="19525" xr:uid="{00000000-0005-0000-0000-0000722A0000}"/>
    <cellStyle name="40% - Accent1 6 2 2 4" xfId="15572" xr:uid="{00000000-0005-0000-0000-0000732A0000}"/>
    <cellStyle name="40% - Accent1 6 2 2 5" xfId="19523" xr:uid="{00000000-0005-0000-0000-0000742A0000}"/>
    <cellStyle name="40% - Accent1 6 2 3" xfId="4466" xr:uid="{00000000-0005-0000-0000-0000752A0000}"/>
    <cellStyle name="40% - Accent1 6 2 3 2" xfId="4467" xr:uid="{00000000-0005-0000-0000-0000762A0000}"/>
    <cellStyle name="40% - Accent1 6 2 3 2 2" xfId="15576" xr:uid="{00000000-0005-0000-0000-0000772A0000}"/>
    <cellStyle name="40% - Accent1 6 2 3 2 3" xfId="19527" xr:uid="{00000000-0005-0000-0000-0000782A0000}"/>
    <cellStyle name="40% - Accent1 6 2 3 3" xfId="4468" xr:uid="{00000000-0005-0000-0000-0000792A0000}"/>
    <cellStyle name="40% - Accent1 6 2 3 3 2" xfId="15577" xr:uid="{00000000-0005-0000-0000-00007A2A0000}"/>
    <cellStyle name="40% - Accent1 6 2 3 3 3" xfId="19528" xr:uid="{00000000-0005-0000-0000-00007B2A0000}"/>
    <cellStyle name="40% - Accent1 6 2 3 4" xfId="15575" xr:uid="{00000000-0005-0000-0000-00007C2A0000}"/>
    <cellStyle name="40% - Accent1 6 2 3 5" xfId="19526" xr:uid="{00000000-0005-0000-0000-00007D2A0000}"/>
    <cellStyle name="40% - Accent1 6 2 4" xfId="4469" xr:uid="{00000000-0005-0000-0000-00007E2A0000}"/>
    <cellStyle name="40% - Accent1 6 2 4 2" xfId="4470" xr:uid="{00000000-0005-0000-0000-00007F2A0000}"/>
    <cellStyle name="40% - Accent1 6 2 4 2 2" xfId="15579" xr:uid="{00000000-0005-0000-0000-0000802A0000}"/>
    <cellStyle name="40% - Accent1 6 2 4 2 3" xfId="19530" xr:uid="{00000000-0005-0000-0000-0000812A0000}"/>
    <cellStyle name="40% - Accent1 6 2 4 3" xfId="4471" xr:uid="{00000000-0005-0000-0000-0000822A0000}"/>
    <cellStyle name="40% - Accent1 6 2 4 3 2" xfId="15580" xr:uid="{00000000-0005-0000-0000-0000832A0000}"/>
    <cellStyle name="40% - Accent1 6 2 4 3 3" xfId="19531" xr:uid="{00000000-0005-0000-0000-0000842A0000}"/>
    <cellStyle name="40% - Accent1 6 2 4 4" xfId="15578" xr:uid="{00000000-0005-0000-0000-0000852A0000}"/>
    <cellStyle name="40% - Accent1 6 2 4 5" xfId="19529" xr:uid="{00000000-0005-0000-0000-0000862A0000}"/>
    <cellStyle name="40% - Accent1 6 2 5" xfId="4472" xr:uid="{00000000-0005-0000-0000-0000872A0000}"/>
    <cellStyle name="40% - Accent1 6 2 5 2" xfId="15581" xr:uid="{00000000-0005-0000-0000-0000882A0000}"/>
    <cellStyle name="40% - Accent1 6 2 5 3" xfId="19532" xr:uid="{00000000-0005-0000-0000-0000892A0000}"/>
    <cellStyle name="40% - Accent1 6 2 6" xfId="4473" xr:uid="{00000000-0005-0000-0000-00008A2A0000}"/>
    <cellStyle name="40% - Accent1 6 2 6 2" xfId="15582" xr:uid="{00000000-0005-0000-0000-00008B2A0000}"/>
    <cellStyle name="40% - Accent1 6 2 6 3" xfId="19533" xr:uid="{00000000-0005-0000-0000-00008C2A0000}"/>
    <cellStyle name="40% - Accent1 6 2 7" xfId="15571" xr:uid="{00000000-0005-0000-0000-00008D2A0000}"/>
    <cellStyle name="40% - Accent1 6 2 8" xfId="19522" xr:uid="{00000000-0005-0000-0000-00008E2A0000}"/>
    <cellStyle name="40% - Accent1 6 2_Volatility" xfId="4474" xr:uid="{00000000-0005-0000-0000-00008F2A0000}"/>
    <cellStyle name="40% - Accent1 6 3" xfId="4475" xr:uid="{00000000-0005-0000-0000-0000902A0000}"/>
    <cellStyle name="40% - Accent1 6 3 2" xfId="4476" xr:uid="{00000000-0005-0000-0000-0000912A0000}"/>
    <cellStyle name="40% - Accent1 6 3 2 2" xfId="4477" xr:uid="{00000000-0005-0000-0000-0000922A0000}"/>
    <cellStyle name="40% - Accent1 6 3 2 2 2" xfId="15585" xr:uid="{00000000-0005-0000-0000-0000932A0000}"/>
    <cellStyle name="40% - Accent1 6 3 2 2 3" xfId="19536" xr:uid="{00000000-0005-0000-0000-0000942A0000}"/>
    <cellStyle name="40% - Accent1 6 3 2 3" xfId="4478" xr:uid="{00000000-0005-0000-0000-0000952A0000}"/>
    <cellStyle name="40% - Accent1 6 3 2 3 2" xfId="15586" xr:uid="{00000000-0005-0000-0000-0000962A0000}"/>
    <cellStyle name="40% - Accent1 6 3 2 3 3" xfId="19537" xr:uid="{00000000-0005-0000-0000-0000972A0000}"/>
    <cellStyle name="40% - Accent1 6 3 2 4" xfId="15584" xr:uid="{00000000-0005-0000-0000-0000982A0000}"/>
    <cellStyle name="40% - Accent1 6 3 2 5" xfId="19535" xr:uid="{00000000-0005-0000-0000-0000992A0000}"/>
    <cellStyle name="40% - Accent1 6 3 3" xfId="4479" xr:uid="{00000000-0005-0000-0000-00009A2A0000}"/>
    <cellStyle name="40% - Accent1 6 3 3 2" xfId="4480" xr:uid="{00000000-0005-0000-0000-00009B2A0000}"/>
    <cellStyle name="40% - Accent1 6 3 3 2 2" xfId="15588" xr:uid="{00000000-0005-0000-0000-00009C2A0000}"/>
    <cellStyle name="40% - Accent1 6 3 3 2 3" xfId="19539" xr:uid="{00000000-0005-0000-0000-00009D2A0000}"/>
    <cellStyle name="40% - Accent1 6 3 3 3" xfId="4481" xr:uid="{00000000-0005-0000-0000-00009E2A0000}"/>
    <cellStyle name="40% - Accent1 6 3 3 3 2" xfId="15589" xr:uid="{00000000-0005-0000-0000-00009F2A0000}"/>
    <cellStyle name="40% - Accent1 6 3 3 3 3" xfId="19540" xr:uid="{00000000-0005-0000-0000-0000A02A0000}"/>
    <cellStyle name="40% - Accent1 6 3 3 4" xfId="15587" xr:uid="{00000000-0005-0000-0000-0000A12A0000}"/>
    <cellStyle name="40% - Accent1 6 3 3 5" xfId="19538" xr:uid="{00000000-0005-0000-0000-0000A22A0000}"/>
    <cellStyle name="40% - Accent1 6 3 4" xfId="4482" xr:uid="{00000000-0005-0000-0000-0000A32A0000}"/>
    <cellStyle name="40% - Accent1 6 3 4 2" xfId="15590" xr:uid="{00000000-0005-0000-0000-0000A42A0000}"/>
    <cellStyle name="40% - Accent1 6 3 4 3" xfId="19541" xr:uid="{00000000-0005-0000-0000-0000A52A0000}"/>
    <cellStyle name="40% - Accent1 6 3 5" xfId="4483" xr:uid="{00000000-0005-0000-0000-0000A62A0000}"/>
    <cellStyle name="40% - Accent1 6 3 5 2" xfId="15591" xr:uid="{00000000-0005-0000-0000-0000A72A0000}"/>
    <cellStyle name="40% - Accent1 6 3 5 3" xfId="19542" xr:uid="{00000000-0005-0000-0000-0000A82A0000}"/>
    <cellStyle name="40% - Accent1 6 3 6" xfId="15583" xr:uid="{00000000-0005-0000-0000-0000A92A0000}"/>
    <cellStyle name="40% - Accent1 6 3 7" xfId="19534" xr:uid="{00000000-0005-0000-0000-0000AA2A0000}"/>
    <cellStyle name="40% - Accent1 6 3_Volatility" xfId="4484" xr:uid="{00000000-0005-0000-0000-0000AB2A0000}"/>
    <cellStyle name="40% - Accent1 6 4" xfId="4485" xr:uid="{00000000-0005-0000-0000-0000AC2A0000}"/>
    <cellStyle name="40% - Accent1 6 4 2" xfId="4486" xr:uid="{00000000-0005-0000-0000-0000AD2A0000}"/>
    <cellStyle name="40% - Accent1 6 4 2 2" xfId="15593" xr:uid="{00000000-0005-0000-0000-0000AE2A0000}"/>
    <cellStyle name="40% - Accent1 6 4 2 3" xfId="19544" xr:uid="{00000000-0005-0000-0000-0000AF2A0000}"/>
    <cellStyle name="40% - Accent1 6 4 3" xfId="4487" xr:uid="{00000000-0005-0000-0000-0000B02A0000}"/>
    <cellStyle name="40% - Accent1 6 4 3 2" xfId="15594" xr:uid="{00000000-0005-0000-0000-0000B12A0000}"/>
    <cellStyle name="40% - Accent1 6 4 3 3" xfId="19545" xr:uid="{00000000-0005-0000-0000-0000B22A0000}"/>
    <cellStyle name="40% - Accent1 6 4 4" xfId="15592" xr:uid="{00000000-0005-0000-0000-0000B32A0000}"/>
    <cellStyle name="40% - Accent1 6 4 5" xfId="19543" xr:uid="{00000000-0005-0000-0000-0000B42A0000}"/>
    <cellStyle name="40% - Accent1 6 5" xfId="4488" xr:uid="{00000000-0005-0000-0000-0000B52A0000}"/>
    <cellStyle name="40% - Accent1 6 5 2" xfId="4489" xr:uid="{00000000-0005-0000-0000-0000B62A0000}"/>
    <cellStyle name="40% - Accent1 6 5 2 2" xfId="15596" xr:uid="{00000000-0005-0000-0000-0000B72A0000}"/>
    <cellStyle name="40% - Accent1 6 5 2 3" xfId="19547" xr:uid="{00000000-0005-0000-0000-0000B82A0000}"/>
    <cellStyle name="40% - Accent1 6 5 3" xfId="4490" xr:uid="{00000000-0005-0000-0000-0000B92A0000}"/>
    <cellStyle name="40% - Accent1 6 5 3 2" xfId="15597" xr:uid="{00000000-0005-0000-0000-0000BA2A0000}"/>
    <cellStyle name="40% - Accent1 6 5 3 3" xfId="19548" xr:uid="{00000000-0005-0000-0000-0000BB2A0000}"/>
    <cellStyle name="40% - Accent1 6 5 4" xfId="15595" xr:uid="{00000000-0005-0000-0000-0000BC2A0000}"/>
    <cellStyle name="40% - Accent1 6 5 5" xfId="19546" xr:uid="{00000000-0005-0000-0000-0000BD2A0000}"/>
    <cellStyle name="40% - Accent1 6 6" xfId="4491" xr:uid="{00000000-0005-0000-0000-0000BE2A0000}"/>
    <cellStyle name="40% - Accent1 6 6 2" xfId="4492" xr:uid="{00000000-0005-0000-0000-0000BF2A0000}"/>
    <cellStyle name="40% - Accent1 6 6 2 2" xfId="15599" xr:uid="{00000000-0005-0000-0000-0000C02A0000}"/>
    <cellStyle name="40% - Accent1 6 6 2 3" xfId="19550" xr:uid="{00000000-0005-0000-0000-0000C12A0000}"/>
    <cellStyle name="40% - Accent1 6 6 3" xfId="4493" xr:uid="{00000000-0005-0000-0000-0000C22A0000}"/>
    <cellStyle name="40% - Accent1 6 6 3 2" xfId="15600" xr:uid="{00000000-0005-0000-0000-0000C32A0000}"/>
    <cellStyle name="40% - Accent1 6 6 3 3" xfId="19551" xr:uid="{00000000-0005-0000-0000-0000C42A0000}"/>
    <cellStyle name="40% - Accent1 6 6 4" xfId="15598" xr:uid="{00000000-0005-0000-0000-0000C52A0000}"/>
    <cellStyle name="40% - Accent1 6 6 5" xfId="19549" xr:uid="{00000000-0005-0000-0000-0000C62A0000}"/>
    <cellStyle name="40% - Accent1 6 7" xfId="4494" xr:uid="{00000000-0005-0000-0000-0000C72A0000}"/>
    <cellStyle name="40% - Accent1 6 7 2" xfId="15601" xr:uid="{00000000-0005-0000-0000-0000C82A0000}"/>
    <cellStyle name="40% - Accent1 6 7 3" xfId="19552" xr:uid="{00000000-0005-0000-0000-0000C92A0000}"/>
    <cellStyle name="40% - Accent1 6 8" xfId="4495" xr:uid="{00000000-0005-0000-0000-0000CA2A0000}"/>
    <cellStyle name="40% - Accent1 6 8 2" xfId="15602" xr:uid="{00000000-0005-0000-0000-0000CB2A0000}"/>
    <cellStyle name="40% - Accent1 6 8 3" xfId="19553" xr:uid="{00000000-0005-0000-0000-0000CC2A0000}"/>
    <cellStyle name="40% - Accent1 6 9" xfId="15570" xr:uid="{00000000-0005-0000-0000-0000CD2A0000}"/>
    <cellStyle name="40% - Accent1 6_Volatility" xfId="4496" xr:uid="{00000000-0005-0000-0000-0000CE2A0000}"/>
    <cellStyle name="40% - Accent1 7" xfId="4497" xr:uid="{00000000-0005-0000-0000-0000CF2A0000}"/>
    <cellStyle name="40% - Accent1 7 10" xfId="19554" xr:uid="{00000000-0005-0000-0000-0000D02A0000}"/>
    <cellStyle name="40% - Accent1 7 2" xfId="4498" xr:uid="{00000000-0005-0000-0000-0000D12A0000}"/>
    <cellStyle name="40% - Accent1 7 2 2" xfId="4499" xr:uid="{00000000-0005-0000-0000-0000D22A0000}"/>
    <cellStyle name="40% - Accent1 7 2 2 2" xfId="4500" xr:uid="{00000000-0005-0000-0000-0000D32A0000}"/>
    <cellStyle name="40% - Accent1 7 2 2 2 2" xfId="15606" xr:uid="{00000000-0005-0000-0000-0000D42A0000}"/>
    <cellStyle name="40% - Accent1 7 2 2 2 3" xfId="19557" xr:uid="{00000000-0005-0000-0000-0000D52A0000}"/>
    <cellStyle name="40% - Accent1 7 2 2 3" xfId="4501" xr:uid="{00000000-0005-0000-0000-0000D62A0000}"/>
    <cellStyle name="40% - Accent1 7 2 2 3 2" xfId="15607" xr:uid="{00000000-0005-0000-0000-0000D72A0000}"/>
    <cellStyle name="40% - Accent1 7 2 2 3 3" xfId="19558" xr:uid="{00000000-0005-0000-0000-0000D82A0000}"/>
    <cellStyle name="40% - Accent1 7 2 2 4" xfId="15605" xr:uid="{00000000-0005-0000-0000-0000D92A0000}"/>
    <cellStyle name="40% - Accent1 7 2 2 5" xfId="19556" xr:uid="{00000000-0005-0000-0000-0000DA2A0000}"/>
    <cellStyle name="40% - Accent1 7 2 3" xfId="4502" xr:uid="{00000000-0005-0000-0000-0000DB2A0000}"/>
    <cellStyle name="40% - Accent1 7 2 3 2" xfId="4503" xr:uid="{00000000-0005-0000-0000-0000DC2A0000}"/>
    <cellStyle name="40% - Accent1 7 2 3 2 2" xfId="15609" xr:uid="{00000000-0005-0000-0000-0000DD2A0000}"/>
    <cellStyle name="40% - Accent1 7 2 3 2 3" xfId="19560" xr:uid="{00000000-0005-0000-0000-0000DE2A0000}"/>
    <cellStyle name="40% - Accent1 7 2 3 3" xfId="4504" xr:uid="{00000000-0005-0000-0000-0000DF2A0000}"/>
    <cellStyle name="40% - Accent1 7 2 3 3 2" xfId="15610" xr:uid="{00000000-0005-0000-0000-0000E02A0000}"/>
    <cellStyle name="40% - Accent1 7 2 3 3 3" xfId="19561" xr:uid="{00000000-0005-0000-0000-0000E12A0000}"/>
    <cellStyle name="40% - Accent1 7 2 3 4" xfId="15608" xr:uid="{00000000-0005-0000-0000-0000E22A0000}"/>
    <cellStyle name="40% - Accent1 7 2 3 5" xfId="19559" xr:uid="{00000000-0005-0000-0000-0000E32A0000}"/>
    <cellStyle name="40% - Accent1 7 2 4" xfId="4505" xr:uid="{00000000-0005-0000-0000-0000E42A0000}"/>
    <cellStyle name="40% - Accent1 7 2 4 2" xfId="4506" xr:uid="{00000000-0005-0000-0000-0000E52A0000}"/>
    <cellStyle name="40% - Accent1 7 2 4 2 2" xfId="15612" xr:uid="{00000000-0005-0000-0000-0000E62A0000}"/>
    <cellStyle name="40% - Accent1 7 2 4 2 3" xfId="19563" xr:uid="{00000000-0005-0000-0000-0000E72A0000}"/>
    <cellStyle name="40% - Accent1 7 2 4 3" xfId="4507" xr:uid="{00000000-0005-0000-0000-0000E82A0000}"/>
    <cellStyle name="40% - Accent1 7 2 4 3 2" xfId="15613" xr:uid="{00000000-0005-0000-0000-0000E92A0000}"/>
    <cellStyle name="40% - Accent1 7 2 4 3 3" xfId="19564" xr:uid="{00000000-0005-0000-0000-0000EA2A0000}"/>
    <cellStyle name="40% - Accent1 7 2 4 4" xfId="15611" xr:uid="{00000000-0005-0000-0000-0000EB2A0000}"/>
    <cellStyle name="40% - Accent1 7 2 4 5" xfId="19562" xr:uid="{00000000-0005-0000-0000-0000EC2A0000}"/>
    <cellStyle name="40% - Accent1 7 2 5" xfId="4508" xr:uid="{00000000-0005-0000-0000-0000ED2A0000}"/>
    <cellStyle name="40% - Accent1 7 2 5 2" xfId="15614" xr:uid="{00000000-0005-0000-0000-0000EE2A0000}"/>
    <cellStyle name="40% - Accent1 7 2 5 3" xfId="19565" xr:uid="{00000000-0005-0000-0000-0000EF2A0000}"/>
    <cellStyle name="40% - Accent1 7 2 6" xfId="4509" xr:uid="{00000000-0005-0000-0000-0000F02A0000}"/>
    <cellStyle name="40% - Accent1 7 2 6 2" xfId="15615" xr:uid="{00000000-0005-0000-0000-0000F12A0000}"/>
    <cellStyle name="40% - Accent1 7 2 6 3" xfId="19566" xr:uid="{00000000-0005-0000-0000-0000F22A0000}"/>
    <cellStyle name="40% - Accent1 7 2 7" xfId="15604" xr:uid="{00000000-0005-0000-0000-0000F32A0000}"/>
    <cellStyle name="40% - Accent1 7 2 8" xfId="19555" xr:uid="{00000000-0005-0000-0000-0000F42A0000}"/>
    <cellStyle name="40% - Accent1 7 2_Volatility" xfId="4510" xr:uid="{00000000-0005-0000-0000-0000F52A0000}"/>
    <cellStyle name="40% - Accent1 7 3" xfId="4511" xr:uid="{00000000-0005-0000-0000-0000F62A0000}"/>
    <cellStyle name="40% - Accent1 7 3 2" xfId="4512" xr:uid="{00000000-0005-0000-0000-0000F72A0000}"/>
    <cellStyle name="40% - Accent1 7 3 2 2" xfId="4513" xr:uid="{00000000-0005-0000-0000-0000F82A0000}"/>
    <cellStyle name="40% - Accent1 7 3 2 2 2" xfId="15618" xr:uid="{00000000-0005-0000-0000-0000F92A0000}"/>
    <cellStyle name="40% - Accent1 7 3 2 2 3" xfId="19569" xr:uid="{00000000-0005-0000-0000-0000FA2A0000}"/>
    <cellStyle name="40% - Accent1 7 3 2 3" xfId="4514" xr:uid="{00000000-0005-0000-0000-0000FB2A0000}"/>
    <cellStyle name="40% - Accent1 7 3 2 3 2" xfId="15619" xr:uid="{00000000-0005-0000-0000-0000FC2A0000}"/>
    <cellStyle name="40% - Accent1 7 3 2 3 3" xfId="19570" xr:uid="{00000000-0005-0000-0000-0000FD2A0000}"/>
    <cellStyle name="40% - Accent1 7 3 2 4" xfId="15617" xr:uid="{00000000-0005-0000-0000-0000FE2A0000}"/>
    <cellStyle name="40% - Accent1 7 3 2 5" xfId="19568" xr:uid="{00000000-0005-0000-0000-0000FF2A0000}"/>
    <cellStyle name="40% - Accent1 7 3 3" xfId="4515" xr:uid="{00000000-0005-0000-0000-0000002B0000}"/>
    <cellStyle name="40% - Accent1 7 3 3 2" xfId="4516" xr:uid="{00000000-0005-0000-0000-0000012B0000}"/>
    <cellStyle name="40% - Accent1 7 3 3 2 2" xfId="15621" xr:uid="{00000000-0005-0000-0000-0000022B0000}"/>
    <cellStyle name="40% - Accent1 7 3 3 2 3" xfId="19572" xr:uid="{00000000-0005-0000-0000-0000032B0000}"/>
    <cellStyle name="40% - Accent1 7 3 3 3" xfId="4517" xr:uid="{00000000-0005-0000-0000-0000042B0000}"/>
    <cellStyle name="40% - Accent1 7 3 3 3 2" xfId="15622" xr:uid="{00000000-0005-0000-0000-0000052B0000}"/>
    <cellStyle name="40% - Accent1 7 3 3 3 3" xfId="19573" xr:uid="{00000000-0005-0000-0000-0000062B0000}"/>
    <cellStyle name="40% - Accent1 7 3 3 4" xfId="15620" xr:uid="{00000000-0005-0000-0000-0000072B0000}"/>
    <cellStyle name="40% - Accent1 7 3 3 5" xfId="19571" xr:uid="{00000000-0005-0000-0000-0000082B0000}"/>
    <cellStyle name="40% - Accent1 7 3 4" xfId="4518" xr:uid="{00000000-0005-0000-0000-0000092B0000}"/>
    <cellStyle name="40% - Accent1 7 3 4 2" xfId="15623" xr:uid="{00000000-0005-0000-0000-00000A2B0000}"/>
    <cellStyle name="40% - Accent1 7 3 4 3" xfId="19574" xr:uid="{00000000-0005-0000-0000-00000B2B0000}"/>
    <cellStyle name="40% - Accent1 7 3 5" xfId="4519" xr:uid="{00000000-0005-0000-0000-00000C2B0000}"/>
    <cellStyle name="40% - Accent1 7 3 5 2" xfId="15624" xr:uid="{00000000-0005-0000-0000-00000D2B0000}"/>
    <cellStyle name="40% - Accent1 7 3 5 3" xfId="19575" xr:uid="{00000000-0005-0000-0000-00000E2B0000}"/>
    <cellStyle name="40% - Accent1 7 3 6" xfId="15616" xr:uid="{00000000-0005-0000-0000-00000F2B0000}"/>
    <cellStyle name="40% - Accent1 7 3 7" xfId="19567" xr:uid="{00000000-0005-0000-0000-0000102B0000}"/>
    <cellStyle name="40% - Accent1 7 3_Volatility" xfId="4520" xr:uid="{00000000-0005-0000-0000-0000112B0000}"/>
    <cellStyle name="40% - Accent1 7 4" xfId="4521" xr:uid="{00000000-0005-0000-0000-0000122B0000}"/>
    <cellStyle name="40% - Accent1 7 4 2" xfId="4522" xr:uid="{00000000-0005-0000-0000-0000132B0000}"/>
    <cellStyle name="40% - Accent1 7 4 2 2" xfId="15626" xr:uid="{00000000-0005-0000-0000-0000142B0000}"/>
    <cellStyle name="40% - Accent1 7 4 2 3" xfId="19577" xr:uid="{00000000-0005-0000-0000-0000152B0000}"/>
    <cellStyle name="40% - Accent1 7 4 3" xfId="4523" xr:uid="{00000000-0005-0000-0000-0000162B0000}"/>
    <cellStyle name="40% - Accent1 7 4 3 2" xfId="15627" xr:uid="{00000000-0005-0000-0000-0000172B0000}"/>
    <cellStyle name="40% - Accent1 7 4 3 3" xfId="19578" xr:uid="{00000000-0005-0000-0000-0000182B0000}"/>
    <cellStyle name="40% - Accent1 7 4 4" xfId="15625" xr:uid="{00000000-0005-0000-0000-0000192B0000}"/>
    <cellStyle name="40% - Accent1 7 4 5" xfId="19576" xr:uid="{00000000-0005-0000-0000-00001A2B0000}"/>
    <cellStyle name="40% - Accent1 7 5" xfId="4524" xr:uid="{00000000-0005-0000-0000-00001B2B0000}"/>
    <cellStyle name="40% - Accent1 7 5 2" xfId="4525" xr:uid="{00000000-0005-0000-0000-00001C2B0000}"/>
    <cellStyle name="40% - Accent1 7 5 2 2" xfId="15629" xr:uid="{00000000-0005-0000-0000-00001D2B0000}"/>
    <cellStyle name="40% - Accent1 7 5 2 3" xfId="19580" xr:uid="{00000000-0005-0000-0000-00001E2B0000}"/>
    <cellStyle name="40% - Accent1 7 5 3" xfId="4526" xr:uid="{00000000-0005-0000-0000-00001F2B0000}"/>
    <cellStyle name="40% - Accent1 7 5 3 2" xfId="15630" xr:uid="{00000000-0005-0000-0000-0000202B0000}"/>
    <cellStyle name="40% - Accent1 7 5 3 3" xfId="19581" xr:uid="{00000000-0005-0000-0000-0000212B0000}"/>
    <cellStyle name="40% - Accent1 7 5 4" xfId="15628" xr:uid="{00000000-0005-0000-0000-0000222B0000}"/>
    <cellStyle name="40% - Accent1 7 5 5" xfId="19579" xr:uid="{00000000-0005-0000-0000-0000232B0000}"/>
    <cellStyle name="40% - Accent1 7 6" xfId="4527" xr:uid="{00000000-0005-0000-0000-0000242B0000}"/>
    <cellStyle name="40% - Accent1 7 6 2" xfId="4528" xr:uid="{00000000-0005-0000-0000-0000252B0000}"/>
    <cellStyle name="40% - Accent1 7 6 2 2" xfId="15632" xr:uid="{00000000-0005-0000-0000-0000262B0000}"/>
    <cellStyle name="40% - Accent1 7 6 2 3" xfId="19583" xr:uid="{00000000-0005-0000-0000-0000272B0000}"/>
    <cellStyle name="40% - Accent1 7 6 3" xfId="4529" xr:uid="{00000000-0005-0000-0000-0000282B0000}"/>
    <cellStyle name="40% - Accent1 7 6 3 2" xfId="15633" xr:uid="{00000000-0005-0000-0000-0000292B0000}"/>
    <cellStyle name="40% - Accent1 7 6 3 3" xfId="19584" xr:uid="{00000000-0005-0000-0000-00002A2B0000}"/>
    <cellStyle name="40% - Accent1 7 6 4" xfId="15631" xr:uid="{00000000-0005-0000-0000-00002B2B0000}"/>
    <cellStyle name="40% - Accent1 7 6 5" xfId="19582" xr:uid="{00000000-0005-0000-0000-00002C2B0000}"/>
    <cellStyle name="40% - Accent1 7 7" xfId="4530" xr:uid="{00000000-0005-0000-0000-00002D2B0000}"/>
    <cellStyle name="40% - Accent1 7 7 2" xfId="15634" xr:uid="{00000000-0005-0000-0000-00002E2B0000}"/>
    <cellStyle name="40% - Accent1 7 7 3" xfId="19585" xr:uid="{00000000-0005-0000-0000-00002F2B0000}"/>
    <cellStyle name="40% - Accent1 7 8" xfId="4531" xr:uid="{00000000-0005-0000-0000-0000302B0000}"/>
    <cellStyle name="40% - Accent1 7 8 2" xfId="15635" xr:uid="{00000000-0005-0000-0000-0000312B0000}"/>
    <cellStyle name="40% - Accent1 7 8 3" xfId="19586" xr:uid="{00000000-0005-0000-0000-0000322B0000}"/>
    <cellStyle name="40% - Accent1 7 9" xfId="15603" xr:uid="{00000000-0005-0000-0000-0000332B0000}"/>
    <cellStyle name="40% - Accent1 7_Volatility" xfId="4532" xr:uid="{00000000-0005-0000-0000-0000342B0000}"/>
    <cellStyle name="40% - Accent1 8" xfId="4533" xr:uid="{00000000-0005-0000-0000-0000352B0000}"/>
    <cellStyle name="40% - Accent1 8 10" xfId="19587" xr:uid="{00000000-0005-0000-0000-0000362B0000}"/>
    <cellStyle name="40% - Accent1 8 2" xfId="4534" xr:uid="{00000000-0005-0000-0000-0000372B0000}"/>
    <cellStyle name="40% - Accent1 8 2 2" xfId="4535" xr:uid="{00000000-0005-0000-0000-0000382B0000}"/>
    <cellStyle name="40% - Accent1 8 2 2 2" xfId="4536" xr:uid="{00000000-0005-0000-0000-0000392B0000}"/>
    <cellStyle name="40% - Accent1 8 2 2 2 2" xfId="15639" xr:uid="{00000000-0005-0000-0000-00003A2B0000}"/>
    <cellStyle name="40% - Accent1 8 2 2 2 3" xfId="19590" xr:uid="{00000000-0005-0000-0000-00003B2B0000}"/>
    <cellStyle name="40% - Accent1 8 2 2 3" xfId="4537" xr:uid="{00000000-0005-0000-0000-00003C2B0000}"/>
    <cellStyle name="40% - Accent1 8 2 2 3 2" xfId="15640" xr:uid="{00000000-0005-0000-0000-00003D2B0000}"/>
    <cellStyle name="40% - Accent1 8 2 2 3 3" xfId="19591" xr:uid="{00000000-0005-0000-0000-00003E2B0000}"/>
    <cellStyle name="40% - Accent1 8 2 2 4" xfId="15638" xr:uid="{00000000-0005-0000-0000-00003F2B0000}"/>
    <cellStyle name="40% - Accent1 8 2 2 5" xfId="19589" xr:uid="{00000000-0005-0000-0000-0000402B0000}"/>
    <cellStyle name="40% - Accent1 8 2 3" xfId="4538" xr:uid="{00000000-0005-0000-0000-0000412B0000}"/>
    <cellStyle name="40% - Accent1 8 2 3 2" xfId="4539" xr:uid="{00000000-0005-0000-0000-0000422B0000}"/>
    <cellStyle name="40% - Accent1 8 2 3 2 2" xfId="15642" xr:uid="{00000000-0005-0000-0000-0000432B0000}"/>
    <cellStyle name="40% - Accent1 8 2 3 2 3" xfId="19593" xr:uid="{00000000-0005-0000-0000-0000442B0000}"/>
    <cellStyle name="40% - Accent1 8 2 3 3" xfId="4540" xr:uid="{00000000-0005-0000-0000-0000452B0000}"/>
    <cellStyle name="40% - Accent1 8 2 3 3 2" xfId="15643" xr:uid="{00000000-0005-0000-0000-0000462B0000}"/>
    <cellStyle name="40% - Accent1 8 2 3 3 3" xfId="19594" xr:uid="{00000000-0005-0000-0000-0000472B0000}"/>
    <cellStyle name="40% - Accent1 8 2 3 4" xfId="15641" xr:uid="{00000000-0005-0000-0000-0000482B0000}"/>
    <cellStyle name="40% - Accent1 8 2 3 5" xfId="19592" xr:uid="{00000000-0005-0000-0000-0000492B0000}"/>
    <cellStyle name="40% - Accent1 8 2 4" xfId="4541" xr:uid="{00000000-0005-0000-0000-00004A2B0000}"/>
    <cellStyle name="40% - Accent1 8 2 4 2" xfId="4542" xr:uid="{00000000-0005-0000-0000-00004B2B0000}"/>
    <cellStyle name="40% - Accent1 8 2 4 2 2" xfId="15645" xr:uid="{00000000-0005-0000-0000-00004C2B0000}"/>
    <cellStyle name="40% - Accent1 8 2 4 2 3" xfId="19596" xr:uid="{00000000-0005-0000-0000-00004D2B0000}"/>
    <cellStyle name="40% - Accent1 8 2 4 3" xfId="4543" xr:uid="{00000000-0005-0000-0000-00004E2B0000}"/>
    <cellStyle name="40% - Accent1 8 2 4 3 2" xfId="15646" xr:uid="{00000000-0005-0000-0000-00004F2B0000}"/>
    <cellStyle name="40% - Accent1 8 2 4 3 3" xfId="19597" xr:uid="{00000000-0005-0000-0000-0000502B0000}"/>
    <cellStyle name="40% - Accent1 8 2 4 4" xfId="15644" xr:uid="{00000000-0005-0000-0000-0000512B0000}"/>
    <cellStyle name="40% - Accent1 8 2 4 5" xfId="19595" xr:uid="{00000000-0005-0000-0000-0000522B0000}"/>
    <cellStyle name="40% - Accent1 8 2 5" xfId="4544" xr:uid="{00000000-0005-0000-0000-0000532B0000}"/>
    <cellStyle name="40% - Accent1 8 2 5 2" xfId="15647" xr:uid="{00000000-0005-0000-0000-0000542B0000}"/>
    <cellStyle name="40% - Accent1 8 2 5 3" xfId="19598" xr:uid="{00000000-0005-0000-0000-0000552B0000}"/>
    <cellStyle name="40% - Accent1 8 2 6" xfId="4545" xr:uid="{00000000-0005-0000-0000-0000562B0000}"/>
    <cellStyle name="40% - Accent1 8 2 6 2" xfId="15648" xr:uid="{00000000-0005-0000-0000-0000572B0000}"/>
    <cellStyle name="40% - Accent1 8 2 6 3" xfId="19599" xr:uid="{00000000-0005-0000-0000-0000582B0000}"/>
    <cellStyle name="40% - Accent1 8 2 7" xfId="15637" xr:uid="{00000000-0005-0000-0000-0000592B0000}"/>
    <cellStyle name="40% - Accent1 8 2 8" xfId="19588" xr:uid="{00000000-0005-0000-0000-00005A2B0000}"/>
    <cellStyle name="40% - Accent1 8 2_Volatility" xfId="4546" xr:uid="{00000000-0005-0000-0000-00005B2B0000}"/>
    <cellStyle name="40% - Accent1 8 3" xfId="4547" xr:uid="{00000000-0005-0000-0000-00005C2B0000}"/>
    <cellStyle name="40% - Accent1 8 3 2" xfId="4548" xr:uid="{00000000-0005-0000-0000-00005D2B0000}"/>
    <cellStyle name="40% - Accent1 8 3 2 2" xfId="4549" xr:uid="{00000000-0005-0000-0000-00005E2B0000}"/>
    <cellStyle name="40% - Accent1 8 3 2 2 2" xfId="15651" xr:uid="{00000000-0005-0000-0000-00005F2B0000}"/>
    <cellStyle name="40% - Accent1 8 3 2 2 3" xfId="19602" xr:uid="{00000000-0005-0000-0000-0000602B0000}"/>
    <cellStyle name="40% - Accent1 8 3 2 3" xfId="4550" xr:uid="{00000000-0005-0000-0000-0000612B0000}"/>
    <cellStyle name="40% - Accent1 8 3 2 3 2" xfId="15652" xr:uid="{00000000-0005-0000-0000-0000622B0000}"/>
    <cellStyle name="40% - Accent1 8 3 2 3 3" xfId="19603" xr:uid="{00000000-0005-0000-0000-0000632B0000}"/>
    <cellStyle name="40% - Accent1 8 3 2 4" xfId="15650" xr:uid="{00000000-0005-0000-0000-0000642B0000}"/>
    <cellStyle name="40% - Accent1 8 3 2 5" xfId="19601" xr:uid="{00000000-0005-0000-0000-0000652B0000}"/>
    <cellStyle name="40% - Accent1 8 3 3" xfId="4551" xr:uid="{00000000-0005-0000-0000-0000662B0000}"/>
    <cellStyle name="40% - Accent1 8 3 3 2" xfId="4552" xr:uid="{00000000-0005-0000-0000-0000672B0000}"/>
    <cellStyle name="40% - Accent1 8 3 3 2 2" xfId="15654" xr:uid="{00000000-0005-0000-0000-0000682B0000}"/>
    <cellStyle name="40% - Accent1 8 3 3 2 3" xfId="19605" xr:uid="{00000000-0005-0000-0000-0000692B0000}"/>
    <cellStyle name="40% - Accent1 8 3 3 3" xfId="4553" xr:uid="{00000000-0005-0000-0000-00006A2B0000}"/>
    <cellStyle name="40% - Accent1 8 3 3 3 2" xfId="15655" xr:uid="{00000000-0005-0000-0000-00006B2B0000}"/>
    <cellStyle name="40% - Accent1 8 3 3 3 3" xfId="19606" xr:uid="{00000000-0005-0000-0000-00006C2B0000}"/>
    <cellStyle name="40% - Accent1 8 3 3 4" xfId="15653" xr:uid="{00000000-0005-0000-0000-00006D2B0000}"/>
    <cellStyle name="40% - Accent1 8 3 3 5" xfId="19604" xr:uid="{00000000-0005-0000-0000-00006E2B0000}"/>
    <cellStyle name="40% - Accent1 8 3 4" xfId="4554" xr:uid="{00000000-0005-0000-0000-00006F2B0000}"/>
    <cellStyle name="40% - Accent1 8 3 4 2" xfId="15656" xr:uid="{00000000-0005-0000-0000-0000702B0000}"/>
    <cellStyle name="40% - Accent1 8 3 4 3" xfId="19607" xr:uid="{00000000-0005-0000-0000-0000712B0000}"/>
    <cellStyle name="40% - Accent1 8 3 5" xfId="4555" xr:uid="{00000000-0005-0000-0000-0000722B0000}"/>
    <cellStyle name="40% - Accent1 8 3 5 2" xfId="15657" xr:uid="{00000000-0005-0000-0000-0000732B0000}"/>
    <cellStyle name="40% - Accent1 8 3 5 3" xfId="19608" xr:uid="{00000000-0005-0000-0000-0000742B0000}"/>
    <cellStyle name="40% - Accent1 8 3 6" xfId="15649" xr:uid="{00000000-0005-0000-0000-0000752B0000}"/>
    <cellStyle name="40% - Accent1 8 3 7" xfId="19600" xr:uid="{00000000-0005-0000-0000-0000762B0000}"/>
    <cellStyle name="40% - Accent1 8 3_Volatility" xfId="4556" xr:uid="{00000000-0005-0000-0000-0000772B0000}"/>
    <cellStyle name="40% - Accent1 8 4" xfId="4557" xr:uid="{00000000-0005-0000-0000-0000782B0000}"/>
    <cellStyle name="40% - Accent1 8 4 2" xfId="4558" xr:uid="{00000000-0005-0000-0000-0000792B0000}"/>
    <cellStyle name="40% - Accent1 8 4 2 2" xfId="15659" xr:uid="{00000000-0005-0000-0000-00007A2B0000}"/>
    <cellStyle name="40% - Accent1 8 4 2 3" xfId="19610" xr:uid="{00000000-0005-0000-0000-00007B2B0000}"/>
    <cellStyle name="40% - Accent1 8 4 3" xfId="4559" xr:uid="{00000000-0005-0000-0000-00007C2B0000}"/>
    <cellStyle name="40% - Accent1 8 4 3 2" xfId="15660" xr:uid="{00000000-0005-0000-0000-00007D2B0000}"/>
    <cellStyle name="40% - Accent1 8 4 3 3" xfId="19611" xr:uid="{00000000-0005-0000-0000-00007E2B0000}"/>
    <cellStyle name="40% - Accent1 8 4 4" xfId="15658" xr:uid="{00000000-0005-0000-0000-00007F2B0000}"/>
    <cellStyle name="40% - Accent1 8 4 5" xfId="19609" xr:uid="{00000000-0005-0000-0000-0000802B0000}"/>
    <cellStyle name="40% - Accent1 8 5" xfId="4560" xr:uid="{00000000-0005-0000-0000-0000812B0000}"/>
    <cellStyle name="40% - Accent1 8 5 2" xfId="4561" xr:uid="{00000000-0005-0000-0000-0000822B0000}"/>
    <cellStyle name="40% - Accent1 8 5 2 2" xfId="15662" xr:uid="{00000000-0005-0000-0000-0000832B0000}"/>
    <cellStyle name="40% - Accent1 8 5 2 3" xfId="19613" xr:uid="{00000000-0005-0000-0000-0000842B0000}"/>
    <cellStyle name="40% - Accent1 8 5 3" xfId="4562" xr:uid="{00000000-0005-0000-0000-0000852B0000}"/>
    <cellStyle name="40% - Accent1 8 5 3 2" xfId="15663" xr:uid="{00000000-0005-0000-0000-0000862B0000}"/>
    <cellStyle name="40% - Accent1 8 5 3 3" xfId="19614" xr:uid="{00000000-0005-0000-0000-0000872B0000}"/>
    <cellStyle name="40% - Accent1 8 5 4" xfId="15661" xr:uid="{00000000-0005-0000-0000-0000882B0000}"/>
    <cellStyle name="40% - Accent1 8 5 5" xfId="19612" xr:uid="{00000000-0005-0000-0000-0000892B0000}"/>
    <cellStyle name="40% - Accent1 8 6" xfId="4563" xr:uid="{00000000-0005-0000-0000-00008A2B0000}"/>
    <cellStyle name="40% - Accent1 8 6 2" xfId="4564" xr:uid="{00000000-0005-0000-0000-00008B2B0000}"/>
    <cellStyle name="40% - Accent1 8 6 2 2" xfId="15665" xr:uid="{00000000-0005-0000-0000-00008C2B0000}"/>
    <cellStyle name="40% - Accent1 8 6 2 3" xfId="19616" xr:uid="{00000000-0005-0000-0000-00008D2B0000}"/>
    <cellStyle name="40% - Accent1 8 6 3" xfId="4565" xr:uid="{00000000-0005-0000-0000-00008E2B0000}"/>
    <cellStyle name="40% - Accent1 8 6 3 2" xfId="15666" xr:uid="{00000000-0005-0000-0000-00008F2B0000}"/>
    <cellStyle name="40% - Accent1 8 6 3 3" xfId="19617" xr:uid="{00000000-0005-0000-0000-0000902B0000}"/>
    <cellStyle name="40% - Accent1 8 6 4" xfId="15664" xr:uid="{00000000-0005-0000-0000-0000912B0000}"/>
    <cellStyle name="40% - Accent1 8 6 5" xfId="19615" xr:uid="{00000000-0005-0000-0000-0000922B0000}"/>
    <cellStyle name="40% - Accent1 8 7" xfId="4566" xr:uid="{00000000-0005-0000-0000-0000932B0000}"/>
    <cellStyle name="40% - Accent1 8 7 2" xfId="15667" xr:uid="{00000000-0005-0000-0000-0000942B0000}"/>
    <cellStyle name="40% - Accent1 8 7 3" xfId="19618" xr:uid="{00000000-0005-0000-0000-0000952B0000}"/>
    <cellStyle name="40% - Accent1 8 8" xfId="4567" xr:uid="{00000000-0005-0000-0000-0000962B0000}"/>
    <cellStyle name="40% - Accent1 8 8 2" xfId="15668" xr:uid="{00000000-0005-0000-0000-0000972B0000}"/>
    <cellStyle name="40% - Accent1 8 8 3" xfId="19619" xr:uid="{00000000-0005-0000-0000-0000982B0000}"/>
    <cellStyle name="40% - Accent1 8 9" xfId="15636" xr:uid="{00000000-0005-0000-0000-0000992B0000}"/>
    <cellStyle name="40% - Accent1 8_Volatility" xfId="4568" xr:uid="{00000000-0005-0000-0000-00009A2B0000}"/>
    <cellStyle name="40% - Accent1 9" xfId="4569" xr:uid="{00000000-0005-0000-0000-00009B2B0000}"/>
    <cellStyle name="40% - Accent1 9 10" xfId="19620" xr:uid="{00000000-0005-0000-0000-00009C2B0000}"/>
    <cellStyle name="40% - Accent1 9 2" xfId="4570" xr:uid="{00000000-0005-0000-0000-00009D2B0000}"/>
    <cellStyle name="40% - Accent1 9 2 2" xfId="4571" xr:uid="{00000000-0005-0000-0000-00009E2B0000}"/>
    <cellStyle name="40% - Accent1 9 2 2 2" xfId="4572" xr:uid="{00000000-0005-0000-0000-00009F2B0000}"/>
    <cellStyle name="40% - Accent1 9 2 2 2 2" xfId="15672" xr:uid="{00000000-0005-0000-0000-0000A02B0000}"/>
    <cellStyle name="40% - Accent1 9 2 2 2 3" xfId="19623" xr:uid="{00000000-0005-0000-0000-0000A12B0000}"/>
    <cellStyle name="40% - Accent1 9 2 2 3" xfId="4573" xr:uid="{00000000-0005-0000-0000-0000A22B0000}"/>
    <cellStyle name="40% - Accent1 9 2 2 3 2" xfId="15673" xr:uid="{00000000-0005-0000-0000-0000A32B0000}"/>
    <cellStyle name="40% - Accent1 9 2 2 3 3" xfId="19624" xr:uid="{00000000-0005-0000-0000-0000A42B0000}"/>
    <cellStyle name="40% - Accent1 9 2 2 4" xfId="15671" xr:uid="{00000000-0005-0000-0000-0000A52B0000}"/>
    <cellStyle name="40% - Accent1 9 2 2 5" xfId="19622" xr:uid="{00000000-0005-0000-0000-0000A62B0000}"/>
    <cellStyle name="40% - Accent1 9 2 3" xfId="4574" xr:uid="{00000000-0005-0000-0000-0000A72B0000}"/>
    <cellStyle name="40% - Accent1 9 2 3 2" xfId="4575" xr:uid="{00000000-0005-0000-0000-0000A82B0000}"/>
    <cellStyle name="40% - Accent1 9 2 3 2 2" xfId="15675" xr:uid="{00000000-0005-0000-0000-0000A92B0000}"/>
    <cellStyle name="40% - Accent1 9 2 3 2 3" xfId="19626" xr:uid="{00000000-0005-0000-0000-0000AA2B0000}"/>
    <cellStyle name="40% - Accent1 9 2 3 3" xfId="4576" xr:uid="{00000000-0005-0000-0000-0000AB2B0000}"/>
    <cellStyle name="40% - Accent1 9 2 3 3 2" xfId="15676" xr:uid="{00000000-0005-0000-0000-0000AC2B0000}"/>
    <cellStyle name="40% - Accent1 9 2 3 3 3" xfId="19627" xr:uid="{00000000-0005-0000-0000-0000AD2B0000}"/>
    <cellStyle name="40% - Accent1 9 2 3 4" xfId="15674" xr:uid="{00000000-0005-0000-0000-0000AE2B0000}"/>
    <cellStyle name="40% - Accent1 9 2 3 5" xfId="19625" xr:uid="{00000000-0005-0000-0000-0000AF2B0000}"/>
    <cellStyle name="40% - Accent1 9 2 4" xfId="4577" xr:uid="{00000000-0005-0000-0000-0000B02B0000}"/>
    <cellStyle name="40% - Accent1 9 2 4 2" xfId="4578" xr:uid="{00000000-0005-0000-0000-0000B12B0000}"/>
    <cellStyle name="40% - Accent1 9 2 4 2 2" xfId="15678" xr:uid="{00000000-0005-0000-0000-0000B22B0000}"/>
    <cellStyle name="40% - Accent1 9 2 4 2 3" xfId="19629" xr:uid="{00000000-0005-0000-0000-0000B32B0000}"/>
    <cellStyle name="40% - Accent1 9 2 4 3" xfId="4579" xr:uid="{00000000-0005-0000-0000-0000B42B0000}"/>
    <cellStyle name="40% - Accent1 9 2 4 3 2" xfId="15679" xr:uid="{00000000-0005-0000-0000-0000B52B0000}"/>
    <cellStyle name="40% - Accent1 9 2 4 3 3" xfId="19630" xr:uid="{00000000-0005-0000-0000-0000B62B0000}"/>
    <cellStyle name="40% - Accent1 9 2 4 4" xfId="15677" xr:uid="{00000000-0005-0000-0000-0000B72B0000}"/>
    <cellStyle name="40% - Accent1 9 2 4 5" xfId="19628" xr:uid="{00000000-0005-0000-0000-0000B82B0000}"/>
    <cellStyle name="40% - Accent1 9 2 5" xfId="4580" xr:uid="{00000000-0005-0000-0000-0000B92B0000}"/>
    <cellStyle name="40% - Accent1 9 2 5 2" xfId="15680" xr:uid="{00000000-0005-0000-0000-0000BA2B0000}"/>
    <cellStyle name="40% - Accent1 9 2 5 3" xfId="19631" xr:uid="{00000000-0005-0000-0000-0000BB2B0000}"/>
    <cellStyle name="40% - Accent1 9 2 6" xfId="4581" xr:uid="{00000000-0005-0000-0000-0000BC2B0000}"/>
    <cellStyle name="40% - Accent1 9 2 6 2" xfId="15681" xr:uid="{00000000-0005-0000-0000-0000BD2B0000}"/>
    <cellStyle name="40% - Accent1 9 2 6 3" xfId="19632" xr:uid="{00000000-0005-0000-0000-0000BE2B0000}"/>
    <cellStyle name="40% - Accent1 9 2 7" xfId="15670" xr:uid="{00000000-0005-0000-0000-0000BF2B0000}"/>
    <cellStyle name="40% - Accent1 9 2 8" xfId="19621" xr:uid="{00000000-0005-0000-0000-0000C02B0000}"/>
    <cellStyle name="40% - Accent1 9 2_Volatility" xfId="4582" xr:uid="{00000000-0005-0000-0000-0000C12B0000}"/>
    <cellStyle name="40% - Accent1 9 3" xfId="4583" xr:uid="{00000000-0005-0000-0000-0000C22B0000}"/>
    <cellStyle name="40% - Accent1 9 3 2" xfId="4584" xr:uid="{00000000-0005-0000-0000-0000C32B0000}"/>
    <cellStyle name="40% - Accent1 9 3 2 2" xfId="4585" xr:uid="{00000000-0005-0000-0000-0000C42B0000}"/>
    <cellStyle name="40% - Accent1 9 3 2 2 2" xfId="15684" xr:uid="{00000000-0005-0000-0000-0000C52B0000}"/>
    <cellStyle name="40% - Accent1 9 3 2 2 3" xfId="19635" xr:uid="{00000000-0005-0000-0000-0000C62B0000}"/>
    <cellStyle name="40% - Accent1 9 3 2 3" xfId="4586" xr:uid="{00000000-0005-0000-0000-0000C72B0000}"/>
    <cellStyle name="40% - Accent1 9 3 2 3 2" xfId="15685" xr:uid="{00000000-0005-0000-0000-0000C82B0000}"/>
    <cellStyle name="40% - Accent1 9 3 2 3 3" xfId="19636" xr:uid="{00000000-0005-0000-0000-0000C92B0000}"/>
    <cellStyle name="40% - Accent1 9 3 2 4" xfId="15683" xr:uid="{00000000-0005-0000-0000-0000CA2B0000}"/>
    <cellStyle name="40% - Accent1 9 3 2 5" xfId="19634" xr:uid="{00000000-0005-0000-0000-0000CB2B0000}"/>
    <cellStyle name="40% - Accent1 9 3 3" xfId="4587" xr:uid="{00000000-0005-0000-0000-0000CC2B0000}"/>
    <cellStyle name="40% - Accent1 9 3 3 2" xfId="4588" xr:uid="{00000000-0005-0000-0000-0000CD2B0000}"/>
    <cellStyle name="40% - Accent1 9 3 3 2 2" xfId="15687" xr:uid="{00000000-0005-0000-0000-0000CE2B0000}"/>
    <cellStyle name="40% - Accent1 9 3 3 2 3" xfId="19638" xr:uid="{00000000-0005-0000-0000-0000CF2B0000}"/>
    <cellStyle name="40% - Accent1 9 3 3 3" xfId="4589" xr:uid="{00000000-0005-0000-0000-0000D02B0000}"/>
    <cellStyle name="40% - Accent1 9 3 3 3 2" xfId="15688" xr:uid="{00000000-0005-0000-0000-0000D12B0000}"/>
    <cellStyle name="40% - Accent1 9 3 3 3 3" xfId="19639" xr:uid="{00000000-0005-0000-0000-0000D22B0000}"/>
    <cellStyle name="40% - Accent1 9 3 3 4" xfId="15686" xr:uid="{00000000-0005-0000-0000-0000D32B0000}"/>
    <cellStyle name="40% - Accent1 9 3 3 5" xfId="19637" xr:uid="{00000000-0005-0000-0000-0000D42B0000}"/>
    <cellStyle name="40% - Accent1 9 3 4" xfId="4590" xr:uid="{00000000-0005-0000-0000-0000D52B0000}"/>
    <cellStyle name="40% - Accent1 9 3 4 2" xfId="15689" xr:uid="{00000000-0005-0000-0000-0000D62B0000}"/>
    <cellStyle name="40% - Accent1 9 3 4 3" xfId="19640" xr:uid="{00000000-0005-0000-0000-0000D72B0000}"/>
    <cellStyle name="40% - Accent1 9 3 5" xfId="4591" xr:uid="{00000000-0005-0000-0000-0000D82B0000}"/>
    <cellStyle name="40% - Accent1 9 3 5 2" xfId="15690" xr:uid="{00000000-0005-0000-0000-0000D92B0000}"/>
    <cellStyle name="40% - Accent1 9 3 5 3" xfId="19641" xr:uid="{00000000-0005-0000-0000-0000DA2B0000}"/>
    <cellStyle name="40% - Accent1 9 3 6" xfId="15682" xr:uid="{00000000-0005-0000-0000-0000DB2B0000}"/>
    <cellStyle name="40% - Accent1 9 3 7" xfId="19633" xr:uid="{00000000-0005-0000-0000-0000DC2B0000}"/>
    <cellStyle name="40% - Accent1 9 3_Volatility" xfId="4592" xr:uid="{00000000-0005-0000-0000-0000DD2B0000}"/>
    <cellStyle name="40% - Accent1 9 4" xfId="4593" xr:uid="{00000000-0005-0000-0000-0000DE2B0000}"/>
    <cellStyle name="40% - Accent1 9 4 2" xfId="4594" xr:uid="{00000000-0005-0000-0000-0000DF2B0000}"/>
    <cellStyle name="40% - Accent1 9 4 2 2" xfId="15692" xr:uid="{00000000-0005-0000-0000-0000E02B0000}"/>
    <cellStyle name="40% - Accent1 9 4 2 3" xfId="19643" xr:uid="{00000000-0005-0000-0000-0000E12B0000}"/>
    <cellStyle name="40% - Accent1 9 4 3" xfId="4595" xr:uid="{00000000-0005-0000-0000-0000E22B0000}"/>
    <cellStyle name="40% - Accent1 9 4 3 2" xfId="15693" xr:uid="{00000000-0005-0000-0000-0000E32B0000}"/>
    <cellStyle name="40% - Accent1 9 4 3 3" xfId="19644" xr:uid="{00000000-0005-0000-0000-0000E42B0000}"/>
    <cellStyle name="40% - Accent1 9 4 4" xfId="15691" xr:uid="{00000000-0005-0000-0000-0000E52B0000}"/>
    <cellStyle name="40% - Accent1 9 4 5" xfId="19642" xr:uid="{00000000-0005-0000-0000-0000E62B0000}"/>
    <cellStyle name="40% - Accent1 9 5" xfId="4596" xr:uid="{00000000-0005-0000-0000-0000E72B0000}"/>
    <cellStyle name="40% - Accent1 9 5 2" xfId="4597" xr:uid="{00000000-0005-0000-0000-0000E82B0000}"/>
    <cellStyle name="40% - Accent1 9 5 2 2" xfId="15695" xr:uid="{00000000-0005-0000-0000-0000E92B0000}"/>
    <cellStyle name="40% - Accent1 9 5 2 3" xfId="19646" xr:uid="{00000000-0005-0000-0000-0000EA2B0000}"/>
    <cellStyle name="40% - Accent1 9 5 3" xfId="4598" xr:uid="{00000000-0005-0000-0000-0000EB2B0000}"/>
    <cellStyle name="40% - Accent1 9 5 3 2" xfId="15696" xr:uid="{00000000-0005-0000-0000-0000EC2B0000}"/>
    <cellStyle name="40% - Accent1 9 5 3 3" xfId="19647" xr:uid="{00000000-0005-0000-0000-0000ED2B0000}"/>
    <cellStyle name="40% - Accent1 9 5 4" xfId="15694" xr:uid="{00000000-0005-0000-0000-0000EE2B0000}"/>
    <cellStyle name="40% - Accent1 9 5 5" xfId="19645" xr:uid="{00000000-0005-0000-0000-0000EF2B0000}"/>
    <cellStyle name="40% - Accent1 9 6" xfId="4599" xr:uid="{00000000-0005-0000-0000-0000F02B0000}"/>
    <cellStyle name="40% - Accent1 9 6 2" xfId="4600" xr:uid="{00000000-0005-0000-0000-0000F12B0000}"/>
    <cellStyle name="40% - Accent1 9 6 2 2" xfId="15698" xr:uid="{00000000-0005-0000-0000-0000F22B0000}"/>
    <cellStyle name="40% - Accent1 9 6 2 3" xfId="19649" xr:uid="{00000000-0005-0000-0000-0000F32B0000}"/>
    <cellStyle name="40% - Accent1 9 6 3" xfId="4601" xr:uid="{00000000-0005-0000-0000-0000F42B0000}"/>
    <cellStyle name="40% - Accent1 9 6 3 2" xfId="15699" xr:uid="{00000000-0005-0000-0000-0000F52B0000}"/>
    <cellStyle name="40% - Accent1 9 6 3 3" xfId="19650" xr:uid="{00000000-0005-0000-0000-0000F62B0000}"/>
    <cellStyle name="40% - Accent1 9 6 4" xfId="15697" xr:uid="{00000000-0005-0000-0000-0000F72B0000}"/>
    <cellStyle name="40% - Accent1 9 6 5" xfId="19648" xr:uid="{00000000-0005-0000-0000-0000F82B0000}"/>
    <cellStyle name="40% - Accent1 9 7" xfId="4602" xr:uid="{00000000-0005-0000-0000-0000F92B0000}"/>
    <cellStyle name="40% - Accent1 9 7 2" xfId="15700" xr:uid="{00000000-0005-0000-0000-0000FA2B0000}"/>
    <cellStyle name="40% - Accent1 9 7 3" xfId="19651" xr:uid="{00000000-0005-0000-0000-0000FB2B0000}"/>
    <cellStyle name="40% - Accent1 9 8" xfId="4603" xr:uid="{00000000-0005-0000-0000-0000FC2B0000}"/>
    <cellStyle name="40% - Accent1 9 8 2" xfId="15701" xr:uid="{00000000-0005-0000-0000-0000FD2B0000}"/>
    <cellStyle name="40% - Accent1 9 8 3" xfId="19652" xr:uid="{00000000-0005-0000-0000-0000FE2B0000}"/>
    <cellStyle name="40% - Accent1 9 9" xfId="15669" xr:uid="{00000000-0005-0000-0000-0000FF2B0000}"/>
    <cellStyle name="40% - Accent1 9_Volatility" xfId="4604" xr:uid="{00000000-0005-0000-0000-0000002C0000}"/>
    <cellStyle name="40% - Accent2 10" xfId="4605" xr:uid="{00000000-0005-0000-0000-0000012C0000}"/>
    <cellStyle name="40% - Accent2 10 10" xfId="19653" xr:uid="{00000000-0005-0000-0000-0000022C0000}"/>
    <cellStyle name="40% - Accent2 10 2" xfId="4606" xr:uid="{00000000-0005-0000-0000-0000032C0000}"/>
    <cellStyle name="40% - Accent2 10 2 2" xfId="4607" xr:uid="{00000000-0005-0000-0000-0000042C0000}"/>
    <cellStyle name="40% - Accent2 10 2 2 2" xfId="4608" xr:uid="{00000000-0005-0000-0000-0000052C0000}"/>
    <cellStyle name="40% - Accent2 10 2 2 2 2" xfId="15705" xr:uid="{00000000-0005-0000-0000-0000062C0000}"/>
    <cellStyle name="40% - Accent2 10 2 2 2 3" xfId="19656" xr:uid="{00000000-0005-0000-0000-0000072C0000}"/>
    <cellStyle name="40% - Accent2 10 2 2 3" xfId="4609" xr:uid="{00000000-0005-0000-0000-0000082C0000}"/>
    <cellStyle name="40% - Accent2 10 2 2 3 2" xfId="15706" xr:uid="{00000000-0005-0000-0000-0000092C0000}"/>
    <cellStyle name="40% - Accent2 10 2 2 3 3" xfId="19657" xr:uid="{00000000-0005-0000-0000-00000A2C0000}"/>
    <cellStyle name="40% - Accent2 10 2 2 4" xfId="15704" xr:uid="{00000000-0005-0000-0000-00000B2C0000}"/>
    <cellStyle name="40% - Accent2 10 2 2 5" xfId="19655" xr:uid="{00000000-0005-0000-0000-00000C2C0000}"/>
    <cellStyle name="40% - Accent2 10 2 3" xfId="4610" xr:uid="{00000000-0005-0000-0000-00000D2C0000}"/>
    <cellStyle name="40% - Accent2 10 2 3 2" xfId="4611" xr:uid="{00000000-0005-0000-0000-00000E2C0000}"/>
    <cellStyle name="40% - Accent2 10 2 3 2 2" xfId="15708" xr:uid="{00000000-0005-0000-0000-00000F2C0000}"/>
    <cellStyle name="40% - Accent2 10 2 3 2 3" xfId="19659" xr:uid="{00000000-0005-0000-0000-0000102C0000}"/>
    <cellStyle name="40% - Accent2 10 2 3 3" xfId="4612" xr:uid="{00000000-0005-0000-0000-0000112C0000}"/>
    <cellStyle name="40% - Accent2 10 2 3 3 2" xfId="15709" xr:uid="{00000000-0005-0000-0000-0000122C0000}"/>
    <cellStyle name="40% - Accent2 10 2 3 3 3" xfId="19660" xr:uid="{00000000-0005-0000-0000-0000132C0000}"/>
    <cellStyle name="40% - Accent2 10 2 3 4" xfId="15707" xr:uid="{00000000-0005-0000-0000-0000142C0000}"/>
    <cellStyle name="40% - Accent2 10 2 3 5" xfId="19658" xr:uid="{00000000-0005-0000-0000-0000152C0000}"/>
    <cellStyle name="40% - Accent2 10 2 4" xfId="4613" xr:uid="{00000000-0005-0000-0000-0000162C0000}"/>
    <cellStyle name="40% - Accent2 10 2 4 2" xfId="4614" xr:uid="{00000000-0005-0000-0000-0000172C0000}"/>
    <cellStyle name="40% - Accent2 10 2 4 2 2" xfId="15711" xr:uid="{00000000-0005-0000-0000-0000182C0000}"/>
    <cellStyle name="40% - Accent2 10 2 4 2 3" xfId="19662" xr:uid="{00000000-0005-0000-0000-0000192C0000}"/>
    <cellStyle name="40% - Accent2 10 2 4 3" xfId="4615" xr:uid="{00000000-0005-0000-0000-00001A2C0000}"/>
    <cellStyle name="40% - Accent2 10 2 4 3 2" xfId="15712" xr:uid="{00000000-0005-0000-0000-00001B2C0000}"/>
    <cellStyle name="40% - Accent2 10 2 4 3 3" xfId="19663" xr:uid="{00000000-0005-0000-0000-00001C2C0000}"/>
    <cellStyle name="40% - Accent2 10 2 4 4" xfId="15710" xr:uid="{00000000-0005-0000-0000-00001D2C0000}"/>
    <cellStyle name="40% - Accent2 10 2 4 5" xfId="19661" xr:uid="{00000000-0005-0000-0000-00001E2C0000}"/>
    <cellStyle name="40% - Accent2 10 2 5" xfId="4616" xr:uid="{00000000-0005-0000-0000-00001F2C0000}"/>
    <cellStyle name="40% - Accent2 10 2 5 2" xfId="15713" xr:uid="{00000000-0005-0000-0000-0000202C0000}"/>
    <cellStyle name="40% - Accent2 10 2 5 3" xfId="19664" xr:uid="{00000000-0005-0000-0000-0000212C0000}"/>
    <cellStyle name="40% - Accent2 10 2 6" xfId="4617" xr:uid="{00000000-0005-0000-0000-0000222C0000}"/>
    <cellStyle name="40% - Accent2 10 2 6 2" xfId="15714" xr:uid="{00000000-0005-0000-0000-0000232C0000}"/>
    <cellStyle name="40% - Accent2 10 2 6 3" xfId="19665" xr:uid="{00000000-0005-0000-0000-0000242C0000}"/>
    <cellStyle name="40% - Accent2 10 2 7" xfId="15703" xr:uid="{00000000-0005-0000-0000-0000252C0000}"/>
    <cellStyle name="40% - Accent2 10 2 8" xfId="19654" xr:uid="{00000000-0005-0000-0000-0000262C0000}"/>
    <cellStyle name="40% - Accent2 10 2_Volatility" xfId="4618" xr:uid="{00000000-0005-0000-0000-0000272C0000}"/>
    <cellStyle name="40% - Accent2 10 3" xfId="4619" xr:uid="{00000000-0005-0000-0000-0000282C0000}"/>
    <cellStyle name="40% - Accent2 10 3 2" xfId="4620" xr:uid="{00000000-0005-0000-0000-0000292C0000}"/>
    <cellStyle name="40% - Accent2 10 3 2 2" xfId="4621" xr:uid="{00000000-0005-0000-0000-00002A2C0000}"/>
    <cellStyle name="40% - Accent2 10 3 2 2 2" xfId="15717" xr:uid="{00000000-0005-0000-0000-00002B2C0000}"/>
    <cellStyle name="40% - Accent2 10 3 2 2 3" xfId="19668" xr:uid="{00000000-0005-0000-0000-00002C2C0000}"/>
    <cellStyle name="40% - Accent2 10 3 2 3" xfId="4622" xr:uid="{00000000-0005-0000-0000-00002D2C0000}"/>
    <cellStyle name="40% - Accent2 10 3 2 3 2" xfId="15718" xr:uid="{00000000-0005-0000-0000-00002E2C0000}"/>
    <cellStyle name="40% - Accent2 10 3 2 3 3" xfId="19669" xr:uid="{00000000-0005-0000-0000-00002F2C0000}"/>
    <cellStyle name="40% - Accent2 10 3 2 4" xfId="15716" xr:uid="{00000000-0005-0000-0000-0000302C0000}"/>
    <cellStyle name="40% - Accent2 10 3 2 5" xfId="19667" xr:uid="{00000000-0005-0000-0000-0000312C0000}"/>
    <cellStyle name="40% - Accent2 10 3 3" xfId="4623" xr:uid="{00000000-0005-0000-0000-0000322C0000}"/>
    <cellStyle name="40% - Accent2 10 3 3 2" xfId="4624" xr:uid="{00000000-0005-0000-0000-0000332C0000}"/>
    <cellStyle name="40% - Accent2 10 3 3 2 2" xfId="15720" xr:uid="{00000000-0005-0000-0000-0000342C0000}"/>
    <cellStyle name="40% - Accent2 10 3 3 2 3" xfId="19671" xr:uid="{00000000-0005-0000-0000-0000352C0000}"/>
    <cellStyle name="40% - Accent2 10 3 3 3" xfId="4625" xr:uid="{00000000-0005-0000-0000-0000362C0000}"/>
    <cellStyle name="40% - Accent2 10 3 3 3 2" xfId="15721" xr:uid="{00000000-0005-0000-0000-0000372C0000}"/>
    <cellStyle name="40% - Accent2 10 3 3 3 3" xfId="19672" xr:uid="{00000000-0005-0000-0000-0000382C0000}"/>
    <cellStyle name="40% - Accent2 10 3 3 4" xfId="15719" xr:uid="{00000000-0005-0000-0000-0000392C0000}"/>
    <cellStyle name="40% - Accent2 10 3 3 5" xfId="19670" xr:uid="{00000000-0005-0000-0000-00003A2C0000}"/>
    <cellStyle name="40% - Accent2 10 3 4" xfId="4626" xr:uid="{00000000-0005-0000-0000-00003B2C0000}"/>
    <cellStyle name="40% - Accent2 10 3 4 2" xfId="15722" xr:uid="{00000000-0005-0000-0000-00003C2C0000}"/>
    <cellStyle name="40% - Accent2 10 3 4 3" xfId="19673" xr:uid="{00000000-0005-0000-0000-00003D2C0000}"/>
    <cellStyle name="40% - Accent2 10 3 5" xfId="4627" xr:uid="{00000000-0005-0000-0000-00003E2C0000}"/>
    <cellStyle name="40% - Accent2 10 3 5 2" xfId="15723" xr:uid="{00000000-0005-0000-0000-00003F2C0000}"/>
    <cellStyle name="40% - Accent2 10 3 5 3" xfId="19674" xr:uid="{00000000-0005-0000-0000-0000402C0000}"/>
    <cellStyle name="40% - Accent2 10 3 6" xfId="15715" xr:uid="{00000000-0005-0000-0000-0000412C0000}"/>
    <cellStyle name="40% - Accent2 10 3 7" xfId="19666" xr:uid="{00000000-0005-0000-0000-0000422C0000}"/>
    <cellStyle name="40% - Accent2 10 3_Volatility" xfId="4628" xr:uid="{00000000-0005-0000-0000-0000432C0000}"/>
    <cellStyle name="40% - Accent2 10 4" xfId="4629" xr:uid="{00000000-0005-0000-0000-0000442C0000}"/>
    <cellStyle name="40% - Accent2 10 4 2" xfId="4630" xr:uid="{00000000-0005-0000-0000-0000452C0000}"/>
    <cellStyle name="40% - Accent2 10 4 2 2" xfId="15725" xr:uid="{00000000-0005-0000-0000-0000462C0000}"/>
    <cellStyle name="40% - Accent2 10 4 2 3" xfId="19676" xr:uid="{00000000-0005-0000-0000-0000472C0000}"/>
    <cellStyle name="40% - Accent2 10 4 3" xfId="4631" xr:uid="{00000000-0005-0000-0000-0000482C0000}"/>
    <cellStyle name="40% - Accent2 10 4 3 2" xfId="15726" xr:uid="{00000000-0005-0000-0000-0000492C0000}"/>
    <cellStyle name="40% - Accent2 10 4 3 3" xfId="19677" xr:uid="{00000000-0005-0000-0000-00004A2C0000}"/>
    <cellStyle name="40% - Accent2 10 4 4" xfId="15724" xr:uid="{00000000-0005-0000-0000-00004B2C0000}"/>
    <cellStyle name="40% - Accent2 10 4 5" xfId="19675" xr:uid="{00000000-0005-0000-0000-00004C2C0000}"/>
    <cellStyle name="40% - Accent2 10 5" xfId="4632" xr:uid="{00000000-0005-0000-0000-00004D2C0000}"/>
    <cellStyle name="40% - Accent2 10 5 2" xfId="4633" xr:uid="{00000000-0005-0000-0000-00004E2C0000}"/>
    <cellStyle name="40% - Accent2 10 5 2 2" xfId="15728" xr:uid="{00000000-0005-0000-0000-00004F2C0000}"/>
    <cellStyle name="40% - Accent2 10 5 2 3" xfId="19679" xr:uid="{00000000-0005-0000-0000-0000502C0000}"/>
    <cellStyle name="40% - Accent2 10 5 3" xfId="4634" xr:uid="{00000000-0005-0000-0000-0000512C0000}"/>
    <cellStyle name="40% - Accent2 10 5 3 2" xfId="15729" xr:uid="{00000000-0005-0000-0000-0000522C0000}"/>
    <cellStyle name="40% - Accent2 10 5 3 3" xfId="19680" xr:uid="{00000000-0005-0000-0000-0000532C0000}"/>
    <cellStyle name="40% - Accent2 10 5 4" xfId="15727" xr:uid="{00000000-0005-0000-0000-0000542C0000}"/>
    <cellStyle name="40% - Accent2 10 5 5" xfId="19678" xr:uid="{00000000-0005-0000-0000-0000552C0000}"/>
    <cellStyle name="40% - Accent2 10 6" xfId="4635" xr:uid="{00000000-0005-0000-0000-0000562C0000}"/>
    <cellStyle name="40% - Accent2 10 6 2" xfId="4636" xr:uid="{00000000-0005-0000-0000-0000572C0000}"/>
    <cellStyle name="40% - Accent2 10 6 2 2" xfId="15731" xr:uid="{00000000-0005-0000-0000-0000582C0000}"/>
    <cellStyle name="40% - Accent2 10 6 2 3" xfId="19682" xr:uid="{00000000-0005-0000-0000-0000592C0000}"/>
    <cellStyle name="40% - Accent2 10 6 3" xfId="4637" xr:uid="{00000000-0005-0000-0000-00005A2C0000}"/>
    <cellStyle name="40% - Accent2 10 6 3 2" xfId="15732" xr:uid="{00000000-0005-0000-0000-00005B2C0000}"/>
    <cellStyle name="40% - Accent2 10 6 3 3" xfId="19683" xr:uid="{00000000-0005-0000-0000-00005C2C0000}"/>
    <cellStyle name="40% - Accent2 10 6 4" xfId="15730" xr:uid="{00000000-0005-0000-0000-00005D2C0000}"/>
    <cellStyle name="40% - Accent2 10 6 5" xfId="19681" xr:uid="{00000000-0005-0000-0000-00005E2C0000}"/>
    <cellStyle name="40% - Accent2 10 7" xfId="4638" xr:uid="{00000000-0005-0000-0000-00005F2C0000}"/>
    <cellStyle name="40% - Accent2 10 7 2" xfId="15733" xr:uid="{00000000-0005-0000-0000-0000602C0000}"/>
    <cellStyle name="40% - Accent2 10 7 3" xfId="19684" xr:uid="{00000000-0005-0000-0000-0000612C0000}"/>
    <cellStyle name="40% - Accent2 10 8" xfId="4639" xr:uid="{00000000-0005-0000-0000-0000622C0000}"/>
    <cellStyle name="40% - Accent2 10 8 2" xfId="15734" xr:uid="{00000000-0005-0000-0000-0000632C0000}"/>
    <cellStyle name="40% - Accent2 10 8 3" xfId="19685" xr:uid="{00000000-0005-0000-0000-0000642C0000}"/>
    <cellStyle name="40% - Accent2 10 9" xfId="15702" xr:uid="{00000000-0005-0000-0000-0000652C0000}"/>
    <cellStyle name="40% - Accent2 10_Volatility" xfId="4640" xr:uid="{00000000-0005-0000-0000-0000662C0000}"/>
    <cellStyle name="40% - Accent2 11" xfId="4641" xr:uid="{00000000-0005-0000-0000-0000672C0000}"/>
    <cellStyle name="40% - Accent2 11 10" xfId="19686" xr:uid="{00000000-0005-0000-0000-0000682C0000}"/>
    <cellStyle name="40% - Accent2 11 2" xfId="4642" xr:uid="{00000000-0005-0000-0000-0000692C0000}"/>
    <cellStyle name="40% - Accent2 11 2 2" xfId="4643" xr:uid="{00000000-0005-0000-0000-00006A2C0000}"/>
    <cellStyle name="40% - Accent2 11 2 2 2" xfId="4644" xr:uid="{00000000-0005-0000-0000-00006B2C0000}"/>
    <cellStyle name="40% - Accent2 11 2 2 2 2" xfId="15738" xr:uid="{00000000-0005-0000-0000-00006C2C0000}"/>
    <cellStyle name="40% - Accent2 11 2 2 2 3" xfId="19689" xr:uid="{00000000-0005-0000-0000-00006D2C0000}"/>
    <cellStyle name="40% - Accent2 11 2 2 3" xfId="4645" xr:uid="{00000000-0005-0000-0000-00006E2C0000}"/>
    <cellStyle name="40% - Accent2 11 2 2 3 2" xfId="15739" xr:uid="{00000000-0005-0000-0000-00006F2C0000}"/>
    <cellStyle name="40% - Accent2 11 2 2 3 3" xfId="19690" xr:uid="{00000000-0005-0000-0000-0000702C0000}"/>
    <cellStyle name="40% - Accent2 11 2 2 4" xfId="15737" xr:uid="{00000000-0005-0000-0000-0000712C0000}"/>
    <cellStyle name="40% - Accent2 11 2 2 5" xfId="19688" xr:uid="{00000000-0005-0000-0000-0000722C0000}"/>
    <cellStyle name="40% - Accent2 11 2 3" xfId="4646" xr:uid="{00000000-0005-0000-0000-0000732C0000}"/>
    <cellStyle name="40% - Accent2 11 2 3 2" xfId="4647" xr:uid="{00000000-0005-0000-0000-0000742C0000}"/>
    <cellStyle name="40% - Accent2 11 2 3 2 2" xfId="15741" xr:uid="{00000000-0005-0000-0000-0000752C0000}"/>
    <cellStyle name="40% - Accent2 11 2 3 2 3" xfId="19692" xr:uid="{00000000-0005-0000-0000-0000762C0000}"/>
    <cellStyle name="40% - Accent2 11 2 3 3" xfId="4648" xr:uid="{00000000-0005-0000-0000-0000772C0000}"/>
    <cellStyle name="40% - Accent2 11 2 3 3 2" xfId="15742" xr:uid="{00000000-0005-0000-0000-0000782C0000}"/>
    <cellStyle name="40% - Accent2 11 2 3 3 3" xfId="19693" xr:uid="{00000000-0005-0000-0000-0000792C0000}"/>
    <cellStyle name="40% - Accent2 11 2 3 4" xfId="15740" xr:uid="{00000000-0005-0000-0000-00007A2C0000}"/>
    <cellStyle name="40% - Accent2 11 2 3 5" xfId="19691" xr:uid="{00000000-0005-0000-0000-00007B2C0000}"/>
    <cellStyle name="40% - Accent2 11 2 4" xfId="4649" xr:uid="{00000000-0005-0000-0000-00007C2C0000}"/>
    <cellStyle name="40% - Accent2 11 2 4 2" xfId="4650" xr:uid="{00000000-0005-0000-0000-00007D2C0000}"/>
    <cellStyle name="40% - Accent2 11 2 4 2 2" xfId="15744" xr:uid="{00000000-0005-0000-0000-00007E2C0000}"/>
    <cellStyle name="40% - Accent2 11 2 4 2 3" xfId="19695" xr:uid="{00000000-0005-0000-0000-00007F2C0000}"/>
    <cellStyle name="40% - Accent2 11 2 4 3" xfId="4651" xr:uid="{00000000-0005-0000-0000-0000802C0000}"/>
    <cellStyle name="40% - Accent2 11 2 4 3 2" xfId="15745" xr:uid="{00000000-0005-0000-0000-0000812C0000}"/>
    <cellStyle name="40% - Accent2 11 2 4 3 3" xfId="19696" xr:uid="{00000000-0005-0000-0000-0000822C0000}"/>
    <cellStyle name="40% - Accent2 11 2 4 4" xfId="15743" xr:uid="{00000000-0005-0000-0000-0000832C0000}"/>
    <cellStyle name="40% - Accent2 11 2 4 5" xfId="19694" xr:uid="{00000000-0005-0000-0000-0000842C0000}"/>
    <cellStyle name="40% - Accent2 11 2 5" xfId="4652" xr:uid="{00000000-0005-0000-0000-0000852C0000}"/>
    <cellStyle name="40% - Accent2 11 2 5 2" xfId="15746" xr:uid="{00000000-0005-0000-0000-0000862C0000}"/>
    <cellStyle name="40% - Accent2 11 2 5 3" xfId="19697" xr:uid="{00000000-0005-0000-0000-0000872C0000}"/>
    <cellStyle name="40% - Accent2 11 2 6" xfId="4653" xr:uid="{00000000-0005-0000-0000-0000882C0000}"/>
    <cellStyle name="40% - Accent2 11 2 6 2" xfId="15747" xr:uid="{00000000-0005-0000-0000-0000892C0000}"/>
    <cellStyle name="40% - Accent2 11 2 6 3" xfId="19698" xr:uid="{00000000-0005-0000-0000-00008A2C0000}"/>
    <cellStyle name="40% - Accent2 11 2 7" xfId="15736" xr:uid="{00000000-0005-0000-0000-00008B2C0000}"/>
    <cellStyle name="40% - Accent2 11 2 8" xfId="19687" xr:uid="{00000000-0005-0000-0000-00008C2C0000}"/>
    <cellStyle name="40% - Accent2 11 2_Volatility" xfId="4654" xr:uid="{00000000-0005-0000-0000-00008D2C0000}"/>
    <cellStyle name="40% - Accent2 11 3" xfId="4655" xr:uid="{00000000-0005-0000-0000-00008E2C0000}"/>
    <cellStyle name="40% - Accent2 11 3 2" xfId="4656" xr:uid="{00000000-0005-0000-0000-00008F2C0000}"/>
    <cellStyle name="40% - Accent2 11 3 2 2" xfId="4657" xr:uid="{00000000-0005-0000-0000-0000902C0000}"/>
    <cellStyle name="40% - Accent2 11 3 2 2 2" xfId="15750" xr:uid="{00000000-0005-0000-0000-0000912C0000}"/>
    <cellStyle name="40% - Accent2 11 3 2 2 3" xfId="19701" xr:uid="{00000000-0005-0000-0000-0000922C0000}"/>
    <cellStyle name="40% - Accent2 11 3 2 3" xfId="4658" xr:uid="{00000000-0005-0000-0000-0000932C0000}"/>
    <cellStyle name="40% - Accent2 11 3 2 3 2" xfId="15751" xr:uid="{00000000-0005-0000-0000-0000942C0000}"/>
    <cellStyle name="40% - Accent2 11 3 2 3 3" xfId="19702" xr:uid="{00000000-0005-0000-0000-0000952C0000}"/>
    <cellStyle name="40% - Accent2 11 3 2 4" xfId="15749" xr:uid="{00000000-0005-0000-0000-0000962C0000}"/>
    <cellStyle name="40% - Accent2 11 3 2 5" xfId="19700" xr:uid="{00000000-0005-0000-0000-0000972C0000}"/>
    <cellStyle name="40% - Accent2 11 3 3" xfId="4659" xr:uid="{00000000-0005-0000-0000-0000982C0000}"/>
    <cellStyle name="40% - Accent2 11 3 3 2" xfId="4660" xr:uid="{00000000-0005-0000-0000-0000992C0000}"/>
    <cellStyle name="40% - Accent2 11 3 3 2 2" xfId="15753" xr:uid="{00000000-0005-0000-0000-00009A2C0000}"/>
    <cellStyle name="40% - Accent2 11 3 3 2 3" xfId="19704" xr:uid="{00000000-0005-0000-0000-00009B2C0000}"/>
    <cellStyle name="40% - Accent2 11 3 3 3" xfId="4661" xr:uid="{00000000-0005-0000-0000-00009C2C0000}"/>
    <cellStyle name="40% - Accent2 11 3 3 3 2" xfId="15754" xr:uid="{00000000-0005-0000-0000-00009D2C0000}"/>
    <cellStyle name="40% - Accent2 11 3 3 3 3" xfId="19705" xr:uid="{00000000-0005-0000-0000-00009E2C0000}"/>
    <cellStyle name="40% - Accent2 11 3 3 4" xfId="15752" xr:uid="{00000000-0005-0000-0000-00009F2C0000}"/>
    <cellStyle name="40% - Accent2 11 3 3 5" xfId="19703" xr:uid="{00000000-0005-0000-0000-0000A02C0000}"/>
    <cellStyle name="40% - Accent2 11 3 4" xfId="4662" xr:uid="{00000000-0005-0000-0000-0000A12C0000}"/>
    <cellStyle name="40% - Accent2 11 3 4 2" xfId="15755" xr:uid="{00000000-0005-0000-0000-0000A22C0000}"/>
    <cellStyle name="40% - Accent2 11 3 4 3" xfId="19706" xr:uid="{00000000-0005-0000-0000-0000A32C0000}"/>
    <cellStyle name="40% - Accent2 11 3 5" xfId="4663" xr:uid="{00000000-0005-0000-0000-0000A42C0000}"/>
    <cellStyle name="40% - Accent2 11 3 5 2" xfId="15756" xr:uid="{00000000-0005-0000-0000-0000A52C0000}"/>
    <cellStyle name="40% - Accent2 11 3 5 3" xfId="19707" xr:uid="{00000000-0005-0000-0000-0000A62C0000}"/>
    <cellStyle name="40% - Accent2 11 3 6" xfId="15748" xr:uid="{00000000-0005-0000-0000-0000A72C0000}"/>
    <cellStyle name="40% - Accent2 11 3 7" xfId="19699" xr:uid="{00000000-0005-0000-0000-0000A82C0000}"/>
    <cellStyle name="40% - Accent2 11 3_Volatility" xfId="4664" xr:uid="{00000000-0005-0000-0000-0000A92C0000}"/>
    <cellStyle name="40% - Accent2 11 4" xfId="4665" xr:uid="{00000000-0005-0000-0000-0000AA2C0000}"/>
    <cellStyle name="40% - Accent2 11 4 2" xfId="4666" xr:uid="{00000000-0005-0000-0000-0000AB2C0000}"/>
    <cellStyle name="40% - Accent2 11 4 2 2" xfId="15758" xr:uid="{00000000-0005-0000-0000-0000AC2C0000}"/>
    <cellStyle name="40% - Accent2 11 4 2 3" xfId="19709" xr:uid="{00000000-0005-0000-0000-0000AD2C0000}"/>
    <cellStyle name="40% - Accent2 11 4 3" xfId="4667" xr:uid="{00000000-0005-0000-0000-0000AE2C0000}"/>
    <cellStyle name="40% - Accent2 11 4 3 2" xfId="15759" xr:uid="{00000000-0005-0000-0000-0000AF2C0000}"/>
    <cellStyle name="40% - Accent2 11 4 3 3" xfId="19710" xr:uid="{00000000-0005-0000-0000-0000B02C0000}"/>
    <cellStyle name="40% - Accent2 11 4 4" xfId="15757" xr:uid="{00000000-0005-0000-0000-0000B12C0000}"/>
    <cellStyle name="40% - Accent2 11 4 5" xfId="19708" xr:uid="{00000000-0005-0000-0000-0000B22C0000}"/>
    <cellStyle name="40% - Accent2 11 5" xfId="4668" xr:uid="{00000000-0005-0000-0000-0000B32C0000}"/>
    <cellStyle name="40% - Accent2 11 5 2" xfId="4669" xr:uid="{00000000-0005-0000-0000-0000B42C0000}"/>
    <cellStyle name="40% - Accent2 11 5 2 2" xfId="15761" xr:uid="{00000000-0005-0000-0000-0000B52C0000}"/>
    <cellStyle name="40% - Accent2 11 5 2 3" xfId="19712" xr:uid="{00000000-0005-0000-0000-0000B62C0000}"/>
    <cellStyle name="40% - Accent2 11 5 3" xfId="4670" xr:uid="{00000000-0005-0000-0000-0000B72C0000}"/>
    <cellStyle name="40% - Accent2 11 5 3 2" xfId="15762" xr:uid="{00000000-0005-0000-0000-0000B82C0000}"/>
    <cellStyle name="40% - Accent2 11 5 3 3" xfId="19713" xr:uid="{00000000-0005-0000-0000-0000B92C0000}"/>
    <cellStyle name="40% - Accent2 11 5 4" xfId="15760" xr:uid="{00000000-0005-0000-0000-0000BA2C0000}"/>
    <cellStyle name="40% - Accent2 11 5 5" xfId="19711" xr:uid="{00000000-0005-0000-0000-0000BB2C0000}"/>
    <cellStyle name="40% - Accent2 11 6" xfId="4671" xr:uid="{00000000-0005-0000-0000-0000BC2C0000}"/>
    <cellStyle name="40% - Accent2 11 6 2" xfId="4672" xr:uid="{00000000-0005-0000-0000-0000BD2C0000}"/>
    <cellStyle name="40% - Accent2 11 6 2 2" xfId="15764" xr:uid="{00000000-0005-0000-0000-0000BE2C0000}"/>
    <cellStyle name="40% - Accent2 11 6 2 3" xfId="19715" xr:uid="{00000000-0005-0000-0000-0000BF2C0000}"/>
    <cellStyle name="40% - Accent2 11 6 3" xfId="4673" xr:uid="{00000000-0005-0000-0000-0000C02C0000}"/>
    <cellStyle name="40% - Accent2 11 6 3 2" xfId="15765" xr:uid="{00000000-0005-0000-0000-0000C12C0000}"/>
    <cellStyle name="40% - Accent2 11 6 3 3" xfId="19716" xr:uid="{00000000-0005-0000-0000-0000C22C0000}"/>
    <cellStyle name="40% - Accent2 11 6 4" xfId="15763" xr:uid="{00000000-0005-0000-0000-0000C32C0000}"/>
    <cellStyle name="40% - Accent2 11 6 5" xfId="19714" xr:uid="{00000000-0005-0000-0000-0000C42C0000}"/>
    <cellStyle name="40% - Accent2 11 7" xfId="4674" xr:uid="{00000000-0005-0000-0000-0000C52C0000}"/>
    <cellStyle name="40% - Accent2 11 7 2" xfId="15766" xr:uid="{00000000-0005-0000-0000-0000C62C0000}"/>
    <cellStyle name="40% - Accent2 11 7 3" xfId="19717" xr:uid="{00000000-0005-0000-0000-0000C72C0000}"/>
    <cellStyle name="40% - Accent2 11 8" xfId="4675" xr:uid="{00000000-0005-0000-0000-0000C82C0000}"/>
    <cellStyle name="40% - Accent2 11 8 2" xfId="15767" xr:uid="{00000000-0005-0000-0000-0000C92C0000}"/>
    <cellStyle name="40% - Accent2 11 8 3" xfId="19718" xr:uid="{00000000-0005-0000-0000-0000CA2C0000}"/>
    <cellStyle name="40% - Accent2 11 9" xfId="15735" xr:uid="{00000000-0005-0000-0000-0000CB2C0000}"/>
    <cellStyle name="40% - Accent2 11_Volatility" xfId="4676" xr:uid="{00000000-0005-0000-0000-0000CC2C0000}"/>
    <cellStyle name="40% - Accent2 12" xfId="4677" xr:uid="{00000000-0005-0000-0000-0000CD2C0000}"/>
    <cellStyle name="40% - Accent2 12 10" xfId="19719" xr:uid="{00000000-0005-0000-0000-0000CE2C0000}"/>
    <cellStyle name="40% - Accent2 12 2" xfId="4678" xr:uid="{00000000-0005-0000-0000-0000CF2C0000}"/>
    <cellStyle name="40% - Accent2 12 2 2" xfId="4679" xr:uid="{00000000-0005-0000-0000-0000D02C0000}"/>
    <cellStyle name="40% - Accent2 12 2 2 2" xfId="4680" xr:uid="{00000000-0005-0000-0000-0000D12C0000}"/>
    <cellStyle name="40% - Accent2 12 2 2 2 2" xfId="15771" xr:uid="{00000000-0005-0000-0000-0000D22C0000}"/>
    <cellStyle name="40% - Accent2 12 2 2 2 3" xfId="19722" xr:uid="{00000000-0005-0000-0000-0000D32C0000}"/>
    <cellStyle name="40% - Accent2 12 2 2 3" xfId="4681" xr:uid="{00000000-0005-0000-0000-0000D42C0000}"/>
    <cellStyle name="40% - Accent2 12 2 2 3 2" xfId="15772" xr:uid="{00000000-0005-0000-0000-0000D52C0000}"/>
    <cellStyle name="40% - Accent2 12 2 2 3 3" xfId="19723" xr:uid="{00000000-0005-0000-0000-0000D62C0000}"/>
    <cellStyle name="40% - Accent2 12 2 2 4" xfId="15770" xr:uid="{00000000-0005-0000-0000-0000D72C0000}"/>
    <cellStyle name="40% - Accent2 12 2 2 5" xfId="19721" xr:uid="{00000000-0005-0000-0000-0000D82C0000}"/>
    <cellStyle name="40% - Accent2 12 2 3" xfId="4682" xr:uid="{00000000-0005-0000-0000-0000D92C0000}"/>
    <cellStyle name="40% - Accent2 12 2 3 2" xfId="4683" xr:uid="{00000000-0005-0000-0000-0000DA2C0000}"/>
    <cellStyle name="40% - Accent2 12 2 3 2 2" xfId="15774" xr:uid="{00000000-0005-0000-0000-0000DB2C0000}"/>
    <cellStyle name="40% - Accent2 12 2 3 2 3" xfId="19725" xr:uid="{00000000-0005-0000-0000-0000DC2C0000}"/>
    <cellStyle name="40% - Accent2 12 2 3 3" xfId="4684" xr:uid="{00000000-0005-0000-0000-0000DD2C0000}"/>
    <cellStyle name="40% - Accent2 12 2 3 3 2" xfId="15775" xr:uid="{00000000-0005-0000-0000-0000DE2C0000}"/>
    <cellStyle name="40% - Accent2 12 2 3 3 3" xfId="19726" xr:uid="{00000000-0005-0000-0000-0000DF2C0000}"/>
    <cellStyle name="40% - Accent2 12 2 3 4" xfId="15773" xr:uid="{00000000-0005-0000-0000-0000E02C0000}"/>
    <cellStyle name="40% - Accent2 12 2 3 5" xfId="19724" xr:uid="{00000000-0005-0000-0000-0000E12C0000}"/>
    <cellStyle name="40% - Accent2 12 2 4" xfId="4685" xr:uid="{00000000-0005-0000-0000-0000E22C0000}"/>
    <cellStyle name="40% - Accent2 12 2 4 2" xfId="4686" xr:uid="{00000000-0005-0000-0000-0000E32C0000}"/>
    <cellStyle name="40% - Accent2 12 2 4 2 2" xfId="15777" xr:uid="{00000000-0005-0000-0000-0000E42C0000}"/>
    <cellStyle name="40% - Accent2 12 2 4 2 3" xfId="19728" xr:uid="{00000000-0005-0000-0000-0000E52C0000}"/>
    <cellStyle name="40% - Accent2 12 2 4 3" xfId="4687" xr:uid="{00000000-0005-0000-0000-0000E62C0000}"/>
    <cellStyle name="40% - Accent2 12 2 4 3 2" xfId="15778" xr:uid="{00000000-0005-0000-0000-0000E72C0000}"/>
    <cellStyle name="40% - Accent2 12 2 4 3 3" xfId="19729" xr:uid="{00000000-0005-0000-0000-0000E82C0000}"/>
    <cellStyle name="40% - Accent2 12 2 4 4" xfId="15776" xr:uid="{00000000-0005-0000-0000-0000E92C0000}"/>
    <cellStyle name="40% - Accent2 12 2 4 5" xfId="19727" xr:uid="{00000000-0005-0000-0000-0000EA2C0000}"/>
    <cellStyle name="40% - Accent2 12 2 5" xfId="4688" xr:uid="{00000000-0005-0000-0000-0000EB2C0000}"/>
    <cellStyle name="40% - Accent2 12 2 5 2" xfId="15779" xr:uid="{00000000-0005-0000-0000-0000EC2C0000}"/>
    <cellStyle name="40% - Accent2 12 2 5 3" xfId="19730" xr:uid="{00000000-0005-0000-0000-0000ED2C0000}"/>
    <cellStyle name="40% - Accent2 12 2 6" xfId="4689" xr:uid="{00000000-0005-0000-0000-0000EE2C0000}"/>
    <cellStyle name="40% - Accent2 12 2 6 2" xfId="15780" xr:uid="{00000000-0005-0000-0000-0000EF2C0000}"/>
    <cellStyle name="40% - Accent2 12 2 6 3" xfId="19731" xr:uid="{00000000-0005-0000-0000-0000F02C0000}"/>
    <cellStyle name="40% - Accent2 12 2 7" xfId="15769" xr:uid="{00000000-0005-0000-0000-0000F12C0000}"/>
    <cellStyle name="40% - Accent2 12 2 8" xfId="19720" xr:uid="{00000000-0005-0000-0000-0000F22C0000}"/>
    <cellStyle name="40% - Accent2 12 2_Volatility" xfId="4690" xr:uid="{00000000-0005-0000-0000-0000F32C0000}"/>
    <cellStyle name="40% - Accent2 12 3" xfId="4691" xr:uid="{00000000-0005-0000-0000-0000F42C0000}"/>
    <cellStyle name="40% - Accent2 12 3 2" xfId="4692" xr:uid="{00000000-0005-0000-0000-0000F52C0000}"/>
    <cellStyle name="40% - Accent2 12 3 2 2" xfId="4693" xr:uid="{00000000-0005-0000-0000-0000F62C0000}"/>
    <cellStyle name="40% - Accent2 12 3 2 2 2" xfId="15783" xr:uid="{00000000-0005-0000-0000-0000F72C0000}"/>
    <cellStyle name="40% - Accent2 12 3 2 2 3" xfId="19734" xr:uid="{00000000-0005-0000-0000-0000F82C0000}"/>
    <cellStyle name="40% - Accent2 12 3 2 3" xfId="4694" xr:uid="{00000000-0005-0000-0000-0000F92C0000}"/>
    <cellStyle name="40% - Accent2 12 3 2 3 2" xfId="15784" xr:uid="{00000000-0005-0000-0000-0000FA2C0000}"/>
    <cellStyle name="40% - Accent2 12 3 2 3 3" xfId="19735" xr:uid="{00000000-0005-0000-0000-0000FB2C0000}"/>
    <cellStyle name="40% - Accent2 12 3 2 4" xfId="15782" xr:uid="{00000000-0005-0000-0000-0000FC2C0000}"/>
    <cellStyle name="40% - Accent2 12 3 2 5" xfId="19733" xr:uid="{00000000-0005-0000-0000-0000FD2C0000}"/>
    <cellStyle name="40% - Accent2 12 3 3" xfId="4695" xr:uid="{00000000-0005-0000-0000-0000FE2C0000}"/>
    <cellStyle name="40% - Accent2 12 3 3 2" xfId="4696" xr:uid="{00000000-0005-0000-0000-0000FF2C0000}"/>
    <cellStyle name="40% - Accent2 12 3 3 2 2" xfId="15786" xr:uid="{00000000-0005-0000-0000-0000002D0000}"/>
    <cellStyle name="40% - Accent2 12 3 3 2 3" xfId="19737" xr:uid="{00000000-0005-0000-0000-0000012D0000}"/>
    <cellStyle name="40% - Accent2 12 3 3 3" xfId="4697" xr:uid="{00000000-0005-0000-0000-0000022D0000}"/>
    <cellStyle name="40% - Accent2 12 3 3 3 2" xfId="15787" xr:uid="{00000000-0005-0000-0000-0000032D0000}"/>
    <cellStyle name="40% - Accent2 12 3 3 3 3" xfId="19738" xr:uid="{00000000-0005-0000-0000-0000042D0000}"/>
    <cellStyle name="40% - Accent2 12 3 3 4" xfId="15785" xr:uid="{00000000-0005-0000-0000-0000052D0000}"/>
    <cellStyle name="40% - Accent2 12 3 3 5" xfId="19736" xr:uid="{00000000-0005-0000-0000-0000062D0000}"/>
    <cellStyle name="40% - Accent2 12 3 4" xfId="4698" xr:uid="{00000000-0005-0000-0000-0000072D0000}"/>
    <cellStyle name="40% - Accent2 12 3 4 2" xfId="15788" xr:uid="{00000000-0005-0000-0000-0000082D0000}"/>
    <cellStyle name="40% - Accent2 12 3 4 3" xfId="19739" xr:uid="{00000000-0005-0000-0000-0000092D0000}"/>
    <cellStyle name="40% - Accent2 12 3 5" xfId="4699" xr:uid="{00000000-0005-0000-0000-00000A2D0000}"/>
    <cellStyle name="40% - Accent2 12 3 5 2" xfId="15789" xr:uid="{00000000-0005-0000-0000-00000B2D0000}"/>
    <cellStyle name="40% - Accent2 12 3 5 3" xfId="19740" xr:uid="{00000000-0005-0000-0000-00000C2D0000}"/>
    <cellStyle name="40% - Accent2 12 3 6" xfId="15781" xr:uid="{00000000-0005-0000-0000-00000D2D0000}"/>
    <cellStyle name="40% - Accent2 12 3 7" xfId="19732" xr:uid="{00000000-0005-0000-0000-00000E2D0000}"/>
    <cellStyle name="40% - Accent2 12 3_Volatility" xfId="4700" xr:uid="{00000000-0005-0000-0000-00000F2D0000}"/>
    <cellStyle name="40% - Accent2 12 4" xfId="4701" xr:uid="{00000000-0005-0000-0000-0000102D0000}"/>
    <cellStyle name="40% - Accent2 12 4 2" xfId="4702" xr:uid="{00000000-0005-0000-0000-0000112D0000}"/>
    <cellStyle name="40% - Accent2 12 4 2 2" xfId="15791" xr:uid="{00000000-0005-0000-0000-0000122D0000}"/>
    <cellStyle name="40% - Accent2 12 4 2 3" xfId="19742" xr:uid="{00000000-0005-0000-0000-0000132D0000}"/>
    <cellStyle name="40% - Accent2 12 4 3" xfId="4703" xr:uid="{00000000-0005-0000-0000-0000142D0000}"/>
    <cellStyle name="40% - Accent2 12 4 3 2" xfId="15792" xr:uid="{00000000-0005-0000-0000-0000152D0000}"/>
    <cellStyle name="40% - Accent2 12 4 3 3" xfId="19743" xr:uid="{00000000-0005-0000-0000-0000162D0000}"/>
    <cellStyle name="40% - Accent2 12 4 4" xfId="15790" xr:uid="{00000000-0005-0000-0000-0000172D0000}"/>
    <cellStyle name="40% - Accent2 12 4 5" xfId="19741" xr:uid="{00000000-0005-0000-0000-0000182D0000}"/>
    <cellStyle name="40% - Accent2 12 5" xfId="4704" xr:uid="{00000000-0005-0000-0000-0000192D0000}"/>
    <cellStyle name="40% - Accent2 12 5 2" xfId="4705" xr:uid="{00000000-0005-0000-0000-00001A2D0000}"/>
    <cellStyle name="40% - Accent2 12 5 2 2" xfId="15794" xr:uid="{00000000-0005-0000-0000-00001B2D0000}"/>
    <cellStyle name="40% - Accent2 12 5 2 3" xfId="19745" xr:uid="{00000000-0005-0000-0000-00001C2D0000}"/>
    <cellStyle name="40% - Accent2 12 5 3" xfId="4706" xr:uid="{00000000-0005-0000-0000-00001D2D0000}"/>
    <cellStyle name="40% - Accent2 12 5 3 2" xfId="15795" xr:uid="{00000000-0005-0000-0000-00001E2D0000}"/>
    <cellStyle name="40% - Accent2 12 5 3 3" xfId="19746" xr:uid="{00000000-0005-0000-0000-00001F2D0000}"/>
    <cellStyle name="40% - Accent2 12 5 4" xfId="15793" xr:uid="{00000000-0005-0000-0000-0000202D0000}"/>
    <cellStyle name="40% - Accent2 12 5 5" xfId="19744" xr:uid="{00000000-0005-0000-0000-0000212D0000}"/>
    <cellStyle name="40% - Accent2 12 6" xfId="4707" xr:uid="{00000000-0005-0000-0000-0000222D0000}"/>
    <cellStyle name="40% - Accent2 12 6 2" xfId="4708" xr:uid="{00000000-0005-0000-0000-0000232D0000}"/>
    <cellStyle name="40% - Accent2 12 6 2 2" xfId="15797" xr:uid="{00000000-0005-0000-0000-0000242D0000}"/>
    <cellStyle name="40% - Accent2 12 6 2 3" xfId="19748" xr:uid="{00000000-0005-0000-0000-0000252D0000}"/>
    <cellStyle name="40% - Accent2 12 6 3" xfId="4709" xr:uid="{00000000-0005-0000-0000-0000262D0000}"/>
    <cellStyle name="40% - Accent2 12 6 3 2" xfId="15798" xr:uid="{00000000-0005-0000-0000-0000272D0000}"/>
    <cellStyle name="40% - Accent2 12 6 3 3" xfId="19749" xr:uid="{00000000-0005-0000-0000-0000282D0000}"/>
    <cellStyle name="40% - Accent2 12 6 4" xfId="15796" xr:uid="{00000000-0005-0000-0000-0000292D0000}"/>
    <cellStyle name="40% - Accent2 12 6 5" xfId="19747" xr:uid="{00000000-0005-0000-0000-00002A2D0000}"/>
    <cellStyle name="40% - Accent2 12 7" xfId="4710" xr:uid="{00000000-0005-0000-0000-00002B2D0000}"/>
    <cellStyle name="40% - Accent2 12 7 2" xfId="15799" xr:uid="{00000000-0005-0000-0000-00002C2D0000}"/>
    <cellStyle name="40% - Accent2 12 7 3" xfId="19750" xr:uid="{00000000-0005-0000-0000-00002D2D0000}"/>
    <cellStyle name="40% - Accent2 12 8" xfId="4711" xr:uid="{00000000-0005-0000-0000-00002E2D0000}"/>
    <cellStyle name="40% - Accent2 12 8 2" xfId="15800" xr:uid="{00000000-0005-0000-0000-00002F2D0000}"/>
    <cellStyle name="40% - Accent2 12 8 3" xfId="19751" xr:uid="{00000000-0005-0000-0000-0000302D0000}"/>
    <cellStyle name="40% - Accent2 12 9" xfId="15768" xr:uid="{00000000-0005-0000-0000-0000312D0000}"/>
    <cellStyle name="40% - Accent2 12_Volatility" xfId="4712" xr:uid="{00000000-0005-0000-0000-0000322D0000}"/>
    <cellStyle name="40% - Accent2 13" xfId="4713" xr:uid="{00000000-0005-0000-0000-0000332D0000}"/>
    <cellStyle name="40% - Accent2 13 10" xfId="19752" xr:uid="{00000000-0005-0000-0000-0000342D0000}"/>
    <cellStyle name="40% - Accent2 13 2" xfId="4714" xr:uid="{00000000-0005-0000-0000-0000352D0000}"/>
    <cellStyle name="40% - Accent2 13 2 2" xfId="4715" xr:uid="{00000000-0005-0000-0000-0000362D0000}"/>
    <cellStyle name="40% - Accent2 13 2 2 2" xfId="4716" xr:uid="{00000000-0005-0000-0000-0000372D0000}"/>
    <cellStyle name="40% - Accent2 13 2 2 2 2" xfId="15804" xr:uid="{00000000-0005-0000-0000-0000382D0000}"/>
    <cellStyle name="40% - Accent2 13 2 2 2 3" xfId="19755" xr:uid="{00000000-0005-0000-0000-0000392D0000}"/>
    <cellStyle name="40% - Accent2 13 2 2 3" xfId="4717" xr:uid="{00000000-0005-0000-0000-00003A2D0000}"/>
    <cellStyle name="40% - Accent2 13 2 2 3 2" xfId="15805" xr:uid="{00000000-0005-0000-0000-00003B2D0000}"/>
    <cellStyle name="40% - Accent2 13 2 2 3 3" xfId="19756" xr:uid="{00000000-0005-0000-0000-00003C2D0000}"/>
    <cellStyle name="40% - Accent2 13 2 2 4" xfId="15803" xr:uid="{00000000-0005-0000-0000-00003D2D0000}"/>
    <cellStyle name="40% - Accent2 13 2 2 5" xfId="19754" xr:uid="{00000000-0005-0000-0000-00003E2D0000}"/>
    <cellStyle name="40% - Accent2 13 2 3" xfId="4718" xr:uid="{00000000-0005-0000-0000-00003F2D0000}"/>
    <cellStyle name="40% - Accent2 13 2 3 2" xfId="4719" xr:uid="{00000000-0005-0000-0000-0000402D0000}"/>
    <cellStyle name="40% - Accent2 13 2 3 2 2" xfId="15807" xr:uid="{00000000-0005-0000-0000-0000412D0000}"/>
    <cellStyle name="40% - Accent2 13 2 3 2 3" xfId="19758" xr:uid="{00000000-0005-0000-0000-0000422D0000}"/>
    <cellStyle name="40% - Accent2 13 2 3 3" xfId="4720" xr:uid="{00000000-0005-0000-0000-0000432D0000}"/>
    <cellStyle name="40% - Accent2 13 2 3 3 2" xfId="15808" xr:uid="{00000000-0005-0000-0000-0000442D0000}"/>
    <cellStyle name="40% - Accent2 13 2 3 3 3" xfId="19759" xr:uid="{00000000-0005-0000-0000-0000452D0000}"/>
    <cellStyle name="40% - Accent2 13 2 3 4" xfId="15806" xr:uid="{00000000-0005-0000-0000-0000462D0000}"/>
    <cellStyle name="40% - Accent2 13 2 3 5" xfId="19757" xr:uid="{00000000-0005-0000-0000-0000472D0000}"/>
    <cellStyle name="40% - Accent2 13 2 4" xfId="4721" xr:uid="{00000000-0005-0000-0000-0000482D0000}"/>
    <cellStyle name="40% - Accent2 13 2 4 2" xfId="4722" xr:uid="{00000000-0005-0000-0000-0000492D0000}"/>
    <cellStyle name="40% - Accent2 13 2 4 2 2" xfId="15810" xr:uid="{00000000-0005-0000-0000-00004A2D0000}"/>
    <cellStyle name="40% - Accent2 13 2 4 2 3" xfId="19761" xr:uid="{00000000-0005-0000-0000-00004B2D0000}"/>
    <cellStyle name="40% - Accent2 13 2 4 3" xfId="4723" xr:uid="{00000000-0005-0000-0000-00004C2D0000}"/>
    <cellStyle name="40% - Accent2 13 2 4 3 2" xfId="15811" xr:uid="{00000000-0005-0000-0000-00004D2D0000}"/>
    <cellStyle name="40% - Accent2 13 2 4 3 3" xfId="19762" xr:uid="{00000000-0005-0000-0000-00004E2D0000}"/>
    <cellStyle name="40% - Accent2 13 2 4 4" xfId="15809" xr:uid="{00000000-0005-0000-0000-00004F2D0000}"/>
    <cellStyle name="40% - Accent2 13 2 4 5" xfId="19760" xr:uid="{00000000-0005-0000-0000-0000502D0000}"/>
    <cellStyle name="40% - Accent2 13 2 5" xfId="4724" xr:uid="{00000000-0005-0000-0000-0000512D0000}"/>
    <cellStyle name="40% - Accent2 13 2 5 2" xfId="15812" xr:uid="{00000000-0005-0000-0000-0000522D0000}"/>
    <cellStyle name="40% - Accent2 13 2 5 3" xfId="19763" xr:uid="{00000000-0005-0000-0000-0000532D0000}"/>
    <cellStyle name="40% - Accent2 13 2 6" xfId="4725" xr:uid="{00000000-0005-0000-0000-0000542D0000}"/>
    <cellStyle name="40% - Accent2 13 2 6 2" xfId="15813" xr:uid="{00000000-0005-0000-0000-0000552D0000}"/>
    <cellStyle name="40% - Accent2 13 2 6 3" xfId="19764" xr:uid="{00000000-0005-0000-0000-0000562D0000}"/>
    <cellStyle name="40% - Accent2 13 2 7" xfId="15802" xr:uid="{00000000-0005-0000-0000-0000572D0000}"/>
    <cellStyle name="40% - Accent2 13 2 8" xfId="19753" xr:uid="{00000000-0005-0000-0000-0000582D0000}"/>
    <cellStyle name="40% - Accent2 13 2_Volatility" xfId="4726" xr:uid="{00000000-0005-0000-0000-0000592D0000}"/>
    <cellStyle name="40% - Accent2 13 3" xfId="4727" xr:uid="{00000000-0005-0000-0000-00005A2D0000}"/>
    <cellStyle name="40% - Accent2 13 3 2" xfId="4728" xr:uid="{00000000-0005-0000-0000-00005B2D0000}"/>
    <cellStyle name="40% - Accent2 13 3 2 2" xfId="4729" xr:uid="{00000000-0005-0000-0000-00005C2D0000}"/>
    <cellStyle name="40% - Accent2 13 3 2 2 2" xfId="15816" xr:uid="{00000000-0005-0000-0000-00005D2D0000}"/>
    <cellStyle name="40% - Accent2 13 3 2 2 3" xfId="19767" xr:uid="{00000000-0005-0000-0000-00005E2D0000}"/>
    <cellStyle name="40% - Accent2 13 3 2 3" xfId="4730" xr:uid="{00000000-0005-0000-0000-00005F2D0000}"/>
    <cellStyle name="40% - Accent2 13 3 2 3 2" xfId="15817" xr:uid="{00000000-0005-0000-0000-0000602D0000}"/>
    <cellStyle name="40% - Accent2 13 3 2 3 3" xfId="19768" xr:uid="{00000000-0005-0000-0000-0000612D0000}"/>
    <cellStyle name="40% - Accent2 13 3 2 4" xfId="15815" xr:uid="{00000000-0005-0000-0000-0000622D0000}"/>
    <cellStyle name="40% - Accent2 13 3 2 5" xfId="19766" xr:uid="{00000000-0005-0000-0000-0000632D0000}"/>
    <cellStyle name="40% - Accent2 13 3 3" xfId="4731" xr:uid="{00000000-0005-0000-0000-0000642D0000}"/>
    <cellStyle name="40% - Accent2 13 3 3 2" xfId="4732" xr:uid="{00000000-0005-0000-0000-0000652D0000}"/>
    <cellStyle name="40% - Accent2 13 3 3 2 2" xfId="15819" xr:uid="{00000000-0005-0000-0000-0000662D0000}"/>
    <cellStyle name="40% - Accent2 13 3 3 2 3" xfId="19770" xr:uid="{00000000-0005-0000-0000-0000672D0000}"/>
    <cellStyle name="40% - Accent2 13 3 3 3" xfId="4733" xr:uid="{00000000-0005-0000-0000-0000682D0000}"/>
    <cellStyle name="40% - Accent2 13 3 3 3 2" xfId="15820" xr:uid="{00000000-0005-0000-0000-0000692D0000}"/>
    <cellStyle name="40% - Accent2 13 3 3 3 3" xfId="19771" xr:uid="{00000000-0005-0000-0000-00006A2D0000}"/>
    <cellStyle name="40% - Accent2 13 3 3 4" xfId="15818" xr:uid="{00000000-0005-0000-0000-00006B2D0000}"/>
    <cellStyle name="40% - Accent2 13 3 3 5" xfId="19769" xr:uid="{00000000-0005-0000-0000-00006C2D0000}"/>
    <cellStyle name="40% - Accent2 13 3 4" xfId="4734" xr:uid="{00000000-0005-0000-0000-00006D2D0000}"/>
    <cellStyle name="40% - Accent2 13 3 4 2" xfId="15821" xr:uid="{00000000-0005-0000-0000-00006E2D0000}"/>
    <cellStyle name="40% - Accent2 13 3 4 3" xfId="19772" xr:uid="{00000000-0005-0000-0000-00006F2D0000}"/>
    <cellStyle name="40% - Accent2 13 3 5" xfId="4735" xr:uid="{00000000-0005-0000-0000-0000702D0000}"/>
    <cellStyle name="40% - Accent2 13 3 5 2" xfId="15822" xr:uid="{00000000-0005-0000-0000-0000712D0000}"/>
    <cellStyle name="40% - Accent2 13 3 5 3" xfId="19773" xr:uid="{00000000-0005-0000-0000-0000722D0000}"/>
    <cellStyle name="40% - Accent2 13 3 6" xfId="15814" xr:uid="{00000000-0005-0000-0000-0000732D0000}"/>
    <cellStyle name="40% - Accent2 13 3 7" xfId="19765" xr:uid="{00000000-0005-0000-0000-0000742D0000}"/>
    <cellStyle name="40% - Accent2 13 3_Volatility" xfId="4736" xr:uid="{00000000-0005-0000-0000-0000752D0000}"/>
    <cellStyle name="40% - Accent2 13 4" xfId="4737" xr:uid="{00000000-0005-0000-0000-0000762D0000}"/>
    <cellStyle name="40% - Accent2 13 4 2" xfId="4738" xr:uid="{00000000-0005-0000-0000-0000772D0000}"/>
    <cellStyle name="40% - Accent2 13 4 2 2" xfId="15824" xr:uid="{00000000-0005-0000-0000-0000782D0000}"/>
    <cellStyle name="40% - Accent2 13 4 2 3" xfId="19775" xr:uid="{00000000-0005-0000-0000-0000792D0000}"/>
    <cellStyle name="40% - Accent2 13 4 3" xfId="4739" xr:uid="{00000000-0005-0000-0000-00007A2D0000}"/>
    <cellStyle name="40% - Accent2 13 4 3 2" xfId="15825" xr:uid="{00000000-0005-0000-0000-00007B2D0000}"/>
    <cellStyle name="40% - Accent2 13 4 3 3" xfId="19776" xr:uid="{00000000-0005-0000-0000-00007C2D0000}"/>
    <cellStyle name="40% - Accent2 13 4 4" xfId="15823" xr:uid="{00000000-0005-0000-0000-00007D2D0000}"/>
    <cellStyle name="40% - Accent2 13 4 5" xfId="19774" xr:uid="{00000000-0005-0000-0000-00007E2D0000}"/>
    <cellStyle name="40% - Accent2 13 5" xfId="4740" xr:uid="{00000000-0005-0000-0000-00007F2D0000}"/>
    <cellStyle name="40% - Accent2 13 5 2" xfId="4741" xr:uid="{00000000-0005-0000-0000-0000802D0000}"/>
    <cellStyle name="40% - Accent2 13 5 2 2" xfId="15827" xr:uid="{00000000-0005-0000-0000-0000812D0000}"/>
    <cellStyle name="40% - Accent2 13 5 2 3" xfId="19778" xr:uid="{00000000-0005-0000-0000-0000822D0000}"/>
    <cellStyle name="40% - Accent2 13 5 3" xfId="4742" xr:uid="{00000000-0005-0000-0000-0000832D0000}"/>
    <cellStyle name="40% - Accent2 13 5 3 2" xfId="15828" xr:uid="{00000000-0005-0000-0000-0000842D0000}"/>
    <cellStyle name="40% - Accent2 13 5 3 3" xfId="19779" xr:uid="{00000000-0005-0000-0000-0000852D0000}"/>
    <cellStyle name="40% - Accent2 13 5 4" xfId="15826" xr:uid="{00000000-0005-0000-0000-0000862D0000}"/>
    <cellStyle name="40% - Accent2 13 5 5" xfId="19777" xr:uid="{00000000-0005-0000-0000-0000872D0000}"/>
    <cellStyle name="40% - Accent2 13 6" xfId="4743" xr:uid="{00000000-0005-0000-0000-0000882D0000}"/>
    <cellStyle name="40% - Accent2 13 6 2" xfId="4744" xr:uid="{00000000-0005-0000-0000-0000892D0000}"/>
    <cellStyle name="40% - Accent2 13 6 2 2" xfId="15830" xr:uid="{00000000-0005-0000-0000-00008A2D0000}"/>
    <cellStyle name="40% - Accent2 13 6 2 3" xfId="19781" xr:uid="{00000000-0005-0000-0000-00008B2D0000}"/>
    <cellStyle name="40% - Accent2 13 6 3" xfId="4745" xr:uid="{00000000-0005-0000-0000-00008C2D0000}"/>
    <cellStyle name="40% - Accent2 13 6 3 2" xfId="15831" xr:uid="{00000000-0005-0000-0000-00008D2D0000}"/>
    <cellStyle name="40% - Accent2 13 6 3 3" xfId="19782" xr:uid="{00000000-0005-0000-0000-00008E2D0000}"/>
    <cellStyle name="40% - Accent2 13 6 4" xfId="15829" xr:uid="{00000000-0005-0000-0000-00008F2D0000}"/>
    <cellStyle name="40% - Accent2 13 6 5" xfId="19780" xr:uid="{00000000-0005-0000-0000-0000902D0000}"/>
    <cellStyle name="40% - Accent2 13 7" xfId="4746" xr:uid="{00000000-0005-0000-0000-0000912D0000}"/>
    <cellStyle name="40% - Accent2 13 7 2" xfId="15832" xr:uid="{00000000-0005-0000-0000-0000922D0000}"/>
    <cellStyle name="40% - Accent2 13 7 3" xfId="19783" xr:uid="{00000000-0005-0000-0000-0000932D0000}"/>
    <cellStyle name="40% - Accent2 13 8" xfId="4747" xr:uid="{00000000-0005-0000-0000-0000942D0000}"/>
    <cellStyle name="40% - Accent2 13 8 2" xfId="15833" xr:uid="{00000000-0005-0000-0000-0000952D0000}"/>
    <cellStyle name="40% - Accent2 13 8 3" xfId="19784" xr:uid="{00000000-0005-0000-0000-0000962D0000}"/>
    <cellStyle name="40% - Accent2 13 9" xfId="15801" xr:uid="{00000000-0005-0000-0000-0000972D0000}"/>
    <cellStyle name="40% - Accent2 13_Volatility" xfId="4748" xr:uid="{00000000-0005-0000-0000-0000982D0000}"/>
    <cellStyle name="40% - Accent2 14" xfId="4749" xr:uid="{00000000-0005-0000-0000-0000992D0000}"/>
    <cellStyle name="40% - Accent2 14 10" xfId="19785" xr:uid="{00000000-0005-0000-0000-00009A2D0000}"/>
    <cellStyle name="40% - Accent2 14 2" xfId="4750" xr:uid="{00000000-0005-0000-0000-00009B2D0000}"/>
    <cellStyle name="40% - Accent2 14 2 2" xfId="4751" xr:uid="{00000000-0005-0000-0000-00009C2D0000}"/>
    <cellStyle name="40% - Accent2 14 2 2 2" xfId="4752" xr:uid="{00000000-0005-0000-0000-00009D2D0000}"/>
    <cellStyle name="40% - Accent2 14 2 2 2 2" xfId="15837" xr:uid="{00000000-0005-0000-0000-00009E2D0000}"/>
    <cellStyle name="40% - Accent2 14 2 2 2 3" xfId="19788" xr:uid="{00000000-0005-0000-0000-00009F2D0000}"/>
    <cellStyle name="40% - Accent2 14 2 2 3" xfId="4753" xr:uid="{00000000-0005-0000-0000-0000A02D0000}"/>
    <cellStyle name="40% - Accent2 14 2 2 3 2" xfId="15838" xr:uid="{00000000-0005-0000-0000-0000A12D0000}"/>
    <cellStyle name="40% - Accent2 14 2 2 3 3" xfId="19789" xr:uid="{00000000-0005-0000-0000-0000A22D0000}"/>
    <cellStyle name="40% - Accent2 14 2 2 4" xfId="15836" xr:uid="{00000000-0005-0000-0000-0000A32D0000}"/>
    <cellStyle name="40% - Accent2 14 2 2 5" xfId="19787" xr:uid="{00000000-0005-0000-0000-0000A42D0000}"/>
    <cellStyle name="40% - Accent2 14 2 3" xfId="4754" xr:uid="{00000000-0005-0000-0000-0000A52D0000}"/>
    <cellStyle name="40% - Accent2 14 2 3 2" xfId="4755" xr:uid="{00000000-0005-0000-0000-0000A62D0000}"/>
    <cellStyle name="40% - Accent2 14 2 3 2 2" xfId="15840" xr:uid="{00000000-0005-0000-0000-0000A72D0000}"/>
    <cellStyle name="40% - Accent2 14 2 3 2 3" xfId="19791" xr:uid="{00000000-0005-0000-0000-0000A82D0000}"/>
    <cellStyle name="40% - Accent2 14 2 3 3" xfId="4756" xr:uid="{00000000-0005-0000-0000-0000A92D0000}"/>
    <cellStyle name="40% - Accent2 14 2 3 3 2" xfId="15841" xr:uid="{00000000-0005-0000-0000-0000AA2D0000}"/>
    <cellStyle name="40% - Accent2 14 2 3 3 3" xfId="19792" xr:uid="{00000000-0005-0000-0000-0000AB2D0000}"/>
    <cellStyle name="40% - Accent2 14 2 3 4" xfId="15839" xr:uid="{00000000-0005-0000-0000-0000AC2D0000}"/>
    <cellStyle name="40% - Accent2 14 2 3 5" xfId="19790" xr:uid="{00000000-0005-0000-0000-0000AD2D0000}"/>
    <cellStyle name="40% - Accent2 14 2 4" xfId="4757" xr:uid="{00000000-0005-0000-0000-0000AE2D0000}"/>
    <cellStyle name="40% - Accent2 14 2 4 2" xfId="4758" xr:uid="{00000000-0005-0000-0000-0000AF2D0000}"/>
    <cellStyle name="40% - Accent2 14 2 4 2 2" xfId="15843" xr:uid="{00000000-0005-0000-0000-0000B02D0000}"/>
    <cellStyle name="40% - Accent2 14 2 4 2 3" xfId="19794" xr:uid="{00000000-0005-0000-0000-0000B12D0000}"/>
    <cellStyle name="40% - Accent2 14 2 4 3" xfId="4759" xr:uid="{00000000-0005-0000-0000-0000B22D0000}"/>
    <cellStyle name="40% - Accent2 14 2 4 3 2" xfId="15844" xr:uid="{00000000-0005-0000-0000-0000B32D0000}"/>
    <cellStyle name="40% - Accent2 14 2 4 3 3" xfId="19795" xr:uid="{00000000-0005-0000-0000-0000B42D0000}"/>
    <cellStyle name="40% - Accent2 14 2 4 4" xfId="15842" xr:uid="{00000000-0005-0000-0000-0000B52D0000}"/>
    <cellStyle name="40% - Accent2 14 2 4 5" xfId="19793" xr:uid="{00000000-0005-0000-0000-0000B62D0000}"/>
    <cellStyle name="40% - Accent2 14 2 5" xfId="4760" xr:uid="{00000000-0005-0000-0000-0000B72D0000}"/>
    <cellStyle name="40% - Accent2 14 2 5 2" xfId="15845" xr:uid="{00000000-0005-0000-0000-0000B82D0000}"/>
    <cellStyle name="40% - Accent2 14 2 5 3" xfId="19796" xr:uid="{00000000-0005-0000-0000-0000B92D0000}"/>
    <cellStyle name="40% - Accent2 14 2 6" xfId="4761" xr:uid="{00000000-0005-0000-0000-0000BA2D0000}"/>
    <cellStyle name="40% - Accent2 14 2 6 2" xfId="15846" xr:uid="{00000000-0005-0000-0000-0000BB2D0000}"/>
    <cellStyle name="40% - Accent2 14 2 6 3" xfId="19797" xr:uid="{00000000-0005-0000-0000-0000BC2D0000}"/>
    <cellStyle name="40% - Accent2 14 2 7" xfId="15835" xr:uid="{00000000-0005-0000-0000-0000BD2D0000}"/>
    <cellStyle name="40% - Accent2 14 2 8" xfId="19786" xr:uid="{00000000-0005-0000-0000-0000BE2D0000}"/>
    <cellStyle name="40% - Accent2 14 2_Volatility" xfId="4762" xr:uid="{00000000-0005-0000-0000-0000BF2D0000}"/>
    <cellStyle name="40% - Accent2 14 3" xfId="4763" xr:uid="{00000000-0005-0000-0000-0000C02D0000}"/>
    <cellStyle name="40% - Accent2 14 3 2" xfId="4764" xr:uid="{00000000-0005-0000-0000-0000C12D0000}"/>
    <cellStyle name="40% - Accent2 14 3 2 2" xfId="4765" xr:uid="{00000000-0005-0000-0000-0000C22D0000}"/>
    <cellStyle name="40% - Accent2 14 3 2 2 2" xfId="15849" xr:uid="{00000000-0005-0000-0000-0000C32D0000}"/>
    <cellStyle name="40% - Accent2 14 3 2 2 3" xfId="19800" xr:uid="{00000000-0005-0000-0000-0000C42D0000}"/>
    <cellStyle name="40% - Accent2 14 3 2 3" xfId="4766" xr:uid="{00000000-0005-0000-0000-0000C52D0000}"/>
    <cellStyle name="40% - Accent2 14 3 2 3 2" xfId="15850" xr:uid="{00000000-0005-0000-0000-0000C62D0000}"/>
    <cellStyle name="40% - Accent2 14 3 2 3 3" xfId="19801" xr:uid="{00000000-0005-0000-0000-0000C72D0000}"/>
    <cellStyle name="40% - Accent2 14 3 2 4" xfId="15848" xr:uid="{00000000-0005-0000-0000-0000C82D0000}"/>
    <cellStyle name="40% - Accent2 14 3 2 5" xfId="19799" xr:uid="{00000000-0005-0000-0000-0000C92D0000}"/>
    <cellStyle name="40% - Accent2 14 3 3" xfId="4767" xr:uid="{00000000-0005-0000-0000-0000CA2D0000}"/>
    <cellStyle name="40% - Accent2 14 3 3 2" xfId="4768" xr:uid="{00000000-0005-0000-0000-0000CB2D0000}"/>
    <cellStyle name="40% - Accent2 14 3 3 2 2" xfId="15852" xr:uid="{00000000-0005-0000-0000-0000CC2D0000}"/>
    <cellStyle name="40% - Accent2 14 3 3 2 3" xfId="19803" xr:uid="{00000000-0005-0000-0000-0000CD2D0000}"/>
    <cellStyle name="40% - Accent2 14 3 3 3" xfId="4769" xr:uid="{00000000-0005-0000-0000-0000CE2D0000}"/>
    <cellStyle name="40% - Accent2 14 3 3 3 2" xfId="15853" xr:uid="{00000000-0005-0000-0000-0000CF2D0000}"/>
    <cellStyle name="40% - Accent2 14 3 3 3 3" xfId="19804" xr:uid="{00000000-0005-0000-0000-0000D02D0000}"/>
    <cellStyle name="40% - Accent2 14 3 3 4" xfId="15851" xr:uid="{00000000-0005-0000-0000-0000D12D0000}"/>
    <cellStyle name="40% - Accent2 14 3 3 5" xfId="19802" xr:uid="{00000000-0005-0000-0000-0000D22D0000}"/>
    <cellStyle name="40% - Accent2 14 3 4" xfId="4770" xr:uid="{00000000-0005-0000-0000-0000D32D0000}"/>
    <cellStyle name="40% - Accent2 14 3 4 2" xfId="15854" xr:uid="{00000000-0005-0000-0000-0000D42D0000}"/>
    <cellStyle name="40% - Accent2 14 3 4 3" xfId="19805" xr:uid="{00000000-0005-0000-0000-0000D52D0000}"/>
    <cellStyle name="40% - Accent2 14 3 5" xfId="4771" xr:uid="{00000000-0005-0000-0000-0000D62D0000}"/>
    <cellStyle name="40% - Accent2 14 3 5 2" xfId="15855" xr:uid="{00000000-0005-0000-0000-0000D72D0000}"/>
    <cellStyle name="40% - Accent2 14 3 5 3" xfId="19806" xr:uid="{00000000-0005-0000-0000-0000D82D0000}"/>
    <cellStyle name="40% - Accent2 14 3 6" xfId="15847" xr:uid="{00000000-0005-0000-0000-0000D92D0000}"/>
    <cellStyle name="40% - Accent2 14 3 7" xfId="19798" xr:uid="{00000000-0005-0000-0000-0000DA2D0000}"/>
    <cellStyle name="40% - Accent2 14 3_Volatility" xfId="4772" xr:uid="{00000000-0005-0000-0000-0000DB2D0000}"/>
    <cellStyle name="40% - Accent2 14 4" xfId="4773" xr:uid="{00000000-0005-0000-0000-0000DC2D0000}"/>
    <cellStyle name="40% - Accent2 14 4 2" xfId="4774" xr:uid="{00000000-0005-0000-0000-0000DD2D0000}"/>
    <cellStyle name="40% - Accent2 14 4 2 2" xfId="15857" xr:uid="{00000000-0005-0000-0000-0000DE2D0000}"/>
    <cellStyle name="40% - Accent2 14 4 2 3" xfId="19808" xr:uid="{00000000-0005-0000-0000-0000DF2D0000}"/>
    <cellStyle name="40% - Accent2 14 4 3" xfId="4775" xr:uid="{00000000-0005-0000-0000-0000E02D0000}"/>
    <cellStyle name="40% - Accent2 14 4 3 2" xfId="15858" xr:uid="{00000000-0005-0000-0000-0000E12D0000}"/>
    <cellStyle name="40% - Accent2 14 4 3 3" xfId="19809" xr:uid="{00000000-0005-0000-0000-0000E22D0000}"/>
    <cellStyle name="40% - Accent2 14 4 4" xfId="15856" xr:uid="{00000000-0005-0000-0000-0000E32D0000}"/>
    <cellStyle name="40% - Accent2 14 4 5" xfId="19807" xr:uid="{00000000-0005-0000-0000-0000E42D0000}"/>
    <cellStyle name="40% - Accent2 14 5" xfId="4776" xr:uid="{00000000-0005-0000-0000-0000E52D0000}"/>
    <cellStyle name="40% - Accent2 14 5 2" xfId="4777" xr:uid="{00000000-0005-0000-0000-0000E62D0000}"/>
    <cellStyle name="40% - Accent2 14 5 2 2" xfId="15860" xr:uid="{00000000-0005-0000-0000-0000E72D0000}"/>
    <cellStyle name="40% - Accent2 14 5 2 3" xfId="19811" xr:uid="{00000000-0005-0000-0000-0000E82D0000}"/>
    <cellStyle name="40% - Accent2 14 5 3" xfId="4778" xr:uid="{00000000-0005-0000-0000-0000E92D0000}"/>
    <cellStyle name="40% - Accent2 14 5 3 2" xfId="15861" xr:uid="{00000000-0005-0000-0000-0000EA2D0000}"/>
    <cellStyle name="40% - Accent2 14 5 3 3" xfId="19812" xr:uid="{00000000-0005-0000-0000-0000EB2D0000}"/>
    <cellStyle name="40% - Accent2 14 5 4" xfId="15859" xr:uid="{00000000-0005-0000-0000-0000EC2D0000}"/>
    <cellStyle name="40% - Accent2 14 5 5" xfId="19810" xr:uid="{00000000-0005-0000-0000-0000ED2D0000}"/>
    <cellStyle name="40% - Accent2 14 6" xfId="4779" xr:uid="{00000000-0005-0000-0000-0000EE2D0000}"/>
    <cellStyle name="40% - Accent2 14 6 2" xfId="4780" xr:uid="{00000000-0005-0000-0000-0000EF2D0000}"/>
    <cellStyle name="40% - Accent2 14 6 2 2" xfId="15863" xr:uid="{00000000-0005-0000-0000-0000F02D0000}"/>
    <cellStyle name="40% - Accent2 14 6 2 3" xfId="19814" xr:uid="{00000000-0005-0000-0000-0000F12D0000}"/>
    <cellStyle name="40% - Accent2 14 6 3" xfId="4781" xr:uid="{00000000-0005-0000-0000-0000F22D0000}"/>
    <cellStyle name="40% - Accent2 14 6 3 2" xfId="15864" xr:uid="{00000000-0005-0000-0000-0000F32D0000}"/>
    <cellStyle name="40% - Accent2 14 6 3 3" xfId="19815" xr:uid="{00000000-0005-0000-0000-0000F42D0000}"/>
    <cellStyle name="40% - Accent2 14 6 4" xfId="15862" xr:uid="{00000000-0005-0000-0000-0000F52D0000}"/>
    <cellStyle name="40% - Accent2 14 6 5" xfId="19813" xr:uid="{00000000-0005-0000-0000-0000F62D0000}"/>
    <cellStyle name="40% - Accent2 14 7" xfId="4782" xr:uid="{00000000-0005-0000-0000-0000F72D0000}"/>
    <cellStyle name="40% - Accent2 14 7 2" xfId="15865" xr:uid="{00000000-0005-0000-0000-0000F82D0000}"/>
    <cellStyle name="40% - Accent2 14 7 3" xfId="19816" xr:uid="{00000000-0005-0000-0000-0000F92D0000}"/>
    <cellStyle name="40% - Accent2 14 8" xfId="4783" xr:uid="{00000000-0005-0000-0000-0000FA2D0000}"/>
    <cellStyle name="40% - Accent2 14 8 2" xfId="15866" xr:uid="{00000000-0005-0000-0000-0000FB2D0000}"/>
    <cellStyle name="40% - Accent2 14 8 3" xfId="19817" xr:uid="{00000000-0005-0000-0000-0000FC2D0000}"/>
    <cellStyle name="40% - Accent2 14 9" xfId="15834" xr:uid="{00000000-0005-0000-0000-0000FD2D0000}"/>
    <cellStyle name="40% - Accent2 14_Volatility" xfId="4784" xr:uid="{00000000-0005-0000-0000-0000FE2D0000}"/>
    <cellStyle name="40% - Accent2 15" xfId="4785" xr:uid="{00000000-0005-0000-0000-0000FF2D0000}"/>
    <cellStyle name="40% - Accent2 15 10" xfId="19818" xr:uid="{00000000-0005-0000-0000-0000002E0000}"/>
    <cellStyle name="40% - Accent2 15 2" xfId="4786" xr:uid="{00000000-0005-0000-0000-0000012E0000}"/>
    <cellStyle name="40% - Accent2 15 2 2" xfId="4787" xr:uid="{00000000-0005-0000-0000-0000022E0000}"/>
    <cellStyle name="40% - Accent2 15 2 2 2" xfId="4788" xr:uid="{00000000-0005-0000-0000-0000032E0000}"/>
    <cellStyle name="40% - Accent2 15 2 2 2 2" xfId="15870" xr:uid="{00000000-0005-0000-0000-0000042E0000}"/>
    <cellStyle name="40% - Accent2 15 2 2 2 3" xfId="19821" xr:uid="{00000000-0005-0000-0000-0000052E0000}"/>
    <cellStyle name="40% - Accent2 15 2 2 3" xfId="4789" xr:uid="{00000000-0005-0000-0000-0000062E0000}"/>
    <cellStyle name="40% - Accent2 15 2 2 3 2" xfId="15871" xr:uid="{00000000-0005-0000-0000-0000072E0000}"/>
    <cellStyle name="40% - Accent2 15 2 2 3 3" xfId="19822" xr:uid="{00000000-0005-0000-0000-0000082E0000}"/>
    <cellStyle name="40% - Accent2 15 2 2 4" xfId="15869" xr:uid="{00000000-0005-0000-0000-0000092E0000}"/>
    <cellStyle name="40% - Accent2 15 2 2 5" xfId="19820" xr:uid="{00000000-0005-0000-0000-00000A2E0000}"/>
    <cellStyle name="40% - Accent2 15 2 3" xfId="4790" xr:uid="{00000000-0005-0000-0000-00000B2E0000}"/>
    <cellStyle name="40% - Accent2 15 2 3 2" xfId="4791" xr:uid="{00000000-0005-0000-0000-00000C2E0000}"/>
    <cellStyle name="40% - Accent2 15 2 3 2 2" xfId="15873" xr:uid="{00000000-0005-0000-0000-00000D2E0000}"/>
    <cellStyle name="40% - Accent2 15 2 3 2 3" xfId="19824" xr:uid="{00000000-0005-0000-0000-00000E2E0000}"/>
    <cellStyle name="40% - Accent2 15 2 3 3" xfId="4792" xr:uid="{00000000-0005-0000-0000-00000F2E0000}"/>
    <cellStyle name="40% - Accent2 15 2 3 3 2" xfId="15874" xr:uid="{00000000-0005-0000-0000-0000102E0000}"/>
    <cellStyle name="40% - Accent2 15 2 3 3 3" xfId="19825" xr:uid="{00000000-0005-0000-0000-0000112E0000}"/>
    <cellStyle name="40% - Accent2 15 2 3 4" xfId="15872" xr:uid="{00000000-0005-0000-0000-0000122E0000}"/>
    <cellStyle name="40% - Accent2 15 2 3 5" xfId="19823" xr:uid="{00000000-0005-0000-0000-0000132E0000}"/>
    <cellStyle name="40% - Accent2 15 2 4" xfId="4793" xr:uid="{00000000-0005-0000-0000-0000142E0000}"/>
    <cellStyle name="40% - Accent2 15 2 4 2" xfId="4794" xr:uid="{00000000-0005-0000-0000-0000152E0000}"/>
    <cellStyle name="40% - Accent2 15 2 4 2 2" xfId="15876" xr:uid="{00000000-0005-0000-0000-0000162E0000}"/>
    <cellStyle name="40% - Accent2 15 2 4 2 3" xfId="19827" xr:uid="{00000000-0005-0000-0000-0000172E0000}"/>
    <cellStyle name="40% - Accent2 15 2 4 3" xfId="4795" xr:uid="{00000000-0005-0000-0000-0000182E0000}"/>
    <cellStyle name="40% - Accent2 15 2 4 3 2" xfId="15877" xr:uid="{00000000-0005-0000-0000-0000192E0000}"/>
    <cellStyle name="40% - Accent2 15 2 4 3 3" xfId="19828" xr:uid="{00000000-0005-0000-0000-00001A2E0000}"/>
    <cellStyle name="40% - Accent2 15 2 4 4" xfId="15875" xr:uid="{00000000-0005-0000-0000-00001B2E0000}"/>
    <cellStyle name="40% - Accent2 15 2 4 5" xfId="19826" xr:uid="{00000000-0005-0000-0000-00001C2E0000}"/>
    <cellStyle name="40% - Accent2 15 2 5" xfId="4796" xr:uid="{00000000-0005-0000-0000-00001D2E0000}"/>
    <cellStyle name="40% - Accent2 15 2 5 2" xfId="15878" xr:uid="{00000000-0005-0000-0000-00001E2E0000}"/>
    <cellStyle name="40% - Accent2 15 2 5 3" xfId="19829" xr:uid="{00000000-0005-0000-0000-00001F2E0000}"/>
    <cellStyle name="40% - Accent2 15 2 6" xfId="4797" xr:uid="{00000000-0005-0000-0000-0000202E0000}"/>
    <cellStyle name="40% - Accent2 15 2 6 2" xfId="15879" xr:uid="{00000000-0005-0000-0000-0000212E0000}"/>
    <cellStyle name="40% - Accent2 15 2 6 3" xfId="19830" xr:uid="{00000000-0005-0000-0000-0000222E0000}"/>
    <cellStyle name="40% - Accent2 15 2 7" xfId="15868" xr:uid="{00000000-0005-0000-0000-0000232E0000}"/>
    <cellStyle name="40% - Accent2 15 2 8" xfId="19819" xr:uid="{00000000-0005-0000-0000-0000242E0000}"/>
    <cellStyle name="40% - Accent2 15 2_Volatility" xfId="4798" xr:uid="{00000000-0005-0000-0000-0000252E0000}"/>
    <cellStyle name="40% - Accent2 15 3" xfId="4799" xr:uid="{00000000-0005-0000-0000-0000262E0000}"/>
    <cellStyle name="40% - Accent2 15 3 2" xfId="4800" xr:uid="{00000000-0005-0000-0000-0000272E0000}"/>
    <cellStyle name="40% - Accent2 15 3 2 2" xfId="4801" xr:uid="{00000000-0005-0000-0000-0000282E0000}"/>
    <cellStyle name="40% - Accent2 15 3 2 2 2" xfId="15882" xr:uid="{00000000-0005-0000-0000-0000292E0000}"/>
    <cellStyle name="40% - Accent2 15 3 2 2 3" xfId="19833" xr:uid="{00000000-0005-0000-0000-00002A2E0000}"/>
    <cellStyle name="40% - Accent2 15 3 2 3" xfId="4802" xr:uid="{00000000-0005-0000-0000-00002B2E0000}"/>
    <cellStyle name="40% - Accent2 15 3 2 3 2" xfId="15883" xr:uid="{00000000-0005-0000-0000-00002C2E0000}"/>
    <cellStyle name="40% - Accent2 15 3 2 3 3" xfId="19834" xr:uid="{00000000-0005-0000-0000-00002D2E0000}"/>
    <cellStyle name="40% - Accent2 15 3 2 4" xfId="15881" xr:uid="{00000000-0005-0000-0000-00002E2E0000}"/>
    <cellStyle name="40% - Accent2 15 3 2 5" xfId="19832" xr:uid="{00000000-0005-0000-0000-00002F2E0000}"/>
    <cellStyle name="40% - Accent2 15 3 3" xfId="4803" xr:uid="{00000000-0005-0000-0000-0000302E0000}"/>
    <cellStyle name="40% - Accent2 15 3 3 2" xfId="4804" xr:uid="{00000000-0005-0000-0000-0000312E0000}"/>
    <cellStyle name="40% - Accent2 15 3 3 2 2" xfId="15885" xr:uid="{00000000-0005-0000-0000-0000322E0000}"/>
    <cellStyle name="40% - Accent2 15 3 3 2 3" xfId="19836" xr:uid="{00000000-0005-0000-0000-0000332E0000}"/>
    <cellStyle name="40% - Accent2 15 3 3 3" xfId="4805" xr:uid="{00000000-0005-0000-0000-0000342E0000}"/>
    <cellStyle name="40% - Accent2 15 3 3 3 2" xfId="15886" xr:uid="{00000000-0005-0000-0000-0000352E0000}"/>
    <cellStyle name="40% - Accent2 15 3 3 3 3" xfId="19837" xr:uid="{00000000-0005-0000-0000-0000362E0000}"/>
    <cellStyle name="40% - Accent2 15 3 3 4" xfId="15884" xr:uid="{00000000-0005-0000-0000-0000372E0000}"/>
    <cellStyle name="40% - Accent2 15 3 3 5" xfId="19835" xr:uid="{00000000-0005-0000-0000-0000382E0000}"/>
    <cellStyle name="40% - Accent2 15 3 4" xfId="4806" xr:uid="{00000000-0005-0000-0000-0000392E0000}"/>
    <cellStyle name="40% - Accent2 15 3 4 2" xfId="15887" xr:uid="{00000000-0005-0000-0000-00003A2E0000}"/>
    <cellStyle name="40% - Accent2 15 3 4 3" xfId="19838" xr:uid="{00000000-0005-0000-0000-00003B2E0000}"/>
    <cellStyle name="40% - Accent2 15 3 5" xfId="4807" xr:uid="{00000000-0005-0000-0000-00003C2E0000}"/>
    <cellStyle name="40% - Accent2 15 3 5 2" xfId="15888" xr:uid="{00000000-0005-0000-0000-00003D2E0000}"/>
    <cellStyle name="40% - Accent2 15 3 5 3" xfId="19839" xr:uid="{00000000-0005-0000-0000-00003E2E0000}"/>
    <cellStyle name="40% - Accent2 15 3 6" xfId="15880" xr:uid="{00000000-0005-0000-0000-00003F2E0000}"/>
    <cellStyle name="40% - Accent2 15 3 7" xfId="19831" xr:uid="{00000000-0005-0000-0000-0000402E0000}"/>
    <cellStyle name="40% - Accent2 15 3_Volatility" xfId="4808" xr:uid="{00000000-0005-0000-0000-0000412E0000}"/>
    <cellStyle name="40% - Accent2 15 4" xfId="4809" xr:uid="{00000000-0005-0000-0000-0000422E0000}"/>
    <cellStyle name="40% - Accent2 15 4 2" xfId="4810" xr:uid="{00000000-0005-0000-0000-0000432E0000}"/>
    <cellStyle name="40% - Accent2 15 4 2 2" xfId="15890" xr:uid="{00000000-0005-0000-0000-0000442E0000}"/>
    <cellStyle name="40% - Accent2 15 4 2 3" xfId="19841" xr:uid="{00000000-0005-0000-0000-0000452E0000}"/>
    <cellStyle name="40% - Accent2 15 4 3" xfId="4811" xr:uid="{00000000-0005-0000-0000-0000462E0000}"/>
    <cellStyle name="40% - Accent2 15 4 3 2" xfId="15891" xr:uid="{00000000-0005-0000-0000-0000472E0000}"/>
    <cellStyle name="40% - Accent2 15 4 3 3" xfId="19842" xr:uid="{00000000-0005-0000-0000-0000482E0000}"/>
    <cellStyle name="40% - Accent2 15 4 4" xfId="15889" xr:uid="{00000000-0005-0000-0000-0000492E0000}"/>
    <cellStyle name="40% - Accent2 15 4 5" xfId="19840" xr:uid="{00000000-0005-0000-0000-00004A2E0000}"/>
    <cellStyle name="40% - Accent2 15 5" xfId="4812" xr:uid="{00000000-0005-0000-0000-00004B2E0000}"/>
    <cellStyle name="40% - Accent2 15 5 2" xfId="4813" xr:uid="{00000000-0005-0000-0000-00004C2E0000}"/>
    <cellStyle name="40% - Accent2 15 5 2 2" xfId="15893" xr:uid="{00000000-0005-0000-0000-00004D2E0000}"/>
    <cellStyle name="40% - Accent2 15 5 2 3" xfId="19844" xr:uid="{00000000-0005-0000-0000-00004E2E0000}"/>
    <cellStyle name="40% - Accent2 15 5 3" xfId="4814" xr:uid="{00000000-0005-0000-0000-00004F2E0000}"/>
    <cellStyle name="40% - Accent2 15 5 3 2" xfId="15894" xr:uid="{00000000-0005-0000-0000-0000502E0000}"/>
    <cellStyle name="40% - Accent2 15 5 3 3" xfId="19845" xr:uid="{00000000-0005-0000-0000-0000512E0000}"/>
    <cellStyle name="40% - Accent2 15 5 4" xfId="15892" xr:uid="{00000000-0005-0000-0000-0000522E0000}"/>
    <cellStyle name="40% - Accent2 15 5 5" xfId="19843" xr:uid="{00000000-0005-0000-0000-0000532E0000}"/>
    <cellStyle name="40% - Accent2 15 6" xfId="4815" xr:uid="{00000000-0005-0000-0000-0000542E0000}"/>
    <cellStyle name="40% - Accent2 15 6 2" xfId="4816" xr:uid="{00000000-0005-0000-0000-0000552E0000}"/>
    <cellStyle name="40% - Accent2 15 6 2 2" xfId="15896" xr:uid="{00000000-0005-0000-0000-0000562E0000}"/>
    <cellStyle name="40% - Accent2 15 6 2 3" xfId="19847" xr:uid="{00000000-0005-0000-0000-0000572E0000}"/>
    <cellStyle name="40% - Accent2 15 6 3" xfId="4817" xr:uid="{00000000-0005-0000-0000-0000582E0000}"/>
    <cellStyle name="40% - Accent2 15 6 3 2" xfId="15897" xr:uid="{00000000-0005-0000-0000-0000592E0000}"/>
    <cellStyle name="40% - Accent2 15 6 3 3" xfId="19848" xr:uid="{00000000-0005-0000-0000-00005A2E0000}"/>
    <cellStyle name="40% - Accent2 15 6 4" xfId="15895" xr:uid="{00000000-0005-0000-0000-00005B2E0000}"/>
    <cellStyle name="40% - Accent2 15 6 5" xfId="19846" xr:uid="{00000000-0005-0000-0000-00005C2E0000}"/>
    <cellStyle name="40% - Accent2 15 7" xfId="4818" xr:uid="{00000000-0005-0000-0000-00005D2E0000}"/>
    <cellStyle name="40% - Accent2 15 7 2" xfId="15898" xr:uid="{00000000-0005-0000-0000-00005E2E0000}"/>
    <cellStyle name="40% - Accent2 15 7 3" xfId="19849" xr:uid="{00000000-0005-0000-0000-00005F2E0000}"/>
    <cellStyle name="40% - Accent2 15 8" xfId="4819" xr:uid="{00000000-0005-0000-0000-0000602E0000}"/>
    <cellStyle name="40% - Accent2 15 8 2" xfId="15899" xr:uid="{00000000-0005-0000-0000-0000612E0000}"/>
    <cellStyle name="40% - Accent2 15 8 3" xfId="19850" xr:uid="{00000000-0005-0000-0000-0000622E0000}"/>
    <cellStyle name="40% - Accent2 15 9" xfId="15867" xr:uid="{00000000-0005-0000-0000-0000632E0000}"/>
    <cellStyle name="40% - Accent2 15_Volatility" xfId="4820" xr:uid="{00000000-0005-0000-0000-0000642E0000}"/>
    <cellStyle name="40% - Accent2 16" xfId="4821" xr:uid="{00000000-0005-0000-0000-0000652E0000}"/>
    <cellStyle name="40% - Accent2 16 2" xfId="15900" xr:uid="{00000000-0005-0000-0000-0000662E0000}"/>
    <cellStyle name="40% - Accent2 16 3" xfId="19851" xr:uid="{00000000-0005-0000-0000-0000672E0000}"/>
    <cellStyle name="40% - Accent2 17" xfId="4822" xr:uid="{00000000-0005-0000-0000-0000682E0000}"/>
    <cellStyle name="40% - Accent2 17 2" xfId="15901" xr:uid="{00000000-0005-0000-0000-0000692E0000}"/>
    <cellStyle name="40% - Accent2 17 3" xfId="19852" xr:uid="{00000000-0005-0000-0000-00006A2E0000}"/>
    <cellStyle name="40% - Accent2 18" xfId="4823" xr:uid="{00000000-0005-0000-0000-00006B2E0000}"/>
    <cellStyle name="40% - Accent2 18 2" xfId="15902" xr:uid="{00000000-0005-0000-0000-00006C2E0000}"/>
    <cellStyle name="40% - Accent2 18 3" xfId="19853" xr:uid="{00000000-0005-0000-0000-00006D2E0000}"/>
    <cellStyle name="40% - Accent2 19" xfId="4824" xr:uid="{00000000-0005-0000-0000-00006E2E0000}"/>
    <cellStyle name="40% - Accent2 19 2" xfId="15903" xr:uid="{00000000-0005-0000-0000-00006F2E0000}"/>
    <cellStyle name="40% - Accent2 19 3" xfId="19854" xr:uid="{00000000-0005-0000-0000-0000702E0000}"/>
    <cellStyle name="40% - Accent2 2" xfId="4825" xr:uid="{00000000-0005-0000-0000-0000712E0000}"/>
    <cellStyle name="40% - Accent2 2 10" xfId="19855" xr:uid="{00000000-0005-0000-0000-0000722E0000}"/>
    <cellStyle name="40% - Accent2 2 2" xfId="4826" xr:uid="{00000000-0005-0000-0000-0000732E0000}"/>
    <cellStyle name="40% - Accent2 2 2 2" xfId="4827" xr:uid="{00000000-0005-0000-0000-0000742E0000}"/>
    <cellStyle name="40% - Accent2 2 2 2 2" xfId="4828" xr:uid="{00000000-0005-0000-0000-0000752E0000}"/>
    <cellStyle name="40% - Accent2 2 2 2 2 2" xfId="15907" xr:uid="{00000000-0005-0000-0000-0000762E0000}"/>
    <cellStyle name="40% - Accent2 2 2 2 2 3" xfId="19858" xr:uid="{00000000-0005-0000-0000-0000772E0000}"/>
    <cellStyle name="40% - Accent2 2 2 2 3" xfId="4829" xr:uid="{00000000-0005-0000-0000-0000782E0000}"/>
    <cellStyle name="40% - Accent2 2 2 2 3 2" xfId="15908" xr:uid="{00000000-0005-0000-0000-0000792E0000}"/>
    <cellStyle name="40% - Accent2 2 2 2 3 3" xfId="19859" xr:uid="{00000000-0005-0000-0000-00007A2E0000}"/>
    <cellStyle name="40% - Accent2 2 2 2 4" xfId="15906" xr:uid="{00000000-0005-0000-0000-00007B2E0000}"/>
    <cellStyle name="40% - Accent2 2 2 2 5" xfId="19857" xr:uid="{00000000-0005-0000-0000-00007C2E0000}"/>
    <cellStyle name="40% - Accent2 2 2 3" xfId="4830" xr:uid="{00000000-0005-0000-0000-00007D2E0000}"/>
    <cellStyle name="40% - Accent2 2 2 3 2" xfId="4831" xr:uid="{00000000-0005-0000-0000-00007E2E0000}"/>
    <cellStyle name="40% - Accent2 2 2 3 2 2" xfId="15910" xr:uid="{00000000-0005-0000-0000-00007F2E0000}"/>
    <cellStyle name="40% - Accent2 2 2 3 2 3" xfId="19861" xr:uid="{00000000-0005-0000-0000-0000802E0000}"/>
    <cellStyle name="40% - Accent2 2 2 3 3" xfId="4832" xr:uid="{00000000-0005-0000-0000-0000812E0000}"/>
    <cellStyle name="40% - Accent2 2 2 3 3 2" xfId="15911" xr:uid="{00000000-0005-0000-0000-0000822E0000}"/>
    <cellStyle name="40% - Accent2 2 2 3 3 3" xfId="19862" xr:uid="{00000000-0005-0000-0000-0000832E0000}"/>
    <cellStyle name="40% - Accent2 2 2 3 4" xfId="15909" xr:uid="{00000000-0005-0000-0000-0000842E0000}"/>
    <cellStyle name="40% - Accent2 2 2 3 5" xfId="19860" xr:uid="{00000000-0005-0000-0000-0000852E0000}"/>
    <cellStyle name="40% - Accent2 2 2 4" xfId="4833" xr:uid="{00000000-0005-0000-0000-0000862E0000}"/>
    <cellStyle name="40% - Accent2 2 2 4 2" xfId="4834" xr:uid="{00000000-0005-0000-0000-0000872E0000}"/>
    <cellStyle name="40% - Accent2 2 2 4 2 2" xfId="15913" xr:uid="{00000000-0005-0000-0000-0000882E0000}"/>
    <cellStyle name="40% - Accent2 2 2 4 2 3" xfId="19864" xr:uid="{00000000-0005-0000-0000-0000892E0000}"/>
    <cellStyle name="40% - Accent2 2 2 4 3" xfId="4835" xr:uid="{00000000-0005-0000-0000-00008A2E0000}"/>
    <cellStyle name="40% - Accent2 2 2 4 3 2" xfId="15914" xr:uid="{00000000-0005-0000-0000-00008B2E0000}"/>
    <cellStyle name="40% - Accent2 2 2 4 3 3" xfId="19865" xr:uid="{00000000-0005-0000-0000-00008C2E0000}"/>
    <cellStyle name="40% - Accent2 2 2 4 4" xfId="15912" xr:uid="{00000000-0005-0000-0000-00008D2E0000}"/>
    <cellStyle name="40% - Accent2 2 2 4 5" xfId="19863" xr:uid="{00000000-0005-0000-0000-00008E2E0000}"/>
    <cellStyle name="40% - Accent2 2 2 5" xfId="4836" xr:uid="{00000000-0005-0000-0000-00008F2E0000}"/>
    <cellStyle name="40% - Accent2 2 2 5 2" xfId="15915" xr:uid="{00000000-0005-0000-0000-0000902E0000}"/>
    <cellStyle name="40% - Accent2 2 2 5 3" xfId="19866" xr:uid="{00000000-0005-0000-0000-0000912E0000}"/>
    <cellStyle name="40% - Accent2 2 2 6" xfId="4837" xr:uid="{00000000-0005-0000-0000-0000922E0000}"/>
    <cellStyle name="40% - Accent2 2 2 6 2" xfId="15916" xr:uid="{00000000-0005-0000-0000-0000932E0000}"/>
    <cellStyle name="40% - Accent2 2 2 6 3" xfId="19867" xr:uid="{00000000-0005-0000-0000-0000942E0000}"/>
    <cellStyle name="40% - Accent2 2 2 7" xfId="15905" xr:uid="{00000000-0005-0000-0000-0000952E0000}"/>
    <cellStyle name="40% - Accent2 2 2 8" xfId="19856" xr:uid="{00000000-0005-0000-0000-0000962E0000}"/>
    <cellStyle name="40% - Accent2 2 2_Volatility" xfId="4838" xr:uid="{00000000-0005-0000-0000-0000972E0000}"/>
    <cellStyle name="40% - Accent2 2 3" xfId="4839" xr:uid="{00000000-0005-0000-0000-0000982E0000}"/>
    <cellStyle name="40% - Accent2 2 3 2" xfId="4840" xr:uid="{00000000-0005-0000-0000-0000992E0000}"/>
    <cellStyle name="40% - Accent2 2 3 2 2" xfId="4841" xr:uid="{00000000-0005-0000-0000-00009A2E0000}"/>
    <cellStyle name="40% - Accent2 2 3 2 2 2" xfId="15919" xr:uid="{00000000-0005-0000-0000-00009B2E0000}"/>
    <cellStyle name="40% - Accent2 2 3 2 2 3" xfId="19870" xr:uid="{00000000-0005-0000-0000-00009C2E0000}"/>
    <cellStyle name="40% - Accent2 2 3 2 3" xfId="4842" xr:uid="{00000000-0005-0000-0000-00009D2E0000}"/>
    <cellStyle name="40% - Accent2 2 3 2 3 2" xfId="15920" xr:uid="{00000000-0005-0000-0000-00009E2E0000}"/>
    <cellStyle name="40% - Accent2 2 3 2 3 3" xfId="19871" xr:uid="{00000000-0005-0000-0000-00009F2E0000}"/>
    <cellStyle name="40% - Accent2 2 3 2 4" xfId="15918" xr:uid="{00000000-0005-0000-0000-0000A02E0000}"/>
    <cellStyle name="40% - Accent2 2 3 2 5" xfId="19869" xr:uid="{00000000-0005-0000-0000-0000A12E0000}"/>
    <cellStyle name="40% - Accent2 2 3 3" xfId="4843" xr:uid="{00000000-0005-0000-0000-0000A22E0000}"/>
    <cellStyle name="40% - Accent2 2 3 3 2" xfId="4844" xr:uid="{00000000-0005-0000-0000-0000A32E0000}"/>
    <cellStyle name="40% - Accent2 2 3 3 2 2" xfId="15922" xr:uid="{00000000-0005-0000-0000-0000A42E0000}"/>
    <cellStyle name="40% - Accent2 2 3 3 2 3" xfId="19873" xr:uid="{00000000-0005-0000-0000-0000A52E0000}"/>
    <cellStyle name="40% - Accent2 2 3 3 3" xfId="4845" xr:uid="{00000000-0005-0000-0000-0000A62E0000}"/>
    <cellStyle name="40% - Accent2 2 3 3 3 2" xfId="15923" xr:uid="{00000000-0005-0000-0000-0000A72E0000}"/>
    <cellStyle name="40% - Accent2 2 3 3 3 3" xfId="19874" xr:uid="{00000000-0005-0000-0000-0000A82E0000}"/>
    <cellStyle name="40% - Accent2 2 3 3 4" xfId="15921" xr:uid="{00000000-0005-0000-0000-0000A92E0000}"/>
    <cellStyle name="40% - Accent2 2 3 3 5" xfId="19872" xr:uid="{00000000-0005-0000-0000-0000AA2E0000}"/>
    <cellStyle name="40% - Accent2 2 3 4" xfId="4846" xr:uid="{00000000-0005-0000-0000-0000AB2E0000}"/>
    <cellStyle name="40% - Accent2 2 3 4 2" xfId="15924" xr:uid="{00000000-0005-0000-0000-0000AC2E0000}"/>
    <cellStyle name="40% - Accent2 2 3 4 3" xfId="19875" xr:uid="{00000000-0005-0000-0000-0000AD2E0000}"/>
    <cellStyle name="40% - Accent2 2 3 5" xfId="4847" xr:uid="{00000000-0005-0000-0000-0000AE2E0000}"/>
    <cellStyle name="40% - Accent2 2 3 5 2" xfId="15925" xr:uid="{00000000-0005-0000-0000-0000AF2E0000}"/>
    <cellStyle name="40% - Accent2 2 3 5 3" xfId="19876" xr:uid="{00000000-0005-0000-0000-0000B02E0000}"/>
    <cellStyle name="40% - Accent2 2 3 6" xfId="15917" xr:uid="{00000000-0005-0000-0000-0000B12E0000}"/>
    <cellStyle name="40% - Accent2 2 3 7" xfId="19868" xr:uid="{00000000-0005-0000-0000-0000B22E0000}"/>
    <cellStyle name="40% - Accent2 2 3_Volatility" xfId="4848" xr:uid="{00000000-0005-0000-0000-0000B32E0000}"/>
    <cellStyle name="40% - Accent2 2 4" xfId="4849" xr:uid="{00000000-0005-0000-0000-0000B42E0000}"/>
    <cellStyle name="40% - Accent2 2 4 2" xfId="4850" xr:uid="{00000000-0005-0000-0000-0000B52E0000}"/>
    <cellStyle name="40% - Accent2 2 4 2 2" xfId="15927" xr:uid="{00000000-0005-0000-0000-0000B62E0000}"/>
    <cellStyle name="40% - Accent2 2 4 2 3" xfId="19878" xr:uid="{00000000-0005-0000-0000-0000B72E0000}"/>
    <cellStyle name="40% - Accent2 2 4 3" xfId="4851" xr:uid="{00000000-0005-0000-0000-0000B82E0000}"/>
    <cellStyle name="40% - Accent2 2 4 3 2" xfId="15928" xr:uid="{00000000-0005-0000-0000-0000B92E0000}"/>
    <cellStyle name="40% - Accent2 2 4 3 3" xfId="19879" xr:uid="{00000000-0005-0000-0000-0000BA2E0000}"/>
    <cellStyle name="40% - Accent2 2 4 4" xfId="15926" xr:uid="{00000000-0005-0000-0000-0000BB2E0000}"/>
    <cellStyle name="40% - Accent2 2 4 5" xfId="19877" xr:uid="{00000000-0005-0000-0000-0000BC2E0000}"/>
    <cellStyle name="40% - Accent2 2 5" xfId="4852" xr:uid="{00000000-0005-0000-0000-0000BD2E0000}"/>
    <cellStyle name="40% - Accent2 2 5 2" xfId="4853" xr:uid="{00000000-0005-0000-0000-0000BE2E0000}"/>
    <cellStyle name="40% - Accent2 2 5 2 2" xfId="15930" xr:uid="{00000000-0005-0000-0000-0000BF2E0000}"/>
    <cellStyle name="40% - Accent2 2 5 2 3" xfId="19881" xr:uid="{00000000-0005-0000-0000-0000C02E0000}"/>
    <cellStyle name="40% - Accent2 2 5 3" xfId="4854" xr:uid="{00000000-0005-0000-0000-0000C12E0000}"/>
    <cellStyle name="40% - Accent2 2 5 3 2" xfId="15931" xr:uid="{00000000-0005-0000-0000-0000C22E0000}"/>
    <cellStyle name="40% - Accent2 2 5 3 3" xfId="19882" xr:uid="{00000000-0005-0000-0000-0000C32E0000}"/>
    <cellStyle name="40% - Accent2 2 5 4" xfId="15929" xr:uid="{00000000-0005-0000-0000-0000C42E0000}"/>
    <cellStyle name="40% - Accent2 2 5 5" xfId="19880" xr:uid="{00000000-0005-0000-0000-0000C52E0000}"/>
    <cellStyle name="40% - Accent2 2 6" xfId="4855" xr:uid="{00000000-0005-0000-0000-0000C62E0000}"/>
    <cellStyle name="40% - Accent2 2 6 2" xfId="4856" xr:uid="{00000000-0005-0000-0000-0000C72E0000}"/>
    <cellStyle name="40% - Accent2 2 6 3" xfId="4857" xr:uid="{00000000-0005-0000-0000-0000C82E0000}"/>
    <cellStyle name="40% - Accent2 2 6 4" xfId="15932" xr:uid="{00000000-0005-0000-0000-0000C92E0000}"/>
    <cellStyle name="40% - Accent2 2 6 5" xfId="19883" xr:uid="{00000000-0005-0000-0000-0000CA2E0000}"/>
    <cellStyle name="40% - Accent2 2 7" xfId="4858" xr:uid="{00000000-0005-0000-0000-0000CB2E0000}"/>
    <cellStyle name="40% - Accent2 2 8" xfId="4859" xr:uid="{00000000-0005-0000-0000-0000CC2E0000}"/>
    <cellStyle name="40% - Accent2 2 9" xfId="15904" xr:uid="{00000000-0005-0000-0000-0000CD2E0000}"/>
    <cellStyle name="40% - Accent2 2_Volatility" xfId="4860" xr:uid="{00000000-0005-0000-0000-0000CE2E0000}"/>
    <cellStyle name="40% - Accent2 3" xfId="4861" xr:uid="{00000000-0005-0000-0000-0000CF2E0000}"/>
    <cellStyle name="40% - Accent2 3 2" xfId="4862" xr:uid="{00000000-0005-0000-0000-0000D02E0000}"/>
    <cellStyle name="40% - Accent2 3 2 2" xfId="4863" xr:uid="{00000000-0005-0000-0000-0000D12E0000}"/>
    <cellStyle name="40% - Accent2 3 2 2 2" xfId="4864" xr:uid="{00000000-0005-0000-0000-0000D22E0000}"/>
    <cellStyle name="40% - Accent2 3 2 2 3" xfId="4865" xr:uid="{00000000-0005-0000-0000-0000D32E0000}"/>
    <cellStyle name="40% - Accent2 3 2 3" xfId="4866" xr:uid="{00000000-0005-0000-0000-0000D42E0000}"/>
    <cellStyle name="40% - Accent2 3 2 3 2" xfId="4867" xr:uid="{00000000-0005-0000-0000-0000D52E0000}"/>
    <cellStyle name="40% - Accent2 3 2 3 3" xfId="4868" xr:uid="{00000000-0005-0000-0000-0000D62E0000}"/>
    <cellStyle name="40% - Accent2 3 2 4" xfId="4869" xr:uid="{00000000-0005-0000-0000-0000D72E0000}"/>
    <cellStyle name="40% - Accent2 3 2 4 2" xfId="4870" xr:uid="{00000000-0005-0000-0000-0000D82E0000}"/>
    <cellStyle name="40% - Accent2 3 2 4 3" xfId="4871" xr:uid="{00000000-0005-0000-0000-0000D92E0000}"/>
    <cellStyle name="40% - Accent2 3 2 5" xfId="4872" xr:uid="{00000000-0005-0000-0000-0000DA2E0000}"/>
    <cellStyle name="40% - Accent2 3 2 6" xfId="4873" xr:uid="{00000000-0005-0000-0000-0000DB2E0000}"/>
    <cellStyle name="40% - Accent2 3 2_Volatility" xfId="4874" xr:uid="{00000000-0005-0000-0000-0000DC2E0000}"/>
    <cellStyle name="40% - Accent2 3 3" xfId="4875" xr:uid="{00000000-0005-0000-0000-0000DD2E0000}"/>
    <cellStyle name="40% - Accent2 3 3 2" xfId="4876" xr:uid="{00000000-0005-0000-0000-0000DE2E0000}"/>
    <cellStyle name="40% - Accent2 3 3 2 2" xfId="4877" xr:uid="{00000000-0005-0000-0000-0000DF2E0000}"/>
    <cellStyle name="40% - Accent2 3 3 2 3" xfId="4878" xr:uid="{00000000-0005-0000-0000-0000E02E0000}"/>
    <cellStyle name="40% - Accent2 3 3 3" xfId="4879" xr:uid="{00000000-0005-0000-0000-0000E12E0000}"/>
    <cellStyle name="40% - Accent2 3 3 3 2" xfId="4880" xr:uid="{00000000-0005-0000-0000-0000E22E0000}"/>
    <cellStyle name="40% - Accent2 3 3 3 3" xfId="4881" xr:uid="{00000000-0005-0000-0000-0000E32E0000}"/>
    <cellStyle name="40% - Accent2 3 3 4" xfId="4882" xr:uid="{00000000-0005-0000-0000-0000E42E0000}"/>
    <cellStyle name="40% - Accent2 3 3 5" xfId="4883" xr:uid="{00000000-0005-0000-0000-0000E52E0000}"/>
    <cellStyle name="40% - Accent2 3 3_Volatility" xfId="4884" xr:uid="{00000000-0005-0000-0000-0000E62E0000}"/>
    <cellStyle name="40% - Accent2 3 4" xfId="4885" xr:uid="{00000000-0005-0000-0000-0000E72E0000}"/>
    <cellStyle name="40% - Accent2 3 4 2" xfId="4886" xr:uid="{00000000-0005-0000-0000-0000E82E0000}"/>
    <cellStyle name="40% - Accent2 3 4 3" xfId="4887" xr:uid="{00000000-0005-0000-0000-0000E92E0000}"/>
    <cellStyle name="40% - Accent2 3 5" xfId="4888" xr:uid="{00000000-0005-0000-0000-0000EA2E0000}"/>
    <cellStyle name="40% - Accent2 3 5 2" xfId="4889" xr:uid="{00000000-0005-0000-0000-0000EB2E0000}"/>
    <cellStyle name="40% - Accent2 3 5 3" xfId="4890" xr:uid="{00000000-0005-0000-0000-0000EC2E0000}"/>
    <cellStyle name="40% - Accent2 3 6" xfId="4891" xr:uid="{00000000-0005-0000-0000-0000ED2E0000}"/>
    <cellStyle name="40% - Accent2 3 6 2" xfId="4892" xr:uid="{00000000-0005-0000-0000-0000EE2E0000}"/>
    <cellStyle name="40% - Accent2 3 6 3" xfId="4893" xr:uid="{00000000-0005-0000-0000-0000EF2E0000}"/>
    <cellStyle name="40% - Accent2 3 7" xfId="4894" xr:uid="{00000000-0005-0000-0000-0000F02E0000}"/>
    <cellStyle name="40% - Accent2 3 8" xfId="4895" xr:uid="{00000000-0005-0000-0000-0000F12E0000}"/>
    <cellStyle name="40% - Accent2 3_Volatility" xfId="4896" xr:uid="{00000000-0005-0000-0000-0000F22E0000}"/>
    <cellStyle name="40% - Accent2 4" xfId="4897" xr:uid="{00000000-0005-0000-0000-0000F32E0000}"/>
    <cellStyle name="40% - Accent2 4 2" xfId="4898" xr:uid="{00000000-0005-0000-0000-0000F42E0000}"/>
    <cellStyle name="40% - Accent2 4 2 2" xfId="4899" xr:uid="{00000000-0005-0000-0000-0000F52E0000}"/>
    <cellStyle name="40% - Accent2 4 2 2 2" xfId="4900" xr:uid="{00000000-0005-0000-0000-0000F62E0000}"/>
    <cellStyle name="40% - Accent2 4 2 2 3" xfId="4901" xr:uid="{00000000-0005-0000-0000-0000F72E0000}"/>
    <cellStyle name="40% - Accent2 4 2 3" xfId="4902" xr:uid="{00000000-0005-0000-0000-0000F82E0000}"/>
    <cellStyle name="40% - Accent2 4 2 3 2" xfId="4903" xr:uid="{00000000-0005-0000-0000-0000F92E0000}"/>
    <cellStyle name="40% - Accent2 4 2 3 3" xfId="4904" xr:uid="{00000000-0005-0000-0000-0000FA2E0000}"/>
    <cellStyle name="40% - Accent2 4 2 4" xfId="4905" xr:uid="{00000000-0005-0000-0000-0000FB2E0000}"/>
    <cellStyle name="40% - Accent2 4 2 4 2" xfId="4906" xr:uid="{00000000-0005-0000-0000-0000FC2E0000}"/>
    <cellStyle name="40% - Accent2 4 2 4 3" xfId="4907" xr:uid="{00000000-0005-0000-0000-0000FD2E0000}"/>
    <cellStyle name="40% - Accent2 4 2 5" xfId="4908" xr:uid="{00000000-0005-0000-0000-0000FE2E0000}"/>
    <cellStyle name="40% - Accent2 4 2 6" xfId="4909" xr:uid="{00000000-0005-0000-0000-0000FF2E0000}"/>
    <cellStyle name="40% - Accent2 4 2_Volatility" xfId="4910" xr:uid="{00000000-0005-0000-0000-0000002F0000}"/>
    <cellStyle name="40% - Accent2 4 3" xfId="4911" xr:uid="{00000000-0005-0000-0000-0000012F0000}"/>
    <cellStyle name="40% - Accent2 4 3 2" xfId="4912" xr:uid="{00000000-0005-0000-0000-0000022F0000}"/>
    <cellStyle name="40% - Accent2 4 3 2 2" xfId="4913" xr:uid="{00000000-0005-0000-0000-0000032F0000}"/>
    <cellStyle name="40% - Accent2 4 3 2 3" xfId="4914" xr:uid="{00000000-0005-0000-0000-0000042F0000}"/>
    <cellStyle name="40% - Accent2 4 3 3" xfId="4915" xr:uid="{00000000-0005-0000-0000-0000052F0000}"/>
    <cellStyle name="40% - Accent2 4 3 3 2" xfId="4916" xr:uid="{00000000-0005-0000-0000-0000062F0000}"/>
    <cellStyle name="40% - Accent2 4 3 3 3" xfId="4917" xr:uid="{00000000-0005-0000-0000-0000072F0000}"/>
    <cellStyle name="40% - Accent2 4 3 4" xfId="4918" xr:uid="{00000000-0005-0000-0000-0000082F0000}"/>
    <cellStyle name="40% - Accent2 4 3 5" xfId="4919" xr:uid="{00000000-0005-0000-0000-0000092F0000}"/>
    <cellStyle name="40% - Accent2 4 3_Volatility" xfId="4920" xr:uid="{00000000-0005-0000-0000-00000A2F0000}"/>
    <cellStyle name="40% - Accent2 4 4" xfId="4921" xr:uid="{00000000-0005-0000-0000-00000B2F0000}"/>
    <cellStyle name="40% - Accent2 4 4 2" xfId="4922" xr:uid="{00000000-0005-0000-0000-00000C2F0000}"/>
    <cellStyle name="40% - Accent2 4 4 3" xfId="4923" xr:uid="{00000000-0005-0000-0000-00000D2F0000}"/>
    <cellStyle name="40% - Accent2 4 5" xfId="4924" xr:uid="{00000000-0005-0000-0000-00000E2F0000}"/>
    <cellStyle name="40% - Accent2 4 5 2" xfId="4925" xr:uid="{00000000-0005-0000-0000-00000F2F0000}"/>
    <cellStyle name="40% - Accent2 4 5 3" xfId="4926" xr:uid="{00000000-0005-0000-0000-0000102F0000}"/>
    <cellStyle name="40% - Accent2 4 6" xfId="4927" xr:uid="{00000000-0005-0000-0000-0000112F0000}"/>
    <cellStyle name="40% - Accent2 4 6 2" xfId="4928" xr:uid="{00000000-0005-0000-0000-0000122F0000}"/>
    <cellStyle name="40% - Accent2 4 6 3" xfId="4929" xr:uid="{00000000-0005-0000-0000-0000132F0000}"/>
    <cellStyle name="40% - Accent2 4 7" xfId="4930" xr:uid="{00000000-0005-0000-0000-0000142F0000}"/>
    <cellStyle name="40% - Accent2 4 8" xfId="4931" xr:uid="{00000000-0005-0000-0000-0000152F0000}"/>
    <cellStyle name="40% - Accent2 4_Volatility" xfId="4932" xr:uid="{00000000-0005-0000-0000-0000162F0000}"/>
    <cellStyle name="40% - Accent2 5" xfId="4933" xr:uid="{00000000-0005-0000-0000-0000172F0000}"/>
    <cellStyle name="40% - Accent2 5 2" xfId="4934" xr:uid="{00000000-0005-0000-0000-0000182F0000}"/>
    <cellStyle name="40% - Accent2 5 2 2" xfId="4935" xr:uid="{00000000-0005-0000-0000-0000192F0000}"/>
    <cellStyle name="40% - Accent2 5 2 2 2" xfId="4936" xr:uid="{00000000-0005-0000-0000-00001A2F0000}"/>
    <cellStyle name="40% - Accent2 5 2 2 3" xfId="4937" xr:uid="{00000000-0005-0000-0000-00001B2F0000}"/>
    <cellStyle name="40% - Accent2 5 2 3" xfId="4938" xr:uid="{00000000-0005-0000-0000-00001C2F0000}"/>
    <cellStyle name="40% - Accent2 5 2 3 2" xfId="4939" xr:uid="{00000000-0005-0000-0000-00001D2F0000}"/>
    <cellStyle name="40% - Accent2 5 2 3 3" xfId="4940" xr:uid="{00000000-0005-0000-0000-00001E2F0000}"/>
    <cellStyle name="40% - Accent2 5 2 4" xfId="4941" xr:uid="{00000000-0005-0000-0000-00001F2F0000}"/>
    <cellStyle name="40% - Accent2 5 2 4 2" xfId="4942" xr:uid="{00000000-0005-0000-0000-0000202F0000}"/>
    <cellStyle name="40% - Accent2 5 2 4 3" xfId="4943" xr:uid="{00000000-0005-0000-0000-0000212F0000}"/>
    <cellStyle name="40% - Accent2 5 2 5" xfId="4944" xr:uid="{00000000-0005-0000-0000-0000222F0000}"/>
    <cellStyle name="40% - Accent2 5 2 6" xfId="4945" xr:uid="{00000000-0005-0000-0000-0000232F0000}"/>
    <cellStyle name="40% - Accent2 5 2_Volatility" xfId="4946" xr:uid="{00000000-0005-0000-0000-0000242F0000}"/>
    <cellStyle name="40% - Accent2 5 3" xfId="4947" xr:uid="{00000000-0005-0000-0000-0000252F0000}"/>
    <cellStyle name="40% - Accent2 5 3 2" xfId="4948" xr:uid="{00000000-0005-0000-0000-0000262F0000}"/>
    <cellStyle name="40% - Accent2 5 3 2 2" xfId="4949" xr:uid="{00000000-0005-0000-0000-0000272F0000}"/>
    <cellStyle name="40% - Accent2 5 3 2 3" xfId="4950" xr:uid="{00000000-0005-0000-0000-0000282F0000}"/>
    <cellStyle name="40% - Accent2 5 3 3" xfId="4951" xr:uid="{00000000-0005-0000-0000-0000292F0000}"/>
    <cellStyle name="40% - Accent2 5 3 3 2" xfId="4952" xr:uid="{00000000-0005-0000-0000-00002A2F0000}"/>
    <cellStyle name="40% - Accent2 5 3 3 3" xfId="4953" xr:uid="{00000000-0005-0000-0000-00002B2F0000}"/>
    <cellStyle name="40% - Accent2 5 3 4" xfId="4954" xr:uid="{00000000-0005-0000-0000-00002C2F0000}"/>
    <cellStyle name="40% - Accent2 5 3 5" xfId="4955" xr:uid="{00000000-0005-0000-0000-00002D2F0000}"/>
    <cellStyle name="40% - Accent2 5 3_Volatility" xfId="4956" xr:uid="{00000000-0005-0000-0000-00002E2F0000}"/>
    <cellStyle name="40% - Accent2 5 4" xfId="4957" xr:uid="{00000000-0005-0000-0000-00002F2F0000}"/>
    <cellStyle name="40% - Accent2 5 4 2" xfId="4958" xr:uid="{00000000-0005-0000-0000-0000302F0000}"/>
    <cellStyle name="40% - Accent2 5 4 3" xfId="4959" xr:uid="{00000000-0005-0000-0000-0000312F0000}"/>
    <cellStyle name="40% - Accent2 5 5" xfId="4960" xr:uid="{00000000-0005-0000-0000-0000322F0000}"/>
    <cellStyle name="40% - Accent2 5 5 2" xfId="4961" xr:uid="{00000000-0005-0000-0000-0000332F0000}"/>
    <cellStyle name="40% - Accent2 5 5 3" xfId="4962" xr:uid="{00000000-0005-0000-0000-0000342F0000}"/>
    <cellStyle name="40% - Accent2 5 6" xfId="4963" xr:uid="{00000000-0005-0000-0000-0000352F0000}"/>
    <cellStyle name="40% - Accent2 5 6 2" xfId="4964" xr:uid="{00000000-0005-0000-0000-0000362F0000}"/>
    <cellStyle name="40% - Accent2 5 6 3" xfId="4965" xr:uid="{00000000-0005-0000-0000-0000372F0000}"/>
    <cellStyle name="40% - Accent2 5 7" xfId="4966" xr:uid="{00000000-0005-0000-0000-0000382F0000}"/>
    <cellStyle name="40% - Accent2 5 8" xfId="4967" xr:uid="{00000000-0005-0000-0000-0000392F0000}"/>
    <cellStyle name="40% - Accent2 5_Volatility" xfId="4968" xr:uid="{00000000-0005-0000-0000-00003A2F0000}"/>
    <cellStyle name="40% - Accent2 6" xfId="4969" xr:uid="{00000000-0005-0000-0000-00003B2F0000}"/>
    <cellStyle name="40% - Accent2 6 2" xfId="4970" xr:uid="{00000000-0005-0000-0000-00003C2F0000}"/>
    <cellStyle name="40% - Accent2 6 2 2" xfId="4971" xr:uid="{00000000-0005-0000-0000-00003D2F0000}"/>
    <cellStyle name="40% - Accent2 6 2 2 2" xfId="4972" xr:uid="{00000000-0005-0000-0000-00003E2F0000}"/>
    <cellStyle name="40% - Accent2 6 2 2 3" xfId="4973" xr:uid="{00000000-0005-0000-0000-00003F2F0000}"/>
    <cellStyle name="40% - Accent2 6 2 3" xfId="4974" xr:uid="{00000000-0005-0000-0000-0000402F0000}"/>
    <cellStyle name="40% - Accent2 6 2 3 2" xfId="4975" xr:uid="{00000000-0005-0000-0000-0000412F0000}"/>
    <cellStyle name="40% - Accent2 6 2 3 3" xfId="4976" xr:uid="{00000000-0005-0000-0000-0000422F0000}"/>
    <cellStyle name="40% - Accent2 6 2 4" xfId="4977" xr:uid="{00000000-0005-0000-0000-0000432F0000}"/>
    <cellStyle name="40% - Accent2 6 2 4 2" xfId="4978" xr:uid="{00000000-0005-0000-0000-0000442F0000}"/>
    <cellStyle name="40% - Accent2 6 2 4 3" xfId="4979" xr:uid="{00000000-0005-0000-0000-0000452F0000}"/>
    <cellStyle name="40% - Accent2 6 2 5" xfId="4980" xr:uid="{00000000-0005-0000-0000-0000462F0000}"/>
    <cellStyle name="40% - Accent2 6 2 6" xfId="4981" xr:uid="{00000000-0005-0000-0000-0000472F0000}"/>
    <cellStyle name="40% - Accent2 6 2_Volatility" xfId="4982" xr:uid="{00000000-0005-0000-0000-0000482F0000}"/>
    <cellStyle name="40% - Accent2 6 3" xfId="4983" xr:uid="{00000000-0005-0000-0000-0000492F0000}"/>
    <cellStyle name="40% - Accent2 6 3 2" xfId="4984" xr:uid="{00000000-0005-0000-0000-00004A2F0000}"/>
    <cellStyle name="40% - Accent2 6 3 2 2" xfId="4985" xr:uid="{00000000-0005-0000-0000-00004B2F0000}"/>
    <cellStyle name="40% - Accent2 6 3 2 3" xfId="4986" xr:uid="{00000000-0005-0000-0000-00004C2F0000}"/>
    <cellStyle name="40% - Accent2 6 3 3" xfId="4987" xr:uid="{00000000-0005-0000-0000-00004D2F0000}"/>
    <cellStyle name="40% - Accent2 6 3 3 2" xfId="4988" xr:uid="{00000000-0005-0000-0000-00004E2F0000}"/>
    <cellStyle name="40% - Accent2 6 3 3 3" xfId="4989" xr:uid="{00000000-0005-0000-0000-00004F2F0000}"/>
    <cellStyle name="40% - Accent2 6 3 4" xfId="4990" xr:uid="{00000000-0005-0000-0000-0000502F0000}"/>
    <cellStyle name="40% - Accent2 6 3 5" xfId="4991" xr:uid="{00000000-0005-0000-0000-0000512F0000}"/>
    <cellStyle name="40% - Accent2 6 3_Volatility" xfId="4992" xr:uid="{00000000-0005-0000-0000-0000522F0000}"/>
    <cellStyle name="40% - Accent2 6 4" xfId="4993" xr:uid="{00000000-0005-0000-0000-0000532F0000}"/>
    <cellStyle name="40% - Accent2 6 4 2" xfId="4994" xr:uid="{00000000-0005-0000-0000-0000542F0000}"/>
    <cellStyle name="40% - Accent2 6 4 3" xfId="4995" xr:uid="{00000000-0005-0000-0000-0000552F0000}"/>
    <cellStyle name="40% - Accent2 6 5" xfId="4996" xr:uid="{00000000-0005-0000-0000-0000562F0000}"/>
    <cellStyle name="40% - Accent2 6 5 2" xfId="4997" xr:uid="{00000000-0005-0000-0000-0000572F0000}"/>
    <cellStyle name="40% - Accent2 6 5 3" xfId="4998" xr:uid="{00000000-0005-0000-0000-0000582F0000}"/>
    <cellStyle name="40% - Accent2 6 6" xfId="4999" xr:uid="{00000000-0005-0000-0000-0000592F0000}"/>
    <cellStyle name="40% - Accent2 6 6 2" xfId="5000" xr:uid="{00000000-0005-0000-0000-00005A2F0000}"/>
    <cellStyle name="40% - Accent2 6 6 3" xfId="5001" xr:uid="{00000000-0005-0000-0000-00005B2F0000}"/>
    <cellStyle name="40% - Accent2 6 7" xfId="5002" xr:uid="{00000000-0005-0000-0000-00005C2F0000}"/>
    <cellStyle name="40% - Accent2 6 8" xfId="5003" xr:uid="{00000000-0005-0000-0000-00005D2F0000}"/>
    <cellStyle name="40% - Accent2 6_Volatility" xfId="5004" xr:uid="{00000000-0005-0000-0000-00005E2F0000}"/>
    <cellStyle name="40% - Accent2 7" xfId="5005" xr:uid="{00000000-0005-0000-0000-00005F2F0000}"/>
    <cellStyle name="40% - Accent2 7 2" xfId="5006" xr:uid="{00000000-0005-0000-0000-0000602F0000}"/>
    <cellStyle name="40% - Accent2 7 2 2" xfId="5007" xr:uid="{00000000-0005-0000-0000-0000612F0000}"/>
    <cellStyle name="40% - Accent2 7 2 2 2" xfId="5008" xr:uid="{00000000-0005-0000-0000-0000622F0000}"/>
    <cellStyle name="40% - Accent2 7 2 2 3" xfId="5009" xr:uid="{00000000-0005-0000-0000-0000632F0000}"/>
    <cellStyle name="40% - Accent2 7 2 3" xfId="5010" xr:uid="{00000000-0005-0000-0000-0000642F0000}"/>
    <cellStyle name="40% - Accent2 7 2 3 2" xfId="5011" xr:uid="{00000000-0005-0000-0000-0000652F0000}"/>
    <cellStyle name="40% - Accent2 7 2 3 3" xfId="5012" xr:uid="{00000000-0005-0000-0000-0000662F0000}"/>
    <cellStyle name="40% - Accent2 7 2 4" xfId="5013" xr:uid="{00000000-0005-0000-0000-0000672F0000}"/>
    <cellStyle name="40% - Accent2 7 2 4 2" xfId="5014" xr:uid="{00000000-0005-0000-0000-0000682F0000}"/>
    <cellStyle name="40% - Accent2 7 2 4 3" xfId="5015" xr:uid="{00000000-0005-0000-0000-0000692F0000}"/>
    <cellStyle name="40% - Accent2 7 2 5" xfId="5016" xr:uid="{00000000-0005-0000-0000-00006A2F0000}"/>
    <cellStyle name="40% - Accent2 7 2 6" xfId="5017" xr:uid="{00000000-0005-0000-0000-00006B2F0000}"/>
    <cellStyle name="40% - Accent2 7 2_Volatility" xfId="5018" xr:uid="{00000000-0005-0000-0000-00006C2F0000}"/>
    <cellStyle name="40% - Accent2 7 3" xfId="5019" xr:uid="{00000000-0005-0000-0000-00006D2F0000}"/>
    <cellStyle name="40% - Accent2 7 3 2" xfId="5020" xr:uid="{00000000-0005-0000-0000-00006E2F0000}"/>
    <cellStyle name="40% - Accent2 7 3 2 2" xfId="5021" xr:uid="{00000000-0005-0000-0000-00006F2F0000}"/>
    <cellStyle name="40% - Accent2 7 3 2 3" xfId="5022" xr:uid="{00000000-0005-0000-0000-0000702F0000}"/>
    <cellStyle name="40% - Accent2 7 3 3" xfId="5023" xr:uid="{00000000-0005-0000-0000-0000712F0000}"/>
    <cellStyle name="40% - Accent2 7 3 3 2" xfId="5024" xr:uid="{00000000-0005-0000-0000-0000722F0000}"/>
    <cellStyle name="40% - Accent2 7 3 3 3" xfId="5025" xr:uid="{00000000-0005-0000-0000-0000732F0000}"/>
    <cellStyle name="40% - Accent2 7 3 4" xfId="5026" xr:uid="{00000000-0005-0000-0000-0000742F0000}"/>
    <cellStyle name="40% - Accent2 7 3 5" xfId="5027" xr:uid="{00000000-0005-0000-0000-0000752F0000}"/>
    <cellStyle name="40% - Accent2 7 3_Volatility" xfId="5028" xr:uid="{00000000-0005-0000-0000-0000762F0000}"/>
    <cellStyle name="40% - Accent2 7 4" xfId="5029" xr:uid="{00000000-0005-0000-0000-0000772F0000}"/>
    <cellStyle name="40% - Accent2 7 4 2" xfId="5030" xr:uid="{00000000-0005-0000-0000-0000782F0000}"/>
    <cellStyle name="40% - Accent2 7 4 3" xfId="5031" xr:uid="{00000000-0005-0000-0000-0000792F0000}"/>
    <cellStyle name="40% - Accent2 7 5" xfId="5032" xr:uid="{00000000-0005-0000-0000-00007A2F0000}"/>
    <cellStyle name="40% - Accent2 7 5 2" xfId="5033" xr:uid="{00000000-0005-0000-0000-00007B2F0000}"/>
    <cellStyle name="40% - Accent2 7 5 3" xfId="5034" xr:uid="{00000000-0005-0000-0000-00007C2F0000}"/>
    <cellStyle name="40% - Accent2 7 6" xfId="5035" xr:uid="{00000000-0005-0000-0000-00007D2F0000}"/>
    <cellStyle name="40% - Accent2 7 6 2" xfId="5036" xr:uid="{00000000-0005-0000-0000-00007E2F0000}"/>
    <cellStyle name="40% - Accent2 7 6 3" xfId="5037" xr:uid="{00000000-0005-0000-0000-00007F2F0000}"/>
    <cellStyle name="40% - Accent2 7 7" xfId="5038" xr:uid="{00000000-0005-0000-0000-0000802F0000}"/>
    <cellStyle name="40% - Accent2 7 8" xfId="5039" xr:uid="{00000000-0005-0000-0000-0000812F0000}"/>
    <cellStyle name="40% - Accent2 7_Volatility" xfId="5040" xr:uid="{00000000-0005-0000-0000-0000822F0000}"/>
    <cellStyle name="40% - Accent2 8" xfId="5041" xr:uid="{00000000-0005-0000-0000-0000832F0000}"/>
    <cellStyle name="40% - Accent2 8 2" xfId="5042" xr:uid="{00000000-0005-0000-0000-0000842F0000}"/>
    <cellStyle name="40% - Accent2 8 2 2" xfId="5043" xr:uid="{00000000-0005-0000-0000-0000852F0000}"/>
    <cellStyle name="40% - Accent2 8 2 2 2" xfId="5044" xr:uid="{00000000-0005-0000-0000-0000862F0000}"/>
    <cellStyle name="40% - Accent2 8 2 2 3" xfId="5045" xr:uid="{00000000-0005-0000-0000-0000872F0000}"/>
    <cellStyle name="40% - Accent2 8 2 3" xfId="5046" xr:uid="{00000000-0005-0000-0000-0000882F0000}"/>
    <cellStyle name="40% - Accent2 8 2 3 2" xfId="5047" xr:uid="{00000000-0005-0000-0000-0000892F0000}"/>
    <cellStyle name="40% - Accent2 8 2 3 3" xfId="5048" xr:uid="{00000000-0005-0000-0000-00008A2F0000}"/>
    <cellStyle name="40% - Accent2 8 2 4" xfId="5049" xr:uid="{00000000-0005-0000-0000-00008B2F0000}"/>
    <cellStyle name="40% - Accent2 8 2 4 2" xfId="5050" xr:uid="{00000000-0005-0000-0000-00008C2F0000}"/>
    <cellStyle name="40% - Accent2 8 2 4 3" xfId="5051" xr:uid="{00000000-0005-0000-0000-00008D2F0000}"/>
    <cellStyle name="40% - Accent2 8 2 5" xfId="5052" xr:uid="{00000000-0005-0000-0000-00008E2F0000}"/>
    <cellStyle name="40% - Accent2 8 2 6" xfId="5053" xr:uid="{00000000-0005-0000-0000-00008F2F0000}"/>
    <cellStyle name="40% - Accent2 8 2_Volatility" xfId="5054" xr:uid="{00000000-0005-0000-0000-0000902F0000}"/>
    <cellStyle name="40% - Accent2 8 3" xfId="5055" xr:uid="{00000000-0005-0000-0000-0000912F0000}"/>
    <cellStyle name="40% - Accent2 8 3 2" xfId="5056" xr:uid="{00000000-0005-0000-0000-0000922F0000}"/>
    <cellStyle name="40% - Accent2 8 3 2 2" xfId="5057" xr:uid="{00000000-0005-0000-0000-0000932F0000}"/>
    <cellStyle name="40% - Accent2 8 3 2 3" xfId="5058" xr:uid="{00000000-0005-0000-0000-0000942F0000}"/>
    <cellStyle name="40% - Accent2 8 3 3" xfId="5059" xr:uid="{00000000-0005-0000-0000-0000952F0000}"/>
    <cellStyle name="40% - Accent2 8 3 3 2" xfId="5060" xr:uid="{00000000-0005-0000-0000-0000962F0000}"/>
    <cellStyle name="40% - Accent2 8 3 3 3" xfId="5061" xr:uid="{00000000-0005-0000-0000-0000972F0000}"/>
    <cellStyle name="40% - Accent2 8 3 4" xfId="5062" xr:uid="{00000000-0005-0000-0000-0000982F0000}"/>
    <cellStyle name="40% - Accent2 8 3 5" xfId="5063" xr:uid="{00000000-0005-0000-0000-0000992F0000}"/>
    <cellStyle name="40% - Accent2 8 3_Volatility" xfId="5064" xr:uid="{00000000-0005-0000-0000-00009A2F0000}"/>
    <cellStyle name="40% - Accent2 8 4" xfId="5065" xr:uid="{00000000-0005-0000-0000-00009B2F0000}"/>
    <cellStyle name="40% - Accent2 8 4 2" xfId="5066" xr:uid="{00000000-0005-0000-0000-00009C2F0000}"/>
    <cellStyle name="40% - Accent2 8 4 3" xfId="5067" xr:uid="{00000000-0005-0000-0000-00009D2F0000}"/>
    <cellStyle name="40% - Accent2 8 5" xfId="5068" xr:uid="{00000000-0005-0000-0000-00009E2F0000}"/>
    <cellStyle name="40% - Accent2 8 5 2" xfId="5069" xr:uid="{00000000-0005-0000-0000-00009F2F0000}"/>
    <cellStyle name="40% - Accent2 8 5 3" xfId="5070" xr:uid="{00000000-0005-0000-0000-0000A02F0000}"/>
    <cellStyle name="40% - Accent2 8 6" xfId="5071" xr:uid="{00000000-0005-0000-0000-0000A12F0000}"/>
    <cellStyle name="40% - Accent2 8 6 2" xfId="5072" xr:uid="{00000000-0005-0000-0000-0000A22F0000}"/>
    <cellStyle name="40% - Accent2 8 6 3" xfId="5073" xr:uid="{00000000-0005-0000-0000-0000A32F0000}"/>
    <cellStyle name="40% - Accent2 8 7" xfId="5074" xr:uid="{00000000-0005-0000-0000-0000A42F0000}"/>
    <cellStyle name="40% - Accent2 8 8" xfId="5075" xr:uid="{00000000-0005-0000-0000-0000A52F0000}"/>
    <cellStyle name="40% - Accent2 8_Volatility" xfId="5076" xr:uid="{00000000-0005-0000-0000-0000A62F0000}"/>
    <cellStyle name="40% - Accent2 9" xfId="5077" xr:uid="{00000000-0005-0000-0000-0000A72F0000}"/>
    <cellStyle name="40% - Accent2 9 2" xfId="5078" xr:uid="{00000000-0005-0000-0000-0000A82F0000}"/>
    <cellStyle name="40% - Accent2 9 2 2" xfId="5079" xr:uid="{00000000-0005-0000-0000-0000A92F0000}"/>
    <cellStyle name="40% - Accent2 9 2 2 2" xfId="5080" xr:uid="{00000000-0005-0000-0000-0000AA2F0000}"/>
    <cellStyle name="40% - Accent2 9 2 2 3" xfId="5081" xr:uid="{00000000-0005-0000-0000-0000AB2F0000}"/>
    <cellStyle name="40% - Accent2 9 2 3" xfId="5082" xr:uid="{00000000-0005-0000-0000-0000AC2F0000}"/>
    <cellStyle name="40% - Accent2 9 2 3 2" xfId="5083" xr:uid="{00000000-0005-0000-0000-0000AD2F0000}"/>
    <cellStyle name="40% - Accent2 9 2 3 3" xfId="5084" xr:uid="{00000000-0005-0000-0000-0000AE2F0000}"/>
    <cellStyle name="40% - Accent2 9 2 4" xfId="5085" xr:uid="{00000000-0005-0000-0000-0000AF2F0000}"/>
    <cellStyle name="40% - Accent2 9 2 4 2" xfId="5086" xr:uid="{00000000-0005-0000-0000-0000B02F0000}"/>
    <cellStyle name="40% - Accent2 9 2 4 3" xfId="5087" xr:uid="{00000000-0005-0000-0000-0000B12F0000}"/>
    <cellStyle name="40% - Accent2 9 2 5" xfId="5088" xr:uid="{00000000-0005-0000-0000-0000B22F0000}"/>
    <cellStyle name="40% - Accent2 9 2 6" xfId="5089" xr:uid="{00000000-0005-0000-0000-0000B32F0000}"/>
    <cellStyle name="40% - Accent2 9 2_Volatility" xfId="5090" xr:uid="{00000000-0005-0000-0000-0000B42F0000}"/>
    <cellStyle name="40% - Accent2 9 3" xfId="5091" xr:uid="{00000000-0005-0000-0000-0000B52F0000}"/>
    <cellStyle name="40% - Accent2 9 3 2" xfId="5092" xr:uid="{00000000-0005-0000-0000-0000B62F0000}"/>
    <cellStyle name="40% - Accent2 9 3 2 2" xfId="5093" xr:uid="{00000000-0005-0000-0000-0000B72F0000}"/>
    <cellStyle name="40% - Accent2 9 3 2 3" xfId="5094" xr:uid="{00000000-0005-0000-0000-0000B82F0000}"/>
    <cellStyle name="40% - Accent2 9 3 3" xfId="5095" xr:uid="{00000000-0005-0000-0000-0000B92F0000}"/>
    <cellStyle name="40% - Accent2 9 3 3 2" xfId="5096" xr:uid="{00000000-0005-0000-0000-0000BA2F0000}"/>
    <cellStyle name="40% - Accent2 9 3 3 3" xfId="5097" xr:uid="{00000000-0005-0000-0000-0000BB2F0000}"/>
    <cellStyle name="40% - Accent2 9 3 4" xfId="5098" xr:uid="{00000000-0005-0000-0000-0000BC2F0000}"/>
    <cellStyle name="40% - Accent2 9 3 5" xfId="5099" xr:uid="{00000000-0005-0000-0000-0000BD2F0000}"/>
    <cellStyle name="40% - Accent2 9 3_Volatility" xfId="5100" xr:uid="{00000000-0005-0000-0000-0000BE2F0000}"/>
    <cellStyle name="40% - Accent2 9 4" xfId="5101" xr:uid="{00000000-0005-0000-0000-0000BF2F0000}"/>
    <cellStyle name="40% - Accent2 9 4 2" xfId="5102" xr:uid="{00000000-0005-0000-0000-0000C02F0000}"/>
    <cellStyle name="40% - Accent2 9 4 3" xfId="5103" xr:uid="{00000000-0005-0000-0000-0000C12F0000}"/>
    <cellStyle name="40% - Accent2 9 5" xfId="5104" xr:uid="{00000000-0005-0000-0000-0000C22F0000}"/>
    <cellStyle name="40% - Accent2 9 5 2" xfId="5105" xr:uid="{00000000-0005-0000-0000-0000C32F0000}"/>
    <cellStyle name="40% - Accent2 9 5 3" xfId="5106" xr:uid="{00000000-0005-0000-0000-0000C42F0000}"/>
    <cellStyle name="40% - Accent2 9 6" xfId="5107" xr:uid="{00000000-0005-0000-0000-0000C52F0000}"/>
    <cellStyle name="40% - Accent2 9 6 2" xfId="5108" xr:uid="{00000000-0005-0000-0000-0000C62F0000}"/>
    <cellStyle name="40% - Accent2 9 6 3" xfId="5109" xr:uid="{00000000-0005-0000-0000-0000C72F0000}"/>
    <cellStyle name="40% - Accent2 9 7" xfId="5110" xr:uid="{00000000-0005-0000-0000-0000C82F0000}"/>
    <cellStyle name="40% - Accent2 9 8" xfId="5111" xr:uid="{00000000-0005-0000-0000-0000C92F0000}"/>
    <cellStyle name="40% - Accent2 9_Volatility" xfId="5112" xr:uid="{00000000-0005-0000-0000-0000CA2F0000}"/>
    <cellStyle name="40% - Accent3 10" xfId="5113" xr:uid="{00000000-0005-0000-0000-0000CB2F0000}"/>
    <cellStyle name="40% - Accent3 10 2" xfId="5114" xr:uid="{00000000-0005-0000-0000-0000CC2F0000}"/>
    <cellStyle name="40% - Accent3 10 2 2" xfId="5115" xr:uid="{00000000-0005-0000-0000-0000CD2F0000}"/>
    <cellStyle name="40% - Accent3 10 2 2 2" xfId="5116" xr:uid="{00000000-0005-0000-0000-0000CE2F0000}"/>
    <cellStyle name="40% - Accent3 10 2 2 3" xfId="5117" xr:uid="{00000000-0005-0000-0000-0000CF2F0000}"/>
    <cellStyle name="40% - Accent3 10 2 3" xfId="5118" xr:uid="{00000000-0005-0000-0000-0000D02F0000}"/>
    <cellStyle name="40% - Accent3 10 2 3 2" xfId="5119" xr:uid="{00000000-0005-0000-0000-0000D12F0000}"/>
    <cellStyle name="40% - Accent3 10 2 3 3" xfId="5120" xr:uid="{00000000-0005-0000-0000-0000D22F0000}"/>
    <cellStyle name="40% - Accent3 10 2 4" xfId="5121" xr:uid="{00000000-0005-0000-0000-0000D32F0000}"/>
    <cellStyle name="40% - Accent3 10 2 4 2" xfId="5122" xr:uid="{00000000-0005-0000-0000-0000D42F0000}"/>
    <cellStyle name="40% - Accent3 10 2 4 3" xfId="5123" xr:uid="{00000000-0005-0000-0000-0000D52F0000}"/>
    <cellStyle name="40% - Accent3 10 2 5" xfId="5124" xr:uid="{00000000-0005-0000-0000-0000D62F0000}"/>
    <cellStyle name="40% - Accent3 10 2 6" xfId="5125" xr:uid="{00000000-0005-0000-0000-0000D72F0000}"/>
    <cellStyle name="40% - Accent3 10 2_Volatility" xfId="5126" xr:uid="{00000000-0005-0000-0000-0000D82F0000}"/>
    <cellStyle name="40% - Accent3 10 3" xfId="5127" xr:uid="{00000000-0005-0000-0000-0000D92F0000}"/>
    <cellStyle name="40% - Accent3 10 3 2" xfId="5128" xr:uid="{00000000-0005-0000-0000-0000DA2F0000}"/>
    <cellStyle name="40% - Accent3 10 3 2 2" xfId="5129" xr:uid="{00000000-0005-0000-0000-0000DB2F0000}"/>
    <cellStyle name="40% - Accent3 10 3 2 3" xfId="5130" xr:uid="{00000000-0005-0000-0000-0000DC2F0000}"/>
    <cellStyle name="40% - Accent3 10 3 3" xfId="5131" xr:uid="{00000000-0005-0000-0000-0000DD2F0000}"/>
    <cellStyle name="40% - Accent3 10 3 3 2" xfId="5132" xr:uid="{00000000-0005-0000-0000-0000DE2F0000}"/>
    <cellStyle name="40% - Accent3 10 3 3 3" xfId="5133" xr:uid="{00000000-0005-0000-0000-0000DF2F0000}"/>
    <cellStyle name="40% - Accent3 10 3 4" xfId="5134" xr:uid="{00000000-0005-0000-0000-0000E02F0000}"/>
    <cellStyle name="40% - Accent3 10 3 5" xfId="5135" xr:uid="{00000000-0005-0000-0000-0000E12F0000}"/>
    <cellStyle name="40% - Accent3 10 3_Volatility" xfId="5136" xr:uid="{00000000-0005-0000-0000-0000E22F0000}"/>
    <cellStyle name="40% - Accent3 10 4" xfId="5137" xr:uid="{00000000-0005-0000-0000-0000E32F0000}"/>
    <cellStyle name="40% - Accent3 10 4 2" xfId="5138" xr:uid="{00000000-0005-0000-0000-0000E42F0000}"/>
    <cellStyle name="40% - Accent3 10 4 3" xfId="5139" xr:uid="{00000000-0005-0000-0000-0000E52F0000}"/>
    <cellStyle name="40% - Accent3 10 5" xfId="5140" xr:uid="{00000000-0005-0000-0000-0000E62F0000}"/>
    <cellStyle name="40% - Accent3 10 5 2" xfId="5141" xr:uid="{00000000-0005-0000-0000-0000E72F0000}"/>
    <cellStyle name="40% - Accent3 10 5 3" xfId="5142" xr:uid="{00000000-0005-0000-0000-0000E82F0000}"/>
    <cellStyle name="40% - Accent3 10 6" xfId="5143" xr:uid="{00000000-0005-0000-0000-0000E92F0000}"/>
    <cellStyle name="40% - Accent3 10 6 2" xfId="5144" xr:uid="{00000000-0005-0000-0000-0000EA2F0000}"/>
    <cellStyle name="40% - Accent3 10 6 3" xfId="5145" xr:uid="{00000000-0005-0000-0000-0000EB2F0000}"/>
    <cellStyle name="40% - Accent3 10 7" xfId="5146" xr:uid="{00000000-0005-0000-0000-0000EC2F0000}"/>
    <cellStyle name="40% - Accent3 10 8" xfId="5147" xr:uid="{00000000-0005-0000-0000-0000ED2F0000}"/>
    <cellStyle name="40% - Accent3 10_Volatility" xfId="5148" xr:uid="{00000000-0005-0000-0000-0000EE2F0000}"/>
    <cellStyle name="40% - Accent3 11" xfId="5149" xr:uid="{00000000-0005-0000-0000-0000EF2F0000}"/>
    <cellStyle name="40% - Accent3 11 2" xfId="5150" xr:uid="{00000000-0005-0000-0000-0000F02F0000}"/>
    <cellStyle name="40% - Accent3 11 2 2" xfId="5151" xr:uid="{00000000-0005-0000-0000-0000F12F0000}"/>
    <cellStyle name="40% - Accent3 11 2 2 2" xfId="5152" xr:uid="{00000000-0005-0000-0000-0000F22F0000}"/>
    <cellStyle name="40% - Accent3 11 2 2 3" xfId="5153" xr:uid="{00000000-0005-0000-0000-0000F32F0000}"/>
    <cellStyle name="40% - Accent3 11 2 3" xfId="5154" xr:uid="{00000000-0005-0000-0000-0000F42F0000}"/>
    <cellStyle name="40% - Accent3 11 2 3 2" xfId="5155" xr:uid="{00000000-0005-0000-0000-0000F52F0000}"/>
    <cellStyle name="40% - Accent3 11 2 3 3" xfId="5156" xr:uid="{00000000-0005-0000-0000-0000F62F0000}"/>
    <cellStyle name="40% - Accent3 11 2 4" xfId="5157" xr:uid="{00000000-0005-0000-0000-0000F72F0000}"/>
    <cellStyle name="40% - Accent3 11 2 4 2" xfId="5158" xr:uid="{00000000-0005-0000-0000-0000F82F0000}"/>
    <cellStyle name="40% - Accent3 11 2 4 3" xfId="5159" xr:uid="{00000000-0005-0000-0000-0000F92F0000}"/>
    <cellStyle name="40% - Accent3 11 2 5" xfId="5160" xr:uid="{00000000-0005-0000-0000-0000FA2F0000}"/>
    <cellStyle name="40% - Accent3 11 2 6" xfId="5161" xr:uid="{00000000-0005-0000-0000-0000FB2F0000}"/>
    <cellStyle name="40% - Accent3 11 2_Volatility" xfId="5162" xr:uid="{00000000-0005-0000-0000-0000FC2F0000}"/>
    <cellStyle name="40% - Accent3 11 3" xfId="5163" xr:uid="{00000000-0005-0000-0000-0000FD2F0000}"/>
    <cellStyle name="40% - Accent3 11 3 2" xfId="5164" xr:uid="{00000000-0005-0000-0000-0000FE2F0000}"/>
    <cellStyle name="40% - Accent3 11 3 2 2" xfId="5165" xr:uid="{00000000-0005-0000-0000-0000FF2F0000}"/>
    <cellStyle name="40% - Accent3 11 3 2 3" xfId="5166" xr:uid="{00000000-0005-0000-0000-000000300000}"/>
    <cellStyle name="40% - Accent3 11 3 3" xfId="5167" xr:uid="{00000000-0005-0000-0000-000001300000}"/>
    <cellStyle name="40% - Accent3 11 3 3 2" xfId="5168" xr:uid="{00000000-0005-0000-0000-000002300000}"/>
    <cellStyle name="40% - Accent3 11 3 3 3" xfId="5169" xr:uid="{00000000-0005-0000-0000-000003300000}"/>
    <cellStyle name="40% - Accent3 11 3 4" xfId="5170" xr:uid="{00000000-0005-0000-0000-000004300000}"/>
    <cellStyle name="40% - Accent3 11 3 5" xfId="5171" xr:uid="{00000000-0005-0000-0000-000005300000}"/>
    <cellStyle name="40% - Accent3 11 3_Volatility" xfId="5172" xr:uid="{00000000-0005-0000-0000-000006300000}"/>
    <cellStyle name="40% - Accent3 11 4" xfId="5173" xr:uid="{00000000-0005-0000-0000-000007300000}"/>
    <cellStyle name="40% - Accent3 11 4 2" xfId="5174" xr:uid="{00000000-0005-0000-0000-000008300000}"/>
    <cellStyle name="40% - Accent3 11 4 3" xfId="5175" xr:uid="{00000000-0005-0000-0000-000009300000}"/>
    <cellStyle name="40% - Accent3 11 5" xfId="5176" xr:uid="{00000000-0005-0000-0000-00000A300000}"/>
    <cellStyle name="40% - Accent3 11 5 2" xfId="5177" xr:uid="{00000000-0005-0000-0000-00000B300000}"/>
    <cellStyle name="40% - Accent3 11 5 3" xfId="5178" xr:uid="{00000000-0005-0000-0000-00000C300000}"/>
    <cellStyle name="40% - Accent3 11 6" xfId="5179" xr:uid="{00000000-0005-0000-0000-00000D300000}"/>
    <cellStyle name="40% - Accent3 11 6 2" xfId="5180" xr:uid="{00000000-0005-0000-0000-00000E300000}"/>
    <cellStyle name="40% - Accent3 11 6 3" xfId="5181" xr:uid="{00000000-0005-0000-0000-00000F300000}"/>
    <cellStyle name="40% - Accent3 11 7" xfId="5182" xr:uid="{00000000-0005-0000-0000-000010300000}"/>
    <cellStyle name="40% - Accent3 11 8" xfId="5183" xr:uid="{00000000-0005-0000-0000-000011300000}"/>
    <cellStyle name="40% - Accent3 11_Volatility" xfId="5184" xr:uid="{00000000-0005-0000-0000-000012300000}"/>
    <cellStyle name="40% - Accent3 12" xfId="5185" xr:uid="{00000000-0005-0000-0000-000013300000}"/>
    <cellStyle name="40% - Accent3 12 2" xfId="5186" xr:uid="{00000000-0005-0000-0000-000014300000}"/>
    <cellStyle name="40% - Accent3 12 2 2" xfId="5187" xr:uid="{00000000-0005-0000-0000-000015300000}"/>
    <cellStyle name="40% - Accent3 12 2 2 2" xfId="5188" xr:uid="{00000000-0005-0000-0000-000016300000}"/>
    <cellStyle name="40% - Accent3 12 2 2 3" xfId="5189" xr:uid="{00000000-0005-0000-0000-000017300000}"/>
    <cellStyle name="40% - Accent3 12 2 3" xfId="5190" xr:uid="{00000000-0005-0000-0000-000018300000}"/>
    <cellStyle name="40% - Accent3 12 2 3 2" xfId="5191" xr:uid="{00000000-0005-0000-0000-000019300000}"/>
    <cellStyle name="40% - Accent3 12 2 3 3" xfId="5192" xr:uid="{00000000-0005-0000-0000-00001A300000}"/>
    <cellStyle name="40% - Accent3 12 2 4" xfId="5193" xr:uid="{00000000-0005-0000-0000-00001B300000}"/>
    <cellStyle name="40% - Accent3 12 2 4 2" xfId="5194" xr:uid="{00000000-0005-0000-0000-00001C300000}"/>
    <cellStyle name="40% - Accent3 12 2 4 3" xfId="5195" xr:uid="{00000000-0005-0000-0000-00001D300000}"/>
    <cellStyle name="40% - Accent3 12 2 5" xfId="5196" xr:uid="{00000000-0005-0000-0000-00001E300000}"/>
    <cellStyle name="40% - Accent3 12 2 6" xfId="5197" xr:uid="{00000000-0005-0000-0000-00001F300000}"/>
    <cellStyle name="40% - Accent3 12 2_Volatility" xfId="5198" xr:uid="{00000000-0005-0000-0000-000020300000}"/>
    <cellStyle name="40% - Accent3 12 3" xfId="5199" xr:uid="{00000000-0005-0000-0000-000021300000}"/>
    <cellStyle name="40% - Accent3 12 3 2" xfId="5200" xr:uid="{00000000-0005-0000-0000-000022300000}"/>
    <cellStyle name="40% - Accent3 12 3 2 2" xfId="5201" xr:uid="{00000000-0005-0000-0000-000023300000}"/>
    <cellStyle name="40% - Accent3 12 3 2 3" xfId="5202" xr:uid="{00000000-0005-0000-0000-000024300000}"/>
    <cellStyle name="40% - Accent3 12 3 3" xfId="5203" xr:uid="{00000000-0005-0000-0000-000025300000}"/>
    <cellStyle name="40% - Accent3 12 3 3 2" xfId="5204" xr:uid="{00000000-0005-0000-0000-000026300000}"/>
    <cellStyle name="40% - Accent3 12 3 3 3" xfId="5205" xr:uid="{00000000-0005-0000-0000-000027300000}"/>
    <cellStyle name="40% - Accent3 12 3 4" xfId="5206" xr:uid="{00000000-0005-0000-0000-000028300000}"/>
    <cellStyle name="40% - Accent3 12 3 5" xfId="5207" xr:uid="{00000000-0005-0000-0000-000029300000}"/>
    <cellStyle name="40% - Accent3 12 3_Volatility" xfId="5208" xr:uid="{00000000-0005-0000-0000-00002A300000}"/>
    <cellStyle name="40% - Accent3 12 4" xfId="5209" xr:uid="{00000000-0005-0000-0000-00002B300000}"/>
    <cellStyle name="40% - Accent3 12 4 2" xfId="5210" xr:uid="{00000000-0005-0000-0000-00002C300000}"/>
    <cellStyle name="40% - Accent3 12 4 3" xfId="5211" xr:uid="{00000000-0005-0000-0000-00002D300000}"/>
    <cellStyle name="40% - Accent3 12 5" xfId="5212" xr:uid="{00000000-0005-0000-0000-00002E300000}"/>
    <cellStyle name="40% - Accent3 12 5 2" xfId="5213" xr:uid="{00000000-0005-0000-0000-00002F300000}"/>
    <cellStyle name="40% - Accent3 12 5 3" xfId="5214" xr:uid="{00000000-0005-0000-0000-000030300000}"/>
    <cellStyle name="40% - Accent3 12 6" xfId="5215" xr:uid="{00000000-0005-0000-0000-000031300000}"/>
    <cellStyle name="40% - Accent3 12 6 2" xfId="5216" xr:uid="{00000000-0005-0000-0000-000032300000}"/>
    <cellStyle name="40% - Accent3 12 6 3" xfId="5217" xr:uid="{00000000-0005-0000-0000-000033300000}"/>
    <cellStyle name="40% - Accent3 12 7" xfId="5218" xr:uid="{00000000-0005-0000-0000-000034300000}"/>
    <cellStyle name="40% - Accent3 12 8" xfId="5219" xr:uid="{00000000-0005-0000-0000-000035300000}"/>
    <cellStyle name="40% - Accent3 12_Volatility" xfId="5220" xr:uid="{00000000-0005-0000-0000-000036300000}"/>
    <cellStyle name="40% - Accent3 13" xfId="5221" xr:uid="{00000000-0005-0000-0000-000037300000}"/>
    <cellStyle name="40% - Accent3 13 2" xfId="5222" xr:uid="{00000000-0005-0000-0000-000038300000}"/>
    <cellStyle name="40% - Accent3 13 2 2" xfId="5223" xr:uid="{00000000-0005-0000-0000-000039300000}"/>
    <cellStyle name="40% - Accent3 13 2 2 2" xfId="5224" xr:uid="{00000000-0005-0000-0000-00003A300000}"/>
    <cellStyle name="40% - Accent3 13 2 2 3" xfId="5225" xr:uid="{00000000-0005-0000-0000-00003B300000}"/>
    <cellStyle name="40% - Accent3 13 2 3" xfId="5226" xr:uid="{00000000-0005-0000-0000-00003C300000}"/>
    <cellStyle name="40% - Accent3 13 2 3 2" xfId="5227" xr:uid="{00000000-0005-0000-0000-00003D300000}"/>
    <cellStyle name="40% - Accent3 13 2 3 3" xfId="5228" xr:uid="{00000000-0005-0000-0000-00003E300000}"/>
    <cellStyle name="40% - Accent3 13 2 4" xfId="5229" xr:uid="{00000000-0005-0000-0000-00003F300000}"/>
    <cellStyle name="40% - Accent3 13 2 4 2" xfId="5230" xr:uid="{00000000-0005-0000-0000-000040300000}"/>
    <cellStyle name="40% - Accent3 13 2 4 3" xfId="5231" xr:uid="{00000000-0005-0000-0000-000041300000}"/>
    <cellStyle name="40% - Accent3 13 2 5" xfId="5232" xr:uid="{00000000-0005-0000-0000-000042300000}"/>
    <cellStyle name="40% - Accent3 13 2 6" xfId="5233" xr:uid="{00000000-0005-0000-0000-000043300000}"/>
    <cellStyle name="40% - Accent3 13 2_Volatility" xfId="5234" xr:uid="{00000000-0005-0000-0000-000044300000}"/>
    <cellStyle name="40% - Accent3 13 3" xfId="5235" xr:uid="{00000000-0005-0000-0000-000045300000}"/>
    <cellStyle name="40% - Accent3 13 3 2" xfId="5236" xr:uid="{00000000-0005-0000-0000-000046300000}"/>
    <cellStyle name="40% - Accent3 13 3 2 2" xfId="5237" xr:uid="{00000000-0005-0000-0000-000047300000}"/>
    <cellStyle name="40% - Accent3 13 3 2 3" xfId="5238" xr:uid="{00000000-0005-0000-0000-000048300000}"/>
    <cellStyle name="40% - Accent3 13 3 3" xfId="5239" xr:uid="{00000000-0005-0000-0000-000049300000}"/>
    <cellStyle name="40% - Accent3 13 3 3 2" xfId="5240" xr:uid="{00000000-0005-0000-0000-00004A300000}"/>
    <cellStyle name="40% - Accent3 13 3 3 3" xfId="5241" xr:uid="{00000000-0005-0000-0000-00004B300000}"/>
    <cellStyle name="40% - Accent3 13 3 4" xfId="5242" xr:uid="{00000000-0005-0000-0000-00004C300000}"/>
    <cellStyle name="40% - Accent3 13 3 5" xfId="5243" xr:uid="{00000000-0005-0000-0000-00004D300000}"/>
    <cellStyle name="40% - Accent3 13 3_Volatility" xfId="5244" xr:uid="{00000000-0005-0000-0000-00004E300000}"/>
    <cellStyle name="40% - Accent3 13 4" xfId="5245" xr:uid="{00000000-0005-0000-0000-00004F300000}"/>
    <cellStyle name="40% - Accent3 13 4 2" xfId="5246" xr:uid="{00000000-0005-0000-0000-000050300000}"/>
    <cellStyle name="40% - Accent3 13 4 3" xfId="5247" xr:uid="{00000000-0005-0000-0000-000051300000}"/>
    <cellStyle name="40% - Accent3 13 5" xfId="5248" xr:uid="{00000000-0005-0000-0000-000052300000}"/>
    <cellStyle name="40% - Accent3 13 5 2" xfId="5249" xr:uid="{00000000-0005-0000-0000-000053300000}"/>
    <cellStyle name="40% - Accent3 13 5 3" xfId="5250" xr:uid="{00000000-0005-0000-0000-000054300000}"/>
    <cellStyle name="40% - Accent3 13 6" xfId="5251" xr:uid="{00000000-0005-0000-0000-000055300000}"/>
    <cellStyle name="40% - Accent3 13 6 2" xfId="5252" xr:uid="{00000000-0005-0000-0000-000056300000}"/>
    <cellStyle name="40% - Accent3 13 6 3" xfId="5253" xr:uid="{00000000-0005-0000-0000-000057300000}"/>
    <cellStyle name="40% - Accent3 13 7" xfId="5254" xr:uid="{00000000-0005-0000-0000-000058300000}"/>
    <cellStyle name="40% - Accent3 13 8" xfId="5255" xr:uid="{00000000-0005-0000-0000-000059300000}"/>
    <cellStyle name="40% - Accent3 13_Volatility" xfId="5256" xr:uid="{00000000-0005-0000-0000-00005A300000}"/>
    <cellStyle name="40% - Accent3 14" xfId="5257" xr:uid="{00000000-0005-0000-0000-00005B300000}"/>
    <cellStyle name="40% - Accent3 14 2" xfId="5258" xr:uid="{00000000-0005-0000-0000-00005C300000}"/>
    <cellStyle name="40% - Accent3 14 2 2" xfId="5259" xr:uid="{00000000-0005-0000-0000-00005D300000}"/>
    <cellStyle name="40% - Accent3 14 2 2 2" xfId="5260" xr:uid="{00000000-0005-0000-0000-00005E300000}"/>
    <cellStyle name="40% - Accent3 14 2 2 3" xfId="5261" xr:uid="{00000000-0005-0000-0000-00005F300000}"/>
    <cellStyle name="40% - Accent3 14 2 3" xfId="5262" xr:uid="{00000000-0005-0000-0000-000060300000}"/>
    <cellStyle name="40% - Accent3 14 2 3 2" xfId="5263" xr:uid="{00000000-0005-0000-0000-000061300000}"/>
    <cellStyle name="40% - Accent3 14 2 3 3" xfId="5264" xr:uid="{00000000-0005-0000-0000-000062300000}"/>
    <cellStyle name="40% - Accent3 14 2 4" xfId="5265" xr:uid="{00000000-0005-0000-0000-000063300000}"/>
    <cellStyle name="40% - Accent3 14 2 4 2" xfId="5266" xr:uid="{00000000-0005-0000-0000-000064300000}"/>
    <cellStyle name="40% - Accent3 14 2 4 3" xfId="5267" xr:uid="{00000000-0005-0000-0000-000065300000}"/>
    <cellStyle name="40% - Accent3 14 2 5" xfId="5268" xr:uid="{00000000-0005-0000-0000-000066300000}"/>
    <cellStyle name="40% - Accent3 14 2 6" xfId="5269" xr:uid="{00000000-0005-0000-0000-000067300000}"/>
    <cellStyle name="40% - Accent3 14 2_Volatility" xfId="5270" xr:uid="{00000000-0005-0000-0000-000068300000}"/>
    <cellStyle name="40% - Accent3 14 3" xfId="5271" xr:uid="{00000000-0005-0000-0000-000069300000}"/>
    <cellStyle name="40% - Accent3 14 3 2" xfId="5272" xr:uid="{00000000-0005-0000-0000-00006A300000}"/>
    <cellStyle name="40% - Accent3 14 3 2 2" xfId="5273" xr:uid="{00000000-0005-0000-0000-00006B300000}"/>
    <cellStyle name="40% - Accent3 14 3 2 3" xfId="5274" xr:uid="{00000000-0005-0000-0000-00006C300000}"/>
    <cellStyle name="40% - Accent3 14 3 3" xfId="5275" xr:uid="{00000000-0005-0000-0000-00006D300000}"/>
    <cellStyle name="40% - Accent3 14 3 3 2" xfId="5276" xr:uid="{00000000-0005-0000-0000-00006E300000}"/>
    <cellStyle name="40% - Accent3 14 3 3 3" xfId="5277" xr:uid="{00000000-0005-0000-0000-00006F300000}"/>
    <cellStyle name="40% - Accent3 14 3 4" xfId="5278" xr:uid="{00000000-0005-0000-0000-000070300000}"/>
    <cellStyle name="40% - Accent3 14 3 5" xfId="5279" xr:uid="{00000000-0005-0000-0000-000071300000}"/>
    <cellStyle name="40% - Accent3 14 3_Volatility" xfId="5280" xr:uid="{00000000-0005-0000-0000-000072300000}"/>
    <cellStyle name="40% - Accent3 14 4" xfId="5281" xr:uid="{00000000-0005-0000-0000-000073300000}"/>
    <cellStyle name="40% - Accent3 14 4 2" xfId="5282" xr:uid="{00000000-0005-0000-0000-000074300000}"/>
    <cellStyle name="40% - Accent3 14 4 3" xfId="5283" xr:uid="{00000000-0005-0000-0000-000075300000}"/>
    <cellStyle name="40% - Accent3 14 5" xfId="5284" xr:uid="{00000000-0005-0000-0000-000076300000}"/>
    <cellStyle name="40% - Accent3 14 5 2" xfId="5285" xr:uid="{00000000-0005-0000-0000-000077300000}"/>
    <cellStyle name="40% - Accent3 14 5 3" xfId="5286" xr:uid="{00000000-0005-0000-0000-000078300000}"/>
    <cellStyle name="40% - Accent3 14 6" xfId="5287" xr:uid="{00000000-0005-0000-0000-000079300000}"/>
    <cellStyle name="40% - Accent3 14 6 2" xfId="5288" xr:uid="{00000000-0005-0000-0000-00007A300000}"/>
    <cellStyle name="40% - Accent3 14 6 3" xfId="5289" xr:uid="{00000000-0005-0000-0000-00007B300000}"/>
    <cellStyle name="40% - Accent3 14 7" xfId="5290" xr:uid="{00000000-0005-0000-0000-00007C300000}"/>
    <cellStyle name="40% - Accent3 14 8" xfId="5291" xr:uid="{00000000-0005-0000-0000-00007D300000}"/>
    <cellStyle name="40% - Accent3 14_Volatility" xfId="5292" xr:uid="{00000000-0005-0000-0000-00007E300000}"/>
    <cellStyle name="40% - Accent3 15" xfId="5293" xr:uid="{00000000-0005-0000-0000-00007F300000}"/>
    <cellStyle name="40% - Accent3 15 2" xfId="5294" xr:uid="{00000000-0005-0000-0000-000080300000}"/>
    <cellStyle name="40% - Accent3 15 2 2" xfId="5295" xr:uid="{00000000-0005-0000-0000-000081300000}"/>
    <cellStyle name="40% - Accent3 15 2 2 2" xfId="5296" xr:uid="{00000000-0005-0000-0000-000082300000}"/>
    <cellStyle name="40% - Accent3 15 2 2 3" xfId="5297" xr:uid="{00000000-0005-0000-0000-000083300000}"/>
    <cellStyle name="40% - Accent3 15 2 3" xfId="5298" xr:uid="{00000000-0005-0000-0000-000084300000}"/>
    <cellStyle name="40% - Accent3 15 2 3 2" xfId="5299" xr:uid="{00000000-0005-0000-0000-000085300000}"/>
    <cellStyle name="40% - Accent3 15 2 3 3" xfId="5300" xr:uid="{00000000-0005-0000-0000-000086300000}"/>
    <cellStyle name="40% - Accent3 15 2 4" xfId="5301" xr:uid="{00000000-0005-0000-0000-000087300000}"/>
    <cellStyle name="40% - Accent3 15 2 4 2" xfId="5302" xr:uid="{00000000-0005-0000-0000-000088300000}"/>
    <cellStyle name="40% - Accent3 15 2 4 3" xfId="5303" xr:uid="{00000000-0005-0000-0000-000089300000}"/>
    <cellStyle name="40% - Accent3 15 2 5" xfId="5304" xr:uid="{00000000-0005-0000-0000-00008A300000}"/>
    <cellStyle name="40% - Accent3 15 2 6" xfId="5305" xr:uid="{00000000-0005-0000-0000-00008B300000}"/>
    <cellStyle name="40% - Accent3 15 2_Volatility" xfId="5306" xr:uid="{00000000-0005-0000-0000-00008C300000}"/>
    <cellStyle name="40% - Accent3 15 3" xfId="5307" xr:uid="{00000000-0005-0000-0000-00008D300000}"/>
    <cellStyle name="40% - Accent3 15 3 2" xfId="5308" xr:uid="{00000000-0005-0000-0000-00008E300000}"/>
    <cellStyle name="40% - Accent3 15 3 2 2" xfId="5309" xr:uid="{00000000-0005-0000-0000-00008F300000}"/>
    <cellStyle name="40% - Accent3 15 3 2 3" xfId="5310" xr:uid="{00000000-0005-0000-0000-000090300000}"/>
    <cellStyle name="40% - Accent3 15 3 3" xfId="5311" xr:uid="{00000000-0005-0000-0000-000091300000}"/>
    <cellStyle name="40% - Accent3 15 3 3 2" xfId="5312" xr:uid="{00000000-0005-0000-0000-000092300000}"/>
    <cellStyle name="40% - Accent3 15 3 3 3" xfId="5313" xr:uid="{00000000-0005-0000-0000-000093300000}"/>
    <cellStyle name="40% - Accent3 15 3 4" xfId="5314" xr:uid="{00000000-0005-0000-0000-000094300000}"/>
    <cellStyle name="40% - Accent3 15 3 5" xfId="5315" xr:uid="{00000000-0005-0000-0000-000095300000}"/>
    <cellStyle name="40% - Accent3 15 3_Volatility" xfId="5316" xr:uid="{00000000-0005-0000-0000-000096300000}"/>
    <cellStyle name="40% - Accent3 15 4" xfId="5317" xr:uid="{00000000-0005-0000-0000-000097300000}"/>
    <cellStyle name="40% - Accent3 15 4 2" xfId="5318" xr:uid="{00000000-0005-0000-0000-000098300000}"/>
    <cellStyle name="40% - Accent3 15 4 3" xfId="5319" xr:uid="{00000000-0005-0000-0000-000099300000}"/>
    <cellStyle name="40% - Accent3 15 5" xfId="5320" xr:uid="{00000000-0005-0000-0000-00009A300000}"/>
    <cellStyle name="40% - Accent3 15 5 2" xfId="5321" xr:uid="{00000000-0005-0000-0000-00009B300000}"/>
    <cellStyle name="40% - Accent3 15 5 3" xfId="5322" xr:uid="{00000000-0005-0000-0000-00009C300000}"/>
    <cellStyle name="40% - Accent3 15 6" xfId="5323" xr:uid="{00000000-0005-0000-0000-00009D300000}"/>
    <cellStyle name="40% - Accent3 15 6 2" xfId="5324" xr:uid="{00000000-0005-0000-0000-00009E300000}"/>
    <cellStyle name="40% - Accent3 15 6 3" xfId="5325" xr:uid="{00000000-0005-0000-0000-00009F300000}"/>
    <cellStyle name="40% - Accent3 15 7" xfId="5326" xr:uid="{00000000-0005-0000-0000-0000A0300000}"/>
    <cellStyle name="40% - Accent3 15 8" xfId="5327" xr:uid="{00000000-0005-0000-0000-0000A1300000}"/>
    <cellStyle name="40% - Accent3 15_Volatility" xfId="5328" xr:uid="{00000000-0005-0000-0000-0000A2300000}"/>
    <cellStyle name="40% - Accent3 16" xfId="5329" xr:uid="{00000000-0005-0000-0000-0000A3300000}"/>
    <cellStyle name="40% - Accent3 16 2" xfId="15933" xr:uid="{00000000-0005-0000-0000-0000A4300000}"/>
    <cellStyle name="40% - Accent3 16 3" xfId="19884" xr:uid="{00000000-0005-0000-0000-0000A5300000}"/>
    <cellStyle name="40% - Accent3 17" xfId="5330" xr:uid="{00000000-0005-0000-0000-0000A6300000}"/>
    <cellStyle name="40% - Accent3 17 2" xfId="15934" xr:uid="{00000000-0005-0000-0000-0000A7300000}"/>
    <cellStyle name="40% - Accent3 17 3" xfId="19885" xr:uid="{00000000-0005-0000-0000-0000A8300000}"/>
    <cellStyle name="40% - Accent3 18" xfId="5331" xr:uid="{00000000-0005-0000-0000-0000A9300000}"/>
    <cellStyle name="40% - Accent3 18 2" xfId="15935" xr:uid="{00000000-0005-0000-0000-0000AA300000}"/>
    <cellStyle name="40% - Accent3 18 3" xfId="19886" xr:uid="{00000000-0005-0000-0000-0000AB300000}"/>
    <cellStyle name="40% - Accent3 19" xfId="5332" xr:uid="{00000000-0005-0000-0000-0000AC300000}"/>
    <cellStyle name="40% - Accent3 19 2" xfId="15936" xr:uid="{00000000-0005-0000-0000-0000AD300000}"/>
    <cellStyle name="40% - Accent3 19 3" xfId="19887" xr:uid="{00000000-0005-0000-0000-0000AE300000}"/>
    <cellStyle name="40% - Accent3 2" xfId="5333" xr:uid="{00000000-0005-0000-0000-0000AF300000}"/>
    <cellStyle name="40% - Accent3 2 2" xfId="5334" xr:uid="{00000000-0005-0000-0000-0000B0300000}"/>
    <cellStyle name="40% - Accent3 2 2 2" xfId="5335" xr:uid="{00000000-0005-0000-0000-0000B1300000}"/>
    <cellStyle name="40% - Accent3 2 2 2 2" xfId="5336" xr:uid="{00000000-0005-0000-0000-0000B2300000}"/>
    <cellStyle name="40% - Accent3 2 2 2 3" xfId="5337" xr:uid="{00000000-0005-0000-0000-0000B3300000}"/>
    <cellStyle name="40% - Accent3 2 2 3" xfId="5338" xr:uid="{00000000-0005-0000-0000-0000B4300000}"/>
    <cellStyle name="40% - Accent3 2 2 3 2" xfId="5339" xr:uid="{00000000-0005-0000-0000-0000B5300000}"/>
    <cellStyle name="40% - Accent3 2 2 3 3" xfId="5340" xr:uid="{00000000-0005-0000-0000-0000B6300000}"/>
    <cellStyle name="40% - Accent3 2 2 4" xfId="5341" xr:uid="{00000000-0005-0000-0000-0000B7300000}"/>
    <cellStyle name="40% - Accent3 2 2 4 2" xfId="5342" xr:uid="{00000000-0005-0000-0000-0000B8300000}"/>
    <cellStyle name="40% - Accent3 2 2 4 3" xfId="5343" xr:uid="{00000000-0005-0000-0000-0000B9300000}"/>
    <cellStyle name="40% - Accent3 2 2 5" xfId="5344" xr:uid="{00000000-0005-0000-0000-0000BA300000}"/>
    <cellStyle name="40% - Accent3 2 2 6" xfId="5345" xr:uid="{00000000-0005-0000-0000-0000BB300000}"/>
    <cellStyle name="40% - Accent3 2 2_Volatility" xfId="5346" xr:uid="{00000000-0005-0000-0000-0000BC300000}"/>
    <cellStyle name="40% - Accent3 2 3" xfId="5347" xr:uid="{00000000-0005-0000-0000-0000BD300000}"/>
    <cellStyle name="40% - Accent3 2 3 2" xfId="5348" xr:uid="{00000000-0005-0000-0000-0000BE300000}"/>
    <cellStyle name="40% - Accent3 2 3 2 2" xfId="5349" xr:uid="{00000000-0005-0000-0000-0000BF300000}"/>
    <cellStyle name="40% - Accent3 2 3 2 3" xfId="5350" xr:uid="{00000000-0005-0000-0000-0000C0300000}"/>
    <cellStyle name="40% - Accent3 2 3 3" xfId="5351" xr:uid="{00000000-0005-0000-0000-0000C1300000}"/>
    <cellStyle name="40% - Accent3 2 3 3 2" xfId="5352" xr:uid="{00000000-0005-0000-0000-0000C2300000}"/>
    <cellStyle name="40% - Accent3 2 3 3 3" xfId="5353" xr:uid="{00000000-0005-0000-0000-0000C3300000}"/>
    <cellStyle name="40% - Accent3 2 3 4" xfId="5354" xr:uid="{00000000-0005-0000-0000-0000C4300000}"/>
    <cellStyle name="40% - Accent3 2 3 5" xfId="5355" xr:uid="{00000000-0005-0000-0000-0000C5300000}"/>
    <cellStyle name="40% - Accent3 2 3_Volatility" xfId="5356" xr:uid="{00000000-0005-0000-0000-0000C6300000}"/>
    <cellStyle name="40% - Accent3 2 4" xfId="5357" xr:uid="{00000000-0005-0000-0000-0000C7300000}"/>
    <cellStyle name="40% - Accent3 2 4 2" xfId="5358" xr:uid="{00000000-0005-0000-0000-0000C8300000}"/>
    <cellStyle name="40% - Accent3 2 4 3" xfId="5359" xr:uid="{00000000-0005-0000-0000-0000C9300000}"/>
    <cellStyle name="40% - Accent3 2 5" xfId="5360" xr:uid="{00000000-0005-0000-0000-0000CA300000}"/>
    <cellStyle name="40% - Accent3 2 5 2" xfId="5361" xr:uid="{00000000-0005-0000-0000-0000CB300000}"/>
    <cellStyle name="40% - Accent3 2 5 3" xfId="5362" xr:uid="{00000000-0005-0000-0000-0000CC300000}"/>
    <cellStyle name="40% - Accent3 2 6" xfId="5363" xr:uid="{00000000-0005-0000-0000-0000CD300000}"/>
    <cellStyle name="40% - Accent3 2 6 2" xfId="5364" xr:uid="{00000000-0005-0000-0000-0000CE300000}"/>
    <cellStyle name="40% - Accent3 2 6 3" xfId="5365" xr:uid="{00000000-0005-0000-0000-0000CF300000}"/>
    <cellStyle name="40% - Accent3 2 7" xfId="5366" xr:uid="{00000000-0005-0000-0000-0000D0300000}"/>
    <cellStyle name="40% - Accent3 2 8" xfId="5367" xr:uid="{00000000-0005-0000-0000-0000D1300000}"/>
    <cellStyle name="40% - Accent3 2_Volatility" xfId="5368" xr:uid="{00000000-0005-0000-0000-0000D2300000}"/>
    <cellStyle name="40% - Accent3 3" xfId="5369" xr:uid="{00000000-0005-0000-0000-0000D3300000}"/>
    <cellStyle name="40% - Accent3 3 2" xfId="5370" xr:uid="{00000000-0005-0000-0000-0000D4300000}"/>
    <cellStyle name="40% - Accent3 3 2 2" xfId="5371" xr:uid="{00000000-0005-0000-0000-0000D5300000}"/>
    <cellStyle name="40% - Accent3 3 2 2 2" xfId="5372" xr:uid="{00000000-0005-0000-0000-0000D6300000}"/>
    <cellStyle name="40% - Accent3 3 2 2 3" xfId="5373" xr:uid="{00000000-0005-0000-0000-0000D7300000}"/>
    <cellStyle name="40% - Accent3 3 2 3" xfId="5374" xr:uid="{00000000-0005-0000-0000-0000D8300000}"/>
    <cellStyle name="40% - Accent3 3 2 3 2" xfId="5375" xr:uid="{00000000-0005-0000-0000-0000D9300000}"/>
    <cellStyle name="40% - Accent3 3 2 3 3" xfId="5376" xr:uid="{00000000-0005-0000-0000-0000DA300000}"/>
    <cellStyle name="40% - Accent3 3 2 4" xfId="5377" xr:uid="{00000000-0005-0000-0000-0000DB300000}"/>
    <cellStyle name="40% - Accent3 3 2 4 2" xfId="5378" xr:uid="{00000000-0005-0000-0000-0000DC300000}"/>
    <cellStyle name="40% - Accent3 3 2 4 3" xfId="5379" xr:uid="{00000000-0005-0000-0000-0000DD300000}"/>
    <cellStyle name="40% - Accent3 3 2 5" xfId="5380" xr:uid="{00000000-0005-0000-0000-0000DE300000}"/>
    <cellStyle name="40% - Accent3 3 2 6" xfId="5381" xr:uid="{00000000-0005-0000-0000-0000DF300000}"/>
    <cellStyle name="40% - Accent3 3 2_Volatility" xfId="5382" xr:uid="{00000000-0005-0000-0000-0000E0300000}"/>
    <cellStyle name="40% - Accent3 3 3" xfId="5383" xr:uid="{00000000-0005-0000-0000-0000E1300000}"/>
    <cellStyle name="40% - Accent3 3 3 2" xfId="5384" xr:uid="{00000000-0005-0000-0000-0000E2300000}"/>
    <cellStyle name="40% - Accent3 3 3 2 2" xfId="5385" xr:uid="{00000000-0005-0000-0000-0000E3300000}"/>
    <cellStyle name="40% - Accent3 3 3 2 3" xfId="5386" xr:uid="{00000000-0005-0000-0000-0000E4300000}"/>
    <cellStyle name="40% - Accent3 3 3 3" xfId="5387" xr:uid="{00000000-0005-0000-0000-0000E5300000}"/>
    <cellStyle name="40% - Accent3 3 3 3 2" xfId="5388" xr:uid="{00000000-0005-0000-0000-0000E6300000}"/>
    <cellStyle name="40% - Accent3 3 3 3 3" xfId="5389" xr:uid="{00000000-0005-0000-0000-0000E7300000}"/>
    <cellStyle name="40% - Accent3 3 3 4" xfId="5390" xr:uid="{00000000-0005-0000-0000-0000E8300000}"/>
    <cellStyle name="40% - Accent3 3 3 5" xfId="5391" xr:uid="{00000000-0005-0000-0000-0000E9300000}"/>
    <cellStyle name="40% - Accent3 3 3_Volatility" xfId="5392" xr:uid="{00000000-0005-0000-0000-0000EA300000}"/>
    <cellStyle name="40% - Accent3 3 4" xfId="5393" xr:uid="{00000000-0005-0000-0000-0000EB300000}"/>
    <cellStyle name="40% - Accent3 3 4 2" xfId="5394" xr:uid="{00000000-0005-0000-0000-0000EC300000}"/>
    <cellStyle name="40% - Accent3 3 4 3" xfId="5395" xr:uid="{00000000-0005-0000-0000-0000ED300000}"/>
    <cellStyle name="40% - Accent3 3 5" xfId="5396" xr:uid="{00000000-0005-0000-0000-0000EE300000}"/>
    <cellStyle name="40% - Accent3 3 5 2" xfId="5397" xr:uid="{00000000-0005-0000-0000-0000EF300000}"/>
    <cellStyle name="40% - Accent3 3 5 3" xfId="5398" xr:uid="{00000000-0005-0000-0000-0000F0300000}"/>
    <cellStyle name="40% - Accent3 3 6" xfId="5399" xr:uid="{00000000-0005-0000-0000-0000F1300000}"/>
    <cellStyle name="40% - Accent3 3 6 2" xfId="5400" xr:uid="{00000000-0005-0000-0000-0000F2300000}"/>
    <cellStyle name="40% - Accent3 3 6 3" xfId="5401" xr:uid="{00000000-0005-0000-0000-0000F3300000}"/>
    <cellStyle name="40% - Accent3 3 7" xfId="5402" xr:uid="{00000000-0005-0000-0000-0000F4300000}"/>
    <cellStyle name="40% - Accent3 3 8" xfId="5403" xr:uid="{00000000-0005-0000-0000-0000F5300000}"/>
    <cellStyle name="40% - Accent3 3_Volatility" xfId="5404" xr:uid="{00000000-0005-0000-0000-0000F6300000}"/>
    <cellStyle name="40% - Accent3 4" xfId="5405" xr:uid="{00000000-0005-0000-0000-0000F7300000}"/>
    <cellStyle name="40% - Accent3 4 2" xfId="5406" xr:uid="{00000000-0005-0000-0000-0000F8300000}"/>
    <cellStyle name="40% - Accent3 4 2 2" xfId="5407" xr:uid="{00000000-0005-0000-0000-0000F9300000}"/>
    <cellStyle name="40% - Accent3 4 2 2 2" xfId="5408" xr:uid="{00000000-0005-0000-0000-0000FA300000}"/>
    <cellStyle name="40% - Accent3 4 2 2 3" xfId="5409" xr:uid="{00000000-0005-0000-0000-0000FB300000}"/>
    <cellStyle name="40% - Accent3 4 2 3" xfId="5410" xr:uid="{00000000-0005-0000-0000-0000FC300000}"/>
    <cellStyle name="40% - Accent3 4 2 3 2" xfId="5411" xr:uid="{00000000-0005-0000-0000-0000FD300000}"/>
    <cellStyle name="40% - Accent3 4 2 3 3" xfId="5412" xr:uid="{00000000-0005-0000-0000-0000FE300000}"/>
    <cellStyle name="40% - Accent3 4 2 4" xfId="5413" xr:uid="{00000000-0005-0000-0000-0000FF300000}"/>
    <cellStyle name="40% - Accent3 4 2 4 2" xfId="5414" xr:uid="{00000000-0005-0000-0000-000000310000}"/>
    <cellStyle name="40% - Accent3 4 2 4 3" xfId="5415" xr:uid="{00000000-0005-0000-0000-000001310000}"/>
    <cellStyle name="40% - Accent3 4 2 5" xfId="5416" xr:uid="{00000000-0005-0000-0000-000002310000}"/>
    <cellStyle name="40% - Accent3 4 2 6" xfId="5417" xr:uid="{00000000-0005-0000-0000-000003310000}"/>
    <cellStyle name="40% - Accent3 4 2_Volatility" xfId="5418" xr:uid="{00000000-0005-0000-0000-000004310000}"/>
    <cellStyle name="40% - Accent3 4 3" xfId="5419" xr:uid="{00000000-0005-0000-0000-000005310000}"/>
    <cellStyle name="40% - Accent3 4 3 2" xfId="5420" xr:uid="{00000000-0005-0000-0000-000006310000}"/>
    <cellStyle name="40% - Accent3 4 3 2 2" xfId="5421" xr:uid="{00000000-0005-0000-0000-000007310000}"/>
    <cellStyle name="40% - Accent3 4 3 2 3" xfId="5422" xr:uid="{00000000-0005-0000-0000-000008310000}"/>
    <cellStyle name="40% - Accent3 4 3 3" xfId="5423" xr:uid="{00000000-0005-0000-0000-000009310000}"/>
    <cellStyle name="40% - Accent3 4 3 3 2" xfId="5424" xr:uid="{00000000-0005-0000-0000-00000A310000}"/>
    <cellStyle name="40% - Accent3 4 3 3 3" xfId="5425" xr:uid="{00000000-0005-0000-0000-00000B310000}"/>
    <cellStyle name="40% - Accent3 4 3 4" xfId="5426" xr:uid="{00000000-0005-0000-0000-00000C310000}"/>
    <cellStyle name="40% - Accent3 4 3 5" xfId="5427" xr:uid="{00000000-0005-0000-0000-00000D310000}"/>
    <cellStyle name="40% - Accent3 4 3_Volatility" xfId="5428" xr:uid="{00000000-0005-0000-0000-00000E310000}"/>
    <cellStyle name="40% - Accent3 4 4" xfId="5429" xr:uid="{00000000-0005-0000-0000-00000F310000}"/>
    <cellStyle name="40% - Accent3 4 4 2" xfId="5430" xr:uid="{00000000-0005-0000-0000-000010310000}"/>
    <cellStyle name="40% - Accent3 4 4 3" xfId="5431" xr:uid="{00000000-0005-0000-0000-000011310000}"/>
    <cellStyle name="40% - Accent3 4 5" xfId="5432" xr:uid="{00000000-0005-0000-0000-000012310000}"/>
    <cellStyle name="40% - Accent3 4 5 2" xfId="5433" xr:uid="{00000000-0005-0000-0000-000013310000}"/>
    <cellStyle name="40% - Accent3 4 5 3" xfId="5434" xr:uid="{00000000-0005-0000-0000-000014310000}"/>
    <cellStyle name="40% - Accent3 4 6" xfId="5435" xr:uid="{00000000-0005-0000-0000-000015310000}"/>
    <cellStyle name="40% - Accent3 4 6 2" xfId="5436" xr:uid="{00000000-0005-0000-0000-000016310000}"/>
    <cellStyle name="40% - Accent3 4 6 3" xfId="5437" xr:uid="{00000000-0005-0000-0000-000017310000}"/>
    <cellStyle name="40% - Accent3 4 7" xfId="5438" xr:uid="{00000000-0005-0000-0000-000018310000}"/>
    <cellStyle name="40% - Accent3 4 8" xfId="5439" xr:uid="{00000000-0005-0000-0000-000019310000}"/>
    <cellStyle name="40% - Accent3 4_Volatility" xfId="5440" xr:uid="{00000000-0005-0000-0000-00001A310000}"/>
    <cellStyle name="40% - Accent3 5" xfId="5441" xr:uid="{00000000-0005-0000-0000-00001B310000}"/>
    <cellStyle name="40% - Accent3 5 2" xfId="5442" xr:uid="{00000000-0005-0000-0000-00001C310000}"/>
    <cellStyle name="40% - Accent3 5 2 2" xfId="5443" xr:uid="{00000000-0005-0000-0000-00001D310000}"/>
    <cellStyle name="40% - Accent3 5 2 2 2" xfId="5444" xr:uid="{00000000-0005-0000-0000-00001E310000}"/>
    <cellStyle name="40% - Accent3 5 2 2 3" xfId="5445" xr:uid="{00000000-0005-0000-0000-00001F310000}"/>
    <cellStyle name="40% - Accent3 5 2 3" xfId="5446" xr:uid="{00000000-0005-0000-0000-000020310000}"/>
    <cellStyle name="40% - Accent3 5 2 3 2" xfId="5447" xr:uid="{00000000-0005-0000-0000-000021310000}"/>
    <cellStyle name="40% - Accent3 5 2 3 3" xfId="5448" xr:uid="{00000000-0005-0000-0000-000022310000}"/>
    <cellStyle name="40% - Accent3 5 2 4" xfId="5449" xr:uid="{00000000-0005-0000-0000-000023310000}"/>
    <cellStyle name="40% - Accent3 5 2 4 2" xfId="5450" xr:uid="{00000000-0005-0000-0000-000024310000}"/>
    <cellStyle name="40% - Accent3 5 2 4 3" xfId="5451" xr:uid="{00000000-0005-0000-0000-000025310000}"/>
    <cellStyle name="40% - Accent3 5 2 5" xfId="5452" xr:uid="{00000000-0005-0000-0000-000026310000}"/>
    <cellStyle name="40% - Accent3 5 2 6" xfId="5453" xr:uid="{00000000-0005-0000-0000-000027310000}"/>
    <cellStyle name="40% - Accent3 5 2_Volatility" xfId="5454" xr:uid="{00000000-0005-0000-0000-000028310000}"/>
    <cellStyle name="40% - Accent3 5 3" xfId="5455" xr:uid="{00000000-0005-0000-0000-000029310000}"/>
    <cellStyle name="40% - Accent3 5 3 2" xfId="5456" xr:uid="{00000000-0005-0000-0000-00002A310000}"/>
    <cellStyle name="40% - Accent3 5 3 2 2" xfId="5457" xr:uid="{00000000-0005-0000-0000-00002B310000}"/>
    <cellStyle name="40% - Accent3 5 3 2 3" xfId="5458" xr:uid="{00000000-0005-0000-0000-00002C310000}"/>
    <cellStyle name="40% - Accent3 5 3 3" xfId="5459" xr:uid="{00000000-0005-0000-0000-00002D310000}"/>
    <cellStyle name="40% - Accent3 5 3 3 2" xfId="5460" xr:uid="{00000000-0005-0000-0000-00002E310000}"/>
    <cellStyle name="40% - Accent3 5 3 3 3" xfId="5461" xr:uid="{00000000-0005-0000-0000-00002F310000}"/>
    <cellStyle name="40% - Accent3 5 3 4" xfId="5462" xr:uid="{00000000-0005-0000-0000-000030310000}"/>
    <cellStyle name="40% - Accent3 5 3 5" xfId="5463" xr:uid="{00000000-0005-0000-0000-000031310000}"/>
    <cellStyle name="40% - Accent3 5 3_Volatility" xfId="5464" xr:uid="{00000000-0005-0000-0000-000032310000}"/>
    <cellStyle name="40% - Accent3 5 4" xfId="5465" xr:uid="{00000000-0005-0000-0000-000033310000}"/>
    <cellStyle name="40% - Accent3 5 4 2" xfId="5466" xr:uid="{00000000-0005-0000-0000-000034310000}"/>
    <cellStyle name="40% - Accent3 5 4 3" xfId="5467" xr:uid="{00000000-0005-0000-0000-000035310000}"/>
    <cellStyle name="40% - Accent3 5 5" xfId="5468" xr:uid="{00000000-0005-0000-0000-000036310000}"/>
    <cellStyle name="40% - Accent3 5 5 2" xfId="5469" xr:uid="{00000000-0005-0000-0000-000037310000}"/>
    <cellStyle name="40% - Accent3 5 5 3" xfId="5470" xr:uid="{00000000-0005-0000-0000-000038310000}"/>
    <cellStyle name="40% - Accent3 5 6" xfId="5471" xr:uid="{00000000-0005-0000-0000-000039310000}"/>
    <cellStyle name="40% - Accent3 5 6 2" xfId="5472" xr:uid="{00000000-0005-0000-0000-00003A310000}"/>
    <cellStyle name="40% - Accent3 5 6 3" xfId="5473" xr:uid="{00000000-0005-0000-0000-00003B310000}"/>
    <cellStyle name="40% - Accent3 5 7" xfId="5474" xr:uid="{00000000-0005-0000-0000-00003C310000}"/>
    <cellStyle name="40% - Accent3 5 8" xfId="5475" xr:uid="{00000000-0005-0000-0000-00003D310000}"/>
    <cellStyle name="40% - Accent3 5_Volatility" xfId="5476" xr:uid="{00000000-0005-0000-0000-00003E310000}"/>
    <cellStyle name="40% - Accent3 6" xfId="5477" xr:uid="{00000000-0005-0000-0000-00003F310000}"/>
    <cellStyle name="40% - Accent3 6 2" xfId="5478" xr:uid="{00000000-0005-0000-0000-000040310000}"/>
    <cellStyle name="40% - Accent3 6 2 2" xfId="5479" xr:uid="{00000000-0005-0000-0000-000041310000}"/>
    <cellStyle name="40% - Accent3 6 2 2 2" xfId="5480" xr:uid="{00000000-0005-0000-0000-000042310000}"/>
    <cellStyle name="40% - Accent3 6 2 2 3" xfId="5481" xr:uid="{00000000-0005-0000-0000-000043310000}"/>
    <cellStyle name="40% - Accent3 6 2 3" xfId="5482" xr:uid="{00000000-0005-0000-0000-000044310000}"/>
    <cellStyle name="40% - Accent3 6 2 3 2" xfId="5483" xr:uid="{00000000-0005-0000-0000-000045310000}"/>
    <cellStyle name="40% - Accent3 6 2 3 3" xfId="5484" xr:uid="{00000000-0005-0000-0000-000046310000}"/>
    <cellStyle name="40% - Accent3 6 2 4" xfId="5485" xr:uid="{00000000-0005-0000-0000-000047310000}"/>
    <cellStyle name="40% - Accent3 6 2 4 2" xfId="5486" xr:uid="{00000000-0005-0000-0000-000048310000}"/>
    <cellStyle name="40% - Accent3 6 2 4 3" xfId="5487" xr:uid="{00000000-0005-0000-0000-000049310000}"/>
    <cellStyle name="40% - Accent3 6 2 5" xfId="5488" xr:uid="{00000000-0005-0000-0000-00004A310000}"/>
    <cellStyle name="40% - Accent3 6 2 6" xfId="5489" xr:uid="{00000000-0005-0000-0000-00004B310000}"/>
    <cellStyle name="40% - Accent3 6 2_Volatility" xfId="5490" xr:uid="{00000000-0005-0000-0000-00004C310000}"/>
    <cellStyle name="40% - Accent3 6 3" xfId="5491" xr:uid="{00000000-0005-0000-0000-00004D310000}"/>
    <cellStyle name="40% - Accent3 6 3 2" xfId="5492" xr:uid="{00000000-0005-0000-0000-00004E310000}"/>
    <cellStyle name="40% - Accent3 6 3 2 2" xfId="5493" xr:uid="{00000000-0005-0000-0000-00004F310000}"/>
    <cellStyle name="40% - Accent3 6 3 2 3" xfId="5494" xr:uid="{00000000-0005-0000-0000-000050310000}"/>
    <cellStyle name="40% - Accent3 6 3 3" xfId="5495" xr:uid="{00000000-0005-0000-0000-000051310000}"/>
    <cellStyle name="40% - Accent3 6 3 3 2" xfId="5496" xr:uid="{00000000-0005-0000-0000-000052310000}"/>
    <cellStyle name="40% - Accent3 6 3 3 3" xfId="5497" xr:uid="{00000000-0005-0000-0000-000053310000}"/>
    <cellStyle name="40% - Accent3 6 3 4" xfId="5498" xr:uid="{00000000-0005-0000-0000-000054310000}"/>
    <cellStyle name="40% - Accent3 6 3 5" xfId="5499" xr:uid="{00000000-0005-0000-0000-000055310000}"/>
    <cellStyle name="40% - Accent3 6 3_Volatility" xfId="5500" xr:uid="{00000000-0005-0000-0000-000056310000}"/>
    <cellStyle name="40% - Accent3 6 4" xfId="5501" xr:uid="{00000000-0005-0000-0000-000057310000}"/>
    <cellStyle name="40% - Accent3 6 4 2" xfId="5502" xr:uid="{00000000-0005-0000-0000-000058310000}"/>
    <cellStyle name="40% - Accent3 6 4 3" xfId="5503" xr:uid="{00000000-0005-0000-0000-000059310000}"/>
    <cellStyle name="40% - Accent3 6 5" xfId="5504" xr:uid="{00000000-0005-0000-0000-00005A310000}"/>
    <cellStyle name="40% - Accent3 6 5 2" xfId="5505" xr:uid="{00000000-0005-0000-0000-00005B310000}"/>
    <cellStyle name="40% - Accent3 6 5 3" xfId="5506" xr:uid="{00000000-0005-0000-0000-00005C310000}"/>
    <cellStyle name="40% - Accent3 6 6" xfId="5507" xr:uid="{00000000-0005-0000-0000-00005D310000}"/>
    <cellStyle name="40% - Accent3 6 6 2" xfId="5508" xr:uid="{00000000-0005-0000-0000-00005E310000}"/>
    <cellStyle name="40% - Accent3 6 6 3" xfId="5509" xr:uid="{00000000-0005-0000-0000-00005F310000}"/>
    <cellStyle name="40% - Accent3 6 7" xfId="5510" xr:uid="{00000000-0005-0000-0000-000060310000}"/>
    <cellStyle name="40% - Accent3 6 8" xfId="5511" xr:uid="{00000000-0005-0000-0000-000061310000}"/>
    <cellStyle name="40% - Accent3 6_Volatility" xfId="5512" xr:uid="{00000000-0005-0000-0000-000062310000}"/>
    <cellStyle name="40% - Accent3 7" xfId="5513" xr:uid="{00000000-0005-0000-0000-000063310000}"/>
    <cellStyle name="40% - Accent3 7 2" xfId="5514" xr:uid="{00000000-0005-0000-0000-000064310000}"/>
    <cellStyle name="40% - Accent3 7 2 2" xfId="5515" xr:uid="{00000000-0005-0000-0000-000065310000}"/>
    <cellStyle name="40% - Accent3 7 2 2 2" xfId="5516" xr:uid="{00000000-0005-0000-0000-000066310000}"/>
    <cellStyle name="40% - Accent3 7 2 2 3" xfId="5517" xr:uid="{00000000-0005-0000-0000-000067310000}"/>
    <cellStyle name="40% - Accent3 7 2 3" xfId="5518" xr:uid="{00000000-0005-0000-0000-000068310000}"/>
    <cellStyle name="40% - Accent3 7 2 3 2" xfId="5519" xr:uid="{00000000-0005-0000-0000-000069310000}"/>
    <cellStyle name="40% - Accent3 7 2 3 3" xfId="5520" xr:uid="{00000000-0005-0000-0000-00006A310000}"/>
    <cellStyle name="40% - Accent3 7 2 4" xfId="5521" xr:uid="{00000000-0005-0000-0000-00006B310000}"/>
    <cellStyle name="40% - Accent3 7 2 4 2" xfId="5522" xr:uid="{00000000-0005-0000-0000-00006C310000}"/>
    <cellStyle name="40% - Accent3 7 2 4 3" xfId="5523" xr:uid="{00000000-0005-0000-0000-00006D310000}"/>
    <cellStyle name="40% - Accent3 7 2 5" xfId="5524" xr:uid="{00000000-0005-0000-0000-00006E310000}"/>
    <cellStyle name="40% - Accent3 7 2 6" xfId="5525" xr:uid="{00000000-0005-0000-0000-00006F310000}"/>
    <cellStyle name="40% - Accent3 7 2_Volatility" xfId="5526" xr:uid="{00000000-0005-0000-0000-000070310000}"/>
    <cellStyle name="40% - Accent3 7 3" xfId="5527" xr:uid="{00000000-0005-0000-0000-000071310000}"/>
    <cellStyle name="40% - Accent3 7 3 2" xfId="5528" xr:uid="{00000000-0005-0000-0000-000072310000}"/>
    <cellStyle name="40% - Accent3 7 3 2 2" xfId="5529" xr:uid="{00000000-0005-0000-0000-000073310000}"/>
    <cellStyle name="40% - Accent3 7 3 2 3" xfId="5530" xr:uid="{00000000-0005-0000-0000-000074310000}"/>
    <cellStyle name="40% - Accent3 7 3 3" xfId="5531" xr:uid="{00000000-0005-0000-0000-000075310000}"/>
    <cellStyle name="40% - Accent3 7 3 3 2" xfId="5532" xr:uid="{00000000-0005-0000-0000-000076310000}"/>
    <cellStyle name="40% - Accent3 7 3 3 3" xfId="5533" xr:uid="{00000000-0005-0000-0000-000077310000}"/>
    <cellStyle name="40% - Accent3 7 3 4" xfId="5534" xr:uid="{00000000-0005-0000-0000-000078310000}"/>
    <cellStyle name="40% - Accent3 7 3 5" xfId="5535" xr:uid="{00000000-0005-0000-0000-000079310000}"/>
    <cellStyle name="40% - Accent3 7 3_Volatility" xfId="5536" xr:uid="{00000000-0005-0000-0000-00007A310000}"/>
    <cellStyle name="40% - Accent3 7 4" xfId="5537" xr:uid="{00000000-0005-0000-0000-00007B310000}"/>
    <cellStyle name="40% - Accent3 7 4 2" xfId="5538" xr:uid="{00000000-0005-0000-0000-00007C310000}"/>
    <cellStyle name="40% - Accent3 7 4 3" xfId="5539" xr:uid="{00000000-0005-0000-0000-00007D310000}"/>
    <cellStyle name="40% - Accent3 7 5" xfId="5540" xr:uid="{00000000-0005-0000-0000-00007E310000}"/>
    <cellStyle name="40% - Accent3 7 5 2" xfId="5541" xr:uid="{00000000-0005-0000-0000-00007F310000}"/>
    <cellStyle name="40% - Accent3 7 5 3" xfId="5542" xr:uid="{00000000-0005-0000-0000-000080310000}"/>
    <cellStyle name="40% - Accent3 7 6" xfId="5543" xr:uid="{00000000-0005-0000-0000-000081310000}"/>
    <cellStyle name="40% - Accent3 7 6 2" xfId="5544" xr:uid="{00000000-0005-0000-0000-000082310000}"/>
    <cellStyle name="40% - Accent3 7 6 3" xfId="5545" xr:uid="{00000000-0005-0000-0000-000083310000}"/>
    <cellStyle name="40% - Accent3 7 7" xfId="5546" xr:uid="{00000000-0005-0000-0000-000084310000}"/>
    <cellStyle name="40% - Accent3 7 8" xfId="5547" xr:uid="{00000000-0005-0000-0000-000085310000}"/>
    <cellStyle name="40% - Accent3 7_Volatility" xfId="5548" xr:uid="{00000000-0005-0000-0000-000086310000}"/>
    <cellStyle name="40% - Accent3 8" xfId="5549" xr:uid="{00000000-0005-0000-0000-000087310000}"/>
    <cellStyle name="40% - Accent3 8 2" xfId="5550" xr:uid="{00000000-0005-0000-0000-000088310000}"/>
    <cellStyle name="40% - Accent3 8 2 2" xfId="5551" xr:uid="{00000000-0005-0000-0000-000089310000}"/>
    <cellStyle name="40% - Accent3 8 2 2 2" xfId="5552" xr:uid="{00000000-0005-0000-0000-00008A310000}"/>
    <cellStyle name="40% - Accent3 8 2 2 3" xfId="5553" xr:uid="{00000000-0005-0000-0000-00008B310000}"/>
    <cellStyle name="40% - Accent3 8 2 3" xfId="5554" xr:uid="{00000000-0005-0000-0000-00008C310000}"/>
    <cellStyle name="40% - Accent3 8 2 3 2" xfId="5555" xr:uid="{00000000-0005-0000-0000-00008D310000}"/>
    <cellStyle name="40% - Accent3 8 2 3 3" xfId="5556" xr:uid="{00000000-0005-0000-0000-00008E310000}"/>
    <cellStyle name="40% - Accent3 8 2 4" xfId="5557" xr:uid="{00000000-0005-0000-0000-00008F310000}"/>
    <cellStyle name="40% - Accent3 8 2 4 2" xfId="5558" xr:uid="{00000000-0005-0000-0000-000090310000}"/>
    <cellStyle name="40% - Accent3 8 2 4 3" xfId="5559" xr:uid="{00000000-0005-0000-0000-000091310000}"/>
    <cellStyle name="40% - Accent3 8 2 5" xfId="5560" xr:uid="{00000000-0005-0000-0000-000092310000}"/>
    <cellStyle name="40% - Accent3 8 2 6" xfId="5561" xr:uid="{00000000-0005-0000-0000-000093310000}"/>
    <cellStyle name="40% - Accent3 8 2_Volatility" xfId="5562" xr:uid="{00000000-0005-0000-0000-000094310000}"/>
    <cellStyle name="40% - Accent3 8 3" xfId="5563" xr:uid="{00000000-0005-0000-0000-000095310000}"/>
    <cellStyle name="40% - Accent3 8 3 2" xfId="5564" xr:uid="{00000000-0005-0000-0000-000096310000}"/>
    <cellStyle name="40% - Accent3 8 3 2 2" xfId="5565" xr:uid="{00000000-0005-0000-0000-000097310000}"/>
    <cellStyle name="40% - Accent3 8 3 2 3" xfId="5566" xr:uid="{00000000-0005-0000-0000-000098310000}"/>
    <cellStyle name="40% - Accent3 8 3 3" xfId="5567" xr:uid="{00000000-0005-0000-0000-000099310000}"/>
    <cellStyle name="40% - Accent3 8 3 3 2" xfId="5568" xr:uid="{00000000-0005-0000-0000-00009A310000}"/>
    <cellStyle name="40% - Accent3 8 3 3 3" xfId="5569" xr:uid="{00000000-0005-0000-0000-00009B310000}"/>
    <cellStyle name="40% - Accent3 8 3 4" xfId="5570" xr:uid="{00000000-0005-0000-0000-00009C310000}"/>
    <cellStyle name="40% - Accent3 8 3 5" xfId="5571" xr:uid="{00000000-0005-0000-0000-00009D310000}"/>
    <cellStyle name="40% - Accent3 8 3_Volatility" xfId="5572" xr:uid="{00000000-0005-0000-0000-00009E310000}"/>
    <cellStyle name="40% - Accent3 8 4" xfId="5573" xr:uid="{00000000-0005-0000-0000-00009F310000}"/>
    <cellStyle name="40% - Accent3 8 4 2" xfId="5574" xr:uid="{00000000-0005-0000-0000-0000A0310000}"/>
    <cellStyle name="40% - Accent3 8 4 3" xfId="5575" xr:uid="{00000000-0005-0000-0000-0000A1310000}"/>
    <cellStyle name="40% - Accent3 8 5" xfId="5576" xr:uid="{00000000-0005-0000-0000-0000A2310000}"/>
    <cellStyle name="40% - Accent3 8 5 2" xfId="5577" xr:uid="{00000000-0005-0000-0000-0000A3310000}"/>
    <cellStyle name="40% - Accent3 8 5 3" xfId="5578" xr:uid="{00000000-0005-0000-0000-0000A4310000}"/>
    <cellStyle name="40% - Accent3 8 6" xfId="5579" xr:uid="{00000000-0005-0000-0000-0000A5310000}"/>
    <cellStyle name="40% - Accent3 8 6 2" xfId="5580" xr:uid="{00000000-0005-0000-0000-0000A6310000}"/>
    <cellStyle name="40% - Accent3 8 6 3" xfId="5581" xr:uid="{00000000-0005-0000-0000-0000A7310000}"/>
    <cellStyle name="40% - Accent3 8 7" xfId="5582" xr:uid="{00000000-0005-0000-0000-0000A8310000}"/>
    <cellStyle name="40% - Accent3 8 8" xfId="5583" xr:uid="{00000000-0005-0000-0000-0000A9310000}"/>
    <cellStyle name="40% - Accent3 8_Volatility" xfId="5584" xr:uid="{00000000-0005-0000-0000-0000AA310000}"/>
    <cellStyle name="40% - Accent3 9" xfId="5585" xr:uid="{00000000-0005-0000-0000-0000AB310000}"/>
    <cellStyle name="40% - Accent3 9 2" xfId="5586" xr:uid="{00000000-0005-0000-0000-0000AC310000}"/>
    <cellStyle name="40% - Accent3 9 2 2" xfId="5587" xr:uid="{00000000-0005-0000-0000-0000AD310000}"/>
    <cellStyle name="40% - Accent3 9 2 2 2" xfId="5588" xr:uid="{00000000-0005-0000-0000-0000AE310000}"/>
    <cellStyle name="40% - Accent3 9 2 2 3" xfId="5589" xr:uid="{00000000-0005-0000-0000-0000AF310000}"/>
    <cellStyle name="40% - Accent3 9 2 3" xfId="5590" xr:uid="{00000000-0005-0000-0000-0000B0310000}"/>
    <cellStyle name="40% - Accent3 9 2 3 2" xfId="5591" xr:uid="{00000000-0005-0000-0000-0000B1310000}"/>
    <cellStyle name="40% - Accent3 9 2 3 3" xfId="5592" xr:uid="{00000000-0005-0000-0000-0000B2310000}"/>
    <cellStyle name="40% - Accent3 9 2 4" xfId="5593" xr:uid="{00000000-0005-0000-0000-0000B3310000}"/>
    <cellStyle name="40% - Accent3 9 2 4 2" xfId="5594" xr:uid="{00000000-0005-0000-0000-0000B4310000}"/>
    <cellStyle name="40% - Accent3 9 2 4 3" xfId="5595" xr:uid="{00000000-0005-0000-0000-0000B5310000}"/>
    <cellStyle name="40% - Accent3 9 2 5" xfId="5596" xr:uid="{00000000-0005-0000-0000-0000B6310000}"/>
    <cellStyle name="40% - Accent3 9 2 6" xfId="5597" xr:uid="{00000000-0005-0000-0000-0000B7310000}"/>
    <cellStyle name="40% - Accent3 9 2_Volatility" xfId="5598" xr:uid="{00000000-0005-0000-0000-0000B8310000}"/>
    <cellStyle name="40% - Accent3 9 3" xfId="5599" xr:uid="{00000000-0005-0000-0000-0000B9310000}"/>
    <cellStyle name="40% - Accent3 9 3 2" xfId="5600" xr:uid="{00000000-0005-0000-0000-0000BA310000}"/>
    <cellStyle name="40% - Accent3 9 3 2 2" xfId="5601" xr:uid="{00000000-0005-0000-0000-0000BB310000}"/>
    <cellStyle name="40% - Accent3 9 3 2 3" xfId="5602" xr:uid="{00000000-0005-0000-0000-0000BC310000}"/>
    <cellStyle name="40% - Accent3 9 3 3" xfId="5603" xr:uid="{00000000-0005-0000-0000-0000BD310000}"/>
    <cellStyle name="40% - Accent3 9 3 3 2" xfId="5604" xr:uid="{00000000-0005-0000-0000-0000BE310000}"/>
    <cellStyle name="40% - Accent3 9 3 3 3" xfId="5605" xr:uid="{00000000-0005-0000-0000-0000BF310000}"/>
    <cellStyle name="40% - Accent3 9 3 4" xfId="5606" xr:uid="{00000000-0005-0000-0000-0000C0310000}"/>
    <cellStyle name="40% - Accent3 9 3 5" xfId="5607" xr:uid="{00000000-0005-0000-0000-0000C1310000}"/>
    <cellStyle name="40% - Accent3 9 3_Volatility" xfId="5608" xr:uid="{00000000-0005-0000-0000-0000C2310000}"/>
    <cellStyle name="40% - Accent3 9 4" xfId="5609" xr:uid="{00000000-0005-0000-0000-0000C3310000}"/>
    <cellStyle name="40% - Accent3 9 4 2" xfId="5610" xr:uid="{00000000-0005-0000-0000-0000C4310000}"/>
    <cellStyle name="40% - Accent3 9 4 3" xfId="5611" xr:uid="{00000000-0005-0000-0000-0000C5310000}"/>
    <cellStyle name="40% - Accent3 9 5" xfId="5612" xr:uid="{00000000-0005-0000-0000-0000C6310000}"/>
    <cellStyle name="40% - Accent3 9 5 2" xfId="5613" xr:uid="{00000000-0005-0000-0000-0000C7310000}"/>
    <cellStyle name="40% - Accent3 9 5 3" xfId="5614" xr:uid="{00000000-0005-0000-0000-0000C8310000}"/>
    <cellStyle name="40% - Accent3 9 6" xfId="5615" xr:uid="{00000000-0005-0000-0000-0000C9310000}"/>
    <cellStyle name="40% - Accent3 9 6 2" xfId="5616" xr:uid="{00000000-0005-0000-0000-0000CA310000}"/>
    <cellStyle name="40% - Accent3 9 6 3" xfId="5617" xr:uid="{00000000-0005-0000-0000-0000CB310000}"/>
    <cellStyle name="40% - Accent3 9 7" xfId="5618" xr:uid="{00000000-0005-0000-0000-0000CC310000}"/>
    <cellStyle name="40% - Accent3 9 8" xfId="5619" xr:uid="{00000000-0005-0000-0000-0000CD310000}"/>
    <cellStyle name="40% - Accent3 9_Volatility" xfId="5620" xr:uid="{00000000-0005-0000-0000-0000CE310000}"/>
    <cellStyle name="40% - Accent4 10" xfId="5621" xr:uid="{00000000-0005-0000-0000-0000CF310000}"/>
    <cellStyle name="40% - Accent4 10 2" xfId="5622" xr:uid="{00000000-0005-0000-0000-0000D0310000}"/>
    <cellStyle name="40% - Accent4 10 2 2" xfId="5623" xr:uid="{00000000-0005-0000-0000-0000D1310000}"/>
    <cellStyle name="40% - Accent4 10 2 2 2" xfId="5624" xr:uid="{00000000-0005-0000-0000-0000D2310000}"/>
    <cellStyle name="40% - Accent4 10 2 2 3" xfId="5625" xr:uid="{00000000-0005-0000-0000-0000D3310000}"/>
    <cellStyle name="40% - Accent4 10 2 3" xfId="5626" xr:uid="{00000000-0005-0000-0000-0000D4310000}"/>
    <cellStyle name="40% - Accent4 10 2 3 2" xfId="5627" xr:uid="{00000000-0005-0000-0000-0000D5310000}"/>
    <cellStyle name="40% - Accent4 10 2 3 3" xfId="5628" xr:uid="{00000000-0005-0000-0000-0000D6310000}"/>
    <cellStyle name="40% - Accent4 10 2 4" xfId="5629" xr:uid="{00000000-0005-0000-0000-0000D7310000}"/>
    <cellStyle name="40% - Accent4 10 2 4 2" xfId="5630" xr:uid="{00000000-0005-0000-0000-0000D8310000}"/>
    <cellStyle name="40% - Accent4 10 2 4 3" xfId="5631" xr:uid="{00000000-0005-0000-0000-0000D9310000}"/>
    <cellStyle name="40% - Accent4 10 2 5" xfId="5632" xr:uid="{00000000-0005-0000-0000-0000DA310000}"/>
    <cellStyle name="40% - Accent4 10 2 6" xfId="5633" xr:uid="{00000000-0005-0000-0000-0000DB310000}"/>
    <cellStyle name="40% - Accent4 10 2_Volatility" xfId="5634" xr:uid="{00000000-0005-0000-0000-0000DC310000}"/>
    <cellStyle name="40% - Accent4 10 3" xfId="5635" xr:uid="{00000000-0005-0000-0000-0000DD310000}"/>
    <cellStyle name="40% - Accent4 10 3 2" xfId="5636" xr:uid="{00000000-0005-0000-0000-0000DE310000}"/>
    <cellStyle name="40% - Accent4 10 3 2 2" xfId="5637" xr:uid="{00000000-0005-0000-0000-0000DF310000}"/>
    <cellStyle name="40% - Accent4 10 3 2 3" xfId="5638" xr:uid="{00000000-0005-0000-0000-0000E0310000}"/>
    <cellStyle name="40% - Accent4 10 3 3" xfId="5639" xr:uid="{00000000-0005-0000-0000-0000E1310000}"/>
    <cellStyle name="40% - Accent4 10 3 3 2" xfId="5640" xr:uid="{00000000-0005-0000-0000-0000E2310000}"/>
    <cellStyle name="40% - Accent4 10 3 3 3" xfId="5641" xr:uid="{00000000-0005-0000-0000-0000E3310000}"/>
    <cellStyle name="40% - Accent4 10 3 4" xfId="5642" xr:uid="{00000000-0005-0000-0000-0000E4310000}"/>
    <cellStyle name="40% - Accent4 10 3 5" xfId="5643" xr:uid="{00000000-0005-0000-0000-0000E5310000}"/>
    <cellStyle name="40% - Accent4 10 3_Volatility" xfId="5644" xr:uid="{00000000-0005-0000-0000-0000E6310000}"/>
    <cellStyle name="40% - Accent4 10 4" xfId="5645" xr:uid="{00000000-0005-0000-0000-0000E7310000}"/>
    <cellStyle name="40% - Accent4 10 4 2" xfId="5646" xr:uid="{00000000-0005-0000-0000-0000E8310000}"/>
    <cellStyle name="40% - Accent4 10 4 3" xfId="5647" xr:uid="{00000000-0005-0000-0000-0000E9310000}"/>
    <cellStyle name="40% - Accent4 10 5" xfId="5648" xr:uid="{00000000-0005-0000-0000-0000EA310000}"/>
    <cellStyle name="40% - Accent4 10 5 2" xfId="5649" xr:uid="{00000000-0005-0000-0000-0000EB310000}"/>
    <cellStyle name="40% - Accent4 10 5 3" xfId="5650" xr:uid="{00000000-0005-0000-0000-0000EC310000}"/>
    <cellStyle name="40% - Accent4 10 6" xfId="5651" xr:uid="{00000000-0005-0000-0000-0000ED310000}"/>
    <cellStyle name="40% - Accent4 10 6 2" xfId="5652" xr:uid="{00000000-0005-0000-0000-0000EE310000}"/>
    <cellStyle name="40% - Accent4 10 6 3" xfId="5653" xr:uid="{00000000-0005-0000-0000-0000EF310000}"/>
    <cellStyle name="40% - Accent4 10 7" xfId="5654" xr:uid="{00000000-0005-0000-0000-0000F0310000}"/>
    <cellStyle name="40% - Accent4 10 8" xfId="5655" xr:uid="{00000000-0005-0000-0000-0000F1310000}"/>
    <cellStyle name="40% - Accent4 10_Volatility" xfId="5656" xr:uid="{00000000-0005-0000-0000-0000F2310000}"/>
    <cellStyle name="40% - Accent4 11" xfId="5657" xr:uid="{00000000-0005-0000-0000-0000F3310000}"/>
    <cellStyle name="40% - Accent4 11 2" xfId="5658" xr:uid="{00000000-0005-0000-0000-0000F4310000}"/>
    <cellStyle name="40% - Accent4 11 2 2" xfId="5659" xr:uid="{00000000-0005-0000-0000-0000F5310000}"/>
    <cellStyle name="40% - Accent4 11 2 2 2" xfId="5660" xr:uid="{00000000-0005-0000-0000-0000F6310000}"/>
    <cellStyle name="40% - Accent4 11 2 2 3" xfId="5661" xr:uid="{00000000-0005-0000-0000-0000F7310000}"/>
    <cellStyle name="40% - Accent4 11 2 3" xfId="5662" xr:uid="{00000000-0005-0000-0000-0000F8310000}"/>
    <cellStyle name="40% - Accent4 11 2 3 2" xfId="5663" xr:uid="{00000000-0005-0000-0000-0000F9310000}"/>
    <cellStyle name="40% - Accent4 11 2 3 3" xfId="5664" xr:uid="{00000000-0005-0000-0000-0000FA310000}"/>
    <cellStyle name="40% - Accent4 11 2 4" xfId="5665" xr:uid="{00000000-0005-0000-0000-0000FB310000}"/>
    <cellStyle name="40% - Accent4 11 2 4 2" xfId="5666" xr:uid="{00000000-0005-0000-0000-0000FC310000}"/>
    <cellStyle name="40% - Accent4 11 2 4 3" xfId="5667" xr:uid="{00000000-0005-0000-0000-0000FD310000}"/>
    <cellStyle name="40% - Accent4 11 2 5" xfId="5668" xr:uid="{00000000-0005-0000-0000-0000FE310000}"/>
    <cellStyle name="40% - Accent4 11 2 6" xfId="5669" xr:uid="{00000000-0005-0000-0000-0000FF310000}"/>
    <cellStyle name="40% - Accent4 11 2_Volatility" xfId="5670" xr:uid="{00000000-0005-0000-0000-000000320000}"/>
    <cellStyle name="40% - Accent4 11 3" xfId="5671" xr:uid="{00000000-0005-0000-0000-000001320000}"/>
    <cellStyle name="40% - Accent4 11 3 2" xfId="5672" xr:uid="{00000000-0005-0000-0000-000002320000}"/>
    <cellStyle name="40% - Accent4 11 3 2 2" xfId="5673" xr:uid="{00000000-0005-0000-0000-000003320000}"/>
    <cellStyle name="40% - Accent4 11 3 2 3" xfId="5674" xr:uid="{00000000-0005-0000-0000-000004320000}"/>
    <cellStyle name="40% - Accent4 11 3 3" xfId="5675" xr:uid="{00000000-0005-0000-0000-000005320000}"/>
    <cellStyle name="40% - Accent4 11 3 3 2" xfId="5676" xr:uid="{00000000-0005-0000-0000-000006320000}"/>
    <cellStyle name="40% - Accent4 11 3 3 3" xfId="5677" xr:uid="{00000000-0005-0000-0000-000007320000}"/>
    <cellStyle name="40% - Accent4 11 3 4" xfId="5678" xr:uid="{00000000-0005-0000-0000-000008320000}"/>
    <cellStyle name="40% - Accent4 11 3 5" xfId="5679" xr:uid="{00000000-0005-0000-0000-000009320000}"/>
    <cellStyle name="40% - Accent4 11 3_Volatility" xfId="5680" xr:uid="{00000000-0005-0000-0000-00000A320000}"/>
    <cellStyle name="40% - Accent4 11 4" xfId="5681" xr:uid="{00000000-0005-0000-0000-00000B320000}"/>
    <cellStyle name="40% - Accent4 11 4 2" xfId="5682" xr:uid="{00000000-0005-0000-0000-00000C320000}"/>
    <cellStyle name="40% - Accent4 11 4 3" xfId="5683" xr:uid="{00000000-0005-0000-0000-00000D320000}"/>
    <cellStyle name="40% - Accent4 11 5" xfId="5684" xr:uid="{00000000-0005-0000-0000-00000E320000}"/>
    <cellStyle name="40% - Accent4 11 5 2" xfId="5685" xr:uid="{00000000-0005-0000-0000-00000F320000}"/>
    <cellStyle name="40% - Accent4 11 5 3" xfId="5686" xr:uid="{00000000-0005-0000-0000-000010320000}"/>
    <cellStyle name="40% - Accent4 11 6" xfId="5687" xr:uid="{00000000-0005-0000-0000-000011320000}"/>
    <cellStyle name="40% - Accent4 11 6 2" xfId="5688" xr:uid="{00000000-0005-0000-0000-000012320000}"/>
    <cellStyle name="40% - Accent4 11 6 3" xfId="5689" xr:uid="{00000000-0005-0000-0000-000013320000}"/>
    <cellStyle name="40% - Accent4 11 7" xfId="5690" xr:uid="{00000000-0005-0000-0000-000014320000}"/>
    <cellStyle name="40% - Accent4 11 8" xfId="5691" xr:uid="{00000000-0005-0000-0000-000015320000}"/>
    <cellStyle name="40% - Accent4 11_Volatility" xfId="5692" xr:uid="{00000000-0005-0000-0000-000016320000}"/>
    <cellStyle name="40% - Accent4 12" xfId="5693" xr:uid="{00000000-0005-0000-0000-000017320000}"/>
    <cellStyle name="40% - Accent4 12 2" xfId="5694" xr:uid="{00000000-0005-0000-0000-000018320000}"/>
    <cellStyle name="40% - Accent4 12 2 2" xfId="5695" xr:uid="{00000000-0005-0000-0000-000019320000}"/>
    <cellStyle name="40% - Accent4 12 2 2 2" xfId="5696" xr:uid="{00000000-0005-0000-0000-00001A320000}"/>
    <cellStyle name="40% - Accent4 12 2 2 3" xfId="5697" xr:uid="{00000000-0005-0000-0000-00001B320000}"/>
    <cellStyle name="40% - Accent4 12 2 3" xfId="5698" xr:uid="{00000000-0005-0000-0000-00001C320000}"/>
    <cellStyle name="40% - Accent4 12 2 3 2" xfId="5699" xr:uid="{00000000-0005-0000-0000-00001D320000}"/>
    <cellStyle name="40% - Accent4 12 2 3 3" xfId="5700" xr:uid="{00000000-0005-0000-0000-00001E320000}"/>
    <cellStyle name="40% - Accent4 12 2 4" xfId="5701" xr:uid="{00000000-0005-0000-0000-00001F320000}"/>
    <cellStyle name="40% - Accent4 12 2 4 2" xfId="5702" xr:uid="{00000000-0005-0000-0000-000020320000}"/>
    <cellStyle name="40% - Accent4 12 2 4 3" xfId="5703" xr:uid="{00000000-0005-0000-0000-000021320000}"/>
    <cellStyle name="40% - Accent4 12 2 5" xfId="5704" xr:uid="{00000000-0005-0000-0000-000022320000}"/>
    <cellStyle name="40% - Accent4 12 2 6" xfId="5705" xr:uid="{00000000-0005-0000-0000-000023320000}"/>
    <cellStyle name="40% - Accent4 12 2_Volatility" xfId="5706" xr:uid="{00000000-0005-0000-0000-000024320000}"/>
    <cellStyle name="40% - Accent4 12 3" xfId="5707" xr:uid="{00000000-0005-0000-0000-000025320000}"/>
    <cellStyle name="40% - Accent4 12 3 2" xfId="5708" xr:uid="{00000000-0005-0000-0000-000026320000}"/>
    <cellStyle name="40% - Accent4 12 3 2 2" xfId="5709" xr:uid="{00000000-0005-0000-0000-000027320000}"/>
    <cellStyle name="40% - Accent4 12 3 2 3" xfId="5710" xr:uid="{00000000-0005-0000-0000-000028320000}"/>
    <cellStyle name="40% - Accent4 12 3 3" xfId="5711" xr:uid="{00000000-0005-0000-0000-000029320000}"/>
    <cellStyle name="40% - Accent4 12 3 3 2" xfId="5712" xr:uid="{00000000-0005-0000-0000-00002A320000}"/>
    <cellStyle name="40% - Accent4 12 3 3 3" xfId="5713" xr:uid="{00000000-0005-0000-0000-00002B320000}"/>
    <cellStyle name="40% - Accent4 12 3 4" xfId="5714" xr:uid="{00000000-0005-0000-0000-00002C320000}"/>
    <cellStyle name="40% - Accent4 12 3 5" xfId="5715" xr:uid="{00000000-0005-0000-0000-00002D320000}"/>
    <cellStyle name="40% - Accent4 12 3_Volatility" xfId="5716" xr:uid="{00000000-0005-0000-0000-00002E320000}"/>
    <cellStyle name="40% - Accent4 12 4" xfId="5717" xr:uid="{00000000-0005-0000-0000-00002F320000}"/>
    <cellStyle name="40% - Accent4 12 4 2" xfId="5718" xr:uid="{00000000-0005-0000-0000-000030320000}"/>
    <cellStyle name="40% - Accent4 12 4 3" xfId="5719" xr:uid="{00000000-0005-0000-0000-000031320000}"/>
    <cellStyle name="40% - Accent4 12 5" xfId="5720" xr:uid="{00000000-0005-0000-0000-000032320000}"/>
    <cellStyle name="40% - Accent4 12 5 2" xfId="5721" xr:uid="{00000000-0005-0000-0000-000033320000}"/>
    <cellStyle name="40% - Accent4 12 5 3" xfId="5722" xr:uid="{00000000-0005-0000-0000-000034320000}"/>
    <cellStyle name="40% - Accent4 12 6" xfId="5723" xr:uid="{00000000-0005-0000-0000-000035320000}"/>
    <cellStyle name="40% - Accent4 12 6 2" xfId="5724" xr:uid="{00000000-0005-0000-0000-000036320000}"/>
    <cellStyle name="40% - Accent4 12 6 3" xfId="5725" xr:uid="{00000000-0005-0000-0000-000037320000}"/>
    <cellStyle name="40% - Accent4 12 7" xfId="5726" xr:uid="{00000000-0005-0000-0000-000038320000}"/>
    <cellStyle name="40% - Accent4 12 8" xfId="5727" xr:uid="{00000000-0005-0000-0000-000039320000}"/>
    <cellStyle name="40% - Accent4 12_Volatility" xfId="5728" xr:uid="{00000000-0005-0000-0000-00003A320000}"/>
    <cellStyle name="40% - Accent4 13" xfId="5729" xr:uid="{00000000-0005-0000-0000-00003B320000}"/>
    <cellStyle name="40% - Accent4 13 2" xfId="5730" xr:uid="{00000000-0005-0000-0000-00003C320000}"/>
    <cellStyle name="40% - Accent4 13 2 2" xfId="5731" xr:uid="{00000000-0005-0000-0000-00003D320000}"/>
    <cellStyle name="40% - Accent4 13 2 2 2" xfId="5732" xr:uid="{00000000-0005-0000-0000-00003E320000}"/>
    <cellStyle name="40% - Accent4 13 2 2 3" xfId="5733" xr:uid="{00000000-0005-0000-0000-00003F320000}"/>
    <cellStyle name="40% - Accent4 13 2 3" xfId="5734" xr:uid="{00000000-0005-0000-0000-000040320000}"/>
    <cellStyle name="40% - Accent4 13 2 3 2" xfId="5735" xr:uid="{00000000-0005-0000-0000-000041320000}"/>
    <cellStyle name="40% - Accent4 13 2 3 3" xfId="5736" xr:uid="{00000000-0005-0000-0000-000042320000}"/>
    <cellStyle name="40% - Accent4 13 2 4" xfId="5737" xr:uid="{00000000-0005-0000-0000-000043320000}"/>
    <cellStyle name="40% - Accent4 13 2 4 2" xfId="5738" xr:uid="{00000000-0005-0000-0000-000044320000}"/>
    <cellStyle name="40% - Accent4 13 2 4 3" xfId="5739" xr:uid="{00000000-0005-0000-0000-000045320000}"/>
    <cellStyle name="40% - Accent4 13 2 5" xfId="5740" xr:uid="{00000000-0005-0000-0000-000046320000}"/>
    <cellStyle name="40% - Accent4 13 2 6" xfId="5741" xr:uid="{00000000-0005-0000-0000-000047320000}"/>
    <cellStyle name="40% - Accent4 13 2_Volatility" xfId="5742" xr:uid="{00000000-0005-0000-0000-000048320000}"/>
    <cellStyle name="40% - Accent4 13 3" xfId="5743" xr:uid="{00000000-0005-0000-0000-000049320000}"/>
    <cellStyle name="40% - Accent4 13 3 2" xfId="5744" xr:uid="{00000000-0005-0000-0000-00004A320000}"/>
    <cellStyle name="40% - Accent4 13 3 2 2" xfId="5745" xr:uid="{00000000-0005-0000-0000-00004B320000}"/>
    <cellStyle name="40% - Accent4 13 3 2 3" xfId="5746" xr:uid="{00000000-0005-0000-0000-00004C320000}"/>
    <cellStyle name="40% - Accent4 13 3 3" xfId="5747" xr:uid="{00000000-0005-0000-0000-00004D320000}"/>
    <cellStyle name="40% - Accent4 13 3 3 2" xfId="5748" xr:uid="{00000000-0005-0000-0000-00004E320000}"/>
    <cellStyle name="40% - Accent4 13 3 3 3" xfId="5749" xr:uid="{00000000-0005-0000-0000-00004F320000}"/>
    <cellStyle name="40% - Accent4 13 3 4" xfId="5750" xr:uid="{00000000-0005-0000-0000-000050320000}"/>
    <cellStyle name="40% - Accent4 13 3 5" xfId="5751" xr:uid="{00000000-0005-0000-0000-000051320000}"/>
    <cellStyle name="40% - Accent4 13 3_Volatility" xfId="5752" xr:uid="{00000000-0005-0000-0000-000052320000}"/>
    <cellStyle name="40% - Accent4 13 4" xfId="5753" xr:uid="{00000000-0005-0000-0000-000053320000}"/>
    <cellStyle name="40% - Accent4 13 4 2" xfId="5754" xr:uid="{00000000-0005-0000-0000-000054320000}"/>
    <cellStyle name="40% - Accent4 13 4 3" xfId="5755" xr:uid="{00000000-0005-0000-0000-000055320000}"/>
    <cellStyle name="40% - Accent4 13 5" xfId="5756" xr:uid="{00000000-0005-0000-0000-000056320000}"/>
    <cellStyle name="40% - Accent4 13 5 2" xfId="5757" xr:uid="{00000000-0005-0000-0000-000057320000}"/>
    <cellStyle name="40% - Accent4 13 5 3" xfId="5758" xr:uid="{00000000-0005-0000-0000-000058320000}"/>
    <cellStyle name="40% - Accent4 13 6" xfId="5759" xr:uid="{00000000-0005-0000-0000-000059320000}"/>
    <cellStyle name="40% - Accent4 13 6 2" xfId="5760" xr:uid="{00000000-0005-0000-0000-00005A320000}"/>
    <cellStyle name="40% - Accent4 13 6 3" xfId="5761" xr:uid="{00000000-0005-0000-0000-00005B320000}"/>
    <cellStyle name="40% - Accent4 13 7" xfId="5762" xr:uid="{00000000-0005-0000-0000-00005C320000}"/>
    <cellStyle name="40% - Accent4 13 8" xfId="5763" xr:uid="{00000000-0005-0000-0000-00005D320000}"/>
    <cellStyle name="40% - Accent4 13_Volatility" xfId="5764" xr:uid="{00000000-0005-0000-0000-00005E320000}"/>
    <cellStyle name="40% - Accent4 14" xfId="5765" xr:uid="{00000000-0005-0000-0000-00005F320000}"/>
    <cellStyle name="40% - Accent4 14 2" xfId="5766" xr:uid="{00000000-0005-0000-0000-000060320000}"/>
    <cellStyle name="40% - Accent4 14 2 2" xfId="5767" xr:uid="{00000000-0005-0000-0000-000061320000}"/>
    <cellStyle name="40% - Accent4 14 2 2 2" xfId="5768" xr:uid="{00000000-0005-0000-0000-000062320000}"/>
    <cellStyle name="40% - Accent4 14 2 2 3" xfId="5769" xr:uid="{00000000-0005-0000-0000-000063320000}"/>
    <cellStyle name="40% - Accent4 14 2 3" xfId="5770" xr:uid="{00000000-0005-0000-0000-000064320000}"/>
    <cellStyle name="40% - Accent4 14 2 3 2" xfId="5771" xr:uid="{00000000-0005-0000-0000-000065320000}"/>
    <cellStyle name="40% - Accent4 14 2 3 3" xfId="5772" xr:uid="{00000000-0005-0000-0000-000066320000}"/>
    <cellStyle name="40% - Accent4 14 2 4" xfId="5773" xr:uid="{00000000-0005-0000-0000-000067320000}"/>
    <cellStyle name="40% - Accent4 14 2 4 2" xfId="5774" xr:uid="{00000000-0005-0000-0000-000068320000}"/>
    <cellStyle name="40% - Accent4 14 2 4 3" xfId="5775" xr:uid="{00000000-0005-0000-0000-000069320000}"/>
    <cellStyle name="40% - Accent4 14 2 5" xfId="5776" xr:uid="{00000000-0005-0000-0000-00006A320000}"/>
    <cellStyle name="40% - Accent4 14 2 6" xfId="5777" xr:uid="{00000000-0005-0000-0000-00006B320000}"/>
    <cellStyle name="40% - Accent4 14 2_Volatility" xfId="5778" xr:uid="{00000000-0005-0000-0000-00006C320000}"/>
    <cellStyle name="40% - Accent4 14 3" xfId="5779" xr:uid="{00000000-0005-0000-0000-00006D320000}"/>
    <cellStyle name="40% - Accent4 14 3 2" xfId="5780" xr:uid="{00000000-0005-0000-0000-00006E320000}"/>
    <cellStyle name="40% - Accent4 14 3 2 2" xfId="5781" xr:uid="{00000000-0005-0000-0000-00006F320000}"/>
    <cellStyle name="40% - Accent4 14 3 2 3" xfId="5782" xr:uid="{00000000-0005-0000-0000-000070320000}"/>
    <cellStyle name="40% - Accent4 14 3 3" xfId="5783" xr:uid="{00000000-0005-0000-0000-000071320000}"/>
    <cellStyle name="40% - Accent4 14 3 3 2" xfId="5784" xr:uid="{00000000-0005-0000-0000-000072320000}"/>
    <cellStyle name="40% - Accent4 14 3 3 3" xfId="5785" xr:uid="{00000000-0005-0000-0000-000073320000}"/>
    <cellStyle name="40% - Accent4 14 3 4" xfId="5786" xr:uid="{00000000-0005-0000-0000-000074320000}"/>
    <cellStyle name="40% - Accent4 14 3 5" xfId="5787" xr:uid="{00000000-0005-0000-0000-000075320000}"/>
    <cellStyle name="40% - Accent4 14 3_Volatility" xfId="5788" xr:uid="{00000000-0005-0000-0000-000076320000}"/>
    <cellStyle name="40% - Accent4 14 4" xfId="5789" xr:uid="{00000000-0005-0000-0000-000077320000}"/>
    <cellStyle name="40% - Accent4 14 4 2" xfId="5790" xr:uid="{00000000-0005-0000-0000-000078320000}"/>
    <cellStyle name="40% - Accent4 14 4 3" xfId="5791" xr:uid="{00000000-0005-0000-0000-000079320000}"/>
    <cellStyle name="40% - Accent4 14 5" xfId="5792" xr:uid="{00000000-0005-0000-0000-00007A320000}"/>
    <cellStyle name="40% - Accent4 14 5 2" xfId="5793" xr:uid="{00000000-0005-0000-0000-00007B320000}"/>
    <cellStyle name="40% - Accent4 14 5 3" xfId="5794" xr:uid="{00000000-0005-0000-0000-00007C320000}"/>
    <cellStyle name="40% - Accent4 14 6" xfId="5795" xr:uid="{00000000-0005-0000-0000-00007D320000}"/>
    <cellStyle name="40% - Accent4 14 6 2" xfId="5796" xr:uid="{00000000-0005-0000-0000-00007E320000}"/>
    <cellStyle name="40% - Accent4 14 6 3" xfId="5797" xr:uid="{00000000-0005-0000-0000-00007F320000}"/>
    <cellStyle name="40% - Accent4 14 7" xfId="5798" xr:uid="{00000000-0005-0000-0000-000080320000}"/>
    <cellStyle name="40% - Accent4 14 8" xfId="5799" xr:uid="{00000000-0005-0000-0000-000081320000}"/>
    <cellStyle name="40% - Accent4 14_Volatility" xfId="5800" xr:uid="{00000000-0005-0000-0000-000082320000}"/>
    <cellStyle name="40% - Accent4 15" xfId="5801" xr:uid="{00000000-0005-0000-0000-000083320000}"/>
    <cellStyle name="40% - Accent4 15 2" xfId="5802" xr:uid="{00000000-0005-0000-0000-000084320000}"/>
    <cellStyle name="40% - Accent4 15 2 2" xfId="5803" xr:uid="{00000000-0005-0000-0000-000085320000}"/>
    <cellStyle name="40% - Accent4 15 2 2 2" xfId="5804" xr:uid="{00000000-0005-0000-0000-000086320000}"/>
    <cellStyle name="40% - Accent4 15 2 2 3" xfId="5805" xr:uid="{00000000-0005-0000-0000-000087320000}"/>
    <cellStyle name="40% - Accent4 15 2 3" xfId="5806" xr:uid="{00000000-0005-0000-0000-000088320000}"/>
    <cellStyle name="40% - Accent4 15 2 3 2" xfId="5807" xr:uid="{00000000-0005-0000-0000-000089320000}"/>
    <cellStyle name="40% - Accent4 15 2 3 3" xfId="5808" xr:uid="{00000000-0005-0000-0000-00008A320000}"/>
    <cellStyle name="40% - Accent4 15 2 4" xfId="5809" xr:uid="{00000000-0005-0000-0000-00008B320000}"/>
    <cellStyle name="40% - Accent4 15 2 4 2" xfId="5810" xr:uid="{00000000-0005-0000-0000-00008C320000}"/>
    <cellStyle name="40% - Accent4 15 2 4 3" xfId="5811" xr:uid="{00000000-0005-0000-0000-00008D320000}"/>
    <cellStyle name="40% - Accent4 15 2 5" xfId="5812" xr:uid="{00000000-0005-0000-0000-00008E320000}"/>
    <cellStyle name="40% - Accent4 15 2 6" xfId="5813" xr:uid="{00000000-0005-0000-0000-00008F320000}"/>
    <cellStyle name="40% - Accent4 15 2_Volatility" xfId="5814" xr:uid="{00000000-0005-0000-0000-000090320000}"/>
    <cellStyle name="40% - Accent4 15 3" xfId="5815" xr:uid="{00000000-0005-0000-0000-000091320000}"/>
    <cellStyle name="40% - Accent4 15 3 2" xfId="5816" xr:uid="{00000000-0005-0000-0000-000092320000}"/>
    <cellStyle name="40% - Accent4 15 3 2 2" xfId="5817" xr:uid="{00000000-0005-0000-0000-000093320000}"/>
    <cellStyle name="40% - Accent4 15 3 2 3" xfId="5818" xr:uid="{00000000-0005-0000-0000-000094320000}"/>
    <cellStyle name="40% - Accent4 15 3 3" xfId="5819" xr:uid="{00000000-0005-0000-0000-000095320000}"/>
    <cellStyle name="40% - Accent4 15 3 3 2" xfId="5820" xr:uid="{00000000-0005-0000-0000-000096320000}"/>
    <cellStyle name="40% - Accent4 15 3 3 3" xfId="5821" xr:uid="{00000000-0005-0000-0000-000097320000}"/>
    <cellStyle name="40% - Accent4 15 3 4" xfId="5822" xr:uid="{00000000-0005-0000-0000-000098320000}"/>
    <cellStyle name="40% - Accent4 15 3 5" xfId="5823" xr:uid="{00000000-0005-0000-0000-000099320000}"/>
    <cellStyle name="40% - Accent4 15 3_Volatility" xfId="5824" xr:uid="{00000000-0005-0000-0000-00009A320000}"/>
    <cellStyle name="40% - Accent4 15 4" xfId="5825" xr:uid="{00000000-0005-0000-0000-00009B320000}"/>
    <cellStyle name="40% - Accent4 15 4 2" xfId="5826" xr:uid="{00000000-0005-0000-0000-00009C320000}"/>
    <cellStyle name="40% - Accent4 15 4 3" xfId="5827" xr:uid="{00000000-0005-0000-0000-00009D320000}"/>
    <cellStyle name="40% - Accent4 15 5" xfId="5828" xr:uid="{00000000-0005-0000-0000-00009E320000}"/>
    <cellStyle name="40% - Accent4 15 5 2" xfId="5829" xr:uid="{00000000-0005-0000-0000-00009F320000}"/>
    <cellStyle name="40% - Accent4 15 5 3" xfId="5830" xr:uid="{00000000-0005-0000-0000-0000A0320000}"/>
    <cellStyle name="40% - Accent4 15 6" xfId="5831" xr:uid="{00000000-0005-0000-0000-0000A1320000}"/>
    <cellStyle name="40% - Accent4 15 6 2" xfId="5832" xr:uid="{00000000-0005-0000-0000-0000A2320000}"/>
    <cellStyle name="40% - Accent4 15 6 3" xfId="5833" xr:uid="{00000000-0005-0000-0000-0000A3320000}"/>
    <cellStyle name="40% - Accent4 15 7" xfId="5834" xr:uid="{00000000-0005-0000-0000-0000A4320000}"/>
    <cellStyle name="40% - Accent4 15 8" xfId="5835" xr:uid="{00000000-0005-0000-0000-0000A5320000}"/>
    <cellStyle name="40% - Accent4 15_Volatility" xfId="5836" xr:uid="{00000000-0005-0000-0000-0000A6320000}"/>
    <cellStyle name="40% - Accent4 16" xfId="5837" xr:uid="{00000000-0005-0000-0000-0000A7320000}"/>
    <cellStyle name="40% - Accent4 16 2" xfId="15937" xr:uid="{00000000-0005-0000-0000-0000A8320000}"/>
    <cellStyle name="40% - Accent4 16 3" xfId="19888" xr:uid="{00000000-0005-0000-0000-0000A9320000}"/>
    <cellStyle name="40% - Accent4 17" xfId="5838" xr:uid="{00000000-0005-0000-0000-0000AA320000}"/>
    <cellStyle name="40% - Accent4 17 2" xfId="15938" xr:uid="{00000000-0005-0000-0000-0000AB320000}"/>
    <cellStyle name="40% - Accent4 17 3" xfId="19889" xr:uid="{00000000-0005-0000-0000-0000AC320000}"/>
    <cellStyle name="40% - Accent4 18" xfId="5839" xr:uid="{00000000-0005-0000-0000-0000AD320000}"/>
    <cellStyle name="40% - Accent4 18 2" xfId="15939" xr:uid="{00000000-0005-0000-0000-0000AE320000}"/>
    <cellStyle name="40% - Accent4 18 3" xfId="19890" xr:uid="{00000000-0005-0000-0000-0000AF320000}"/>
    <cellStyle name="40% - Accent4 19" xfId="5840" xr:uid="{00000000-0005-0000-0000-0000B0320000}"/>
    <cellStyle name="40% - Accent4 19 2" xfId="15940" xr:uid="{00000000-0005-0000-0000-0000B1320000}"/>
    <cellStyle name="40% - Accent4 19 3" xfId="19891" xr:uid="{00000000-0005-0000-0000-0000B2320000}"/>
    <cellStyle name="40% - Accent4 2" xfId="5841" xr:uid="{00000000-0005-0000-0000-0000B3320000}"/>
    <cellStyle name="40% - Accent4 2 2" xfId="5842" xr:uid="{00000000-0005-0000-0000-0000B4320000}"/>
    <cellStyle name="40% - Accent4 2 2 2" xfId="5843" xr:uid="{00000000-0005-0000-0000-0000B5320000}"/>
    <cellStyle name="40% - Accent4 2 2 2 2" xfId="5844" xr:uid="{00000000-0005-0000-0000-0000B6320000}"/>
    <cellStyle name="40% - Accent4 2 2 2 3" xfId="5845" xr:uid="{00000000-0005-0000-0000-0000B7320000}"/>
    <cellStyle name="40% - Accent4 2 2 3" xfId="5846" xr:uid="{00000000-0005-0000-0000-0000B8320000}"/>
    <cellStyle name="40% - Accent4 2 2 3 2" xfId="5847" xr:uid="{00000000-0005-0000-0000-0000B9320000}"/>
    <cellStyle name="40% - Accent4 2 2 3 3" xfId="5848" xr:uid="{00000000-0005-0000-0000-0000BA320000}"/>
    <cellStyle name="40% - Accent4 2 2 4" xfId="5849" xr:uid="{00000000-0005-0000-0000-0000BB320000}"/>
    <cellStyle name="40% - Accent4 2 2 4 2" xfId="5850" xr:uid="{00000000-0005-0000-0000-0000BC320000}"/>
    <cellStyle name="40% - Accent4 2 2 4 3" xfId="5851" xr:uid="{00000000-0005-0000-0000-0000BD320000}"/>
    <cellStyle name="40% - Accent4 2 2 5" xfId="5852" xr:uid="{00000000-0005-0000-0000-0000BE320000}"/>
    <cellStyle name="40% - Accent4 2 2 6" xfId="5853" xr:uid="{00000000-0005-0000-0000-0000BF320000}"/>
    <cellStyle name="40% - Accent4 2 2_Volatility" xfId="5854" xr:uid="{00000000-0005-0000-0000-0000C0320000}"/>
    <cellStyle name="40% - Accent4 2 3" xfId="5855" xr:uid="{00000000-0005-0000-0000-0000C1320000}"/>
    <cellStyle name="40% - Accent4 2 3 2" xfId="5856" xr:uid="{00000000-0005-0000-0000-0000C2320000}"/>
    <cellStyle name="40% - Accent4 2 3 2 2" xfId="5857" xr:uid="{00000000-0005-0000-0000-0000C3320000}"/>
    <cellStyle name="40% - Accent4 2 3 2 3" xfId="5858" xr:uid="{00000000-0005-0000-0000-0000C4320000}"/>
    <cellStyle name="40% - Accent4 2 3 3" xfId="5859" xr:uid="{00000000-0005-0000-0000-0000C5320000}"/>
    <cellStyle name="40% - Accent4 2 3 3 2" xfId="5860" xr:uid="{00000000-0005-0000-0000-0000C6320000}"/>
    <cellStyle name="40% - Accent4 2 3 3 3" xfId="5861" xr:uid="{00000000-0005-0000-0000-0000C7320000}"/>
    <cellStyle name="40% - Accent4 2 3 4" xfId="5862" xr:uid="{00000000-0005-0000-0000-0000C8320000}"/>
    <cellStyle name="40% - Accent4 2 3 5" xfId="5863" xr:uid="{00000000-0005-0000-0000-0000C9320000}"/>
    <cellStyle name="40% - Accent4 2 3_Volatility" xfId="5864" xr:uid="{00000000-0005-0000-0000-0000CA320000}"/>
    <cellStyle name="40% - Accent4 2 4" xfId="5865" xr:uid="{00000000-0005-0000-0000-0000CB320000}"/>
    <cellStyle name="40% - Accent4 2 4 2" xfId="5866" xr:uid="{00000000-0005-0000-0000-0000CC320000}"/>
    <cellStyle name="40% - Accent4 2 4 3" xfId="5867" xr:uid="{00000000-0005-0000-0000-0000CD320000}"/>
    <cellStyle name="40% - Accent4 2 5" xfId="5868" xr:uid="{00000000-0005-0000-0000-0000CE320000}"/>
    <cellStyle name="40% - Accent4 2 5 2" xfId="5869" xr:uid="{00000000-0005-0000-0000-0000CF320000}"/>
    <cellStyle name="40% - Accent4 2 5 3" xfId="5870" xr:uid="{00000000-0005-0000-0000-0000D0320000}"/>
    <cellStyle name="40% - Accent4 2 6" xfId="5871" xr:uid="{00000000-0005-0000-0000-0000D1320000}"/>
    <cellStyle name="40% - Accent4 2 6 2" xfId="5872" xr:uid="{00000000-0005-0000-0000-0000D2320000}"/>
    <cellStyle name="40% - Accent4 2 6 3" xfId="5873" xr:uid="{00000000-0005-0000-0000-0000D3320000}"/>
    <cellStyle name="40% - Accent4 2 7" xfId="5874" xr:uid="{00000000-0005-0000-0000-0000D4320000}"/>
    <cellStyle name="40% - Accent4 2 8" xfId="5875" xr:uid="{00000000-0005-0000-0000-0000D5320000}"/>
    <cellStyle name="40% - Accent4 2_Volatility" xfId="5876" xr:uid="{00000000-0005-0000-0000-0000D6320000}"/>
    <cellStyle name="40% - Accent4 3" xfId="5877" xr:uid="{00000000-0005-0000-0000-0000D7320000}"/>
    <cellStyle name="40% - Accent4 3 2" xfId="5878" xr:uid="{00000000-0005-0000-0000-0000D8320000}"/>
    <cellStyle name="40% - Accent4 3 2 2" xfId="5879" xr:uid="{00000000-0005-0000-0000-0000D9320000}"/>
    <cellStyle name="40% - Accent4 3 2 2 2" xfId="5880" xr:uid="{00000000-0005-0000-0000-0000DA320000}"/>
    <cellStyle name="40% - Accent4 3 2 2 3" xfId="5881" xr:uid="{00000000-0005-0000-0000-0000DB320000}"/>
    <cellStyle name="40% - Accent4 3 2 3" xfId="5882" xr:uid="{00000000-0005-0000-0000-0000DC320000}"/>
    <cellStyle name="40% - Accent4 3 2 3 2" xfId="5883" xr:uid="{00000000-0005-0000-0000-0000DD320000}"/>
    <cellStyle name="40% - Accent4 3 2 3 3" xfId="5884" xr:uid="{00000000-0005-0000-0000-0000DE320000}"/>
    <cellStyle name="40% - Accent4 3 2 4" xfId="5885" xr:uid="{00000000-0005-0000-0000-0000DF320000}"/>
    <cellStyle name="40% - Accent4 3 2 4 2" xfId="5886" xr:uid="{00000000-0005-0000-0000-0000E0320000}"/>
    <cellStyle name="40% - Accent4 3 2 4 3" xfId="5887" xr:uid="{00000000-0005-0000-0000-0000E1320000}"/>
    <cellStyle name="40% - Accent4 3 2 5" xfId="5888" xr:uid="{00000000-0005-0000-0000-0000E2320000}"/>
    <cellStyle name="40% - Accent4 3 2 6" xfId="5889" xr:uid="{00000000-0005-0000-0000-0000E3320000}"/>
    <cellStyle name="40% - Accent4 3 2_Volatility" xfId="5890" xr:uid="{00000000-0005-0000-0000-0000E4320000}"/>
    <cellStyle name="40% - Accent4 3 3" xfId="5891" xr:uid="{00000000-0005-0000-0000-0000E5320000}"/>
    <cellStyle name="40% - Accent4 3 3 2" xfId="5892" xr:uid="{00000000-0005-0000-0000-0000E6320000}"/>
    <cellStyle name="40% - Accent4 3 3 2 2" xfId="5893" xr:uid="{00000000-0005-0000-0000-0000E7320000}"/>
    <cellStyle name="40% - Accent4 3 3 2 3" xfId="5894" xr:uid="{00000000-0005-0000-0000-0000E8320000}"/>
    <cellStyle name="40% - Accent4 3 3 3" xfId="5895" xr:uid="{00000000-0005-0000-0000-0000E9320000}"/>
    <cellStyle name="40% - Accent4 3 3 3 2" xfId="5896" xr:uid="{00000000-0005-0000-0000-0000EA320000}"/>
    <cellStyle name="40% - Accent4 3 3 3 3" xfId="5897" xr:uid="{00000000-0005-0000-0000-0000EB320000}"/>
    <cellStyle name="40% - Accent4 3 3 4" xfId="5898" xr:uid="{00000000-0005-0000-0000-0000EC320000}"/>
    <cellStyle name="40% - Accent4 3 3 5" xfId="5899" xr:uid="{00000000-0005-0000-0000-0000ED320000}"/>
    <cellStyle name="40% - Accent4 3 3_Volatility" xfId="5900" xr:uid="{00000000-0005-0000-0000-0000EE320000}"/>
    <cellStyle name="40% - Accent4 3 4" xfId="5901" xr:uid="{00000000-0005-0000-0000-0000EF320000}"/>
    <cellStyle name="40% - Accent4 3 4 2" xfId="5902" xr:uid="{00000000-0005-0000-0000-0000F0320000}"/>
    <cellStyle name="40% - Accent4 3 4 3" xfId="5903" xr:uid="{00000000-0005-0000-0000-0000F1320000}"/>
    <cellStyle name="40% - Accent4 3 5" xfId="5904" xr:uid="{00000000-0005-0000-0000-0000F2320000}"/>
    <cellStyle name="40% - Accent4 3 5 2" xfId="5905" xr:uid="{00000000-0005-0000-0000-0000F3320000}"/>
    <cellStyle name="40% - Accent4 3 5 3" xfId="5906" xr:uid="{00000000-0005-0000-0000-0000F4320000}"/>
    <cellStyle name="40% - Accent4 3 6" xfId="5907" xr:uid="{00000000-0005-0000-0000-0000F5320000}"/>
    <cellStyle name="40% - Accent4 3 6 2" xfId="5908" xr:uid="{00000000-0005-0000-0000-0000F6320000}"/>
    <cellStyle name="40% - Accent4 3 6 3" xfId="5909" xr:uid="{00000000-0005-0000-0000-0000F7320000}"/>
    <cellStyle name="40% - Accent4 3 7" xfId="5910" xr:uid="{00000000-0005-0000-0000-0000F8320000}"/>
    <cellStyle name="40% - Accent4 3 8" xfId="5911" xr:uid="{00000000-0005-0000-0000-0000F9320000}"/>
    <cellStyle name="40% - Accent4 3_Volatility" xfId="5912" xr:uid="{00000000-0005-0000-0000-0000FA320000}"/>
    <cellStyle name="40% - Accent4 4" xfId="5913" xr:uid="{00000000-0005-0000-0000-0000FB320000}"/>
    <cellStyle name="40% - Accent4 4 2" xfId="5914" xr:uid="{00000000-0005-0000-0000-0000FC320000}"/>
    <cellStyle name="40% - Accent4 4 2 2" xfId="5915" xr:uid="{00000000-0005-0000-0000-0000FD320000}"/>
    <cellStyle name="40% - Accent4 4 2 2 2" xfId="5916" xr:uid="{00000000-0005-0000-0000-0000FE320000}"/>
    <cellStyle name="40% - Accent4 4 2 2 3" xfId="5917" xr:uid="{00000000-0005-0000-0000-0000FF320000}"/>
    <cellStyle name="40% - Accent4 4 2 3" xfId="5918" xr:uid="{00000000-0005-0000-0000-000000330000}"/>
    <cellStyle name="40% - Accent4 4 2 3 2" xfId="5919" xr:uid="{00000000-0005-0000-0000-000001330000}"/>
    <cellStyle name="40% - Accent4 4 2 3 3" xfId="5920" xr:uid="{00000000-0005-0000-0000-000002330000}"/>
    <cellStyle name="40% - Accent4 4 2 4" xfId="5921" xr:uid="{00000000-0005-0000-0000-000003330000}"/>
    <cellStyle name="40% - Accent4 4 2 4 2" xfId="5922" xr:uid="{00000000-0005-0000-0000-000004330000}"/>
    <cellStyle name="40% - Accent4 4 2 4 3" xfId="5923" xr:uid="{00000000-0005-0000-0000-000005330000}"/>
    <cellStyle name="40% - Accent4 4 2 5" xfId="5924" xr:uid="{00000000-0005-0000-0000-000006330000}"/>
    <cellStyle name="40% - Accent4 4 2 6" xfId="5925" xr:uid="{00000000-0005-0000-0000-000007330000}"/>
    <cellStyle name="40% - Accent4 4 2_Volatility" xfId="5926" xr:uid="{00000000-0005-0000-0000-000008330000}"/>
    <cellStyle name="40% - Accent4 4 3" xfId="5927" xr:uid="{00000000-0005-0000-0000-000009330000}"/>
    <cellStyle name="40% - Accent4 4 3 2" xfId="5928" xr:uid="{00000000-0005-0000-0000-00000A330000}"/>
    <cellStyle name="40% - Accent4 4 3 2 2" xfId="5929" xr:uid="{00000000-0005-0000-0000-00000B330000}"/>
    <cellStyle name="40% - Accent4 4 3 2 3" xfId="5930" xr:uid="{00000000-0005-0000-0000-00000C330000}"/>
    <cellStyle name="40% - Accent4 4 3 3" xfId="5931" xr:uid="{00000000-0005-0000-0000-00000D330000}"/>
    <cellStyle name="40% - Accent4 4 3 3 2" xfId="5932" xr:uid="{00000000-0005-0000-0000-00000E330000}"/>
    <cellStyle name="40% - Accent4 4 3 3 3" xfId="5933" xr:uid="{00000000-0005-0000-0000-00000F330000}"/>
    <cellStyle name="40% - Accent4 4 3 4" xfId="5934" xr:uid="{00000000-0005-0000-0000-000010330000}"/>
    <cellStyle name="40% - Accent4 4 3 5" xfId="5935" xr:uid="{00000000-0005-0000-0000-000011330000}"/>
    <cellStyle name="40% - Accent4 4 3_Volatility" xfId="5936" xr:uid="{00000000-0005-0000-0000-000012330000}"/>
    <cellStyle name="40% - Accent4 4 4" xfId="5937" xr:uid="{00000000-0005-0000-0000-000013330000}"/>
    <cellStyle name="40% - Accent4 4 4 2" xfId="5938" xr:uid="{00000000-0005-0000-0000-000014330000}"/>
    <cellStyle name="40% - Accent4 4 4 3" xfId="5939" xr:uid="{00000000-0005-0000-0000-000015330000}"/>
    <cellStyle name="40% - Accent4 4 5" xfId="5940" xr:uid="{00000000-0005-0000-0000-000016330000}"/>
    <cellStyle name="40% - Accent4 4 5 2" xfId="5941" xr:uid="{00000000-0005-0000-0000-000017330000}"/>
    <cellStyle name="40% - Accent4 4 5 3" xfId="5942" xr:uid="{00000000-0005-0000-0000-000018330000}"/>
    <cellStyle name="40% - Accent4 4 6" xfId="5943" xr:uid="{00000000-0005-0000-0000-000019330000}"/>
    <cellStyle name="40% - Accent4 4 6 2" xfId="5944" xr:uid="{00000000-0005-0000-0000-00001A330000}"/>
    <cellStyle name="40% - Accent4 4 6 3" xfId="5945" xr:uid="{00000000-0005-0000-0000-00001B330000}"/>
    <cellStyle name="40% - Accent4 4 7" xfId="5946" xr:uid="{00000000-0005-0000-0000-00001C330000}"/>
    <cellStyle name="40% - Accent4 4 8" xfId="5947" xr:uid="{00000000-0005-0000-0000-00001D330000}"/>
    <cellStyle name="40% - Accent4 4_Volatility" xfId="5948" xr:uid="{00000000-0005-0000-0000-00001E330000}"/>
    <cellStyle name="40% - Accent4 5" xfId="5949" xr:uid="{00000000-0005-0000-0000-00001F330000}"/>
    <cellStyle name="40% - Accent4 5 2" xfId="5950" xr:uid="{00000000-0005-0000-0000-000020330000}"/>
    <cellStyle name="40% - Accent4 5 2 2" xfId="5951" xr:uid="{00000000-0005-0000-0000-000021330000}"/>
    <cellStyle name="40% - Accent4 5 2 2 2" xfId="5952" xr:uid="{00000000-0005-0000-0000-000022330000}"/>
    <cellStyle name="40% - Accent4 5 2 2 3" xfId="5953" xr:uid="{00000000-0005-0000-0000-000023330000}"/>
    <cellStyle name="40% - Accent4 5 2 3" xfId="5954" xr:uid="{00000000-0005-0000-0000-000024330000}"/>
    <cellStyle name="40% - Accent4 5 2 3 2" xfId="5955" xr:uid="{00000000-0005-0000-0000-000025330000}"/>
    <cellStyle name="40% - Accent4 5 2 3 3" xfId="5956" xr:uid="{00000000-0005-0000-0000-000026330000}"/>
    <cellStyle name="40% - Accent4 5 2 4" xfId="5957" xr:uid="{00000000-0005-0000-0000-000027330000}"/>
    <cellStyle name="40% - Accent4 5 2 4 2" xfId="5958" xr:uid="{00000000-0005-0000-0000-000028330000}"/>
    <cellStyle name="40% - Accent4 5 2 4 3" xfId="5959" xr:uid="{00000000-0005-0000-0000-000029330000}"/>
    <cellStyle name="40% - Accent4 5 2 5" xfId="5960" xr:uid="{00000000-0005-0000-0000-00002A330000}"/>
    <cellStyle name="40% - Accent4 5 2 6" xfId="5961" xr:uid="{00000000-0005-0000-0000-00002B330000}"/>
    <cellStyle name="40% - Accent4 5 2_Volatility" xfId="5962" xr:uid="{00000000-0005-0000-0000-00002C330000}"/>
    <cellStyle name="40% - Accent4 5 3" xfId="5963" xr:uid="{00000000-0005-0000-0000-00002D330000}"/>
    <cellStyle name="40% - Accent4 5 3 2" xfId="5964" xr:uid="{00000000-0005-0000-0000-00002E330000}"/>
    <cellStyle name="40% - Accent4 5 3 2 2" xfId="5965" xr:uid="{00000000-0005-0000-0000-00002F330000}"/>
    <cellStyle name="40% - Accent4 5 3 2 3" xfId="5966" xr:uid="{00000000-0005-0000-0000-000030330000}"/>
    <cellStyle name="40% - Accent4 5 3 3" xfId="5967" xr:uid="{00000000-0005-0000-0000-000031330000}"/>
    <cellStyle name="40% - Accent4 5 3 3 2" xfId="5968" xr:uid="{00000000-0005-0000-0000-000032330000}"/>
    <cellStyle name="40% - Accent4 5 3 3 3" xfId="5969" xr:uid="{00000000-0005-0000-0000-000033330000}"/>
    <cellStyle name="40% - Accent4 5 3 4" xfId="5970" xr:uid="{00000000-0005-0000-0000-000034330000}"/>
    <cellStyle name="40% - Accent4 5 3 5" xfId="5971" xr:uid="{00000000-0005-0000-0000-000035330000}"/>
    <cellStyle name="40% - Accent4 5 3_Volatility" xfId="5972" xr:uid="{00000000-0005-0000-0000-000036330000}"/>
    <cellStyle name="40% - Accent4 5 4" xfId="5973" xr:uid="{00000000-0005-0000-0000-000037330000}"/>
    <cellStyle name="40% - Accent4 5 4 2" xfId="5974" xr:uid="{00000000-0005-0000-0000-000038330000}"/>
    <cellStyle name="40% - Accent4 5 4 3" xfId="5975" xr:uid="{00000000-0005-0000-0000-000039330000}"/>
    <cellStyle name="40% - Accent4 5 5" xfId="5976" xr:uid="{00000000-0005-0000-0000-00003A330000}"/>
    <cellStyle name="40% - Accent4 5 5 2" xfId="5977" xr:uid="{00000000-0005-0000-0000-00003B330000}"/>
    <cellStyle name="40% - Accent4 5 5 3" xfId="5978" xr:uid="{00000000-0005-0000-0000-00003C330000}"/>
    <cellStyle name="40% - Accent4 5 6" xfId="5979" xr:uid="{00000000-0005-0000-0000-00003D330000}"/>
    <cellStyle name="40% - Accent4 5 6 2" xfId="5980" xr:uid="{00000000-0005-0000-0000-00003E330000}"/>
    <cellStyle name="40% - Accent4 5 6 3" xfId="5981" xr:uid="{00000000-0005-0000-0000-00003F330000}"/>
    <cellStyle name="40% - Accent4 5 7" xfId="5982" xr:uid="{00000000-0005-0000-0000-000040330000}"/>
    <cellStyle name="40% - Accent4 5 8" xfId="5983" xr:uid="{00000000-0005-0000-0000-000041330000}"/>
    <cellStyle name="40% - Accent4 5_Volatility" xfId="5984" xr:uid="{00000000-0005-0000-0000-000042330000}"/>
    <cellStyle name="40% - Accent4 6" xfId="5985" xr:uid="{00000000-0005-0000-0000-000043330000}"/>
    <cellStyle name="40% - Accent4 6 2" xfId="5986" xr:uid="{00000000-0005-0000-0000-000044330000}"/>
    <cellStyle name="40% - Accent4 6 2 2" xfId="5987" xr:uid="{00000000-0005-0000-0000-000045330000}"/>
    <cellStyle name="40% - Accent4 6 2 2 2" xfId="5988" xr:uid="{00000000-0005-0000-0000-000046330000}"/>
    <cellStyle name="40% - Accent4 6 2 2 3" xfId="5989" xr:uid="{00000000-0005-0000-0000-000047330000}"/>
    <cellStyle name="40% - Accent4 6 2 3" xfId="5990" xr:uid="{00000000-0005-0000-0000-000048330000}"/>
    <cellStyle name="40% - Accent4 6 2 3 2" xfId="5991" xr:uid="{00000000-0005-0000-0000-000049330000}"/>
    <cellStyle name="40% - Accent4 6 2 3 3" xfId="5992" xr:uid="{00000000-0005-0000-0000-00004A330000}"/>
    <cellStyle name="40% - Accent4 6 2 4" xfId="5993" xr:uid="{00000000-0005-0000-0000-00004B330000}"/>
    <cellStyle name="40% - Accent4 6 2 4 2" xfId="5994" xr:uid="{00000000-0005-0000-0000-00004C330000}"/>
    <cellStyle name="40% - Accent4 6 2 4 3" xfId="5995" xr:uid="{00000000-0005-0000-0000-00004D330000}"/>
    <cellStyle name="40% - Accent4 6 2 5" xfId="5996" xr:uid="{00000000-0005-0000-0000-00004E330000}"/>
    <cellStyle name="40% - Accent4 6 2 6" xfId="5997" xr:uid="{00000000-0005-0000-0000-00004F330000}"/>
    <cellStyle name="40% - Accent4 6 2_Volatility" xfId="5998" xr:uid="{00000000-0005-0000-0000-000050330000}"/>
    <cellStyle name="40% - Accent4 6 3" xfId="5999" xr:uid="{00000000-0005-0000-0000-000051330000}"/>
    <cellStyle name="40% - Accent4 6 3 2" xfId="6000" xr:uid="{00000000-0005-0000-0000-000052330000}"/>
    <cellStyle name="40% - Accent4 6 3 2 2" xfId="6001" xr:uid="{00000000-0005-0000-0000-000053330000}"/>
    <cellStyle name="40% - Accent4 6 3 2 3" xfId="6002" xr:uid="{00000000-0005-0000-0000-000054330000}"/>
    <cellStyle name="40% - Accent4 6 3 3" xfId="6003" xr:uid="{00000000-0005-0000-0000-000055330000}"/>
    <cellStyle name="40% - Accent4 6 3 3 2" xfId="6004" xr:uid="{00000000-0005-0000-0000-000056330000}"/>
    <cellStyle name="40% - Accent4 6 3 3 3" xfId="6005" xr:uid="{00000000-0005-0000-0000-000057330000}"/>
    <cellStyle name="40% - Accent4 6 3 4" xfId="6006" xr:uid="{00000000-0005-0000-0000-000058330000}"/>
    <cellStyle name="40% - Accent4 6 3 5" xfId="6007" xr:uid="{00000000-0005-0000-0000-000059330000}"/>
    <cellStyle name="40% - Accent4 6 3_Volatility" xfId="6008" xr:uid="{00000000-0005-0000-0000-00005A330000}"/>
    <cellStyle name="40% - Accent4 6 4" xfId="6009" xr:uid="{00000000-0005-0000-0000-00005B330000}"/>
    <cellStyle name="40% - Accent4 6 4 2" xfId="6010" xr:uid="{00000000-0005-0000-0000-00005C330000}"/>
    <cellStyle name="40% - Accent4 6 4 3" xfId="6011" xr:uid="{00000000-0005-0000-0000-00005D330000}"/>
    <cellStyle name="40% - Accent4 6 5" xfId="6012" xr:uid="{00000000-0005-0000-0000-00005E330000}"/>
    <cellStyle name="40% - Accent4 6 5 2" xfId="6013" xr:uid="{00000000-0005-0000-0000-00005F330000}"/>
    <cellStyle name="40% - Accent4 6 5 3" xfId="6014" xr:uid="{00000000-0005-0000-0000-000060330000}"/>
    <cellStyle name="40% - Accent4 6 6" xfId="6015" xr:uid="{00000000-0005-0000-0000-000061330000}"/>
    <cellStyle name="40% - Accent4 6 6 2" xfId="6016" xr:uid="{00000000-0005-0000-0000-000062330000}"/>
    <cellStyle name="40% - Accent4 6 6 3" xfId="6017" xr:uid="{00000000-0005-0000-0000-000063330000}"/>
    <cellStyle name="40% - Accent4 6 7" xfId="6018" xr:uid="{00000000-0005-0000-0000-000064330000}"/>
    <cellStyle name="40% - Accent4 6 8" xfId="6019" xr:uid="{00000000-0005-0000-0000-000065330000}"/>
    <cellStyle name="40% - Accent4 6_Volatility" xfId="6020" xr:uid="{00000000-0005-0000-0000-000066330000}"/>
    <cellStyle name="40% - Accent4 7" xfId="6021" xr:uid="{00000000-0005-0000-0000-000067330000}"/>
    <cellStyle name="40% - Accent4 7 2" xfId="6022" xr:uid="{00000000-0005-0000-0000-000068330000}"/>
    <cellStyle name="40% - Accent4 7 2 2" xfId="6023" xr:uid="{00000000-0005-0000-0000-000069330000}"/>
    <cellStyle name="40% - Accent4 7 2 2 2" xfId="6024" xr:uid="{00000000-0005-0000-0000-00006A330000}"/>
    <cellStyle name="40% - Accent4 7 2 2 3" xfId="6025" xr:uid="{00000000-0005-0000-0000-00006B330000}"/>
    <cellStyle name="40% - Accent4 7 2 3" xfId="6026" xr:uid="{00000000-0005-0000-0000-00006C330000}"/>
    <cellStyle name="40% - Accent4 7 2 3 2" xfId="6027" xr:uid="{00000000-0005-0000-0000-00006D330000}"/>
    <cellStyle name="40% - Accent4 7 2 3 3" xfId="6028" xr:uid="{00000000-0005-0000-0000-00006E330000}"/>
    <cellStyle name="40% - Accent4 7 2 4" xfId="6029" xr:uid="{00000000-0005-0000-0000-00006F330000}"/>
    <cellStyle name="40% - Accent4 7 2 4 2" xfId="6030" xr:uid="{00000000-0005-0000-0000-000070330000}"/>
    <cellStyle name="40% - Accent4 7 2 4 3" xfId="6031" xr:uid="{00000000-0005-0000-0000-000071330000}"/>
    <cellStyle name="40% - Accent4 7 2 5" xfId="6032" xr:uid="{00000000-0005-0000-0000-000072330000}"/>
    <cellStyle name="40% - Accent4 7 2 6" xfId="6033" xr:uid="{00000000-0005-0000-0000-000073330000}"/>
    <cellStyle name="40% - Accent4 7 2_Volatility" xfId="6034" xr:uid="{00000000-0005-0000-0000-000074330000}"/>
    <cellStyle name="40% - Accent4 7 3" xfId="6035" xr:uid="{00000000-0005-0000-0000-000075330000}"/>
    <cellStyle name="40% - Accent4 7 3 2" xfId="6036" xr:uid="{00000000-0005-0000-0000-000076330000}"/>
    <cellStyle name="40% - Accent4 7 3 2 2" xfId="6037" xr:uid="{00000000-0005-0000-0000-000077330000}"/>
    <cellStyle name="40% - Accent4 7 3 2 3" xfId="6038" xr:uid="{00000000-0005-0000-0000-000078330000}"/>
    <cellStyle name="40% - Accent4 7 3 3" xfId="6039" xr:uid="{00000000-0005-0000-0000-000079330000}"/>
    <cellStyle name="40% - Accent4 7 3 3 2" xfId="6040" xr:uid="{00000000-0005-0000-0000-00007A330000}"/>
    <cellStyle name="40% - Accent4 7 3 3 3" xfId="6041" xr:uid="{00000000-0005-0000-0000-00007B330000}"/>
    <cellStyle name="40% - Accent4 7 3 4" xfId="6042" xr:uid="{00000000-0005-0000-0000-00007C330000}"/>
    <cellStyle name="40% - Accent4 7 3 5" xfId="6043" xr:uid="{00000000-0005-0000-0000-00007D330000}"/>
    <cellStyle name="40% - Accent4 7 3_Volatility" xfId="6044" xr:uid="{00000000-0005-0000-0000-00007E330000}"/>
    <cellStyle name="40% - Accent4 7 4" xfId="6045" xr:uid="{00000000-0005-0000-0000-00007F330000}"/>
    <cellStyle name="40% - Accent4 7 4 2" xfId="6046" xr:uid="{00000000-0005-0000-0000-000080330000}"/>
    <cellStyle name="40% - Accent4 7 4 3" xfId="6047" xr:uid="{00000000-0005-0000-0000-000081330000}"/>
    <cellStyle name="40% - Accent4 7 5" xfId="6048" xr:uid="{00000000-0005-0000-0000-000082330000}"/>
    <cellStyle name="40% - Accent4 7 5 2" xfId="6049" xr:uid="{00000000-0005-0000-0000-000083330000}"/>
    <cellStyle name="40% - Accent4 7 5 3" xfId="6050" xr:uid="{00000000-0005-0000-0000-000084330000}"/>
    <cellStyle name="40% - Accent4 7 6" xfId="6051" xr:uid="{00000000-0005-0000-0000-000085330000}"/>
    <cellStyle name="40% - Accent4 7 6 2" xfId="6052" xr:uid="{00000000-0005-0000-0000-000086330000}"/>
    <cellStyle name="40% - Accent4 7 6 3" xfId="6053" xr:uid="{00000000-0005-0000-0000-000087330000}"/>
    <cellStyle name="40% - Accent4 7 7" xfId="6054" xr:uid="{00000000-0005-0000-0000-000088330000}"/>
    <cellStyle name="40% - Accent4 7 8" xfId="6055" xr:uid="{00000000-0005-0000-0000-000089330000}"/>
    <cellStyle name="40% - Accent4 7_Volatility" xfId="6056" xr:uid="{00000000-0005-0000-0000-00008A330000}"/>
    <cellStyle name="40% - Accent4 8" xfId="6057" xr:uid="{00000000-0005-0000-0000-00008B330000}"/>
    <cellStyle name="40% - Accent4 8 2" xfId="6058" xr:uid="{00000000-0005-0000-0000-00008C330000}"/>
    <cellStyle name="40% - Accent4 8 2 2" xfId="6059" xr:uid="{00000000-0005-0000-0000-00008D330000}"/>
    <cellStyle name="40% - Accent4 8 2 2 2" xfId="6060" xr:uid="{00000000-0005-0000-0000-00008E330000}"/>
    <cellStyle name="40% - Accent4 8 2 2 3" xfId="6061" xr:uid="{00000000-0005-0000-0000-00008F330000}"/>
    <cellStyle name="40% - Accent4 8 2 3" xfId="6062" xr:uid="{00000000-0005-0000-0000-000090330000}"/>
    <cellStyle name="40% - Accent4 8 2 3 2" xfId="6063" xr:uid="{00000000-0005-0000-0000-000091330000}"/>
    <cellStyle name="40% - Accent4 8 2 3 3" xfId="6064" xr:uid="{00000000-0005-0000-0000-000092330000}"/>
    <cellStyle name="40% - Accent4 8 2 4" xfId="6065" xr:uid="{00000000-0005-0000-0000-000093330000}"/>
    <cellStyle name="40% - Accent4 8 2 4 2" xfId="6066" xr:uid="{00000000-0005-0000-0000-000094330000}"/>
    <cellStyle name="40% - Accent4 8 2 4 3" xfId="6067" xr:uid="{00000000-0005-0000-0000-000095330000}"/>
    <cellStyle name="40% - Accent4 8 2 5" xfId="6068" xr:uid="{00000000-0005-0000-0000-000096330000}"/>
    <cellStyle name="40% - Accent4 8 2 6" xfId="6069" xr:uid="{00000000-0005-0000-0000-000097330000}"/>
    <cellStyle name="40% - Accent4 8 2_Volatility" xfId="6070" xr:uid="{00000000-0005-0000-0000-000098330000}"/>
    <cellStyle name="40% - Accent4 8 3" xfId="6071" xr:uid="{00000000-0005-0000-0000-000099330000}"/>
    <cellStyle name="40% - Accent4 8 3 2" xfId="6072" xr:uid="{00000000-0005-0000-0000-00009A330000}"/>
    <cellStyle name="40% - Accent4 8 3 2 2" xfId="6073" xr:uid="{00000000-0005-0000-0000-00009B330000}"/>
    <cellStyle name="40% - Accent4 8 3 2 3" xfId="6074" xr:uid="{00000000-0005-0000-0000-00009C330000}"/>
    <cellStyle name="40% - Accent4 8 3 3" xfId="6075" xr:uid="{00000000-0005-0000-0000-00009D330000}"/>
    <cellStyle name="40% - Accent4 8 3 3 2" xfId="6076" xr:uid="{00000000-0005-0000-0000-00009E330000}"/>
    <cellStyle name="40% - Accent4 8 3 3 3" xfId="6077" xr:uid="{00000000-0005-0000-0000-00009F330000}"/>
    <cellStyle name="40% - Accent4 8 3 4" xfId="6078" xr:uid="{00000000-0005-0000-0000-0000A0330000}"/>
    <cellStyle name="40% - Accent4 8 3 5" xfId="6079" xr:uid="{00000000-0005-0000-0000-0000A1330000}"/>
    <cellStyle name="40% - Accent4 8 3_Volatility" xfId="6080" xr:uid="{00000000-0005-0000-0000-0000A2330000}"/>
    <cellStyle name="40% - Accent4 8 4" xfId="6081" xr:uid="{00000000-0005-0000-0000-0000A3330000}"/>
    <cellStyle name="40% - Accent4 8 4 2" xfId="6082" xr:uid="{00000000-0005-0000-0000-0000A4330000}"/>
    <cellStyle name="40% - Accent4 8 4 3" xfId="6083" xr:uid="{00000000-0005-0000-0000-0000A5330000}"/>
    <cellStyle name="40% - Accent4 8 5" xfId="6084" xr:uid="{00000000-0005-0000-0000-0000A6330000}"/>
    <cellStyle name="40% - Accent4 8 5 2" xfId="6085" xr:uid="{00000000-0005-0000-0000-0000A7330000}"/>
    <cellStyle name="40% - Accent4 8 5 3" xfId="6086" xr:uid="{00000000-0005-0000-0000-0000A8330000}"/>
    <cellStyle name="40% - Accent4 8 6" xfId="6087" xr:uid="{00000000-0005-0000-0000-0000A9330000}"/>
    <cellStyle name="40% - Accent4 8 6 2" xfId="6088" xr:uid="{00000000-0005-0000-0000-0000AA330000}"/>
    <cellStyle name="40% - Accent4 8 6 3" xfId="6089" xr:uid="{00000000-0005-0000-0000-0000AB330000}"/>
    <cellStyle name="40% - Accent4 8 7" xfId="6090" xr:uid="{00000000-0005-0000-0000-0000AC330000}"/>
    <cellStyle name="40% - Accent4 8 8" xfId="6091" xr:uid="{00000000-0005-0000-0000-0000AD330000}"/>
    <cellStyle name="40% - Accent4 8_Volatility" xfId="6092" xr:uid="{00000000-0005-0000-0000-0000AE330000}"/>
    <cellStyle name="40% - Accent4 9" xfId="6093" xr:uid="{00000000-0005-0000-0000-0000AF330000}"/>
    <cellStyle name="40% - Accent4 9 2" xfId="6094" xr:uid="{00000000-0005-0000-0000-0000B0330000}"/>
    <cellStyle name="40% - Accent4 9 2 2" xfId="6095" xr:uid="{00000000-0005-0000-0000-0000B1330000}"/>
    <cellStyle name="40% - Accent4 9 2 2 2" xfId="6096" xr:uid="{00000000-0005-0000-0000-0000B2330000}"/>
    <cellStyle name="40% - Accent4 9 2 2 3" xfId="6097" xr:uid="{00000000-0005-0000-0000-0000B3330000}"/>
    <cellStyle name="40% - Accent4 9 2 3" xfId="6098" xr:uid="{00000000-0005-0000-0000-0000B4330000}"/>
    <cellStyle name="40% - Accent4 9 2 3 2" xfId="6099" xr:uid="{00000000-0005-0000-0000-0000B5330000}"/>
    <cellStyle name="40% - Accent4 9 2 3 3" xfId="6100" xr:uid="{00000000-0005-0000-0000-0000B6330000}"/>
    <cellStyle name="40% - Accent4 9 2 4" xfId="6101" xr:uid="{00000000-0005-0000-0000-0000B7330000}"/>
    <cellStyle name="40% - Accent4 9 2 4 2" xfId="6102" xr:uid="{00000000-0005-0000-0000-0000B8330000}"/>
    <cellStyle name="40% - Accent4 9 2 4 3" xfId="6103" xr:uid="{00000000-0005-0000-0000-0000B9330000}"/>
    <cellStyle name="40% - Accent4 9 2 5" xfId="6104" xr:uid="{00000000-0005-0000-0000-0000BA330000}"/>
    <cellStyle name="40% - Accent4 9 2 6" xfId="6105" xr:uid="{00000000-0005-0000-0000-0000BB330000}"/>
    <cellStyle name="40% - Accent4 9 2_Volatility" xfId="6106" xr:uid="{00000000-0005-0000-0000-0000BC330000}"/>
    <cellStyle name="40% - Accent4 9 3" xfId="6107" xr:uid="{00000000-0005-0000-0000-0000BD330000}"/>
    <cellStyle name="40% - Accent4 9 3 2" xfId="6108" xr:uid="{00000000-0005-0000-0000-0000BE330000}"/>
    <cellStyle name="40% - Accent4 9 3 2 2" xfId="6109" xr:uid="{00000000-0005-0000-0000-0000BF330000}"/>
    <cellStyle name="40% - Accent4 9 3 2 3" xfId="6110" xr:uid="{00000000-0005-0000-0000-0000C0330000}"/>
    <cellStyle name="40% - Accent4 9 3 3" xfId="6111" xr:uid="{00000000-0005-0000-0000-0000C1330000}"/>
    <cellStyle name="40% - Accent4 9 3 3 2" xfId="6112" xr:uid="{00000000-0005-0000-0000-0000C2330000}"/>
    <cellStyle name="40% - Accent4 9 3 3 3" xfId="6113" xr:uid="{00000000-0005-0000-0000-0000C3330000}"/>
    <cellStyle name="40% - Accent4 9 3 4" xfId="6114" xr:uid="{00000000-0005-0000-0000-0000C4330000}"/>
    <cellStyle name="40% - Accent4 9 3 5" xfId="6115" xr:uid="{00000000-0005-0000-0000-0000C5330000}"/>
    <cellStyle name="40% - Accent4 9 3_Volatility" xfId="6116" xr:uid="{00000000-0005-0000-0000-0000C6330000}"/>
    <cellStyle name="40% - Accent4 9 4" xfId="6117" xr:uid="{00000000-0005-0000-0000-0000C7330000}"/>
    <cellStyle name="40% - Accent4 9 4 2" xfId="6118" xr:uid="{00000000-0005-0000-0000-0000C8330000}"/>
    <cellStyle name="40% - Accent4 9 4 3" xfId="6119" xr:uid="{00000000-0005-0000-0000-0000C9330000}"/>
    <cellStyle name="40% - Accent4 9 5" xfId="6120" xr:uid="{00000000-0005-0000-0000-0000CA330000}"/>
    <cellStyle name="40% - Accent4 9 5 2" xfId="6121" xr:uid="{00000000-0005-0000-0000-0000CB330000}"/>
    <cellStyle name="40% - Accent4 9 5 3" xfId="6122" xr:uid="{00000000-0005-0000-0000-0000CC330000}"/>
    <cellStyle name="40% - Accent4 9 6" xfId="6123" xr:uid="{00000000-0005-0000-0000-0000CD330000}"/>
    <cellStyle name="40% - Accent4 9 6 2" xfId="6124" xr:uid="{00000000-0005-0000-0000-0000CE330000}"/>
    <cellStyle name="40% - Accent4 9 6 3" xfId="6125" xr:uid="{00000000-0005-0000-0000-0000CF330000}"/>
    <cellStyle name="40% - Accent4 9 7" xfId="6126" xr:uid="{00000000-0005-0000-0000-0000D0330000}"/>
    <cellStyle name="40% - Accent4 9 8" xfId="6127" xr:uid="{00000000-0005-0000-0000-0000D1330000}"/>
    <cellStyle name="40% - Accent4 9_Volatility" xfId="6128" xr:uid="{00000000-0005-0000-0000-0000D2330000}"/>
    <cellStyle name="40% - Accent5 10" xfId="6129" xr:uid="{00000000-0005-0000-0000-0000D3330000}"/>
    <cellStyle name="40% - Accent5 10 2" xfId="6130" xr:uid="{00000000-0005-0000-0000-0000D4330000}"/>
    <cellStyle name="40% - Accent5 10 2 2" xfId="6131" xr:uid="{00000000-0005-0000-0000-0000D5330000}"/>
    <cellStyle name="40% - Accent5 10 2 2 2" xfId="6132" xr:uid="{00000000-0005-0000-0000-0000D6330000}"/>
    <cellStyle name="40% - Accent5 10 2 2 3" xfId="6133" xr:uid="{00000000-0005-0000-0000-0000D7330000}"/>
    <cellStyle name="40% - Accent5 10 2 3" xfId="6134" xr:uid="{00000000-0005-0000-0000-0000D8330000}"/>
    <cellStyle name="40% - Accent5 10 2 3 2" xfId="6135" xr:uid="{00000000-0005-0000-0000-0000D9330000}"/>
    <cellStyle name="40% - Accent5 10 2 3 3" xfId="6136" xr:uid="{00000000-0005-0000-0000-0000DA330000}"/>
    <cellStyle name="40% - Accent5 10 2 4" xfId="6137" xr:uid="{00000000-0005-0000-0000-0000DB330000}"/>
    <cellStyle name="40% - Accent5 10 2 4 2" xfId="6138" xr:uid="{00000000-0005-0000-0000-0000DC330000}"/>
    <cellStyle name="40% - Accent5 10 2 4 3" xfId="6139" xr:uid="{00000000-0005-0000-0000-0000DD330000}"/>
    <cellStyle name="40% - Accent5 10 2 5" xfId="6140" xr:uid="{00000000-0005-0000-0000-0000DE330000}"/>
    <cellStyle name="40% - Accent5 10 2 6" xfId="6141" xr:uid="{00000000-0005-0000-0000-0000DF330000}"/>
    <cellStyle name="40% - Accent5 10 2_Volatility" xfId="6142" xr:uid="{00000000-0005-0000-0000-0000E0330000}"/>
    <cellStyle name="40% - Accent5 10 3" xfId="6143" xr:uid="{00000000-0005-0000-0000-0000E1330000}"/>
    <cellStyle name="40% - Accent5 10 3 2" xfId="6144" xr:uid="{00000000-0005-0000-0000-0000E2330000}"/>
    <cellStyle name="40% - Accent5 10 3 2 2" xfId="6145" xr:uid="{00000000-0005-0000-0000-0000E3330000}"/>
    <cellStyle name="40% - Accent5 10 3 2 3" xfId="6146" xr:uid="{00000000-0005-0000-0000-0000E4330000}"/>
    <cellStyle name="40% - Accent5 10 3 3" xfId="6147" xr:uid="{00000000-0005-0000-0000-0000E5330000}"/>
    <cellStyle name="40% - Accent5 10 3 3 2" xfId="6148" xr:uid="{00000000-0005-0000-0000-0000E6330000}"/>
    <cellStyle name="40% - Accent5 10 3 3 3" xfId="6149" xr:uid="{00000000-0005-0000-0000-0000E7330000}"/>
    <cellStyle name="40% - Accent5 10 3 4" xfId="6150" xr:uid="{00000000-0005-0000-0000-0000E8330000}"/>
    <cellStyle name="40% - Accent5 10 3 5" xfId="6151" xr:uid="{00000000-0005-0000-0000-0000E9330000}"/>
    <cellStyle name="40% - Accent5 10 3_Volatility" xfId="6152" xr:uid="{00000000-0005-0000-0000-0000EA330000}"/>
    <cellStyle name="40% - Accent5 10 4" xfId="6153" xr:uid="{00000000-0005-0000-0000-0000EB330000}"/>
    <cellStyle name="40% - Accent5 10 4 2" xfId="6154" xr:uid="{00000000-0005-0000-0000-0000EC330000}"/>
    <cellStyle name="40% - Accent5 10 4 3" xfId="6155" xr:uid="{00000000-0005-0000-0000-0000ED330000}"/>
    <cellStyle name="40% - Accent5 10 5" xfId="6156" xr:uid="{00000000-0005-0000-0000-0000EE330000}"/>
    <cellStyle name="40% - Accent5 10 5 2" xfId="6157" xr:uid="{00000000-0005-0000-0000-0000EF330000}"/>
    <cellStyle name="40% - Accent5 10 5 3" xfId="6158" xr:uid="{00000000-0005-0000-0000-0000F0330000}"/>
    <cellStyle name="40% - Accent5 10 6" xfId="6159" xr:uid="{00000000-0005-0000-0000-0000F1330000}"/>
    <cellStyle name="40% - Accent5 10 6 2" xfId="6160" xr:uid="{00000000-0005-0000-0000-0000F2330000}"/>
    <cellStyle name="40% - Accent5 10 6 3" xfId="6161" xr:uid="{00000000-0005-0000-0000-0000F3330000}"/>
    <cellStyle name="40% - Accent5 10 7" xfId="6162" xr:uid="{00000000-0005-0000-0000-0000F4330000}"/>
    <cellStyle name="40% - Accent5 10 8" xfId="6163" xr:uid="{00000000-0005-0000-0000-0000F5330000}"/>
    <cellStyle name="40% - Accent5 10_Volatility" xfId="6164" xr:uid="{00000000-0005-0000-0000-0000F6330000}"/>
    <cellStyle name="40% - Accent5 11" xfId="6165" xr:uid="{00000000-0005-0000-0000-0000F7330000}"/>
    <cellStyle name="40% - Accent5 11 2" xfId="6166" xr:uid="{00000000-0005-0000-0000-0000F8330000}"/>
    <cellStyle name="40% - Accent5 11 2 2" xfId="6167" xr:uid="{00000000-0005-0000-0000-0000F9330000}"/>
    <cellStyle name="40% - Accent5 11 2 2 2" xfId="6168" xr:uid="{00000000-0005-0000-0000-0000FA330000}"/>
    <cellStyle name="40% - Accent5 11 2 2 3" xfId="6169" xr:uid="{00000000-0005-0000-0000-0000FB330000}"/>
    <cellStyle name="40% - Accent5 11 2 3" xfId="6170" xr:uid="{00000000-0005-0000-0000-0000FC330000}"/>
    <cellStyle name="40% - Accent5 11 2 3 2" xfId="6171" xr:uid="{00000000-0005-0000-0000-0000FD330000}"/>
    <cellStyle name="40% - Accent5 11 2 3 3" xfId="6172" xr:uid="{00000000-0005-0000-0000-0000FE330000}"/>
    <cellStyle name="40% - Accent5 11 2 4" xfId="6173" xr:uid="{00000000-0005-0000-0000-0000FF330000}"/>
    <cellStyle name="40% - Accent5 11 2 4 2" xfId="6174" xr:uid="{00000000-0005-0000-0000-000000340000}"/>
    <cellStyle name="40% - Accent5 11 2 4 3" xfId="6175" xr:uid="{00000000-0005-0000-0000-000001340000}"/>
    <cellStyle name="40% - Accent5 11 2 5" xfId="6176" xr:uid="{00000000-0005-0000-0000-000002340000}"/>
    <cellStyle name="40% - Accent5 11 2 6" xfId="6177" xr:uid="{00000000-0005-0000-0000-000003340000}"/>
    <cellStyle name="40% - Accent5 11 2_Volatility" xfId="6178" xr:uid="{00000000-0005-0000-0000-000004340000}"/>
    <cellStyle name="40% - Accent5 11 3" xfId="6179" xr:uid="{00000000-0005-0000-0000-000005340000}"/>
    <cellStyle name="40% - Accent5 11 3 2" xfId="6180" xr:uid="{00000000-0005-0000-0000-000006340000}"/>
    <cellStyle name="40% - Accent5 11 3 2 2" xfId="6181" xr:uid="{00000000-0005-0000-0000-000007340000}"/>
    <cellStyle name="40% - Accent5 11 3 2 3" xfId="6182" xr:uid="{00000000-0005-0000-0000-000008340000}"/>
    <cellStyle name="40% - Accent5 11 3 3" xfId="6183" xr:uid="{00000000-0005-0000-0000-000009340000}"/>
    <cellStyle name="40% - Accent5 11 3 3 2" xfId="6184" xr:uid="{00000000-0005-0000-0000-00000A340000}"/>
    <cellStyle name="40% - Accent5 11 3 3 3" xfId="6185" xr:uid="{00000000-0005-0000-0000-00000B340000}"/>
    <cellStyle name="40% - Accent5 11 3 4" xfId="6186" xr:uid="{00000000-0005-0000-0000-00000C340000}"/>
    <cellStyle name="40% - Accent5 11 3 5" xfId="6187" xr:uid="{00000000-0005-0000-0000-00000D340000}"/>
    <cellStyle name="40% - Accent5 11 3_Volatility" xfId="6188" xr:uid="{00000000-0005-0000-0000-00000E340000}"/>
    <cellStyle name="40% - Accent5 11 4" xfId="6189" xr:uid="{00000000-0005-0000-0000-00000F340000}"/>
    <cellStyle name="40% - Accent5 11 4 2" xfId="6190" xr:uid="{00000000-0005-0000-0000-000010340000}"/>
    <cellStyle name="40% - Accent5 11 4 3" xfId="6191" xr:uid="{00000000-0005-0000-0000-000011340000}"/>
    <cellStyle name="40% - Accent5 11 5" xfId="6192" xr:uid="{00000000-0005-0000-0000-000012340000}"/>
    <cellStyle name="40% - Accent5 11 5 2" xfId="6193" xr:uid="{00000000-0005-0000-0000-000013340000}"/>
    <cellStyle name="40% - Accent5 11 5 3" xfId="6194" xr:uid="{00000000-0005-0000-0000-000014340000}"/>
    <cellStyle name="40% - Accent5 11 6" xfId="6195" xr:uid="{00000000-0005-0000-0000-000015340000}"/>
    <cellStyle name="40% - Accent5 11 6 2" xfId="6196" xr:uid="{00000000-0005-0000-0000-000016340000}"/>
    <cellStyle name="40% - Accent5 11 6 3" xfId="6197" xr:uid="{00000000-0005-0000-0000-000017340000}"/>
    <cellStyle name="40% - Accent5 11 7" xfId="6198" xr:uid="{00000000-0005-0000-0000-000018340000}"/>
    <cellStyle name="40% - Accent5 11 8" xfId="6199" xr:uid="{00000000-0005-0000-0000-000019340000}"/>
    <cellStyle name="40% - Accent5 11_Volatility" xfId="6200" xr:uid="{00000000-0005-0000-0000-00001A340000}"/>
    <cellStyle name="40% - Accent5 12" xfId="6201" xr:uid="{00000000-0005-0000-0000-00001B340000}"/>
    <cellStyle name="40% - Accent5 12 2" xfId="6202" xr:uid="{00000000-0005-0000-0000-00001C340000}"/>
    <cellStyle name="40% - Accent5 12 2 2" xfId="6203" xr:uid="{00000000-0005-0000-0000-00001D340000}"/>
    <cellStyle name="40% - Accent5 12 2 2 2" xfId="6204" xr:uid="{00000000-0005-0000-0000-00001E340000}"/>
    <cellStyle name="40% - Accent5 12 2 2 3" xfId="6205" xr:uid="{00000000-0005-0000-0000-00001F340000}"/>
    <cellStyle name="40% - Accent5 12 2 3" xfId="6206" xr:uid="{00000000-0005-0000-0000-000020340000}"/>
    <cellStyle name="40% - Accent5 12 2 3 2" xfId="6207" xr:uid="{00000000-0005-0000-0000-000021340000}"/>
    <cellStyle name="40% - Accent5 12 2 3 3" xfId="6208" xr:uid="{00000000-0005-0000-0000-000022340000}"/>
    <cellStyle name="40% - Accent5 12 2 4" xfId="6209" xr:uid="{00000000-0005-0000-0000-000023340000}"/>
    <cellStyle name="40% - Accent5 12 2 4 2" xfId="6210" xr:uid="{00000000-0005-0000-0000-000024340000}"/>
    <cellStyle name="40% - Accent5 12 2 4 3" xfId="6211" xr:uid="{00000000-0005-0000-0000-000025340000}"/>
    <cellStyle name="40% - Accent5 12 2 5" xfId="6212" xr:uid="{00000000-0005-0000-0000-000026340000}"/>
    <cellStyle name="40% - Accent5 12 2 6" xfId="6213" xr:uid="{00000000-0005-0000-0000-000027340000}"/>
    <cellStyle name="40% - Accent5 12 2_Volatility" xfId="6214" xr:uid="{00000000-0005-0000-0000-000028340000}"/>
    <cellStyle name="40% - Accent5 12 3" xfId="6215" xr:uid="{00000000-0005-0000-0000-000029340000}"/>
    <cellStyle name="40% - Accent5 12 3 2" xfId="6216" xr:uid="{00000000-0005-0000-0000-00002A340000}"/>
    <cellStyle name="40% - Accent5 12 3 2 2" xfId="6217" xr:uid="{00000000-0005-0000-0000-00002B340000}"/>
    <cellStyle name="40% - Accent5 12 3 2 3" xfId="6218" xr:uid="{00000000-0005-0000-0000-00002C340000}"/>
    <cellStyle name="40% - Accent5 12 3 3" xfId="6219" xr:uid="{00000000-0005-0000-0000-00002D340000}"/>
    <cellStyle name="40% - Accent5 12 3 3 2" xfId="6220" xr:uid="{00000000-0005-0000-0000-00002E340000}"/>
    <cellStyle name="40% - Accent5 12 3 3 3" xfId="6221" xr:uid="{00000000-0005-0000-0000-00002F340000}"/>
    <cellStyle name="40% - Accent5 12 3 4" xfId="6222" xr:uid="{00000000-0005-0000-0000-000030340000}"/>
    <cellStyle name="40% - Accent5 12 3 5" xfId="6223" xr:uid="{00000000-0005-0000-0000-000031340000}"/>
    <cellStyle name="40% - Accent5 12 3_Volatility" xfId="6224" xr:uid="{00000000-0005-0000-0000-000032340000}"/>
    <cellStyle name="40% - Accent5 12 4" xfId="6225" xr:uid="{00000000-0005-0000-0000-000033340000}"/>
    <cellStyle name="40% - Accent5 12 4 2" xfId="6226" xr:uid="{00000000-0005-0000-0000-000034340000}"/>
    <cellStyle name="40% - Accent5 12 4 3" xfId="6227" xr:uid="{00000000-0005-0000-0000-000035340000}"/>
    <cellStyle name="40% - Accent5 12 5" xfId="6228" xr:uid="{00000000-0005-0000-0000-000036340000}"/>
    <cellStyle name="40% - Accent5 12 5 2" xfId="6229" xr:uid="{00000000-0005-0000-0000-000037340000}"/>
    <cellStyle name="40% - Accent5 12 5 3" xfId="6230" xr:uid="{00000000-0005-0000-0000-000038340000}"/>
    <cellStyle name="40% - Accent5 12 6" xfId="6231" xr:uid="{00000000-0005-0000-0000-000039340000}"/>
    <cellStyle name="40% - Accent5 12 6 2" xfId="6232" xr:uid="{00000000-0005-0000-0000-00003A340000}"/>
    <cellStyle name="40% - Accent5 12 6 3" xfId="6233" xr:uid="{00000000-0005-0000-0000-00003B340000}"/>
    <cellStyle name="40% - Accent5 12 7" xfId="6234" xr:uid="{00000000-0005-0000-0000-00003C340000}"/>
    <cellStyle name="40% - Accent5 12 8" xfId="6235" xr:uid="{00000000-0005-0000-0000-00003D340000}"/>
    <cellStyle name="40% - Accent5 12_Volatility" xfId="6236" xr:uid="{00000000-0005-0000-0000-00003E340000}"/>
    <cellStyle name="40% - Accent5 13" xfId="6237" xr:uid="{00000000-0005-0000-0000-00003F340000}"/>
    <cellStyle name="40% - Accent5 13 2" xfId="6238" xr:uid="{00000000-0005-0000-0000-000040340000}"/>
    <cellStyle name="40% - Accent5 13 2 2" xfId="6239" xr:uid="{00000000-0005-0000-0000-000041340000}"/>
    <cellStyle name="40% - Accent5 13 2 2 2" xfId="6240" xr:uid="{00000000-0005-0000-0000-000042340000}"/>
    <cellStyle name="40% - Accent5 13 2 2 3" xfId="6241" xr:uid="{00000000-0005-0000-0000-000043340000}"/>
    <cellStyle name="40% - Accent5 13 2 3" xfId="6242" xr:uid="{00000000-0005-0000-0000-000044340000}"/>
    <cellStyle name="40% - Accent5 13 2 3 2" xfId="6243" xr:uid="{00000000-0005-0000-0000-000045340000}"/>
    <cellStyle name="40% - Accent5 13 2 3 3" xfId="6244" xr:uid="{00000000-0005-0000-0000-000046340000}"/>
    <cellStyle name="40% - Accent5 13 2 4" xfId="6245" xr:uid="{00000000-0005-0000-0000-000047340000}"/>
    <cellStyle name="40% - Accent5 13 2 4 2" xfId="6246" xr:uid="{00000000-0005-0000-0000-000048340000}"/>
    <cellStyle name="40% - Accent5 13 2 4 3" xfId="6247" xr:uid="{00000000-0005-0000-0000-000049340000}"/>
    <cellStyle name="40% - Accent5 13 2 5" xfId="6248" xr:uid="{00000000-0005-0000-0000-00004A340000}"/>
    <cellStyle name="40% - Accent5 13 2 6" xfId="6249" xr:uid="{00000000-0005-0000-0000-00004B340000}"/>
    <cellStyle name="40% - Accent5 13 2_Volatility" xfId="6250" xr:uid="{00000000-0005-0000-0000-00004C340000}"/>
    <cellStyle name="40% - Accent5 13 3" xfId="6251" xr:uid="{00000000-0005-0000-0000-00004D340000}"/>
    <cellStyle name="40% - Accent5 13 3 2" xfId="6252" xr:uid="{00000000-0005-0000-0000-00004E340000}"/>
    <cellStyle name="40% - Accent5 13 3 2 2" xfId="6253" xr:uid="{00000000-0005-0000-0000-00004F340000}"/>
    <cellStyle name="40% - Accent5 13 3 2 3" xfId="6254" xr:uid="{00000000-0005-0000-0000-000050340000}"/>
    <cellStyle name="40% - Accent5 13 3 3" xfId="6255" xr:uid="{00000000-0005-0000-0000-000051340000}"/>
    <cellStyle name="40% - Accent5 13 3 3 2" xfId="6256" xr:uid="{00000000-0005-0000-0000-000052340000}"/>
    <cellStyle name="40% - Accent5 13 3 3 3" xfId="6257" xr:uid="{00000000-0005-0000-0000-000053340000}"/>
    <cellStyle name="40% - Accent5 13 3 4" xfId="6258" xr:uid="{00000000-0005-0000-0000-000054340000}"/>
    <cellStyle name="40% - Accent5 13 3 5" xfId="6259" xr:uid="{00000000-0005-0000-0000-000055340000}"/>
    <cellStyle name="40% - Accent5 13 3_Volatility" xfId="6260" xr:uid="{00000000-0005-0000-0000-000056340000}"/>
    <cellStyle name="40% - Accent5 13 4" xfId="6261" xr:uid="{00000000-0005-0000-0000-000057340000}"/>
    <cellStyle name="40% - Accent5 13 4 2" xfId="6262" xr:uid="{00000000-0005-0000-0000-000058340000}"/>
    <cellStyle name="40% - Accent5 13 4 3" xfId="6263" xr:uid="{00000000-0005-0000-0000-000059340000}"/>
    <cellStyle name="40% - Accent5 13 5" xfId="6264" xr:uid="{00000000-0005-0000-0000-00005A340000}"/>
    <cellStyle name="40% - Accent5 13 5 2" xfId="6265" xr:uid="{00000000-0005-0000-0000-00005B340000}"/>
    <cellStyle name="40% - Accent5 13 5 3" xfId="6266" xr:uid="{00000000-0005-0000-0000-00005C340000}"/>
    <cellStyle name="40% - Accent5 13 6" xfId="6267" xr:uid="{00000000-0005-0000-0000-00005D340000}"/>
    <cellStyle name="40% - Accent5 13 6 2" xfId="6268" xr:uid="{00000000-0005-0000-0000-00005E340000}"/>
    <cellStyle name="40% - Accent5 13 6 3" xfId="6269" xr:uid="{00000000-0005-0000-0000-00005F340000}"/>
    <cellStyle name="40% - Accent5 13 7" xfId="6270" xr:uid="{00000000-0005-0000-0000-000060340000}"/>
    <cellStyle name="40% - Accent5 13 8" xfId="6271" xr:uid="{00000000-0005-0000-0000-000061340000}"/>
    <cellStyle name="40% - Accent5 13_Volatility" xfId="6272" xr:uid="{00000000-0005-0000-0000-000062340000}"/>
    <cellStyle name="40% - Accent5 14" xfId="6273" xr:uid="{00000000-0005-0000-0000-000063340000}"/>
    <cellStyle name="40% - Accent5 14 2" xfId="6274" xr:uid="{00000000-0005-0000-0000-000064340000}"/>
    <cellStyle name="40% - Accent5 14 2 2" xfId="6275" xr:uid="{00000000-0005-0000-0000-000065340000}"/>
    <cellStyle name="40% - Accent5 14 2 2 2" xfId="6276" xr:uid="{00000000-0005-0000-0000-000066340000}"/>
    <cellStyle name="40% - Accent5 14 2 2 3" xfId="6277" xr:uid="{00000000-0005-0000-0000-000067340000}"/>
    <cellStyle name="40% - Accent5 14 2 3" xfId="6278" xr:uid="{00000000-0005-0000-0000-000068340000}"/>
    <cellStyle name="40% - Accent5 14 2 3 2" xfId="6279" xr:uid="{00000000-0005-0000-0000-000069340000}"/>
    <cellStyle name="40% - Accent5 14 2 3 3" xfId="6280" xr:uid="{00000000-0005-0000-0000-00006A340000}"/>
    <cellStyle name="40% - Accent5 14 2 4" xfId="6281" xr:uid="{00000000-0005-0000-0000-00006B340000}"/>
    <cellStyle name="40% - Accent5 14 2 4 2" xfId="6282" xr:uid="{00000000-0005-0000-0000-00006C340000}"/>
    <cellStyle name="40% - Accent5 14 2 4 3" xfId="6283" xr:uid="{00000000-0005-0000-0000-00006D340000}"/>
    <cellStyle name="40% - Accent5 14 2 5" xfId="6284" xr:uid="{00000000-0005-0000-0000-00006E340000}"/>
    <cellStyle name="40% - Accent5 14 2 6" xfId="6285" xr:uid="{00000000-0005-0000-0000-00006F340000}"/>
    <cellStyle name="40% - Accent5 14 2_Volatility" xfId="6286" xr:uid="{00000000-0005-0000-0000-000070340000}"/>
    <cellStyle name="40% - Accent5 14 3" xfId="6287" xr:uid="{00000000-0005-0000-0000-000071340000}"/>
    <cellStyle name="40% - Accent5 14 3 2" xfId="6288" xr:uid="{00000000-0005-0000-0000-000072340000}"/>
    <cellStyle name="40% - Accent5 14 3 2 2" xfId="6289" xr:uid="{00000000-0005-0000-0000-000073340000}"/>
    <cellStyle name="40% - Accent5 14 3 2 3" xfId="6290" xr:uid="{00000000-0005-0000-0000-000074340000}"/>
    <cellStyle name="40% - Accent5 14 3 3" xfId="6291" xr:uid="{00000000-0005-0000-0000-000075340000}"/>
    <cellStyle name="40% - Accent5 14 3 3 2" xfId="6292" xr:uid="{00000000-0005-0000-0000-000076340000}"/>
    <cellStyle name="40% - Accent5 14 3 3 3" xfId="6293" xr:uid="{00000000-0005-0000-0000-000077340000}"/>
    <cellStyle name="40% - Accent5 14 3 4" xfId="6294" xr:uid="{00000000-0005-0000-0000-000078340000}"/>
    <cellStyle name="40% - Accent5 14 3 5" xfId="6295" xr:uid="{00000000-0005-0000-0000-000079340000}"/>
    <cellStyle name="40% - Accent5 14 3_Volatility" xfId="6296" xr:uid="{00000000-0005-0000-0000-00007A340000}"/>
    <cellStyle name="40% - Accent5 14 4" xfId="6297" xr:uid="{00000000-0005-0000-0000-00007B340000}"/>
    <cellStyle name="40% - Accent5 14 4 2" xfId="6298" xr:uid="{00000000-0005-0000-0000-00007C340000}"/>
    <cellStyle name="40% - Accent5 14 4 3" xfId="6299" xr:uid="{00000000-0005-0000-0000-00007D340000}"/>
    <cellStyle name="40% - Accent5 14 5" xfId="6300" xr:uid="{00000000-0005-0000-0000-00007E340000}"/>
    <cellStyle name="40% - Accent5 14 5 2" xfId="6301" xr:uid="{00000000-0005-0000-0000-00007F340000}"/>
    <cellStyle name="40% - Accent5 14 5 3" xfId="6302" xr:uid="{00000000-0005-0000-0000-000080340000}"/>
    <cellStyle name="40% - Accent5 14 6" xfId="6303" xr:uid="{00000000-0005-0000-0000-000081340000}"/>
    <cellStyle name="40% - Accent5 14 6 2" xfId="6304" xr:uid="{00000000-0005-0000-0000-000082340000}"/>
    <cellStyle name="40% - Accent5 14 6 3" xfId="6305" xr:uid="{00000000-0005-0000-0000-000083340000}"/>
    <cellStyle name="40% - Accent5 14 7" xfId="6306" xr:uid="{00000000-0005-0000-0000-000084340000}"/>
    <cellStyle name="40% - Accent5 14 8" xfId="6307" xr:uid="{00000000-0005-0000-0000-000085340000}"/>
    <cellStyle name="40% - Accent5 14_Volatility" xfId="6308" xr:uid="{00000000-0005-0000-0000-000086340000}"/>
    <cellStyle name="40% - Accent5 15" xfId="6309" xr:uid="{00000000-0005-0000-0000-000087340000}"/>
    <cellStyle name="40% - Accent5 15 2" xfId="6310" xr:uid="{00000000-0005-0000-0000-000088340000}"/>
    <cellStyle name="40% - Accent5 15 2 2" xfId="6311" xr:uid="{00000000-0005-0000-0000-000089340000}"/>
    <cellStyle name="40% - Accent5 15 2 2 2" xfId="6312" xr:uid="{00000000-0005-0000-0000-00008A340000}"/>
    <cellStyle name="40% - Accent5 15 2 2 3" xfId="6313" xr:uid="{00000000-0005-0000-0000-00008B340000}"/>
    <cellStyle name="40% - Accent5 15 2 3" xfId="6314" xr:uid="{00000000-0005-0000-0000-00008C340000}"/>
    <cellStyle name="40% - Accent5 15 2 3 2" xfId="6315" xr:uid="{00000000-0005-0000-0000-00008D340000}"/>
    <cellStyle name="40% - Accent5 15 2 3 3" xfId="6316" xr:uid="{00000000-0005-0000-0000-00008E340000}"/>
    <cellStyle name="40% - Accent5 15 2 4" xfId="6317" xr:uid="{00000000-0005-0000-0000-00008F340000}"/>
    <cellStyle name="40% - Accent5 15 2 4 2" xfId="6318" xr:uid="{00000000-0005-0000-0000-000090340000}"/>
    <cellStyle name="40% - Accent5 15 2 4 3" xfId="6319" xr:uid="{00000000-0005-0000-0000-000091340000}"/>
    <cellStyle name="40% - Accent5 15 2 5" xfId="6320" xr:uid="{00000000-0005-0000-0000-000092340000}"/>
    <cellStyle name="40% - Accent5 15 2 6" xfId="6321" xr:uid="{00000000-0005-0000-0000-000093340000}"/>
    <cellStyle name="40% - Accent5 15 2_Volatility" xfId="6322" xr:uid="{00000000-0005-0000-0000-000094340000}"/>
    <cellStyle name="40% - Accent5 15 3" xfId="6323" xr:uid="{00000000-0005-0000-0000-000095340000}"/>
    <cellStyle name="40% - Accent5 15 3 2" xfId="6324" xr:uid="{00000000-0005-0000-0000-000096340000}"/>
    <cellStyle name="40% - Accent5 15 3 2 2" xfId="6325" xr:uid="{00000000-0005-0000-0000-000097340000}"/>
    <cellStyle name="40% - Accent5 15 3 2 3" xfId="6326" xr:uid="{00000000-0005-0000-0000-000098340000}"/>
    <cellStyle name="40% - Accent5 15 3 3" xfId="6327" xr:uid="{00000000-0005-0000-0000-000099340000}"/>
    <cellStyle name="40% - Accent5 15 3 3 2" xfId="6328" xr:uid="{00000000-0005-0000-0000-00009A340000}"/>
    <cellStyle name="40% - Accent5 15 3 3 3" xfId="6329" xr:uid="{00000000-0005-0000-0000-00009B340000}"/>
    <cellStyle name="40% - Accent5 15 3 4" xfId="6330" xr:uid="{00000000-0005-0000-0000-00009C340000}"/>
    <cellStyle name="40% - Accent5 15 3 5" xfId="6331" xr:uid="{00000000-0005-0000-0000-00009D340000}"/>
    <cellStyle name="40% - Accent5 15 3_Volatility" xfId="6332" xr:uid="{00000000-0005-0000-0000-00009E340000}"/>
    <cellStyle name="40% - Accent5 15 4" xfId="6333" xr:uid="{00000000-0005-0000-0000-00009F340000}"/>
    <cellStyle name="40% - Accent5 15 4 2" xfId="6334" xr:uid="{00000000-0005-0000-0000-0000A0340000}"/>
    <cellStyle name="40% - Accent5 15 4 3" xfId="6335" xr:uid="{00000000-0005-0000-0000-0000A1340000}"/>
    <cellStyle name="40% - Accent5 15 5" xfId="6336" xr:uid="{00000000-0005-0000-0000-0000A2340000}"/>
    <cellStyle name="40% - Accent5 15 5 2" xfId="6337" xr:uid="{00000000-0005-0000-0000-0000A3340000}"/>
    <cellStyle name="40% - Accent5 15 5 3" xfId="6338" xr:uid="{00000000-0005-0000-0000-0000A4340000}"/>
    <cellStyle name="40% - Accent5 15 6" xfId="6339" xr:uid="{00000000-0005-0000-0000-0000A5340000}"/>
    <cellStyle name="40% - Accent5 15 6 2" xfId="6340" xr:uid="{00000000-0005-0000-0000-0000A6340000}"/>
    <cellStyle name="40% - Accent5 15 6 3" xfId="6341" xr:uid="{00000000-0005-0000-0000-0000A7340000}"/>
    <cellStyle name="40% - Accent5 15 7" xfId="6342" xr:uid="{00000000-0005-0000-0000-0000A8340000}"/>
    <cellStyle name="40% - Accent5 15 8" xfId="6343" xr:uid="{00000000-0005-0000-0000-0000A9340000}"/>
    <cellStyle name="40% - Accent5 15_Volatility" xfId="6344" xr:uid="{00000000-0005-0000-0000-0000AA340000}"/>
    <cellStyle name="40% - Accent5 16" xfId="6345" xr:uid="{00000000-0005-0000-0000-0000AB340000}"/>
    <cellStyle name="40% - Accent5 16 2" xfId="15941" xr:uid="{00000000-0005-0000-0000-0000AC340000}"/>
    <cellStyle name="40% - Accent5 16 3" xfId="19892" xr:uid="{00000000-0005-0000-0000-0000AD340000}"/>
    <cellStyle name="40% - Accent5 17" xfId="6346" xr:uid="{00000000-0005-0000-0000-0000AE340000}"/>
    <cellStyle name="40% - Accent5 17 2" xfId="15942" xr:uid="{00000000-0005-0000-0000-0000AF340000}"/>
    <cellStyle name="40% - Accent5 17 3" xfId="19893" xr:uid="{00000000-0005-0000-0000-0000B0340000}"/>
    <cellStyle name="40% - Accent5 18" xfId="6347" xr:uid="{00000000-0005-0000-0000-0000B1340000}"/>
    <cellStyle name="40% - Accent5 18 2" xfId="15943" xr:uid="{00000000-0005-0000-0000-0000B2340000}"/>
    <cellStyle name="40% - Accent5 18 3" xfId="19894" xr:uid="{00000000-0005-0000-0000-0000B3340000}"/>
    <cellStyle name="40% - Accent5 19" xfId="6348" xr:uid="{00000000-0005-0000-0000-0000B4340000}"/>
    <cellStyle name="40% - Accent5 19 2" xfId="15944" xr:uid="{00000000-0005-0000-0000-0000B5340000}"/>
    <cellStyle name="40% - Accent5 19 3" xfId="19895" xr:uid="{00000000-0005-0000-0000-0000B6340000}"/>
    <cellStyle name="40% - Accent5 2" xfId="6349" xr:uid="{00000000-0005-0000-0000-0000B7340000}"/>
    <cellStyle name="40% - Accent5 2 2" xfId="6350" xr:uid="{00000000-0005-0000-0000-0000B8340000}"/>
    <cellStyle name="40% - Accent5 2 2 2" xfId="6351" xr:uid="{00000000-0005-0000-0000-0000B9340000}"/>
    <cellStyle name="40% - Accent5 2 2 2 2" xfId="6352" xr:uid="{00000000-0005-0000-0000-0000BA340000}"/>
    <cellStyle name="40% - Accent5 2 2 2 3" xfId="6353" xr:uid="{00000000-0005-0000-0000-0000BB340000}"/>
    <cellStyle name="40% - Accent5 2 2 3" xfId="6354" xr:uid="{00000000-0005-0000-0000-0000BC340000}"/>
    <cellStyle name="40% - Accent5 2 2 3 2" xfId="6355" xr:uid="{00000000-0005-0000-0000-0000BD340000}"/>
    <cellStyle name="40% - Accent5 2 2 3 3" xfId="6356" xr:uid="{00000000-0005-0000-0000-0000BE340000}"/>
    <cellStyle name="40% - Accent5 2 2 4" xfId="6357" xr:uid="{00000000-0005-0000-0000-0000BF340000}"/>
    <cellStyle name="40% - Accent5 2 2 4 2" xfId="6358" xr:uid="{00000000-0005-0000-0000-0000C0340000}"/>
    <cellStyle name="40% - Accent5 2 2 4 3" xfId="6359" xr:uid="{00000000-0005-0000-0000-0000C1340000}"/>
    <cellStyle name="40% - Accent5 2 2 5" xfId="6360" xr:uid="{00000000-0005-0000-0000-0000C2340000}"/>
    <cellStyle name="40% - Accent5 2 2 6" xfId="6361" xr:uid="{00000000-0005-0000-0000-0000C3340000}"/>
    <cellStyle name="40% - Accent5 2 2_Volatility" xfId="6362" xr:uid="{00000000-0005-0000-0000-0000C4340000}"/>
    <cellStyle name="40% - Accent5 2 3" xfId="6363" xr:uid="{00000000-0005-0000-0000-0000C5340000}"/>
    <cellStyle name="40% - Accent5 2 3 2" xfId="6364" xr:uid="{00000000-0005-0000-0000-0000C6340000}"/>
    <cellStyle name="40% - Accent5 2 3 2 2" xfId="6365" xr:uid="{00000000-0005-0000-0000-0000C7340000}"/>
    <cellStyle name="40% - Accent5 2 3 2 3" xfId="6366" xr:uid="{00000000-0005-0000-0000-0000C8340000}"/>
    <cellStyle name="40% - Accent5 2 3 3" xfId="6367" xr:uid="{00000000-0005-0000-0000-0000C9340000}"/>
    <cellStyle name="40% - Accent5 2 3 3 2" xfId="6368" xr:uid="{00000000-0005-0000-0000-0000CA340000}"/>
    <cellStyle name="40% - Accent5 2 3 3 3" xfId="6369" xr:uid="{00000000-0005-0000-0000-0000CB340000}"/>
    <cellStyle name="40% - Accent5 2 3 4" xfId="6370" xr:uid="{00000000-0005-0000-0000-0000CC340000}"/>
    <cellStyle name="40% - Accent5 2 3 5" xfId="6371" xr:uid="{00000000-0005-0000-0000-0000CD340000}"/>
    <cellStyle name="40% - Accent5 2 3_Volatility" xfId="6372" xr:uid="{00000000-0005-0000-0000-0000CE340000}"/>
    <cellStyle name="40% - Accent5 2 4" xfId="6373" xr:uid="{00000000-0005-0000-0000-0000CF340000}"/>
    <cellStyle name="40% - Accent5 2 4 2" xfId="6374" xr:uid="{00000000-0005-0000-0000-0000D0340000}"/>
    <cellStyle name="40% - Accent5 2 4 3" xfId="6375" xr:uid="{00000000-0005-0000-0000-0000D1340000}"/>
    <cellStyle name="40% - Accent5 2 5" xfId="6376" xr:uid="{00000000-0005-0000-0000-0000D2340000}"/>
    <cellStyle name="40% - Accent5 2 5 2" xfId="6377" xr:uid="{00000000-0005-0000-0000-0000D3340000}"/>
    <cellStyle name="40% - Accent5 2 5 3" xfId="6378" xr:uid="{00000000-0005-0000-0000-0000D4340000}"/>
    <cellStyle name="40% - Accent5 2 6" xfId="6379" xr:uid="{00000000-0005-0000-0000-0000D5340000}"/>
    <cellStyle name="40% - Accent5 2 6 2" xfId="6380" xr:uid="{00000000-0005-0000-0000-0000D6340000}"/>
    <cellStyle name="40% - Accent5 2 6 3" xfId="6381" xr:uid="{00000000-0005-0000-0000-0000D7340000}"/>
    <cellStyle name="40% - Accent5 2 7" xfId="6382" xr:uid="{00000000-0005-0000-0000-0000D8340000}"/>
    <cellStyle name="40% - Accent5 2 8" xfId="6383" xr:uid="{00000000-0005-0000-0000-0000D9340000}"/>
    <cellStyle name="40% - Accent5 2_Volatility" xfId="6384" xr:uid="{00000000-0005-0000-0000-0000DA340000}"/>
    <cellStyle name="40% - Accent5 3" xfId="6385" xr:uid="{00000000-0005-0000-0000-0000DB340000}"/>
    <cellStyle name="40% - Accent5 3 2" xfId="6386" xr:uid="{00000000-0005-0000-0000-0000DC340000}"/>
    <cellStyle name="40% - Accent5 3 2 2" xfId="6387" xr:uid="{00000000-0005-0000-0000-0000DD340000}"/>
    <cellStyle name="40% - Accent5 3 2 2 2" xfId="6388" xr:uid="{00000000-0005-0000-0000-0000DE340000}"/>
    <cellStyle name="40% - Accent5 3 2 2 3" xfId="6389" xr:uid="{00000000-0005-0000-0000-0000DF340000}"/>
    <cellStyle name="40% - Accent5 3 2 3" xfId="6390" xr:uid="{00000000-0005-0000-0000-0000E0340000}"/>
    <cellStyle name="40% - Accent5 3 2 3 2" xfId="6391" xr:uid="{00000000-0005-0000-0000-0000E1340000}"/>
    <cellStyle name="40% - Accent5 3 2 3 3" xfId="6392" xr:uid="{00000000-0005-0000-0000-0000E2340000}"/>
    <cellStyle name="40% - Accent5 3 2 4" xfId="6393" xr:uid="{00000000-0005-0000-0000-0000E3340000}"/>
    <cellStyle name="40% - Accent5 3 2 4 2" xfId="6394" xr:uid="{00000000-0005-0000-0000-0000E4340000}"/>
    <cellStyle name="40% - Accent5 3 2 4 3" xfId="6395" xr:uid="{00000000-0005-0000-0000-0000E5340000}"/>
    <cellStyle name="40% - Accent5 3 2 5" xfId="6396" xr:uid="{00000000-0005-0000-0000-0000E6340000}"/>
    <cellStyle name="40% - Accent5 3 2 6" xfId="6397" xr:uid="{00000000-0005-0000-0000-0000E7340000}"/>
    <cellStyle name="40% - Accent5 3 2_Volatility" xfId="6398" xr:uid="{00000000-0005-0000-0000-0000E8340000}"/>
    <cellStyle name="40% - Accent5 3 3" xfId="6399" xr:uid="{00000000-0005-0000-0000-0000E9340000}"/>
    <cellStyle name="40% - Accent5 3 3 2" xfId="6400" xr:uid="{00000000-0005-0000-0000-0000EA340000}"/>
    <cellStyle name="40% - Accent5 3 3 2 2" xfId="6401" xr:uid="{00000000-0005-0000-0000-0000EB340000}"/>
    <cellStyle name="40% - Accent5 3 3 2 3" xfId="6402" xr:uid="{00000000-0005-0000-0000-0000EC340000}"/>
    <cellStyle name="40% - Accent5 3 3 3" xfId="6403" xr:uid="{00000000-0005-0000-0000-0000ED340000}"/>
    <cellStyle name="40% - Accent5 3 3 3 2" xfId="6404" xr:uid="{00000000-0005-0000-0000-0000EE340000}"/>
    <cellStyle name="40% - Accent5 3 3 3 3" xfId="6405" xr:uid="{00000000-0005-0000-0000-0000EF340000}"/>
    <cellStyle name="40% - Accent5 3 3 4" xfId="6406" xr:uid="{00000000-0005-0000-0000-0000F0340000}"/>
    <cellStyle name="40% - Accent5 3 3 5" xfId="6407" xr:uid="{00000000-0005-0000-0000-0000F1340000}"/>
    <cellStyle name="40% - Accent5 3 3_Volatility" xfId="6408" xr:uid="{00000000-0005-0000-0000-0000F2340000}"/>
    <cellStyle name="40% - Accent5 3 4" xfId="6409" xr:uid="{00000000-0005-0000-0000-0000F3340000}"/>
    <cellStyle name="40% - Accent5 3 4 2" xfId="6410" xr:uid="{00000000-0005-0000-0000-0000F4340000}"/>
    <cellStyle name="40% - Accent5 3 4 3" xfId="6411" xr:uid="{00000000-0005-0000-0000-0000F5340000}"/>
    <cellStyle name="40% - Accent5 3 5" xfId="6412" xr:uid="{00000000-0005-0000-0000-0000F6340000}"/>
    <cellStyle name="40% - Accent5 3 5 2" xfId="6413" xr:uid="{00000000-0005-0000-0000-0000F7340000}"/>
    <cellStyle name="40% - Accent5 3 5 3" xfId="6414" xr:uid="{00000000-0005-0000-0000-0000F8340000}"/>
    <cellStyle name="40% - Accent5 3 6" xfId="6415" xr:uid="{00000000-0005-0000-0000-0000F9340000}"/>
    <cellStyle name="40% - Accent5 3 6 2" xfId="6416" xr:uid="{00000000-0005-0000-0000-0000FA340000}"/>
    <cellStyle name="40% - Accent5 3 6 3" xfId="6417" xr:uid="{00000000-0005-0000-0000-0000FB340000}"/>
    <cellStyle name="40% - Accent5 3 7" xfId="6418" xr:uid="{00000000-0005-0000-0000-0000FC340000}"/>
    <cellStyle name="40% - Accent5 3 8" xfId="6419" xr:uid="{00000000-0005-0000-0000-0000FD340000}"/>
    <cellStyle name="40% - Accent5 3_Volatility" xfId="6420" xr:uid="{00000000-0005-0000-0000-0000FE340000}"/>
    <cellStyle name="40% - Accent5 4" xfId="6421" xr:uid="{00000000-0005-0000-0000-0000FF340000}"/>
    <cellStyle name="40% - Accent5 4 2" xfId="6422" xr:uid="{00000000-0005-0000-0000-000000350000}"/>
    <cellStyle name="40% - Accent5 4 2 2" xfId="6423" xr:uid="{00000000-0005-0000-0000-000001350000}"/>
    <cellStyle name="40% - Accent5 4 2 2 2" xfId="6424" xr:uid="{00000000-0005-0000-0000-000002350000}"/>
    <cellStyle name="40% - Accent5 4 2 2 3" xfId="6425" xr:uid="{00000000-0005-0000-0000-000003350000}"/>
    <cellStyle name="40% - Accent5 4 2 3" xfId="6426" xr:uid="{00000000-0005-0000-0000-000004350000}"/>
    <cellStyle name="40% - Accent5 4 2 3 2" xfId="6427" xr:uid="{00000000-0005-0000-0000-000005350000}"/>
    <cellStyle name="40% - Accent5 4 2 3 3" xfId="6428" xr:uid="{00000000-0005-0000-0000-000006350000}"/>
    <cellStyle name="40% - Accent5 4 2 4" xfId="6429" xr:uid="{00000000-0005-0000-0000-000007350000}"/>
    <cellStyle name="40% - Accent5 4 2 4 2" xfId="6430" xr:uid="{00000000-0005-0000-0000-000008350000}"/>
    <cellStyle name="40% - Accent5 4 2 4 3" xfId="6431" xr:uid="{00000000-0005-0000-0000-000009350000}"/>
    <cellStyle name="40% - Accent5 4 2 5" xfId="6432" xr:uid="{00000000-0005-0000-0000-00000A350000}"/>
    <cellStyle name="40% - Accent5 4 2 6" xfId="6433" xr:uid="{00000000-0005-0000-0000-00000B350000}"/>
    <cellStyle name="40% - Accent5 4 2_Volatility" xfId="6434" xr:uid="{00000000-0005-0000-0000-00000C350000}"/>
    <cellStyle name="40% - Accent5 4 3" xfId="6435" xr:uid="{00000000-0005-0000-0000-00000D350000}"/>
    <cellStyle name="40% - Accent5 4 3 2" xfId="6436" xr:uid="{00000000-0005-0000-0000-00000E350000}"/>
    <cellStyle name="40% - Accent5 4 3 2 2" xfId="6437" xr:uid="{00000000-0005-0000-0000-00000F350000}"/>
    <cellStyle name="40% - Accent5 4 3 2 3" xfId="6438" xr:uid="{00000000-0005-0000-0000-000010350000}"/>
    <cellStyle name="40% - Accent5 4 3 3" xfId="6439" xr:uid="{00000000-0005-0000-0000-000011350000}"/>
    <cellStyle name="40% - Accent5 4 3 3 2" xfId="6440" xr:uid="{00000000-0005-0000-0000-000012350000}"/>
    <cellStyle name="40% - Accent5 4 3 3 3" xfId="6441" xr:uid="{00000000-0005-0000-0000-000013350000}"/>
    <cellStyle name="40% - Accent5 4 3 4" xfId="6442" xr:uid="{00000000-0005-0000-0000-000014350000}"/>
    <cellStyle name="40% - Accent5 4 3 5" xfId="6443" xr:uid="{00000000-0005-0000-0000-000015350000}"/>
    <cellStyle name="40% - Accent5 4 3_Volatility" xfId="6444" xr:uid="{00000000-0005-0000-0000-000016350000}"/>
    <cellStyle name="40% - Accent5 4 4" xfId="6445" xr:uid="{00000000-0005-0000-0000-000017350000}"/>
    <cellStyle name="40% - Accent5 4 4 2" xfId="6446" xr:uid="{00000000-0005-0000-0000-000018350000}"/>
    <cellStyle name="40% - Accent5 4 4 3" xfId="6447" xr:uid="{00000000-0005-0000-0000-000019350000}"/>
    <cellStyle name="40% - Accent5 4 5" xfId="6448" xr:uid="{00000000-0005-0000-0000-00001A350000}"/>
    <cellStyle name="40% - Accent5 4 5 2" xfId="6449" xr:uid="{00000000-0005-0000-0000-00001B350000}"/>
    <cellStyle name="40% - Accent5 4 5 3" xfId="6450" xr:uid="{00000000-0005-0000-0000-00001C350000}"/>
    <cellStyle name="40% - Accent5 4 6" xfId="6451" xr:uid="{00000000-0005-0000-0000-00001D350000}"/>
    <cellStyle name="40% - Accent5 4 6 2" xfId="6452" xr:uid="{00000000-0005-0000-0000-00001E350000}"/>
    <cellStyle name="40% - Accent5 4 6 3" xfId="6453" xr:uid="{00000000-0005-0000-0000-00001F350000}"/>
    <cellStyle name="40% - Accent5 4 7" xfId="6454" xr:uid="{00000000-0005-0000-0000-000020350000}"/>
    <cellStyle name="40% - Accent5 4 8" xfId="6455" xr:uid="{00000000-0005-0000-0000-000021350000}"/>
    <cellStyle name="40% - Accent5 4_Volatility" xfId="6456" xr:uid="{00000000-0005-0000-0000-000022350000}"/>
    <cellStyle name="40% - Accent5 5" xfId="6457" xr:uid="{00000000-0005-0000-0000-000023350000}"/>
    <cellStyle name="40% - Accent5 5 2" xfId="6458" xr:uid="{00000000-0005-0000-0000-000024350000}"/>
    <cellStyle name="40% - Accent5 5 2 2" xfId="6459" xr:uid="{00000000-0005-0000-0000-000025350000}"/>
    <cellStyle name="40% - Accent5 5 2 2 2" xfId="6460" xr:uid="{00000000-0005-0000-0000-000026350000}"/>
    <cellStyle name="40% - Accent5 5 2 2 3" xfId="6461" xr:uid="{00000000-0005-0000-0000-000027350000}"/>
    <cellStyle name="40% - Accent5 5 2 3" xfId="6462" xr:uid="{00000000-0005-0000-0000-000028350000}"/>
    <cellStyle name="40% - Accent5 5 2 3 2" xfId="6463" xr:uid="{00000000-0005-0000-0000-000029350000}"/>
    <cellStyle name="40% - Accent5 5 2 3 3" xfId="6464" xr:uid="{00000000-0005-0000-0000-00002A350000}"/>
    <cellStyle name="40% - Accent5 5 2 4" xfId="6465" xr:uid="{00000000-0005-0000-0000-00002B350000}"/>
    <cellStyle name="40% - Accent5 5 2 4 2" xfId="6466" xr:uid="{00000000-0005-0000-0000-00002C350000}"/>
    <cellStyle name="40% - Accent5 5 2 4 3" xfId="6467" xr:uid="{00000000-0005-0000-0000-00002D350000}"/>
    <cellStyle name="40% - Accent5 5 2 5" xfId="6468" xr:uid="{00000000-0005-0000-0000-00002E350000}"/>
    <cellStyle name="40% - Accent5 5 2 6" xfId="6469" xr:uid="{00000000-0005-0000-0000-00002F350000}"/>
    <cellStyle name="40% - Accent5 5 2_Volatility" xfId="6470" xr:uid="{00000000-0005-0000-0000-000030350000}"/>
    <cellStyle name="40% - Accent5 5 3" xfId="6471" xr:uid="{00000000-0005-0000-0000-000031350000}"/>
    <cellStyle name="40% - Accent5 5 3 2" xfId="6472" xr:uid="{00000000-0005-0000-0000-000032350000}"/>
    <cellStyle name="40% - Accent5 5 3 2 2" xfId="6473" xr:uid="{00000000-0005-0000-0000-000033350000}"/>
    <cellStyle name="40% - Accent5 5 3 2 3" xfId="6474" xr:uid="{00000000-0005-0000-0000-000034350000}"/>
    <cellStyle name="40% - Accent5 5 3 3" xfId="6475" xr:uid="{00000000-0005-0000-0000-000035350000}"/>
    <cellStyle name="40% - Accent5 5 3 3 2" xfId="6476" xr:uid="{00000000-0005-0000-0000-000036350000}"/>
    <cellStyle name="40% - Accent5 5 3 3 3" xfId="6477" xr:uid="{00000000-0005-0000-0000-000037350000}"/>
    <cellStyle name="40% - Accent5 5 3 4" xfId="6478" xr:uid="{00000000-0005-0000-0000-000038350000}"/>
    <cellStyle name="40% - Accent5 5 3 5" xfId="6479" xr:uid="{00000000-0005-0000-0000-000039350000}"/>
    <cellStyle name="40% - Accent5 5 3_Volatility" xfId="6480" xr:uid="{00000000-0005-0000-0000-00003A350000}"/>
    <cellStyle name="40% - Accent5 5 4" xfId="6481" xr:uid="{00000000-0005-0000-0000-00003B350000}"/>
    <cellStyle name="40% - Accent5 5 4 2" xfId="6482" xr:uid="{00000000-0005-0000-0000-00003C350000}"/>
    <cellStyle name="40% - Accent5 5 4 3" xfId="6483" xr:uid="{00000000-0005-0000-0000-00003D350000}"/>
    <cellStyle name="40% - Accent5 5 5" xfId="6484" xr:uid="{00000000-0005-0000-0000-00003E350000}"/>
    <cellStyle name="40% - Accent5 5 5 2" xfId="6485" xr:uid="{00000000-0005-0000-0000-00003F350000}"/>
    <cellStyle name="40% - Accent5 5 5 3" xfId="6486" xr:uid="{00000000-0005-0000-0000-000040350000}"/>
    <cellStyle name="40% - Accent5 5 6" xfId="6487" xr:uid="{00000000-0005-0000-0000-000041350000}"/>
    <cellStyle name="40% - Accent5 5 6 2" xfId="6488" xr:uid="{00000000-0005-0000-0000-000042350000}"/>
    <cellStyle name="40% - Accent5 5 6 3" xfId="6489" xr:uid="{00000000-0005-0000-0000-000043350000}"/>
    <cellStyle name="40% - Accent5 5 7" xfId="6490" xr:uid="{00000000-0005-0000-0000-000044350000}"/>
    <cellStyle name="40% - Accent5 5 8" xfId="6491" xr:uid="{00000000-0005-0000-0000-000045350000}"/>
    <cellStyle name="40% - Accent5 5_Volatility" xfId="6492" xr:uid="{00000000-0005-0000-0000-000046350000}"/>
    <cellStyle name="40% - Accent5 6" xfId="6493" xr:uid="{00000000-0005-0000-0000-000047350000}"/>
    <cellStyle name="40% - Accent5 6 2" xfId="6494" xr:uid="{00000000-0005-0000-0000-000048350000}"/>
    <cellStyle name="40% - Accent5 6 2 2" xfId="6495" xr:uid="{00000000-0005-0000-0000-000049350000}"/>
    <cellStyle name="40% - Accent5 6 2 2 2" xfId="6496" xr:uid="{00000000-0005-0000-0000-00004A350000}"/>
    <cellStyle name="40% - Accent5 6 2 2 3" xfId="6497" xr:uid="{00000000-0005-0000-0000-00004B350000}"/>
    <cellStyle name="40% - Accent5 6 2 3" xfId="6498" xr:uid="{00000000-0005-0000-0000-00004C350000}"/>
    <cellStyle name="40% - Accent5 6 2 3 2" xfId="6499" xr:uid="{00000000-0005-0000-0000-00004D350000}"/>
    <cellStyle name="40% - Accent5 6 2 3 3" xfId="6500" xr:uid="{00000000-0005-0000-0000-00004E350000}"/>
    <cellStyle name="40% - Accent5 6 2 4" xfId="6501" xr:uid="{00000000-0005-0000-0000-00004F350000}"/>
    <cellStyle name="40% - Accent5 6 2 4 2" xfId="6502" xr:uid="{00000000-0005-0000-0000-000050350000}"/>
    <cellStyle name="40% - Accent5 6 2 4 3" xfId="6503" xr:uid="{00000000-0005-0000-0000-000051350000}"/>
    <cellStyle name="40% - Accent5 6 2 5" xfId="6504" xr:uid="{00000000-0005-0000-0000-000052350000}"/>
    <cellStyle name="40% - Accent5 6 2 6" xfId="6505" xr:uid="{00000000-0005-0000-0000-000053350000}"/>
    <cellStyle name="40% - Accent5 6 2_Volatility" xfId="6506" xr:uid="{00000000-0005-0000-0000-000054350000}"/>
    <cellStyle name="40% - Accent5 6 3" xfId="6507" xr:uid="{00000000-0005-0000-0000-000055350000}"/>
    <cellStyle name="40% - Accent5 6 3 2" xfId="6508" xr:uid="{00000000-0005-0000-0000-000056350000}"/>
    <cellStyle name="40% - Accent5 6 3 2 2" xfId="6509" xr:uid="{00000000-0005-0000-0000-000057350000}"/>
    <cellStyle name="40% - Accent5 6 3 2 3" xfId="6510" xr:uid="{00000000-0005-0000-0000-000058350000}"/>
    <cellStyle name="40% - Accent5 6 3 3" xfId="6511" xr:uid="{00000000-0005-0000-0000-000059350000}"/>
    <cellStyle name="40% - Accent5 6 3 3 2" xfId="6512" xr:uid="{00000000-0005-0000-0000-00005A350000}"/>
    <cellStyle name="40% - Accent5 6 3 3 3" xfId="6513" xr:uid="{00000000-0005-0000-0000-00005B350000}"/>
    <cellStyle name="40% - Accent5 6 3 4" xfId="6514" xr:uid="{00000000-0005-0000-0000-00005C350000}"/>
    <cellStyle name="40% - Accent5 6 3 5" xfId="6515" xr:uid="{00000000-0005-0000-0000-00005D350000}"/>
    <cellStyle name="40% - Accent5 6 3_Volatility" xfId="6516" xr:uid="{00000000-0005-0000-0000-00005E350000}"/>
    <cellStyle name="40% - Accent5 6 4" xfId="6517" xr:uid="{00000000-0005-0000-0000-00005F350000}"/>
    <cellStyle name="40% - Accent5 6 4 2" xfId="6518" xr:uid="{00000000-0005-0000-0000-000060350000}"/>
    <cellStyle name="40% - Accent5 6 4 3" xfId="6519" xr:uid="{00000000-0005-0000-0000-000061350000}"/>
    <cellStyle name="40% - Accent5 6 5" xfId="6520" xr:uid="{00000000-0005-0000-0000-000062350000}"/>
    <cellStyle name="40% - Accent5 6 5 2" xfId="6521" xr:uid="{00000000-0005-0000-0000-000063350000}"/>
    <cellStyle name="40% - Accent5 6 5 3" xfId="6522" xr:uid="{00000000-0005-0000-0000-000064350000}"/>
    <cellStyle name="40% - Accent5 6 6" xfId="6523" xr:uid="{00000000-0005-0000-0000-000065350000}"/>
    <cellStyle name="40% - Accent5 6 6 2" xfId="6524" xr:uid="{00000000-0005-0000-0000-000066350000}"/>
    <cellStyle name="40% - Accent5 6 6 3" xfId="6525" xr:uid="{00000000-0005-0000-0000-000067350000}"/>
    <cellStyle name="40% - Accent5 6 7" xfId="6526" xr:uid="{00000000-0005-0000-0000-000068350000}"/>
    <cellStyle name="40% - Accent5 6 8" xfId="6527" xr:uid="{00000000-0005-0000-0000-000069350000}"/>
    <cellStyle name="40% - Accent5 6_Volatility" xfId="6528" xr:uid="{00000000-0005-0000-0000-00006A350000}"/>
    <cellStyle name="40% - Accent5 7" xfId="6529" xr:uid="{00000000-0005-0000-0000-00006B350000}"/>
    <cellStyle name="40% - Accent5 7 2" xfId="6530" xr:uid="{00000000-0005-0000-0000-00006C350000}"/>
    <cellStyle name="40% - Accent5 7 2 2" xfId="6531" xr:uid="{00000000-0005-0000-0000-00006D350000}"/>
    <cellStyle name="40% - Accent5 7 2 2 2" xfId="6532" xr:uid="{00000000-0005-0000-0000-00006E350000}"/>
    <cellStyle name="40% - Accent5 7 2 2 3" xfId="6533" xr:uid="{00000000-0005-0000-0000-00006F350000}"/>
    <cellStyle name="40% - Accent5 7 2 3" xfId="6534" xr:uid="{00000000-0005-0000-0000-000070350000}"/>
    <cellStyle name="40% - Accent5 7 2 3 2" xfId="6535" xr:uid="{00000000-0005-0000-0000-000071350000}"/>
    <cellStyle name="40% - Accent5 7 2 3 3" xfId="6536" xr:uid="{00000000-0005-0000-0000-000072350000}"/>
    <cellStyle name="40% - Accent5 7 2 4" xfId="6537" xr:uid="{00000000-0005-0000-0000-000073350000}"/>
    <cellStyle name="40% - Accent5 7 2 4 2" xfId="6538" xr:uid="{00000000-0005-0000-0000-000074350000}"/>
    <cellStyle name="40% - Accent5 7 2 4 3" xfId="6539" xr:uid="{00000000-0005-0000-0000-000075350000}"/>
    <cellStyle name="40% - Accent5 7 2 5" xfId="6540" xr:uid="{00000000-0005-0000-0000-000076350000}"/>
    <cellStyle name="40% - Accent5 7 2 6" xfId="6541" xr:uid="{00000000-0005-0000-0000-000077350000}"/>
    <cellStyle name="40% - Accent5 7 2_Volatility" xfId="6542" xr:uid="{00000000-0005-0000-0000-000078350000}"/>
    <cellStyle name="40% - Accent5 7 3" xfId="6543" xr:uid="{00000000-0005-0000-0000-000079350000}"/>
    <cellStyle name="40% - Accent5 7 3 2" xfId="6544" xr:uid="{00000000-0005-0000-0000-00007A350000}"/>
    <cellStyle name="40% - Accent5 7 3 2 2" xfId="6545" xr:uid="{00000000-0005-0000-0000-00007B350000}"/>
    <cellStyle name="40% - Accent5 7 3 2 3" xfId="6546" xr:uid="{00000000-0005-0000-0000-00007C350000}"/>
    <cellStyle name="40% - Accent5 7 3 3" xfId="6547" xr:uid="{00000000-0005-0000-0000-00007D350000}"/>
    <cellStyle name="40% - Accent5 7 3 3 2" xfId="6548" xr:uid="{00000000-0005-0000-0000-00007E350000}"/>
    <cellStyle name="40% - Accent5 7 3 3 3" xfId="6549" xr:uid="{00000000-0005-0000-0000-00007F350000}"/>
    <cellStyle name="40% - Accent5 7 3 4" xfId="6550" xr:uid="{00000000-0005-0000-0000-000080350000}"/>
    <cellStyle name="40% - Accent5 7 3 5" xfId="6551" xr:uid="{00000000-0005-0000-0000-000081350000}"/>
    <cellStyle name="40% - Accent5 7 3_Volatility" xfId="6552" xr:uid="{00000000-0005-0000-0000-000082350000}"/>
    <cellStyle name="40% - Accent5 7 4" xfId="6553" xr:uid="{00000000-0005-0000-0000-000083350000}"/>
    <cellStyle name="40% - Accent5 7 4 2" xfId="6554" xr:uid="{00000000-0005-0000-0000-000084350000}"/>
    <cellStyle name="40% - Accent5 7 4 3" xfId="6555" xr:uid="{00000000-0005-0000-0000-000085350000}"/>
    <cellStyle name="40% - Accent5 7 5" xfId="6556" xr:uid="{00000000-0005-0000-0000-000086350000}"/>
    <cellStyle name="40% - Accent5 7 5 2" xfId="6557" xr:uid="{00000000-0005-0000-0000-000087350000}"/>
    <cellStyle name="40% - Accent5 7 5 3" xfId="6558" xr:uid="{00000000-0005-0000-0000-000088350000}"/>
    <cellStyle name="40% - Accent5 7 6" xfId="6559" xr:uid="{00000000-0005-0000-0000-000089350000}"/>
    <cellStyle name="40% - Accent5 7 6 2" xfId="6560" xr:uid="{00000000-0005-0000-0000-00008A350000}"/>
    <cellStyle name="40% - Accent5 7 6 3" xfId="6561" xr:uid="{00000000-0005-0000-0000-00008B350000}"/>
    <cellStyle name="40% - Accent5 7 7" xfId="6562" xr:uid="{00000000-0005-0000-0000-00008C350000}"/>
    <cellStyle name="40% - Accent5 7 8" xfId="6563" xr:uid="{00000000-0005-0000-0000-00008D350000}"/>
    <cellStyle name="40% - Accent5 7_Volatility" xfId="6564" xr:uid="{00000000-0005-0000-0000-00008E350000}"/>
    <cellStyle name="40% - Accent5 8" xfId="6565" xr:uid="{00000000-0005-0000-0000-00008F350000}"/>
    <cellStyle name="40% - Accent5 8 2" xfId="6566" xr:uid="{00000000-0005-0000-0000-000090350000}"/>
    <cellStyle name="40% - Accent5 8 2 2" xfId="6567" xr:uid="{00000000-0005-0000-0000-000091350000}"/>
    <cellStyle name="40% - Accent5 8 2 2 2" xfId="6568" xr:uid="{00000000-0005-0000-0000-000092350000}"/>
    <cellStyle name="40% - Accent5 8 2 2 3" xfId="6569" xr:uid="{00000000-0005-0000-0000-000093350000}"/>
    <cellStyle name="40% - Accent5 8 2 3" xfId="6570" xr:uid="{00000000-0005-0000-0000-000094350000}"/>
    <cellStyle name="40% - Accent5 8 2 3 2" xfId="6571" xr:uid="{00000000-0005-0000-0000-000095350000}"/>
    <cellStyle name="40% - Accent5 8 2 3 3" xfId="6572" xr:uid="{00000000-0005-0000-0000-000096350000}"/>
    <cellStyle name="40% - Accent5 8 2 4" xfId="6573" xr:uid="{00000000-0005-0000-0000-000097350000}"/>
    <cellStyle name="40% - Accent5 8 2 4 2" xfId="6574" xr:uid="{00000000-0005-0000-0000-000098350000}"/>
    <cellStyle name="40% - Accent5 8 2 4 3" xfId="6575" xr:uid="{00000000-0005-0000-0000-000099350000}"/>
    <cellStyle name="40% - Accent5 8 2 5" xfId="6576" xr:uid="{00000000-0005-0000-0000-00009A350000}"/>
    <cellStyle name="40% - Accent5 8 2 6" xfId="6577" xr:uid="{00000000-0005-0000-0000-00009B350000}"/>
    <cellStyle name="40% - Accent5 8 2_Volatility" xfId="6578" xr:uid="{00000000-0005-0000-0000-00009C350000}"/>
    <cellStyle name="40% - Accent5 8 3" xfId="6579" xr:uid="{00000000-0005-0000-0000-00009D350000}"/>
    <cellStyle name="40% - Accent5 8 3 2" xfId="6580" xr:uid="{00000000-0005-0000-0000-00009E350000}"/>
    <cellStyle name="40% - Accent5 8 3 2 2" xfId="6581" xr:uid="{00000000-0005-0000-0000-00009F350000}"/>
    <cellStyle name="40% - Accent5 8 3 2 3" xfId="6582" xr:uid="{00000000-0005-0000-0000-0000A0350000}"/>
    <cellStyle name="40% - Accent5 8 3 3" xfId="6583" xr:uid="{00000000-0005-0000-0000-0000A1350000}"/>
    <cellStyle name="40% - Accent5 8 3 3 2" xfId="6584" xr:uid="{00000000-0005-0000-0000-0000A2350000}"/>
    <cellStyle name="40% - Accent5 8 3 3 3" xfId="6585" xr:uid="{00000000-0005-0000-0000-0000A3350000}"/>
    <cellStyle name="40% - Accent5 8 3 4" xfId="6586" xr:uid="{00000000-0005-0000-0000-0000A4350000}"/>
    <cellStyle name="40% - Accent5 8 3 5" xfId="6587" xr:uid="{00000000-0005-0000-0000-0000A5350000}"/>
    <cellStyle name="40% - Accent5 8 3_Volatility" xfId="6588" xr:uid="{00000000-0005-0000-0000-0000A6350000}"/>
    <cellStyle name="40% - Accent5 8 4" xfId="6589" xr:uid="{00000000-0005-0000-0000-0000A7350000}"/>
    <cellStyle name="40% - Accent5 8 4 2" xfId="6590" xr:uid="{00000000-0005-0000-0000-0000A8350000}"/>
    <cellStyle name="40% - Accent5 8 4 3" xfId="6591" xr:uid="{00000000-0005-0000-0000-0000A9350000}"/>
    <cellStyle name="40% - Accent5 8 5" xfId="6592" xr:uid="{00000000-0005-0000-0000-0000AA350000}"/>
    <cellStyle name="40% - Accent5 8 5 2" xfId="6593" xr:uid="{00000000-0005-0000-0000-0000AB350000}"/>
    <cellStyle name="40% - Accent5 8 5 3" xfId="6594" xr:uid="{00000000-0005-0000-0000-0000AC350000}"/>
    <cellStyle name="40% - Accent5 8 6" xfId="6595" xr:uid="{00000000-0005-0000-0000-0000AD350000}"/>
    <cellStyle name="40% - Accent5 8 6 2" xfId="6596" xr:uid="{00000000-0005-0000-0000-0000AE350000}"/>
    <cellStyle name="40% - Accent5 8 6 3" xfId="6597" xr:uid="{00000000-0005-0000-0000-0000AF350000}"/>
    <cellStyle name="40% - Accent5 8 7" xfId="6598" xr:uid="{00000000-0005-0000-0000-0000B0350000}"/>
    <cellStyle name="40% - Accent5 8 8" xfId="6599" xr:uid="{00000000-0005-0000-0000-0000B1350000}"/>
    <cellStyle name="40% - Accent5 8_Volatility" xfId="6600" xr:uid="{00000000-0005-0000-0000-0000B2350000}"/>
    <cellStyle name="40% - Accent5 9" xfId="6601" xr:uid="{00000000-0005-0000-0000-0000B3350000}"/>
    <cellStyle name="40% - Accent5 9 2" xfId="6602" xr:uid="{00000000-0005-0000-0000-0000B4350000}"/>
    <cellStyle name="40% - Accent5 9 2 2" xfId="6603" xr:uid="{00000000-0005-0000-0000-0000B5350000}"/>
    <cellStyle name="40% - Accent5 9 2 2 2" xfId="6604" xr:uid="{00000000-0005-0000-0000-0000B6350000}"/>
    <cellStyle name="40% - Accent5 9 2 2 3" xfId="6605" xr:uid="{00000000-0005-0000-0000-0000B7350000}"/>
    <cellStyle name="40% - Accent5 9 2 3" xfId="6606" xr:uid="{00000000-0005-0000-0000-0000B8350000}"/>
    <cellStyle name="40% - Accent5 9 2 3 2" xfId="6607" xr:uid="{00000000-0005-0000-0000-0000B9350000}"/>
    <cellStyle name="40% - Accent5 9 2 3 3" xfId="6608" xr:uid="{00000000-0005-0000-0000-0000BA350000}"/>
    <cellStyle name="40% - Accent5 9 2 4" xfId="6609" xr:uid="{00000000-0005-0000-0000-0000BB350000}"/>
    <cellStyle name="40% - Accent5 9 2 4 2" xfId="6610" xr:uid="{00000000-0005-0000-0000-0000BC350000}"/>
    <cellStyle name="40% - Accent5 9 2 4 3" xfId="6611" xr:uid="{00000000-0005-0000-0000-0000BD350000}"/>
    <cellStyle name="40% - Accent5 9 2 5" xfId="6612" xr:uid="{00000000-0005-0000-0000-0000BE350000}"/>
    <cellStyle name="40% - Accent5 9 2 6" xfId="6613" xr:uid="{00000000-0005-0000-0000-0000BF350000}"/>
    <cellStyle name="40% - Accent5 9 2_Volatility" xfId="6614" xr:uid="{00000000-0005-0000-0000-0000C0350000}"/>
    <cellStyle name="40% - Accent5 9 3" xfId="6615" xr:uid="{00000000-0005-0000-0000-0000C1350000}"/>
    <cellStyle name="40% - Accent5 9 3 2" xfId="6616" xr:uid="{00000000-0005-0000-0000-0000C2350000}"/>
    <cellStyle name="40% - Accent5 9 3 2 2" xfId="6617" xr:uid="{00000000-0005-0000-0000-0000C3350000}"/>
    <cellStyle name="40% - Accent5 9 3 2 3" xfId="6618" xr:uid="{00000000-0005-0000-0000-0000C4350000}"/>
    <cellStyle name="40% - Accent5 9 3 3" xfId="6619" xr:uid="{00000000-0005-0000-0000-0000C5350000}"/>
    <cellStyle name="40% - Accent5 9 3 3 2" xfId="6620" xr:uid="{00000000-0005-0000-0000-0000C6350000}"/>
    <cellStyle name="40% - Accent5 9 3 3 3" xfId="6621" xr:uid="{00000000-0005-0000-0000-0000C7350000}"/>
    <cellStyle name="40% - Accent5 9 3 4" xfId="6622" xr:uid="{00000000-0005-0000-0000-0000C8350000}"/>
    <cellStyle name="40% - Accent5 9 3 5" xfId="6623" xr:uid="{00000000-0005-0000-0000-0000C9350000}"/>
    <cellStyle name="40% - Accent5 9 3_Volatility" xfId="6624" xr:uid="{00000000-0005-0000-0000-0000CA350000}"/>
    <cellStyle name="40% - Accent5 9 4" xfId="6625" xr:uid="{00000000-0005-0000-0000-0000CB350000}"/>
    <cellStyle name="40% - Accent5 9 4 2" xfId="6626" xr:uid="{00000000-0005-0000-0000-0000CC350000}"/>
    <cellStyle name="40% - Accent5 9 4 3" xfId="6627" xr:uid="{00000000-0005-0000-0000-0000CD350000}"/>
    <cellStyle name="40% - Accent5 9 5" xfId="6628" xr:uid="{00000000-0005-0000-0000-0000CE350000}"/>
    <cellStyle name="40% - Accent5 9 5 2" xfId="6629" xr:uid="{00000000-0005-0000-0000-0000CF350000}"/>
    <cellStyle name="40% - Accent5 9 5 3" xfId="6630" xr:uid="{00000000-0005-0000-0000-0000D0350000}"/>
    <cellStyle name="40% - Accent5 9 6" xfId="6631" xr:uid="{00000000-0005-0000-0000-0000D1350000}"/>
    <cellStyle name="40% - Accent5 9 6 2" xfId="6632" xr:uid="{00000000-0005-0000-0000-0000D2350000}"/>
    <cellStyle name="40% - Accent5 9 6 3" xfId="6633" xr:uid="{00000000-0005-0000-0000-0000D3350000}"/>
    <cellStyle name="40% - Accent5 9 7" xfId="6634" xr:uid="{00000000-0005-0000-0000-0000D4350000}"/>
    <cellStyle name="40% - Accent5 9 8" xfId="6635" xr:uid="{00000000-0005-0000-0000-0000D5350000}"/>
    <cellStyle name="40% - Accent5 9_Volatility" xfId="6636" xr:uid="{00000000-0005-0000-0000-0000D6350000}"/>
    <cellStyle name="40% - Accent6 10" xfId="6637" xr:uid="{00000000-0005-0000-0000-0000D7350000}"/>
    <cellStyle name="40% - Accent6 10 2" xfId="6638" xr:uid="{00000000-0005-0000-0000-0000D8350000}"/>
    <cellStyle name="40% - Accent6 10 2 2" xfId="6639" xr:uid="{00000000-0005-0000-0000-0000D9350000}"/>
    <cellStyle name="40% - Accent6 10 2 2 2" xfId="6640" xr:uid="{00000000-0005-0000-0000-0000DA350000}"/>
    <cellStyle name="40% - Accent6 10 2 2 3" xfId="6641" xr:uid="{00000000-0005-0000-0000-0000DB350000}"/>
    <cellStyle name="40% - Accent6 10 2 3" xfId="6642" xr:uid="{00000000-0005-0000-0000-0000DC350000}"/>
    <cellStyle name="40% - Accent6 10 2 3 2" xfId="6643" xr:uid="{00000000-0005-0000-0000-0000DD350000}"/>
    <cellStyle name="40% - Accent6 10 2 3 3" xfId="6644" xr:uid="{00000000-0005-0000-0000-0000DE350000}"/>
    <cellStyle name="40% - Accent6 10 2 4" xfId="6645" xr:uid="{00000000-0005-0000-0000-0000DF350000}"/>
    <cellStyle name="40% - Accent6 10 2 4 2" xfId="6646" xr:uid="{00000000-0005-0000-0000-0000E0350000}"/>
    <cellStyle name="40% - Accent6 10 2 4 3" xfId="6647" xr:uid="{00000000-0005-0000-0000-0000E1350000}"/>
    <cellStyle name="40% - Accent6 10 2 5" xfId="6648" xr:uid="{00000000-0005-0000-0000-0000E2350000}"/>
    <cellStyle name="40% - Accent6 10 2 6" xfId="6649" xr:uid="{00000000-0005-0000-0000-0000E3350000}"/>
    <cellStyle name="40% - Accent6 10 2_Volatility" xfId="6650" xr:uid="{00000000-0005-0000-0000-0000E4350000}"/>
    <cellStyle name="40% - Accent6 10 3" xfId="6651" xr:uid="{00000000-0005-0000-0000-0000E5350000}"/>
    <cellStyle name="40% - Accent6 10 3 2" xfId="6652" xr:uid="{00000000-0005-0000-0000-0000E6350000}"/>
    <cellStyle name="40% - Accent6 10 3 2 2" xfId="6653" xr:uid="{00000000-0005-0000-0000-0000E7350000}"/>
    <cellStyle name="40% - Accent6 10 3 2 3" xfId="6654" xr:uid="{00000000-0005-0000-0000-0000E8350000}"/>
    <cellStyle name="40% - Accent6 10 3 3" xfId="6655" xr:uid="{00000000-0005-0000-0000-0000E9350000}"/>
    <cellStyle name="40% - Accent6 10 3 3 2" xfId="6656" xr:uid="{00000000-0005-0000-0000-0000EA350000}"/>
    <cellStyle name="40% - Accent6 10 3 3 3" xfId="6657" xr:uid="{00000000-0005-0000-0000-0000EB350000}"/>
    <cellStyle name="40% - Accent6 10 3 4" xfId="6658" xr:uid="{00000000-0005-0000-0000-0000EC350000}"/>
    <cellStyle name="40% - Accent6 10 3 5" xfId="6659" xr:uid="{00000000-0005-0000-0000-0000ED350000}"/>
    <cellStyle name="40% - Accent6 10 3_Volatility" xfId="6660" xr:uid="{00000000-0005-0000-0000-0000EE350000}"/>
    <cellStyle name="40% - Accent6 10 4" xfId="6661" xr:uid="{00000000-0005-0000-0000-0000EF350000}"/>
    <cellStyle name="40% - Accent6 10 4 2" xfId="6662" xr:uid="{00000000-0005-0000-0000-0000F0350000}"/>
    <cellStyle name="40% - Accent6 10 4 3" xfId="6663" xr:uid="{00000000-0005-0000-0000-0000F1350000}"/>
    <cellStyle name="40% - Accent6 10 5" xfId="6664" xr:uid="{00000000-0005-0000-0000-0000F2350000}"/>
    <cellStyle name="40% - Accent6 10 5 2" xfId="6665" xr:uid="{00000000-0005-0000-0000-0000F3350000}"/>
    <cellStyle name="40% - Accent6 10 5 3" xfId="6666" xr:uid="{00000000-0005-0000-0000-0000F4350000}"/>
    <cellStyle name="40% - Accent6 10 6" xfId="6667" xr:uid="{00000000-0005-0000-0000-0000F5350000}"/>
    <cellStyle name="40% - Accent6 10 6 2" xfId="6668" xr:uid="{00000000-0005-0000-0000-0000F6350000}"/>
    <cellStyle name="40% - Accent6 10 6 3" xfId="6669" xr:uid="{00000000-0005-0000-0000-0000F7350000}"/>
    <cellStyle name="40% - Accent6 10 7" xfId="6670" xr:uid="{00000000-0005-0000-0000-0000F8350000}"/>
    <cellStyle name="40% - Accent6 10 8" xfId="6671" xr:uid="{00000000-0005-0000-0000-0000F9350000}"/>
    <cellStyle name="40% - Accent6 10_Volatility" xfId="6672" xr:uid="{00000000-0005-0000-0000-0000FA350000}"/>
    <cellStyle name="40% - Accent6 11" xfId="6673" xr:uid="{00000000-0005-0000-0000-0000FB350000}"/>
    <cellStyle name="40% - Accent6 11 2" xfId="6674" xr:uid="{00000000-0005-0000-0000-0000FC350000}"/>
    <cellStyle name="40% - Accent6 11 2 2" xfId="6675" xr:uid="{00000000-0005-0000-0000-0000FD350000}"/>
    <cellStyle name="40% - Accent6 11 2 2 2" xfId="6676" xr:uid="{00000000-0005-0000-0000-0000FE350000}"/>
    <cellStyle name="40% - Accent6 11 2 2 3" xfId="6677" xr:uid="{00000000-0005-0000-0000-0000FF350000}"/>
    <cellStyle name="40% - Accent6 11 2 3" xfId="6678" xr:uid="{00000000-0005-0000-0000-000000360000}"/>
    <cellStyle name="40% - Accent6 11 2 3 2" xfId="6679" xr:uid="{00000000-0005-0000-0000-000001360000}"/>
    <cellStyle name="40% - Accent6 11 2 3 3" xfId="6680" xr:uid="{00000000-0005-0000-0000-000002360000}"/>
    <cellStyle name="40% - Accent6 11 2 4" xfId="6681" xr:uid="{00000000-0005-0000-0000-000003360000}"/>
    <cellStyle name="40% - Accent6 11 2 4 2" xfId="6682" xr:uid="{00000000-0005-0000-0000-000004360000}"/>
    <cellStyle name="40% - Accent6 11 2 4 3" xfId="6683" xr:uid="{00000000-0005-0000-0000-000005360000}"/>
    <cellStyle name="40% - Accent6 11 2 5" xfId="6684" xr:uid="{00000000-0005-0000-0000-000006360000}"/>
    <cellStyle name="40% - Accent6 11 2 6" xfId="6685" xr:uid="{00000000-0005-0000-0000-000007360000}"/>
    <cellStyle name="40% - Accent6 11 2_Volatility" xfId="6686" xr:uid="{00000000-0005-0000-0000-000008360000}"/>
    <cellStyle name="40% - Accent6 11 3" xfId="6687" xr:uid="{00000000-0005-0000-0000-000009360000}"/>
    <cellStyle name="40% - Accent6 11 3 2" xfId="6688" xr:uid="{00000000-0005-0000-0000-00000A360000}"/>
    <cellStyle name="40% - Accent6 11 3 2 2" xfId="6689" xr:uid="{00000000-0005-0000-0000-00000B360000}"/>
    <cellStyle name="40% - Accent6 11 3 2 3" xfId="6690" xr:uid="{00000000-0005-0000-0000-00000C360000}"/>
    <cellStyle name="40% - Accent6 11 3 3" xfId="6691" xr:uid="{00000000-0005-0000-0000-00000D360000}"/>
    <cellStyle name="40% - Accent6 11 3 3 2" xfId="6692" xr:uid="{00000000-0005-0000-0000-00000E360000}"/>
    <cellStyle name="40% - Accent6 11 3 3 3" xfId="6693" xr:uid="{00000000-0005-0000-0000-00000F360000}"/>
    <cellStyle name="40% - Accent6 11 3 4" xfId="6694" xr:uid="{00000000-0005-0000-0000-000010360000}"/>
    <cellStyle name="40% - Accent6 11 3 5" xfId="6695" xr:uid="{00000000-0005-0000-0000-000011360000}"/>
    <cellStyle name="40% - Accent6 11 3_Volatility" xfId="6696" xr:uid="{00000000-0005-0000-0000-000012360000}"/>
    <cellStyle name="40% - Accent6 11 4" xfId="6697" xr:uid="{00000000-0005-0000-0000-000013360000}"/>
    <cellStyle name="40% - Accent6 11 4 2" xfId="6698" xr:uid="{00000000-0005-0000-0000-000014360000}"/>
    <cellStyle name="40% - Accent6 11 4 3" xfId="6699" xr:uid="{00000000-0005-0000-0000-000015360000}"/>
    <cellStyle name="40% - Accent6 11 5" xfId="6700" xr:uid="{00000000-0005-0000-0000-000016360000}"/>
    <cellStyle name="40% - Accent6 11 5 2" xfId="6701" xr:uid="{00000000-0005-0000-0000-000017360000}"/>
    <cellStyle name="40% - Accent6 11 5 3" xfId="6702" xr:uid="{00000000-0005-0000-0000-000018360000}"/>
    <cellStyle name="40% - Accent6 11 6" xfId="6703" xr:uid="{00000000-0005-0000-0000-000019360000}"/>
    <cellStyle name="40% - Accent6 11 6 2" xfId="6704" xr:uid="{00000000-0005-0000-0000-00001A360000}"/>
    <cellStyle name="40% - Accent6 11 6 3" xfId="6705" xr:uid="{00000000-0005-0000-0000-00001B360000}"/>
    <cellStyle name="40% - Accent6 11 7" xfId="6706" xr:uid="{00000000-0005-0000-0000-00001C360000}"/>
    <cellStyle name="40% - Accent6 11 8" xfId="6707" xr:uid="{00000000-0005-0000-0000-00001D360000}"/>
    <cellStyle name="40% - Accent6 11_Volatility" xfId="6708" xr:uid="{00000000-0005-0000-0000-00001E360000}"/>
    <cellStyle name="40% - Accent6 12" xfId="6709" xr:uid="{00000000-0005-0000-0000-00001F360000}"/>
    <cellStyle name="40% - Accent6 12 2" xfId="6710" xr:uid="{00000000-0005-0000-0000-000020360000}"/>
    <cellStyle name="40% - Accent6 12 2 2" xfId="6711" xr:uid="{00000000-0005-0000-0000-000021360000}"/>
    <cellStyle name="40% - Accent6 12 2 2 2" xfId="6712" xr:uid="{00000000-0005-0000-0000-000022360000}"/>
    <cellStyle name="40% - Accent6 12 2 2 3" xfId="6713" xr:uid="{00000000-0005-0000-0000-000023360000}"/>
    <cellStyle name="40% - Accent6 12 2 3" xfId="6714" xr:uid="{00000000-0005-0000-0000-000024360000}"/>
    <cellStyle name="40% - Accent6 12 2 3 2" xfId="6715" xr:uid="{00000000-0005-0000-0000-000025360000}"/>
    <cellStyle name="40% - Accent6 12 2 3 3" xfId="6716" xr:uid="{00000000-0005-0000-0000-000026360000}"/>
    <cellStyle name="40% - Accent6 12 2 4" xfId="6717" xr:uid="{00000000-0005-0000-0000-000027360000}"/>
    <cellStyle name="40% - Accent6 12 2 4 2" xfId="6718" xr:uid="{00000000-0005-0000-0000-000028360000}"/>
    <cellStyle name="40% - Accent6 12 2 4 3" xfId="6719" xr:uid="{00000000-0005-0000-0000-000029360000}"/>
    <cellStyle name="40% - Accent6 12 2 5" xfId="6720" xr:uid="{00000000-0005-0000-0000-00002A360000}"/>
    <cellStyle name="40% - Accent6 12 2 6" xfId="6721" xr:uid="{00000000-0005-0000-0000-00002B360000}"/>
    <cellStyle name="40% - Accent6 12 2_Volatility" xfId="6722" xr:uid="{00000000-0005-0000-0000-00002C360000}"/>
    <cellStyle name="40% - Accent6 12 3" xfId="6723" xr:uid="{00000000-0005-0000-0000-00002D360000}"/>
    <cellStyle name="40% - Accent6 12 3 2" xfId="6724" xr:uid="{00000000-0005-0000-0000-00002E360000}"/>
    <cellStyle name="40% - Accent6 12 3 2 2" xfId="6725" xr:uid="{00000000-0005-0000-0000-00002F360000}"/>
    <cellStyle name="40% - Accent6 12 3 2 3" xfId="6726" xr:uid="{00000000-0005-0000-0000-000030360000}"/>
    <cellStyle name="40% - Accent6 12 3 3" xfId="6727" xr:uid="{00000000-0005-0000-0000-000031360000}"/>
    <cellStyle name="40% - Accent6 12 3 3 2" xfId="6728" xr:uid="{00000000-0005-0000-0000-000032360000}"/>
    <cellStyle name="40% - Accent6 12 3 3 3" xfId="6729" xr:uid="{00000000-0005-0000-0000-000033360000}"/>
    <cellStyle name="40% - Accent6 12 3 4" xfId="6730" xr:uid="{00000000-0005-0000-0000-000034360000}"/>
    <cellStyle name="40% - Accent6 12 3 5" xfId="6731" xr:uid="{00000000-0005-0000-0000-000035360000}"/>
    <cellStyle name="40% - Accent6 12 3_Volatility" xfId="6732" xr:uid="{00000000-0005-0000-0000-000036360000}"/>
    <cellStyle name="40% - Accent6 12 4" xfId="6733" xr:uid="{00000000-0005-0000-0000-000037360000}"/>
    <cellStyle name="40% - Accent6 12 4 2" xfId="6734" xr:uid="{00000000-0005-0000-0000-000038360000}"/>
    <cellStyle name="40% - Accent6 12 4 3" xfId="6735" xr:uid="{00000000-0005-0000-0000-000039360000}"/>
    <cellStyle name="40% - Accent6 12 5" xfId="6736" xr:uid="{00000000-0005-0000-0000-00003A360000}"/>
    <cellStyle name="40% - Accent6 12 5 2" xfId="6737" xr:uid="{00000000-0005-0000-0000-00003B360000}"/>
    <cellStyle name="40% - Accent6 12 5 3" xfId="6738" xr:uid="{00000000-0005-0000-0000-00003C360000}"/>
    <cellStyle name="40% - Accent6 12 6" xfId="6739" xr:uid="{00000000-0005-0000-0000-00003D360000}"/>
    <cellStyle name="40% - Accent6 12 6 2" xfId="6740" xr:uid="{00000000-0005-0000-0000-00003E360000}"/>
    <cellStyle name="40% - Accent6 12 6 3" xfId="6741" xr:uid="{00000000-0005-0000-0000-00003F360000}"/>
    <cellStyle name="40% - Accent6 12 7" xfId="6742" xr:uid="{00000000-0005-0000-0000-000040360000}"/>
    <cellStyle name="40% - Accent6 12 8" xfId="6743" xr:uid="{00000000-0005-0000-0000-000041360000}"/>
    <cellStyle name="40% - Accent6 12_Volatility" xfId="6744" xr:uid="{00000000-0005-0000-0000-000042360000}"/>
    <cellStyle name="40% - Accent6 13" xfId="6745" xr:uid="{00000000-0005-0000-0000-000043360000}"/>
    <cellStyle name="40% - Accent6 13 2" xfId="6746" xr:uid="{00000000-0005-0000-0000-000044360000}"/>
    <cellStyle name="40% - Accent6 13 2 2" xfId="6747" xr:uid="{00000000-0005-0000-0000-000045360000}"/>
    <cellStyle name="40% - Accent6 13 2 2 2" xfId="6748" xr:uid="{00000000-0005-0000-0000-000046360000}"/>
    <cellStyle name="40% - Accent6 13 2 2 3" xfId="6749" xr:uid="{00000000-0005-0000-0000-000047360000}"/>
    <cellStyle name="40% - Accent6 13 2 3" xfId="6750" xr:uid="{00000000-0005-0000-0000-000048360000}"/>
    <cellStyle name="40% - Accent6 13 2 3 2" xfId="6751" xr:uid="{00000000-0005-0000-0000-000049360000}"/>
    <cellStyle name="40% - Accent6 13 2 3 3" xfId="6752" xr:uid="{00000000-0005-0000-0000-00004A360000}"/>
    <cellStyle name="40% - Accent6 13 2 4" xfId="6753" xr:uid="{00000000-0005-0000-0000-00004B360000}"/>
    <cellStyle name="40% - Accent6 13 2 4 2" xfId="6754" xr:uid="{00000000-0005-0000-0000-00004C360000}"/>
    <cellStyle name="40% - Accent6 13 2 4 3" xfId="6755" xr:uid="{00000000-0005-0000-0000-00004D360000}"/>
    <cellStyle name="40% - Accent6 13 2 5" xfId="6756" xr:uid="{00000000-0005-0000-0000-00004E360000}"/>
    <cellStyle name="40% - Accent6 13 2 6" xfId="6757" xr:uid="{00000000-0005-0000-0000-00004F360000}"/>
    <cellStyle name="40% - Accent6 13 2_Volatility" xfId="6758" xr:uid="{00000000-0005-0000-0000-000050360000}"/>
    <cellStyle name="40% - Accent6 13 3" xfId="6759" xr:uid="{00000000-0005-0000-0000-000051360000}"/>
    <cellStyle name="40% - Accent6 13 3 2" xfId="6760" xr:uid="{00000000-0005-0000-0000-000052360000}"/>
    <cellStyle name="40% - Accent6 13 3 2 2" xfId="6761" xr:uid="{00000000-0005-0000-0000-000053360000}"/>
    <cellStyle name="40% - Accent6 13 3 2 3" xfId="6762" xr:uid="{00000000-0005-0000-0000-000054360000}"/>
    <cellStyle name="40% - Accent6 13 3 3" xfId="6763" xr:uid="{00000000-0005-0000-0000-000055360000}"/>
    <cellStyle name="40% - Accent6 13 3 3 2" xfId="6764" xr:uid="{00000000-0005-0000-0000-000056360000}"/>
    <cellStyle name="40% - Accent6 13 3 3 3" xfId="6765" xr:uid="{00000000-0005-0000-0000-000057360000}"/>
    <cellStyle name="40% - Accent6 13 3 4" xfId="6766" xr:uid="{00000000-0005-0000-0000-000058360000}"/>
    <cellStyle name="40% - Accent6 13 3 5" xfId="6767" xr:uid="{00000000-0005-0000-0000-000059360000}"/>
    <cellStyle name="40% - Accent6 13 3_Volatility" xfId="6768" xr:uid="{00000000-0005-0000-0000-00005A360000}"/>
    <cellStyle name="40% - Accent6 13 4" xfId="6769" xr:uid="{00000000-0005-0000-0000-00005B360000}"/>
    <cellStyle name="40% - Accent6 13 4 2" xfId="6770" xr:uid="{00000000-0005-0000-0000-00005C360000}"/>
    <cellStyle name="40% - Accent6 13 4 3" xfId="6771" xr:uid="{00000000-0005-0000-0000-00005D360000}"/>
    <cellStyle name="40% - Accent6 13 5" xfId="6772" xr:uid="{00000000-0005-0000-0000-00005E360000}"/>
    <cellStyle name="40% - Accent6 13 5 2" xfId="6773" xr:uid="{00000000-0005-0000-0000-00005F360000}"/>
    <cellStyle name="40% - Accent6 13 5 3" xfId="6774" xr:uid="{00000000-0005-0000-0000-000060360000}"/>
    <cellStyle name="40% - Accent6 13 6" xfId="6775" xr:uid="{00000000-0005-0000-0000-000061360000}"/>
    <cellStyle name="40% - Accent6 13 6 2" xfId="6776" xr:uid="{00000000-0005-0000-0000-000062360000}"/>
    <cellStyle name="40% - Accent6 13 6 3" xfId="6777" xr:uid="{00000000-0005-0000-0000-000063360000}"/>
    <cellStyle name="40% - Accent6 13 7" xfId="6778" xr:uid="{00000000-0005-0000-0000-000064360000}"/>
    <cellStyle name="40% - Accent6 13 8" xfId="6779" xr:uid="{00000000-0005-0000-0000-000065360000}"/>
    <cellStyle name="40% - Accent6 13_Volatility" xfId="6780" xr:uid="{00000000-0005-0000-0000-000066360000}"/>
    <cellStyle name="40% - Accent6 14" xfId="6781" xr:uid="{00000000-0005-0000-0000-000067360000}"/>
    <cellStyle name="40% - Accent6 14 2" xfId="6782" xr:uid="{00000000-0005-0000-0000-000068360000}"/>
    <cellStyle name="40% - Accent6 14 2 2" xfId="6783" xr:uid="{00000000-0005-0000-0000-000069360000}"/>
    <cellStyle name="40% - Accent6 14 2 2 2" xfId="6784" xr:uid="{00000000-0005-0000-0000-00006A360000}"/>
    <cellStyle name="40% - Accent6 14 2 2 3" xfId="6785" xr:uid="{00000000-0005-0000-0000-00006B360000}"/>
    <cellStyle name="40% - Accent6 14 2 3" xfId="6786" xr:uid="{00000000-0005-0000-0000-00006C360000}"/>
    <cellStyle name="40% - Accent6 14 2 3 2" xfId="6787" xr:uid="{00000000-0005-0000-0000-00006D360000}"/>
    <cellStyle name="40% - Accent6 14 2 3 3" xfId="6788" xr:uid="{00000000-0005-0000-0000-00006E360000}"/>
    <cellStyle name="40% - Accent6 14 2 4" xfId="6789" xr:uid="{00000000-0005-0000-0000-00006F360000}"/>
    <cellStyle name="40% - Accent6 14 2 4 2" xfId="6790" xr:uid="{00000000-0005-0000-0000-000070360000}"/>
    <cellStyle name="40% - Accent6 14 2 4 3" xfId="6791" xr:uid="{00000000-0005-0000-0000-000071360000}"/>
    <cellStyle name="40% - Accent6 14 2 5" xfId="6792" xr:uid="{00000000-0005-0000-0000-000072360000}"/>
    <cellStyle name="40% - Accent6 14 2 6" xfId="6793" xr:uid="{00000000-0005-0000-0000-000073360000}"/>
    <cellStyle name="40% - Accent6 14 2_Volatility" xfId="6794" xr:uid="{00000000-0005-0000-0000-000074360000}"/>
    <cellStyle name="40% - Accent6 14 3" xfId="6795" xr:uid="{00000000-0005-0000-0000-000075360000}"/>
    <cellStyle name="40% - Accent6 14 3 2" xfId="6796" xr:uid="{00000000-0005-0000-0000-000076360000}"/>
    <cellStyle name="40% - Accent6 14 3 2 2" xfId="6797" xr:uid="{00000000-0005-0000-0000-000077360000}"/>
    <cellStyle name="40% - Accent6 14 3 2 3" xfId="6798" xr:uid="{00000000-0005-0000-0000-000078360000}"/>
    <cellStyle name="40% - Accent6 14 3 3" xfId="6799" xr:uid="{00000000-0005-0000-0000-000079360000}"/>
    <cellStyle name="40% - Accent6 14 3 3 2" xfId="6800" xr:uid="{00000000-0005-0000-0000-00007A360000}"/>
    <cellStyle name="40% - Accent6 14 3 3 3" xfId="6801" xr:uid="{00000000-0005-0000-0000-00007B360000}"/>
    <cellStyle name="40% - Accent6 14 3 4" xfId="6802" xr:uid="{00000000-0005-0000-0000-00007C360000}"/>
    <cellStyle name="40% - Accent6 14 3 5" xfId="6803" xr:uid="{00000000-0005-0000-0000-00007D360000}"/>
    <cellStyle name="40% - Accent6 14 3_Volatility" xfId="6804" xr:uid="{00000000-0005-0000-0000-00007E360000}"/>
    <cellStyle name="40% - Accent6 14 4" xfId="6805" xr:uid="{00000000-0005-0000-0000-00007F360000}"/>
    <cellStyle name="40% - Accent6 14 4 2" xfId="6806" xr:uid="{00000000-0005-0000-0000-000080360000}"/>
    <cellStyle name="40% - Accent6 14 4 3" xfId="6807" xr:uid="{00000000-0005-0000-0000-000081360000}"/>
    <cellStyle name="40% - Accent6 14 5" xfId="6808" xr:uid="{00000000-0005-0000-0000-000082360000}"/>
    <cellStyle name="40% - Accent6 14 5 2" xfId="6809" xr:uid="{00000000-0005-0000-0000-000083360000}"/>
    <cellStyle name="40% - Accent6 14 5 3" xfId="6810" xr:uid="{00000000-0005-0000-0000-000084360000}"/>
    <cellStyle name="40% - Accent6 14 6" xfId="6811" xr:uid="{00000000-0005-0000-0000-000085360000}"/>
    <cellStyle name="40% - Accent6 14 6 2" xfId="6812" xr:uid="{00000000-0005-0000-0000-000086360000}"/>
    <cellStyle name="40% - Accent6 14 6 3" xfId="6813" xr:uid="{00000000-0005-0000-0000-000087360000}"/>
    <cellStyle name="40% - Accent6 14 7" xfId="6814" xr:uid="{00000000-0005-0000-0000-000088360000}"/>
    <cellStyle name="40% - Accent6 14 8" xfId="6815" xr:uid="{00000000-0005-0000-0000-000089360000}"/>
    <cellStyle name="40% - Accent6 14_Volatility" xfId="6816" xr:uid="{00000000-0005-0000-0000-00008A360000}"/>
    <cellStyle name="40% - Accent6 15" xfId="6817" xr:uid="{00000000-0005-0000-0000-00008B360000}"/>
    <cellStyle name="40% - Accent6 15 2" xfId="6818" xr:uid="{00000000-0005-0000-0000-00008C360000}"/>
    <cellStyle name="40% - Accent6 15 2 2" xfId="6819" xr:uid="{00000000-0005-0000-0000-00008D360000}"/>
    <cellStyle name="40% - Accent6 15 2 2 2" xfId="6820" xr:uid="{00000000-0005-0000-0000-00008E360000}"/>
    <cellStyle name="40% - Accent6 15 2 2 3" xfId="6821" xr:uid="{00000000-0005-0000-0000-00008F360000}"/>
    <cellStyle name="40% - Accent6 15 2 3" xfId="6822" xr:uid="{00000000-0005-0000-0000-000090360000}"/>
    <cellStyle name="40% - Accent6 15 2 3 2" xfId="6823" xr:uid="{00000000-0005-0000-0000-000091360000}"/>
    <cellStyle name="40% - Accent6 15 2 3 3" xfId="6824" xr:uid="{00000000-0005-0000-0000-000092360000}"/>
    <cellStyle name="40% - Accent6 15 2 4" xfId="6825" xr:uid="{00000000-0005-0000-0000-000093360000}"/>
    <cellStyle name="40% - Accent6 15 2 4 2" xfId="6826" xr:uid="{00000000-0005-0000-0000-000094360000}"/>
    <cellStyle name="40% - Accent6 15 2 4 3" xfId="6827" xr:uid="{00000000-0005-0000-0000-000095360000}"/>
    <cellStyle name="40% - Accent6 15 2 5" xfId="6828" xr:uid="{00000000-0005-0000-0000-000096360000}"/>
    <cellStyle name="40% - Accent6 15 2 6" xfId="6829" xr:uid="{00000000-0005-0000-0000-000097360000}"/>
    <cellStyle name="40% - Accent6 15 2_Volatility" xfId="6830" xr:uid="{00000000-0005-0000-0000-000098360000}"/>
    <cellStyle name="40% - Accent6 15 3" xfId="6831" xr:uid="{00000000-0005-0000-0000-000099360000}"/>
    <cellStyle name="40% - Accent6 15 3 2" xfId="6832" xr:uid="{00000000-0005-0000-0000-00009A360000}"/>
    <cellStyle name="40% - Accent6 15 3 2 2" xfId="6833" xr:uid="{00000000-0005-0000-0000-00009B360000}"/>
    <cellStyle name="40% - Accent6 15 3 2 3" xfId="6834" xr:uid="{00000000-0005-0000-0000-00009C360000}"/>
    <cellStyle name="40% - Accent6 15 3 3" xfId="6835" xr:uid="{00000000-0005-0000-0000-00009D360000}"/>
    <cellStyle name="40% - Accent6 15 3 3 2" xfId="6836" xr:uid="{00000000-0005-0000-0000-00009E360000}"/>
    <cellStyle name="40% - Accent6 15 3 3 3" xfId="6837" xr:uid="{00000000-0005-0000-0000-00009F360000}"/>
    <cellStyle name="40% - Accent6 15 3 4" xfId="6838" xr:uid="{00000000-0005-0000-0000-0000A0360000}"/>
    <cellStyle name="40% - Accent6 15 3 5" xfId="6839" xr:uid="{00000000-0005-0000-0000-0000A1360000}"/>
    <cellStyle name="40% - Accent6 15 3_Volatility" xfId="6840" xr:uid="{00000000-0005-0000-0000-0000A2360000}"/>
    <cellStyle name="40% - Accent6 15 4" xfId="6841" xr:uid="{00000000-0005-0000-0000-0000A3360000}"/>
    <cellStyle name="40% - Accent6 15 4 2" xfId="6842" xr:uid="{00000000-0005-0000-0000-0000A4360000}"/>
    <cellStyle name="40% - Accent6 15 4 3" xfId="6843" xr:uid="{00000000-0005-0000-0000-0000A5360000}"/>
    <cellStyle name="40% - Accent6 15 5" xfId="6844" xr:uid="{00000000-0005-0000-0000-0000A6360000}"/>
    <cellStyle name="40% - Accent6 15 5 2" xfId="6845" xr:uid="{00000000-0005-0000-0000-0000A7360000}"/>
    <cellStyle name="40% - Accent6 15 5 3" xfId="6846" xr:uid="{00000000-0005-0000-0000-0000A8360000}"/>
    <cellStyle name="40% - Accent6 15 6" xfId="6847" xr:uid="{00000000-0005-0000-0000-0000A9360000}"/>
    <cellStyle name="40% - Accent6 15 6 2" xfId="6848" xr:uid="{00000000-0005-0000-0000-0000AA360000}"/>
    <cellStyle name="40% - Accent6 15 6 3" xfId="6849" xr:uid="{00000000-0005-0000-0000-0000AB360000}"/>
    <cellStyle name="40% - Accent6 15 7" xfId="6850" xr:uid="{00000000-0005-0000-0000-0000AC360000}"/>
    <cellStyle name="40% - Accent6 15 8" xfId="6851" xr:uid="{00000000-0005-0000-0000-0000AD360000}"/>
    <cellStyle name="40% - Accent6 15_Volatility" xfId="6852" xr:uid="{00000000-0005-0000-0000-0000AE360000}"/>
    <cellStyle name="40% - Accent6 16" xfId="6853" xr:uid="{00000000-0005-0000-0000-0000AF360000}"/>
    <cellStyle name="40% - Accent6 16 2" xfId="15945" xr:uid="{00000000-0005-0000-0000-0000B0360000}"/>
    <cellStyle name="40% - Accent6 16 3" xfId="19896" xr:uid="{00000000-0005-0000-0000-0000B1360000}"/>
    <cellStyle name="40% - Accent6 17" xfId="6854" xr:uid="{00000000-0005-0000-0000-0000B2360000}"/>
    <cellStyle name="40% - Accent6 17 2" xfId="15946" xr:uid="{00000000-0005-0000-0000-0000B3360000}"/>
    <cellStyle name="40% - Accent6 17 3" xfId="19897" xr:uid="{00000000-0005-0000-0000-0000B4360000}"/>
    <cellStyle name="40% - Accent6 18" xfId="6855" xr:uid="{00000000-0005-0000-0000-0000B5360000}"/>
    <cellStyle name="40% - Accent6 18 2" xfId="15947" xr:uid="{00000000-0005-0000-0000-0000B6360000}"/>
    <cellStyle name="40% - Accent6 18 3" xfId="19898" xr:uid="{00000000-0005-0000-0000-0000B7360000}"/>
    <cellStyle name="40% - Accent6 19" xfId="6856" xr:uid="{00000000-0005-0000-0000-0000B8360000}"/>
    <cellStyle name="40% - Accent6 19 2" xfId="15948" xr:uid="{00000000-0005-0000-0000-0000B9360000}"/>
    <cellStyle name="40% - Accent6 19 3" xfId="19899" xr:uid="{00000000-0005-0000-0000-0000BA360000}"/>
    <cellStyle name="40% - Accent6 2" xfId="6857" xr:uid="{00000000-0005-0000-0000-0000BB360000}"/>
    <cellStyle name="40% - Accent6 2 2" xfId="6858" xr:uid="{00000000-0005-0000-0000-0000BC360000}"/>
    <cellStyle name="40% - Accent6 2 2 2" xfId="6859" xr:uid="{00000000-0005-0000-0000-0000BD360000}"/>
    <cellStyle name="40% - Accent6 2 2 2 2" xfId="6860" xr:uid="{00000000-0005-0000-0000-0000BE360000}"/>
    <cellStyle name="40% - Accent6 2 2 2 3" xfId="6861" xr:uid="{00000000-0005-0000-0000-0000BF360000}"/>
    <cellStyle name="40% - Accent6 2 2 3" xfId="6862" xr:uid="{00000000-0005-0000-0000-0000C0360000}"/>
    <cellStyle name="40% - Accent6 2 2 3 2" xfId="6863" xr:uid="{00000000-0005-0000-0000-0000C1360000}"/>
    <cellStyle name="40% - Accent6 2 2 3 3" xfId="6864" xr:uid="{00000000-0005-0000-0000-0000C2360000}"/>
    <cellStyle name="40% - Accent6 2 2 4" xfId="6865" xr:uid="{00000000-0005-0000-0000-0000C3360000}"/>
    <cellStyle name="40% - Accent6 2 2 4 2" xfId="6866" xr:uid="{00000000-0005-0000-0000-0000C4360000}"/>
    <cellStyle name="40% - Accent6 2 2 4 3" xfId="6867" xr:uid="{00000000-0005-0000-0000-0000C5360000}"/>
    <cellStyle name="40% - Accent6 2 2 5" xfId="6868" xr:uid="{00000000-0005-0000-0000-0000C6360000}"/>
    <cellStyle name="40% - Accent6 2 2 6" xfId="6869" xr:uid="{00000000-0005-0000-0000-0000C7360000}"/>
    <cellStyle name="40% - Accent6 2 2_Volatility" xfId="6870" xr:uid="{00000000-0005-0000-0000-0000C8360000}"/>
    <cellStyle name="40% - Accent6 2 3" xfId="6871" xr:uid="{00000000-0005-0000-0000-0000C9360000}"/>
    <cellStyle name="40% - Accent6 2 3 2" xfId="6872" xr:uid="{00000000-0005-0000-0000-0000CA360000}"/>
    <cellStyle name="40% - Accent6 2 3 2 2" xfId="6873" xr:uid="{00000000-0005-0000-0000-0000CB360000}"/>
    <cellStyle name="40% - Accent6 2 3 2 3" xfId="6874" xr:uid="{00000000-0005-0000-0000-0000CC360000}"/>
    <cellStyle name="40% - Accent6 2 3 3" xfId="6875" xr:uid="{00000000-0005-0000-0000-0000CD360000}"/>
    <cellStyle name="40% - Accent6 2 3 3 2" xfId="6876" xr:uid="{00000000-0005-0000-0000-0000CE360000}"/>
    <cellStyle name="40% - Accent6 2 3 3 3" xfId="6877" xr:uid="{00000000-0005-0000-0000-0000CF360000}"/>
    <cellStyle name="40% - Accent6 2 3 4" xfId="6878" xr:uid="{00000000-0005-0000-0000-0000D0360000}"/>
    <cellStyle name="40% - Accent6 2 3 5" xfId="6879" xr:uid="{00000000-0005-0000-0000-0000D1360000}"/>
    <cellStyle name="40% - Accent6 2 3_Volatility" xfId="6880" xr:uid="{00000000-0005-0000-0000-0000D2360000}"/>
    <cellStyle name="40% - Accent6 2 4" xfId="6881" xr:uid="{00000000-0005-0000-0000-0000D3360000}"/>
    <cellStyle name="40% - Accent6 2 4 2" xfId="6882" xr:uid="{00000000-0005-0000-0000-0000D4360000}"/>
    <cellStyle name="40% - Accent6 2 4 3" xfId="6883" xr:uid="{00000000-0005-0000-0000-0000D5360000}"/>
    <cellStyle name="40% - Accent6 2 5" xfId="6884" xr:uid="{00000000-0005-0000-0000-0000D6360000}"/>
    <cellStyle name="40% - Accent6 2 5 2" xfId="6885" xr:uid="{00000000-0005-0000-0000-0000D7360000}"/>
    <cellStyle name="40% - Accent6 2 5 3" xfId="6886" xr:uid="{00000000-0005-0000-0000-0000D8360000}"/>
    <cellStyle name="40% - Accent6 2 6" xfId="6887" xr:uid="{00000000-0005-0000-0000-0000D9360000}"/>
    <cellStyle name="40% - Accent6 2 6 2" xfId="6888" xr:uid="{00000000-0005-0000-0000-0000DA360000}"/>
    <cellStyle name="40% - Accent6 2 6 3" xfId="6889" xr:uid="{00000000-0005-0000-0000-0000DB360000}"/>
    <cellStyle name="40% - Accent6 2 7" xfId="6890" xr:uid="{00000000-0005-0000-0000-0000DC360000}"/>
    <cellStyle name="40% - Accent6 2 8" xfId="6891" xr:uid="{00000000-0005-0000-0000-0000DD360000}"/>
    <cellStyle name="40% - Accent6 2_Volatility" xfId="6892" xr:uid="{00000000-0005-0000-0000-0000DE360000}"/>
    <cellStyle name="40% - Accent6 3" xfId="6893" xr:uid="{00000000-0005-0000-0000-0000DF360000}"/>
    <cellStyle name="40% - Accent6 3 2" xfId="6894" xr:uid="{00000000-0005-0000-0000-0000E0360000}"/>
    <cellStyle name="40% - Accent6 3 2 2" xfId="6895" xr:uid="{00000000-0005-0000-0000-0000E1360000}"/>
    <cellStyle name="40% - Accent6 3 2 2 2" xfId="6896" xr:uid="{00000000-0005-0000-0000-0000E2360000}"/>
    <cellStyle name="40% - Accent6 3 2 2 3" xfId="6897" xr:uid="{00000000-0005-0000-0000-0000E3360000}"/>
    <cellStyle name="40% - Accent6 3 2 3" xfId="6898" xr:uid="{00000000-0005-0000-0000-0000E4360000}"/>
    <cellStyle name="40% - Accent6 3 2 3 2" xfId="6899" xr:uid="{00000000-0005-0000-0000-0000E5360000}"/>
    <cellStyle name="40% - Accent6 3 2 3 3" xfId="6900" xr:uid="{00000000-0005-0000-0000-0000E6360000}"/>
    <cellStyle name="40% - Accent6 3 2 4" xfId="6901" xr:uid="{00000000-0005-0000-0000-0000E7360000}"/>
    <cellStyle name="40% - Accent6 3 2 4 2" xfId="6902" xr:uid="{00000000-0005-0000-0000-0000E8360000}"/>
    <cellStyle name="40% - Accent6 3 2 4 3" xfId="6903" xr:uid="{00000000-0005-0000-0000-0000E9360000}"/>
    <cellStyle name="40% - Accent6 3 2 5" xfId="6904" xr:uid="{00000000-0005-0000-0000-0000EA360000}"/>
    <cellStyle name="40% - Accent6 3 2 6" xfId="6905" xr:uid="{00000000-0005-0000-0000-0000EB360000}"/>
    <cellStyle name="40% - Accent6 3 2_Volatility" xfId="6906" xr:uid="{00000000-0005-0000-0000-0000EC360000}"/>
    <cellStyle name="40% - Accent6 3 3" xfId="6907" xr:uid="{00000000-0005-0000-0000-0000ED360000}"/>
    <cellStyle name="40% - Accent6 3 3 2" xfId="6908" xr:uid="{00000000-0005-0000-0000-0000EE360000}"/>
    <cellStyle name="40% - Accent6 3 3 2 2" xfId="6909" xr:uid="{00000000-0005-0000-0000-0000EF360000}"/>
    <cellStyle name="40% - Accent6 3 3 2 3" xfId="6910" xr:uid="{00000000-0005-0000-0000-0000F0360000}"/>
    <cellStyle name="40% - Accent6 3 3 3" xfId="6911" xr:uid="{00000000-0005-0000-0000-0000F1360000}"/>
    <cellStyle name="40% - Accent6 3 3 3 2" xfId="6912" xr:uid="{00000000-0005-0000-0000-0000F2360000}"/>
    <cellStyle name="40% - Accent6 3 3 3 3" xfId="6913" xr:uid="{00000000-0005-0000-0000-0000F3360000}"/>
    <cellStyle name="40% - Accent6 3 3 4" xfId="6914" xr:uid="{00000000-0005-0000-0000-0000F4360000}"/>
    <cellStyle name="40% - Accent6 3 3 5" xfId="6915" xr:uid="{00000000-0005-0000-0000-0000F5360000}"/>
    <cellStyle name="40% - Accent6 3 3_Volatility" xfId="6916" xr:uid="{00000000-0005-0000-0000-0000F6360000}"/>
    <cellStyle name="40% - Accent6 3 4" xfId="6917" xr:uid="{00000000-0005-0000-0000-0000F7360000}"/>
    <cellStyle name="40% - Accent6 3 4 2" xfId="6918" xr:uid="{00000000-0005-0000-0000-0000F8360000}"/>
    <cellStyle name="40% - Accent6 3 4 3" xfId="6919" xr:uid="{00000000-0005-0000-0000-0000F9360000}"/>
    <cellStyle name="40% - Accent6 3 5" xfId="6920" xr:uid="{00000000-0005-0000-0000-0000FA360000}"/>
    <cellStyle name="40% - Accent6 3 5 2" xfId="6921" xr:uid="{00000000-0005-0000-0000-0000FB360000}"/>
    <cellStyle name="40% - Accent6 3 5 3" xfId="6922" xr:uid="{00000000-0005-0000-0000-0000FC360000}"/>
    <cellStyle name="40% - Accent6 3 6" xfId="6923" xr:uid="{00000000-0005-0000-0000-0000FD360000}"/>
    <cellStyle name="40% - Accent6 3 6 2" xfId="6924" xr:uid="{00000000-0005-0000-0000-0000FE360000}"/>
    <cellStyle name="40% - Accent6 3 6 3" xfId="6925" xr:uid="{00000000-0005-0000-0000-0000FF360000}"/>
    <cellStyle name="40% - Accent6 3 7" xfId="6926" xr:uid="{00000000-0005-0000-0000-000000370000}"/>
    <cellStyle name="40% - Accent6 3 8" xfId="6927" xr:uid="{00000000-0005-0000-0000-000001370000}"/>
    <cellStyle name="40% - Accent6 3_Volatility" xfId="6928" xr:uid="{00000000-0005-0000-0000-000002370000}"/>
    <cellStyle name="40% - Accent6 4" xfId="6929" xr:uid="{00000000-0005-0000-0000-000003370000}"/>
    <cellStyle name="40% - Accent6 4 2" xfId="6930" xr:uid="{00000000-0005-0000-0000-000004370000}"/>
    <cellStyle name="40% - Accent6 4 2 2" xfId="6931" xr:uid="{00000000-0005-0000-0000-000005370000}"/>
    <cellStyle name="40% - Accent6 4 2 2 2" xfId="6932" xr:uid="{00000000-0005-0000-0000-000006370000}"/>
    <cellStyle name="40% - Accent6 4 2 2 3" xfId="6933" xr:uid="{00000000-0005-0000-0000-000007370000}"/>
    <cellStyle name="40% - Accent6 4 2 3" xfId="6934" xr:uid="{00000000-0005-0000-0000-000008370000}"/>
    <cellStyle name="40% - Accent6 4 2 3 2" xfId="6935" xr:uid="{00000000-0005-0000-0000-000009370000}"/>
    <cellStyle name="40% - Accent6 4 2 3 3" xfId="6936" xr:uid="{00000000-0005-0000-0000-00000A370000}"/>
    <cellStyle name="40% - Accent6 4 2 4" xfId="6937" xr:uid="{00000000-0005-0000-0000-00000B370000}"/>
    <cellStyle name="40% - Accent6 4 2 4 2" xfId="6938" xr:uid="{00000000-0005-0000-0000-00000C370000}"/>
    <cellStyle name="40% - Accent6 4 2 4 3" xfId="6939" xr:uid="{00000000-0005-0000-0000-00000D370000}"/>
    <cellStyle name="40% - Accent6 4 2 5" xfId="6940" xr:uid="{00000000-0005-0000-0000-00000E370000}"/>
    <cellStyle name="40% - Accent6 4 2 6" xfId="6941" xr:uid="{00000000-0005-0000-0000-00000F370000}"/>
    <cellStyle name="40% - Accent6 4 2_Volatility" xfId="6942" xr:uid="{00000000-0005-0000-0000-000010370000}"/>
    <cellStyle name="40% - Accent6 4 3" xfId="6943" xr:uid="{00000000-0005-0000-0000-000011370000}"/>
    <cellStyle name="40% - Accent6 4 3 2" xfId="6944" xr:uid="{00000000-0005-0000-0000-000012370000}"/>
    <cellStyle name="40% - Accent6 4 3 2 2" xfId="6945" xr:uid="{00000000-0005-0000-0000-000013370000}"/>
    <cellStyle name="40% - Accent6 4 3 2 3" xfId="6946" xr:uid="{00000000-0005-0000-0000-000014370000}"/>
    <cellStyle name="40% - Accent6 4 3 3" xfId="6947" xr:uid="{00000000-0005-0000-0000-000015370000}"/>
    <cellStyle name="40% - Accent6 4 3 3 2" xfId="6948" xr:uid="{00000000-0005-0000-0000-000016370000}"/>
    <cellStyle name="40% - Accent6 4 3 3 3" xfId="6949" xr:uid="{00000000-0005-0000-0000-000017370000}"/>
    <cellStyle name="40% - Accent6 4 3 4" xfId="6950" xr:uid="{00000000-0005-0000-0000-000018370000}"/>
    <cellStyle name="40% - Accent6 4 3 5" xfId="6951" xr:uid="{00000000-0005-0000-0000-000019370000}"/>
    <cellStyle name="40% - Accent6 4 3_Volatility" xfId="6952" xr:uid="{00000000-0005-0000-0000-00001A370000}"/>
    <cellStyle name="40% - Accent6 4 4" xfId="6953" xr:uid="{00000000-0005-0000-0000-00001B370000}"/>
    <cellStyle name="40% - Accent6 4 4 2" xfId="6954" xr:uid="{00000000-0005-0000-0000-00001C370000}"/>
    <cellStyle name="40% - Accent6 4 4 3" xfId="6955" xr:uid="{00000000-0005-0000-0000-00001D370000}"/>
    <cellStyle name="40% - Accent6 4 5" xfId="6956" xr:uid="{00000000-0005-0000-0000-00001E370000}"/>
    <cellStyle name="40% - Accent6 4 5 2" xfId="6957" xr:uid="{00000000-0005-0000-0000-00001F370000}"/>
    <cellStyle name="40% - Accent6 4 5 3" xfId="6958" xr:uid="{00000000-0005-0000-0000-000020370000}"/>
    <cellStyle name="40% - Accent6 4 6" xfId="6959" xr:uid="{00000000-0005-0000-0000-000021370000}"/>
    <cellStyle name="40% - Accent6 4 6 2" xfId="6960" xr:uid="{00000000-0005-0000-0000-000022370000}"/>
    <cellStyle name="40% - Accent6 4 6 3" xfId="6961" xr:uid="{00000000-0005-0000-0000-000023370000}"/>
    <cellStyle name="40% - Accent6 4 7" xfId="6962" xr:uid="{00000000-0005-0000-0000-000024370000}"/>
    <cellStyle name="40% - Accent6 4 8" xfId="6963" xr:uid="{00000000-0005-0000-0000-000025370000}"/>
    <cellStyle name="40% - Accent6 4_Volatility" xfId="6964" xr:uid="{00000000-0005-0000-0000-000026370000}"/>
    <cellStyle name="40% - Accent6 5" xfId="6965" xr:uid="{00000000-0005-0000-0000-000027370000}"/>
    <cellStyle name="40% - Accent6 5 2" xfId="6966" xr:uid="{00000000-0005-0000-0000-000028370000}"/>
    <cellStyle name="40% - Accent6 5 2 2" xfId="6967" xr:uid="{00000000-0005-0000-0000-000029370000}"/>
    <cellStyle name="40% - Accent6 5 2 2 2" xfId="6968" xr:uid="{00000000-0005-0000-0000-00002A370000}"/>
    <cellStyle name="40% - Accent6 5 2 2 3" xfId="6969" xr:uid="{00000000-0005-0000-0000-00002B370000}"/>
    <cellStyle name="40% - Accent6 5 2 3" xfId="6970" xr:uid="{00000000-0005-0000-0000-00002C370000}"/>
    <cellStyle name="40% - Accent6 5 2 3 2" xfId="6971" xr:uid="{00000000-0005-0000-0000-00002D370000}"/>
    <cellStyle name="40% - Accent6 5 2 3 3" xfId="6972" xr:uid="{00000000-0005-0000-0000-00002E370000}"/>
    <cellStyle name="40% - Accent6 5 2 4" xfId="6973" xr:uid="{00000000-0005-0000-0000-00002F370000}"/>
    <cellStyle name="40% - Accent6 5 2 4 2" xfId="6974" xr:uid="{00000000-0005-0000-0000-000030370000}"/>
    <cellStyle name="40% - Accent6 5 2 4 3" xfId="6975" xr:uid="{00000000-0005-0000-0000-000031370000}"/>
    <cellStyle name="40% - Accent6 5 2 5" xfId="6976" xr:uid="{00000000-0005-0000-0000-000032370000}"/>
    <cellStyle name="40% - Accent6 5 2 6" xfId="6977" xr:uid="{00000000-0005-0000-0000-000033370000}"/>
    <cellStyle name="40% - Accent6 5 2_Volatility" xfId="6978" xr:uid="{00000000-0005-0000-0000-000034370000}"/>
    <cellStyle name="40% - Accent6 5 3" xfId="6979" xr:uid="{00000000-0005-0000-0000-000035370000}"/>
    <cellStyle name="40% - Accent6 5 3 2" xfId="6980" xr:uid="{00000000-0005-0000-0000-000036370000}"/>
    <cellStyle name="40% - Accent6 5 3 2 2" xfId="6981" xr:uid="{00000000-0005-0000-0000-000037370000}"/>
    <cellStyle name="40% - Accent6 5 3 2 3" xfId="6982" xr:uid="{00000000-0005-0000-0000-000038370000}"/>
    <cellStyle name="40% - Accent6 5 3 3" xfId="6983" xr:uid="{00000000-0005-0000-0000-000039370000}"/>
    <cellStyle name="40% - Accent6 5 3 3 2" xfId="6984" xr:uid="{00000000-0005-0000-0000-00003A370000}"/>
    <cellStyle name="40% - Accent6 5 3 3 3" xfId="6985" xr:uid="{00000000-0005-0000-0000-00003B370000}"/>
    <cellStyle name="40% - Accent6 5 3 4" xfId="6986" xr:uid="{00000000-0005-0000-0000-00003C370000}"/>
    <cellStyle name="40% - Accent6 5 3 5" xfId="6987" xr:uid="{00000000-0005-0000-0000-00003D370000}"/>
    <cellStyle name="40% - Accent6 5 3_Volatility" xfId="6988" xr:uid="{00000000-0005-0000-0000-00003E370000}"/>
    <cellStyle name="40% - Accent6 5 4" xfId="6989" xr:uid="{00000000-0005-0000-0000-00003F370000}"/>
    <cellStyle name="40% - Accent6 5 4 2" xfId="6990" xr:uid="{00000000-0005-0000-0000-000040370000}"/>
    <cellStyle name="40% - Accent6 5 4 3" xfId="6991" xr:uid="{00000000-0005-0000-0000-000041370000}"/>
    <cellStyle name="40% - Accent6 5 5" xfId="6992" xr:uid="{00000000-0005-0000-0000-000042370000}"/>
    <cellStyle name="40% - Accent6 5 5 2" xfId="6993" xr:uid="{00000000-0005-0000-0000-000043370000}"/>
    <cellStyle name="40% - Accent6 5 5 3" xfId="6994" xr:uid="{00000000-0005-0000-0000-000044370000}"/>
    <cellStyle name="40% - Accent6 5 6" xfId="6995" xr:uid="{00000000-0005-0000-0000-000045370000}"/>
    <cellStyle name="40% - Accent6 5 6 2" xfId="6996" xr:uid="{00000000-0005-0000-0000-000046370000}"/>
    <cellStyle name="40% - Accent6 5 6 3" xfId="6997" xr:uid="{00000000-0005-0000-0000-000047370000}"/>
    <cellStyle name="40% - Accent6 5 7" xfId="6998" xr:uid="{00000000-0005-0000-0000-000048370000}"/>
    <cellStyle name="40% - Accent6 5 8" xfId="6999" xr:uid="{00000000-0005-0000-0000-000049370000}"/>
    <cellStyle name="40% - Accent6 5_Volatility" xfId="7000" xr:uid="{00000000-0005-0000-0000-00004A370000}"/>
    <cellStyle name="40% - Accent6 6" xfId="7001" xr:uid="{00000000-0005-0000-0000-00004B370000}"/>
    <cellStyle name="40% - Accent6 6 2" xfId="7002" xr:uid="{00000000-0005-0000-0000-00004C370000}"/>
    <cellStyle name="40% - Accent6 6 2 2" xfId="7003" xr:uid="{00000000-0005-0000-0000-00004D370000}"/>
    <cellStyle name="40% - Accent6 6 2 2 2" xfId="7004" xr:uid="{00000000-0005-0000-0000-00004E370000}"/>
    <cellStyle name="40% - Accent6 6 2 2 3" xfId="7005" xr:uid="{00000000-0005-0000-0000-00004F370000}"/>
    <cellStyle name="40% - Accent6 6 2 3" xfId="7006" xr:uid="{00000000-0005-0000-0000-000050370000}"/>
    <cellStyle name="40% - Accent6 6 2 3 2" xfId="7007" xr:uid="{00000000-0005-0000-0000-000051370000}"/>
    <cellStyle name="40% - Accent6 6 2 3 3" xfId="7008" xr:uid="{00000000-0005-0000-0000-000052370000}"/>
    <cellStyle name="40% - Accent6 6 2 4" xfId="7009" xr:uid="{00000000-0005-0000-0000-000053370000}"/>
    <cellStyle name="40% - Accent6 6 2 4 2" xfId="7010" xr:uid="{00000000-0005-0000-0000-000054370000}"/>
    <cellStyle name="40% - Accent6 6 2 4 3" xfId="7011" xr:uid="{00000000-0005-0000-0000-000055370000}"/>
    <cellStyle name="40% - Accent6 6 2 5" xfId="7012" xr:uid="{00000000-0005-0000-0000-000056370000}"/>
    <cellStyle name="40% - Accent6 6 2 6" xfId="7013" xr:uid="{00000000-0005-0000-0000-000057370000}"/>
    <cellStyle name="40% - Accent6 6 2_Volatility" xfId="7014" xr:uid="{00000000-0005-0000-0000-000058370000}"/>
    <cellStyle name="40% - Accent6 6 3" xfId="7015" xr:uid="{00000000-0005-0000-0000-000059370000}"/>
    <cellStyle name="40% - Accent6 6 3 2" xfId="7016" xr:uid="{00000000-0005-0000-0000-00005A370000}"/>
    <cellStyle name="40% - Accent6 6 3 2 2" xfId="7017" xr:uid="{00000000-0005-0000-0000-00005B370000}"/>
    <cellStyle name="40% - Accent6 6 3 2 3" xfId="7018" xr:uid="{00000000-0005-0000-0000-00005C370000}"/>
    <cellStyle name="40% - Accent6 6 3 3" xfId="7019" xr:uid="{00000000-0005-0000-0000-00005D370000}"/>
    <cellStyle name="40% - Accent6 6 3 3 2" xfId="7020" xr:uid="{00000000-0005-0000-0000-00005E370000}"/>
    <cellStyle name="40% - Accent6 6 3 3 3" xfId="7021" xr:uid="{00000000-0005-0000-0000-00005F370000}"/>
    <cellStyle name="40% - Accent6 6 3 4" xfId="7022" xr:uid="{00000000-0005-0000-0000-000060370000}"/>
    <cellStyle name="40% - Accent6 6 3 5" xfId="7023" xr:uid="{00000000-0005-0000-0000-000061370000}"/>
    <cellStyle name="40% - Accent6 6 3_Volatility" xfId="7024" xr:uid="{00000000-0005-0000-0000-000062370000}"/>
    <cellStyle name="40% - Accent6 6 4" xfId="7025" xr:uid="{00000000-0005-0000-0000-000063370000}"/>
    <cellStyle name="40% - Accent6 6 4 2" xfId="7026" xr:uid="{00000000-0005-0000-0000-000064370000}"/>
    <cellStyle name="40% - Accent6 6 4 3" xfId="7027" xr:uid="{00000000-0005-0000-0000-000065370000}"/>
    <cellStyle name="40% - Accent6 6 5" xfId="7028" xr:uid="{00000000-0005-0000-0000-000066370000}"/>
    <cellStyle name="40% - Accent6 6 5 2" xfId="7029" xr:uid="{00000000-0005-0000-0000-000067370000}"/>
    <cellStyle name="40% - Accent6 6 5 3" xfId="7030" xr:uid="{00000000-0005-0000-0000-000068370000}"/>
    <cellStyle name="40% - Accent6 6 6" xfId="7031" xr:uid="{00000000-0005-0000-0000-000069370000}"/>
    <cellStyle name="40% - Accent6 6 6 2" xfId="7032" xr:uid="{00000000-0005-0000-0000-00006A370000}"/>
    <cellStyle name="40% - Accent6 6 6 3" xfId="7033" xr:uid="{00000000-0005-0000-0000-00006B370000}"/>
    <cellStyle name="40% - Accent6 6 7" xfId="7034" xr:uid="{00000000-0005-0000-0000-00006C370000}"/>
    <cellStyle name="40% - Accent6 6 8" xfId="7035" xr:uid="{00000000-0005-0000-0000-00006D370000}"/>
    <cellStyle name="40% - Accent6 6_Volatility" xfId="7036" xr:uid="{00000000-0005-0000-0000-00006E370000}"/>
    <cellStyle name="40% - Accent6 7" xfId="7037" xr:uid="{00000000-0005-0000-0000-00006F370000}"/>
    <cellStyle name="40% - Accent6 7 2" xfId="7038" xr:uid="{00000000-0005-0000-0000-000070370000}"/>
    <cellStyle name="40% - Accent6 7 2 2" xfId="7039" xr:uid="{00000000-0005-0000-0000-000071370000}"/>
    <cellStyle name="40% - Accent6 7 2 2 2" xfId="7040" xr:uid="{00000000-0005-0000-0000-000072370000}"/>
    <cellStyle name="40% - Accent6 7 2 2 3" xfId="7041" xr:uid="{00000000-0005-0000-0000-000073370000}"/>
    <cellStyle name="40% - Accent6 7 2 3" xfId="7042" xr:uid="{00000000-0005-0000-0000-000074370000}"/>
    <cellStyle name="40% - Accent6 7 2 3 2" xfId="7043" xr:uid="{00000000-0005-0000-0000-000075370000}"/>
    <cellStyle name="40% - Accent6 7 2 3 3" xfId="7044" xr:uid="{00000000-0005-0000-0000-000076370000}"/>
    <cellStyle name="40% - Accent6 7 2 4" xfId="7045" xr:uid="{00000000-0005-0000-0000-000077370000}"/>
    <cellStyle name="40% - Accent6 7 2 4 2" xfId="7046" xr:uid="{00000000-0005-0000-0000-000078370000}"/>
    <cellStyle name="40% - Accent6 7 2 4 3" xfId="7047" xr:uid="{00000000-0005-0000-0000-000079370000}"/>
    <cellStyle name="40% - Accent6 7 2 5" xfId="7048" xr:uid="{00000000-0005-0000-0000-00007A370000}"/>
    <cellStyle name="40% - Accent6 7 2 6" xfId="7049" xr:uid="{00000000-0005-0000-0000-00007B370000}"/>
    <cellStyle name="40% - Accent6 7 2_Volatility" xfId="7050" xr:uid="{00000000-0005-0000-0000-00007C370000}"/>
    <cellStyle name="40% - Accent6 7 3" xfId="7051" xr:uid="{00000000-0005-0000-0000-00007D370000}"/>
    <cellStyle name="40% - Accent6 7 3 2" xfId="7052" xr:uid="{00000000-0005-0000-0000-00007E370000}"/>
    <cellStyle name="40% - Accent6 7 3 2 2" xfId="7053" xr:uid="{00000000-0005-0000-0000-00007F370000}"/>
    <cellStyle name="40% - Accent6 7 3 2 3" xfId="7054" xr:uid="{00000000-0005-0000-0000-000080370000}"/>
    <cellStyle name="40% - Accent6 7 3 3" xfId="7055" xr:uid="{00000000-0005-0000-0000-000081370000}"/>
    <cellStyle name="40% - Accent6 7 3 3 2" xfId="7056" xr:uid="{00000000-0005-0000-0000-000082370000}"/>
    <cellStyle name="40% - Accent6 7 3 3 3" xfId="7057" xr:uid="{00000000-0005-0000-0000-000083370000}"/>
    <cellStyle name="40% - Accent6 7 3 4" xfId="7058" xr:uid="{00000000-0005-0000-0000-000084370000}"/>
    <cellStyle name="40% - Accent6 7 3 5" xfId="7059" xr:uid="{00000000-0005-0000-0000-000085370000}"/>
    <cellStyle name="40% - Accent6 7 3_Volatility" xfId="7060" xr:uid="{00000000-0005-0000-0000-000086370000}"/>
    <cellStyle name="40% - Accent6 7 4" xfId="7061" xr:uid="{00000000-0005-0000-0000-000087370000}"/>
    <cellStyle name="40% - Accent6 7 4 2" xfId="7062" xr:uid="{00000000-0005-0000-0000-000088370000}"/>
    <cellStyle name="40% - Accent6 7 4 3" xfId="7063" xr:uid="{00000000-0005-0000-0000-000089370000}"/>
    <cellStyle name="40% - Accent6 7 5" xfId="7064" xr:uid="{00000000-0005-0000-0000-00008A370000}"/>
    <cellStyle name="40% - Accent6 7 5 2" xfId="7065" xr:uid="{00000000-0005-0000-0000-00008B370000}"/>
    <cellStyle name="40% - Accent6 7 5 3" xfId="7066" xr:uid="{00000000-0005-0000-0000-00008C370000}"/>
    <cellStyle name="40% - Accent6 7 6" xfId="7067" xr:uid="{00000000-0005-0000-0000-00008D370000}"/>
    <cellStyle name="40% - Accent6 7 6 2" xfId="7068" xr:uid="{00000000-0005-0000-0000-00008E370000}"/>
    <cellStyle name="40% - Accent6 7 6 3" xfId="7069" xr:uid="{00000000-0005-0000-0000-00008F370000}"/>
    <cellStyle name="40% - Accent6 7 7" xfId="7070" xr:uid="{00000000-0005-0000-0000-000090370000}"/>
    <cellStyle name="40% - Accent6 7 8" xfId="7071" xr:uid="{00000000-0005-0000-0000-000091370000}"/>
    <cellStyle name="40% - Accent6 7_Volatility" xfId="7072" xr:uid="{00000000-0005-0000-0000-000092370000}"/>
    <cellStyle name="40% - Accent6 8" xfId="7073" xr:uid="{00000000-0005-0000-0000-000093370000}"/>
    <cellStyle name="40% - Accent6 8 2" xfId="7074" xr:uid="{00000000-0005-0000-0000-000094370000}"/>
    <cellStyle name="40% - Accent6 8 2 2" xfId="7075" xr:uid="{00000000-0005-0000-0000-000095370000}"/>
    <cellStyle name="40% - Accent6 8 2 2 2" xfId="7076" xr:uid="{00000000-0005-0000-0000-000096370000}"/>
    <cellStyle name="40% - Accent6 8 2 2 3" xfId="7077" xr:uid="{00000000-0005-0000-0000-000097370000}"/>
    <cellStyle name="40% - Accent6 8 2 3" xfId="7078" xr:uid="{00000000-0005-0000-0000-000098370000}"/>
    <cellStyle name="40% - Accent6 8 2 3 2" xfId="7079" xr:uid="{00000000-0005-0000-0000-000099370000}"/>
    <cellStyle name="40% - Accent6 8 2 3 3" xfId="7080" xr:uid="{00000000-0005-0000-0000-00009A370000}"/>
    <cellStyle name="40% - Accent6 8 2 4" xfId="7081" xr:uid="{00000000-0005-0000-0000-00009B370000}"/>
    <cellStyle name="40% - Accent6 8 2 4 2" xfId="7082" xr:uid="{00000000-0005-0000-0000-00009C370000}"/>
    <cellStyle name="40% - Accent6 8 2 4 3" xfId="7083" xr:uid="{00000000-0005-0000-0000-00009D370000}"/>
    <cellStyle name="40% - Accent6 8 2 5" xfId="7084" xr:uid="{00000000-0005-0000-0000-00009E370000}"/>
    <cellStyle name="40% - Accent6 8 2 6" xfId="7085" xr:uid="{00000000-0005-0000-0000-00009F370000}"/>
    <cellStyle name="40% - Accent6 8 2_Volatility" xfId="7086" xr:uid="{00000000-0005-0000-0000-0000A0370000}"/>
    <cellStyle name="40% - Accent6 8 3" xfId="7087" xr:uid="{00000000-0005-0000-0000-0000A1370000}"/>
    <cellStyle name="40% - Accent6 8 3 2" xfId="7088" xr:uid="{00000000-0005-0000-0000-0000A2370000}"/>
    <cellStyle name="40% - Accent6 8 3 2 2" xfId="7089" xr:uid="{00000000-0005-0000-0000-0000A3370000}"/>
    <cellStyle name="40% - Accent6 8 3 2 3" xfId="7090" xr:uid="{00000000-0005-0000-0000-0000A4370000}"/>
    <cellStyle name="40% - Accent6 8 3 3" xfId="7091" xr:uid="{00000000-0005-0000-0000-0000A5370000}"/>
    <cellStyle name="40% - Accent6 8 3 3 2" xfId="7092" xr:uid="{00000000-0005-0000-0000-0000A6370000}"/>
    <cellStyle name="40% - Accent6 8 3 3 3" xfId="7093" xr:uid="{00000000-0005-0000-0000-0000A7370000}"/>
    <cellStyle name="40% - Accent6 8 3 4" xfId="7094" xr:uid="{00000000-0005-0000-0000-0000A8370000}"/>
    <cellStyle name="40% - Accent6 8 3 5" xfId="7095" xr:uid="{00000000-0005-0000-0000-0000A9370000}"/>
    <cellStyle name="40% - Accent6 8 3_Volatility" xfId="7096" xr:uid="{00000000-0005-0000-0000-0000AA370000}"/>
    <cellStyle name="40% - Accent6 8 4" xfId="7097" xr:uid="{00000000-0005-0000-0000-0000AB370000}"/>
    <cellStyle name="40% - Accent6 8 4 2" xfId="7098" xr:uid="{00000000-0005-0000-0000-0000AC370000}"/>
    <cellStyle name="40% - Accent6 8 4 3" xfId="7099" xr:uid="{00000000-0005-0000-0000-0000AD370000}"/>
    <cellStyle name="40% - Accent6 8 5" xfId="7100" xr:uid="{00000000-0005-0000-0000-0000AE370000}"/>
    <cellStyle name="40% - Accent6 8 5 2" xfId="7101" xr:uid="{00000000-0005-0000-0000-0000AF370000}"/>
    <cellStyle name="40% - Accent6 8 5 3" xfId="7102" xr:uid="{00000000-0005-0000-0000-0000B0370000}"/>
    <cellStyle name="40% - Accent6 8 6" xfId="7103" xr:uid="{00000000-0005-0000-0000-0000B1370000}"/>
    <cellStyle name="40% - Accent6 8 6 2" xfId="7104" xr:uid="{00000000-0005-0000-0000-0000B2370000}"/>
    <cellStyle name="40% - Accent6 8 6 3" xfId="7105" xr:uid="{00000000-0005-0000-0000-0000B3370000}"/>
    <cellStyle name="40% - Accent6 8 7" xfId="7106" xr:uid="{00000000-0005-0000-0000-0000B4370000}"/>
    <cellStyle name="40% - Accent6 8 8" xfId="7107" xr:uid="{00000000-0005-0000-0000-0000B5370000}"/>
    <cellStyle name="40% - Accent6 8_Volatility" xfId="7108" xr:uid="{00000000-0005-0000-0000-0000B6370000}"/>
    <cellStyle name="40% - Accent6 9" xfId="7109" xr:uid="{00000000-0005-0000-0000-0000B7370000}"/>
    <cellStyle name="40% - Accent6 9 2" xfId="7110" xr:uid="{00000000-0005-0000-0000-0000B8370000}"/>
    <cellStyle name="40% - Accent6 9 2 2" xfId="7111" xr:uid="{00000000-0005-0000-0000-0000B9370000}"/>
    <cellStyle name="40% - Accent6 9 2 2 2" xfId="7112" xr:uid="{00000000-0005-0000-0000-0000BA370000}"/>
    <cellStyle name="40% - Accent6 9 2 2 3" xfId="7113" xr:uid="{00000000-0005-0000-0000-0000BB370000}"/>
    <cellStyle name="40% - Accent6 9 2 3" xfId="7114" xr:uid="{00000000-0005-0000-0000-0000BC370000}"/>
    <cellStyle name="40% - Accent6 9 2 3 2" xfId="7115" xr:uid="{00000000-0005-0000-0000-0000BD370000}"/>
    <cellStyle name="40% - Accent6 9 2 3 3" xfId="7116" xr:uid="{00000000-0005-0000-0000-0000BE370000}"/>
    <cellStyle name="40% - Accent6 9 2 4" xfId="7117" xr:uid="{00000000-0005-0000-0000-0000BF370000}"/>
    <cellStyle name="40% - Accent6 9 2 4 2" xfId="7118" xr:uid="{00000000-0005-0000-0000-0000C0370000}"/>
    <cellStyle name="40% - Accent6 9 2 4 3" xfId="7119" xr:uid="{00000000-0005-0000-0000-0000C1370000}"/>
    <cellStyle name="40% - Accent6 9 2 5" xfId="7120" xr:uid="{00000000-0005-0000-0000-0000C2370000}"/>
    <cellStyle name="40% - Accent6 9 2 6" xfId="7121" xr:uid="{00000000-0005-0000-0000-0000C3370000}"/>
    <cellStyle name="40% - Accent6 9 2_Volatility" xfId="7122" xr:uid="{00000000-0005-0000-0000-0000C4370000}"/>
    <cellStyle name="40% - Accent6 9 3" xfId="7123" xr:uid="{00000000-0005-0000-0000-0000C5370000}"/>
    <cellStyle name="40% - Accent6 9 3 2" xfId="7124" xr:uid="{00000000-0005-0000-0000-0000C6370000}"/>
    <cellStyle name="40% - Accent6 9 3 2 2" xfId="7125" xr:uid="{00000000-0005-0000-0000-0000C7370000}"/>
    <cellStyle name="40% - Accent6 9 3 2 3" xfId="7126" xr:uid="{00000000-0005-0000-0000-0000C8370000}"/>
    <cellStyle name="40% - Accent6 9 3 3" xfId="7127" xr:uid="{00000000-0005-0000-0000-0000C9370000}"/>
    <cellStyle name="40% - Accent6 9 3 3 2" xfId="7128" xr:uid="{00000000-0005-0000-0000-0000CA370000}"/>
    <cellStyle name="40% - Accent6 9 3 3 3" xfId="7129" xr:uid="{00000000-0005-0000-0000-0000CB370000}"/>
    <cellStyle name="40% - Accent6 9 3 4" xfId="7130" xr:uid="{00000000-0005-0000-0000-0000CC370000}"/>
    <cellStyle name="40% - Accent6 9 3 5" xfId="7131" xr:uid="{00000000-0005-0000-0000-0000CD370000}"/>
    <cellStyle name="40% - Accent6 9 3_Volatility" xfId="7132" xr:uid="{00000000-0005-0000-0000-0000CE370000}"/>
    <cellStyle name="40% - Accent6 9 4" xfId="7133" xr:uid="{00000000-0005-0000-0000-0000CF370000}"/>
    <cellStyle name="40% - Accent6 9 4 2" xfId="7134" xr:uid="{00000000-0005-0000-0000-0000D0370000}"/>
    <cellStyle name="40% - Accent6 9 4 3" xfId="7135" xr:uid="{00000000-0005-0000-0000-0000D1370000}"/>
    <cellStyle name="40% - Accent6 9 5" xfId="7136" xr:uid="{00000000-0005-0000-0000-0000D2370000}"/>
    <cellStyle name="40% - Accent6 9 5 2" xfId="7137" xr:uid="{00000000-0005-0000-0000-0000D3370000}"/>
    <cellStyle name="40% - Accent6 9 5 3" xfId="7138" xr:uid="{00000000-0005-0000-0000-0000D4370000}"/>
    <cellStyle name="40% - Accent6 9 6" xfId="7139" xr:uid="{00000000-0005-0000-0000-0000D5370000}"/>
    <cellStyle name="40% - Accent6 9 6 2" xfId="7140" xr:uid="{00000000-0005-0000-0000-0000D6370000}"/>
    <cellStyle name="40% - Accent6 9 6 3" xfId="7141" xr:uid="{00000000-0005-0000-0000-0000D7370000}"/>
    <cellStyle name="40% - Accent6 9 7" xfId="7142" xr:uid="{00000000-0005-0000-0000-0000D8370000}"/>
    <cellStyle name="40% - Accent6 9 8" xfId="7143" xr:uid="{00000000-0005-0000-0000-0000D9370000}"/>
    <cellStyle name="40% - Accent6 9_Volatility" xfId="7144" xr:uid="{00000000-0005-0000-0000-0000DA370000}"/>
    <cellStyle name="40% - Ênfase1" xfId="7145" xr:uid="{00000000-0005-0000-0000-0000DB370000}"/>
    <cellStyle name="40% - Ênfase2" xfId="7146" xr:uid="{00000000-0005-0000-0000-0000DC370000}"/>
    <cellStyle name="40% - Ênfase3" xfId="7147" xr:uid="{00000000-0005-0000-0000-0000DD370000}"/>
    <cellStyle name="40% - Ênfase4" xfId="7148" xr:uid="{00000000-0005-0000-0000-0000DE370000}"/>
    <cellStyle name="40% - Ênfase5" xfId="7149" xr:uid="{00000000-0005-0000-0000-0000DF370000}"/>
    <cellStyle name="40% - Ênfase6" xfId="7150" xr:uid="{00000000-0005-0000-0000-0000E0370000}"/>
    <cellStyle name="40% - Énfasis1" xfId="7151" xr:uid="{00000000-0005-0000-0000-0000E1370000}"/>
    <cellStyle name="40% - Énfasis2" xfId="7152" xr:uid="{00000000-0005-0000-0000-0000E2370000}"/>
    <cellStyle name="40% - Énfasis3" xfId="7153" xr:uid="{00000000-0005-0000-0000-0000E3370000}"/>
    <cellStyle name="40% - Énfasis4" xfId="7154" xr:uid="{00000000-0005-0000-0000-0000E4370000}"/>
    <cellStyle name="40% - Énfasis5" xfId="7155" xr:uid="{00000000-0005-0000-0000-0000E5370000}"/>
    <cellStyle name="40% - Énfasis6" xfId="7156" xr:uid="{00000000-0005-0000-0000-0000E6370000}"/>
    <cellStyle name="40% - 강조색1" xfId="7157" xr:uid="{00000000-0005-0000-0000-0000E7370000}"/>
    <cellStyle name="40% - 강조색1 2" xfId="7158" xr:uid="{00000000-0005-0000-0000-0000E8370000}"/>
    <cellStyle name="40% - 강조색2" xfId="7159" xr:uid="{00000000-0005-0000-0000-0000E9370000}"/>
    <cellStyle name="40% - 강조색2 2" xfId="7160" xr:uid="{00000000-0005-0000-0000-0000EA370000}"/>
    <cellStyle name="40% - 강조색3" xfId="7161" xr:uid="{00000000-0005-0000-0000-0000EB370000}"/>
    <cellStyle name="40% - 강조색3 2" xfId="7162" xr:uid="{00000000-0005-0000-0000-0000EC370000}"/>
    <cellStyle name="40% - 강조색4" xfId="7163" xr:uid="{00000000-0005-0000-0000-0000ED370000}"/>
    <cellStyle name="40% - 강조색4 2" xfId="7164" xr:uid="{00000000-0005-0000-0000-0000EE370000}"/>
    <cellStyle name="40% - 강조색5" xfId="7165" xr:uid="{00000000-0005-0000-0000-0000EF370000}"/>
    <cellStyle name="40% - 강조색5 2" xfId="7166" xr:uid="{00000000-0005-0000-0000-0000F0370000}"/>
    <cellStyle name="40% - 강조색6" xfId="7167" xr:uid="{00000000-0005-0000-0000-0000F1370000}"/>
    <cellStyle name="40% - 강조색6 2" xfId="7168" xr:uid="{00000000-0005-0000-0000-0000F2370000}"/>
    <cellStyle name="60% - Accent1 10" xfId="7169" xr:uid="{00000000-0005-0000-0000-0000F3370000}"/>
    <cellStyle name="60% - Accent1 11" xfId="7170" xr:uid="{00000000-0005-0000-0000-0000F4370000}"/>
    <cellStyle name="60% - Accent1 12" xfId="7171" xr:uid="{00000000-0005-0000-0000-0000F5370000}"/>
    <cellStyle name="60% - Accent1 13" xfId="7172" xr:uid="{00000000-0005-0000-0000-0000F6370000}"/>
    <cellStyle name="60% - Accent1 14" xfId="7173" xr:uid="{00000000-0005-0000-0000-0000F7370000}"/>
    <cellStyle name="60% - Accent1 15" xfId="7174" xr:uid="{00000000-0005-0000-0000-0000F8370000}"/>
    <cellStyle name="60% - Accent1 16" xfId="7175" xr:uid="{00000000-0005-0000-0000-0000F9370000}"/>
    <cellStyle name="60% - Accent1 17" xfId="7176" xr:uid="{00000000-0005-0000-0000-0000FA370000}"/>
    <cellStyle name="60% - Accent1 18" xfId="7177" xr:uid="{00000000-0005-0000-0000-0000FB370000}"/>
    <cellStyle name="60% - Accent1 19" xfId="7178" xr:uid="{00000000-0005-0000-0000-0000FC370000}"/>
    <cellStyle name="60% - Accent1 2" xfId="7179" xr:uid="{00000000-0005-0000-0000-0000FD370000}"/>
    <cellStyle name="60% - Accent1 2 2" xfId="7180" xr:uid="{00000000-0005-0000-0000-0000FE370000}"/>
    <cellStyle name="60% - Accent1 2 2 2" xfId="7181" xr:uid="{00000000-0005-0000-0000-0000FF370000}"/>
    <cellStyle name="60% - Accent1 2 3" xfId="7182" xr:uid="{00000000-0005-0000-0000-000000380000}"/>
    <cellStyle name="60% - Accent1 2 3 2" xfId="7183" xr:uid="{00000000-0005-0000-0000-000001380000}"/>
    <cellStyle name="60% - Accent1 2 4" xfId="7184" xr:uid="{00000000-0005-0000-0000-000002380000}"/>
    <cellStyle name="60% - Accent1 2 4 2" xfId="7185" xr:uid="{00000000-0005-0000-0000-000003380000}"/>
    <cellStyle name="60% - Accent1 2 4 3" xfId="7186" xr:uid="{00000000-0005-0000-0000-000004380000}"/>
    <cellStyle name="60% - Accent1 2 5" xfId="7187" xr:uid="{00000000-0005-0000-0000-000005380000}"/>
    <cellStyle name="60% - Accent1 2 6" xfId="7188" xr:uid="{00000000-0005-0000-0000-000006380000}"/>
    <cellStyle name="60% - Accent1 2 7" xfId="7189" xr:uid="{00000000-0005-0000-0000-000007380000}"/>
    <cellStyle name="60% - Accent1 2 8" xfId="7190" xr:uid="{00000000-0005-0000-0000-000008380000}"/>
    <cellStyle name="60% - Accent1 3" xfId="7191" xr:uid="{00000000-0005-0000-0000-000009380000}"/>
    <cellStyle name="60% - Accent1 3 2" xfId="7192" xr:uid="{00000000-0005-0000-0000-00000A380000}"/>
    <cellStyle name="60% - Accent1 3 2 2" xfId="7193" xr:uid="{00000000-0005-0000-0000-00000B380000}"/>
    <cellStyle name="60% - Accent1 3 2 3" xfId="7194" xr:uid="{00000000-0005-0000-0000-00000C380000}"/>
    <cellStyle name="60% - Accent1 3 3" xfId="7195" xr:uid="{00000000-0005-0000-0000-00000D380000}"/>
    <cellStyle name="60% - Accent1 3 4" xfId="7196" xr:uid="{00000000-0005-0000-0000-00000E380000}"/>
    <cellStyle name="60% - Accent1 3 5" xfId="7197" xr:uid="{00000000-0005-0000-0000-00000F380000}"/>
    <cellStyle name="60% - Accent1 4" xfId="7198" xr:uid="{00000000-0005-0000-0000-000010380000}"/>
    <cellStyle name="60% - Accent1 4 2" xfId="7199" xr:uid="{00000000-0005-0000-0000-000011380000}"/>
    <cellStyle name="60% - Accent1 4 2 2" xfId="7200" xr:uid="{00000000-0005-0000-0000-000012380000}"/>
    <cellStyle name="60% - Accent1 4 2 3" xfId="7201" xr:uid="{00000000-0005-0000-0000-000013380000}"/>
    <cellStyle name="60% - Accent1 4 3" xfId="7202" xr:uid="{00000000-0005-0000-0000-000014380000}"/>
    <cellStyle name="60% - Accent1 4 4" xfId="7203" xr:uid="{00000000-0005-0000-0000-000015380000}"/>
    <cellStyle name="60% - Accent1 4 5" xfId="7204" xr:uid="{00000000-0005-0000-0000-000016380000}"/>
    <cellStyle name="60% - Accent1 5" xfId="7205" xr:uid="{00000000-0005-0000-0000-000017380000}"/>
    <cellStyle name="60% - Accent1 5 2" xfId="7206" xr:uid="{00000000-0005-0000-0000-000018380000}"/>
    <cellStyle name="60% - Accent1 5 2 2" xfId="7207" xr:uid="{00000000-0005-0000-0000-000019380000}"/>
    <cellStyle name="60% - Accent1 5 2 3" xfId="7208" xr:uid="{00000000-0005-0000-0000-00001A380000}"/>
    <cellStyle name="60% - Accent1 5 3" xfId="7209" xr:uid="{00000000-0005-0000-0000-00001B380000}"/>
    <cellStyle name="60% - Accent1 5 4" xfId="7210" xr:uid="{00000000-0005-0000-0000-00001C380000}"/>
    <cellStyle name="60% - Accent1 5 5" xfId="7211" xr:uid="{00000000-0005-0000-0000-00001D380000}"/>
    <cellStyle name="60% - Accent1 6" xfId="7212" xr:uid="{00000000-0005-0000-0000-00001E380000}"/>
    <cellStyle name="60% - Accent1 6 2" xfId="7213" xr:uid="{00000000-0005-0000-0000-00001F380000}"/>
    <cellStyle name="60% - Accent1 6 3" xfId="7214" xr:uid="{00000000-0005-0000-0000-000020380000}"/>
    <cellStyle name="60% - Accent1 7" xfId="7215" xr:uid="{00000000-0005-0000-0000-000021380000}"/>
    <cellStyle name="60% - Accent1 8" xfId="7216" xr:uid="{00000000-0005-0000-0000-000022380000}"/>
    <cellStyle name="60% - Accent1 9" xfId="7217" xr:uid="{00000000-0005-0000-0000-000023380000}"/>
    <cellStyle name="60% - Accent2 10" xfId="7218" xr:uid="{00000000-0005-0000-0000-000024380000}"/>
    <cellStyle name="60% - Accent2 11" xfId="7219" xr:uid="{00000000-0005-0000-0000-000025380000}"/>
    <cellStyle name="60% - Accent2 12" xfId="7220" xr:uid="{00000000-0005-0000-0000-000026380000}"/>
    <cellStyle name="60% - Accent2 13" xfId="7221" xr:uid="{00000000-0005-0000-0000-000027380000}"/>
    <cellStyle name="60% - Accent2 14" xfId="7222" xr:uid="{00000000-0005-0000-0000-000028380000}"/>
    <cellStyle name="60% - Accent2 15" xfId="7223" xr:uid="{00000000-0005-0000-0000-000029380000}"/>
    <cellStyle name="60% - Accent2 16" xfId="7224" xr:uid="{00000000-0005-0000-0000-00002A380000}"/>
    <cellStyle name="60% - Accent2 17" xfId="7225" xr:uid="{00000000-0005-0000-0000-00002B380000}"/>
    <cellStyle name="60% - Accent2 18" xfId="7226" xr:uid="{00000000-0005-0000-0000-00002C380000}"/>
    <cellStyle name="60% - Accent2 19" xfId="7227" xr:uid="{00000000-0005-0000-0000-00002D380000}"/>
    <cellStyle name="60% - Accent2 2" xfId="7228" xr:uid="{00000000-0005-0000-0000-00002E380000}"/>
    <cellStyle name="60% - Accent2 2 2" xfId="7229" xr:uid="{00000000-0005-0000-0000-00002F380000}"/>
    <cellStyle name="60% - Accent2 2 2 2" xfId="7230" xr:uid="{00000000-0005-0000-0000-000030380000}"/>
    <cellStyle name="60% - Accent2 2 3" xfId="7231" xr:uid="{00000000-0005-0000-0000-000031380000}"/>
    <cellStyle name="60% - Accent2 2 3 2" xfId="7232" xr:uid="{00000000-0005-0000-0000-000032380000}"/>
    <cellStyle name="60% - Accent2 2 4" xfId="7233" xr:uid="{00000000-0005-0000-0000-000033380000}"/>
    <cellStyle name="60% - Accent2 2 4 2" xfId="7234" xr:uid="{00000000-0005-0000-0000-000034380000}"/>
    <cellStyle name="60% - Accent2 2 4 3" xfId="7235" xr:uid="{00000000-0005-0000-0000-000035380000}"/>
    <cellStyle name="60% - Accent2 2 5" xfId="7236" xr:uid="{00000000-0005-0000-0000-000036380000}"/>
    <cellStyle name="60% - Accent2 2 6" xfId="7237" xr:uid="{00000000-0005-0000-0000-000037380000}"/>
    <cellStyle name="60% - Accent2 2 7" xfId="7238" xr:uid="{00000000-0005-0000-0000-000038380000}"/>
    <cellStyle name="60% - Accent2 2 8" xfId="7239" xr:uid="{00000000-0005-0000-0000-000039380000}"/>
    <cellStyle name="60% - Accent2 3" xfId="7240" xr:uid="{00000000-0005-0000-0000-00003A380000}"/>
    <cellStyle name="60% - Accent2 3 2" xfId="7241" xr:uid="{00000000-0005-0000-0000-00003B380000}"/>
    <cellStyle name="60% - Accent2 3 2 2" xfId="7242" xr:uid="{00000000-0005-0000-0000-00003C380000}"/>
    <cellStyle name="60% - Accent2 3 2 3" xfId="7243" xr:uid="{00000000-0005-0000-0000-00003D380000}"/>
    <cellStyle name="60% - Accent2 3 3" xfId="7244" xr:uid="{00000000-0005-0000-0000-00003E380000}"/>
    <cellStyle name="60% - Accent2 3 4" xfId="7245" xr:uid="{00000000-0005-0000-0000-00003F380000}"/>
    <cellStyle name="60% - Accent2 3 5" xfId="7246" xr:uid="{00000000-0005-0000-0000-000040380000}"/>
    <cellStyle name="60% - Accent2 4" xfId="7247" xr:uid="{00000000-0005-0000-0000-000041380000}"/>
    <cellStyle name="60% - Accent2 4 2" xfId="7248" xr:uid="{00000000-0005-0000-0000-000042380000}"/>
    <cellStyle name="60% - Accent2 4 2 2" xfId="7249" xr:uid="{00000000-0005-0000-0000-000043380000}"/>
    <cellStyle name="60% - Accent2 4 2 3" xfId="7250" xr:uid="{00000000-0005-0000-0000-000044380000}"/>
    <cellStyle name="60% - Accent2 4 3" xfId="7251" xr:uid="{00000000-0005-0000-0000-000045380000}"/>
    <cellStyle name="60% - Accent2 4 4" xfId="7252" xr:uid="{00000000-0005-0000-0000-000046380000}"/>
    <cellStyle name="60% - Accent2 4 5" xfId="7253" xr:uid="{00000000-0005-0000-0000-000047380000}"/>
    <cellStyle name="60% - Accent2 5" xfId="7254" xr:uid="{00000000-0005-0000-0000-000048380000}"/>
    <cellStyle name="60% - Accent2 5 2" xfId="7255" xr:uid="{00000000-0005-0000-0000-000049380000}"/>
    <cellStyle name="60% - Accent2 5 2 2" xfId="7256" xr:uid="{00000000-0005-0000-0000-00004A380000}"/>
    <cellStyle name="60% - Accent2 5 2 3" xfId="7257" xr:uid="{00000000-0005-0000-0000-00004B380000}"/>
    <cellStyle name="60% - Accent2 5 3" xfId="7258" xr:uid="{00000000-0005-0000-0000-00004C380000}"/>
    <cellStyle name="60% - Accent2 5 4" xfId="7259" xr:uid="{00000000-0005-0000-0000-00004D380000}"/>
    <cellStyle name="60% - Accent2 5 5" xfId="7260" xr:uid="{00000000-0005-0000-0000-00004E380000}"/>
    <cellStyle name="60% - Accent2 6" xfId="7261" xr:uid="{00000000-0005-0000-0000-00004F380000}"/>
    <cellStyle name="60% - Accent2 6 2" xfId="7262" xr:uid="{00000000-0005-0000-0000-000050380000}"/>
    <cellStyle name="60% - Accent2 6 3" xfId="7263" xr:uid="{00000000-0005-0000-0000-000051380000}"/>
    <cellStyle name="60% - Accent2 7" xfId="7264" xr:uid="{00000000-0005-0000-0000-000052380000}"/>
    <cellStyle name="60% - Accent2 8" xfId="7265" xr:uid="{00000000-0005-0000-0000-000053380000}"/>
    <cellStyle name="60% - Accent2 9" xfId="7266" xr:uid="{00000000-0005-0000-0000-000054380000}"/>
    <cellStyle name="60% - Accent3 10" xfId="7267" xr:uid="{00000000-0005-0000-0000-000055380000}"/>
    <cellStyle name="60% - Accent3 11" xfId="7268" xr:uid="{00000000-0005-0000-0000-000056380000}"/>
    <cellStyle name="60% - Accent3 12" xfId="7269" xr:uid="{00000000-0005-0000-0000-000057380000}"/>
    <cellStyle name="60% - Accent3 13" xfId="7270" xr:uid="{00000000-0005-0000-0000-000058380000}"/>
    <cellStyle name="60% - Accent3 14" xfId="7271" xr:uid="{00000000-0005-0000-0000-000059380000}"/>
    <cellStyle name="60% - Accent3 15" xfId="7272" xr:uid="{00000000-0005-0000-0000-00005A380000}"/>
    <cellStyle name="60% - Accent3 16" xfId="7273" xr:uid="{00000000-0005-0000-0000-00005B380000}"/>
    <cellStyle name="60% - Accent3 17" xfId="7274" xr:uid="{00000000-0005-0000-0000-00005C380000}"/>
    <cellStyle name="60% - Accent3 18" xfId="7275" xr:uid="{00000000-0005-0000-0000-00005D380000}"/>
    <cellStyle name="60% - Accent3 19" xfId="7276" xr:uid="{00000000-0005-0000-0000-00005E380000}"/>
    <cellStyle name="60% - Accent3 2" xfId="7277" xr:uid="{00000000-0005-0000-0000-00005F380000}"/>
    <cellStyle name="60% - Accent3 2 2" xfId="7278" xr:uid="{00000000-0005-0000-0000-000060380000}"/>
    <cellStyle name="60% - Accent3 2 2 2" xfId="7279" xr:uid="{00000000-0005-0000-0000-000061380000}"/>
    <cellStyle name="60% - Accent3 2 3" xfId="7280" xr:uid="{00000000-0005-0000-0000-000062380000}"/>
    <cellStyle name="60% - Accent3 2 3 2" xfId="7281" xr:uid="{00000000-0005-0000-0000-000063380000}"/>
    <cellStyle name="60% - Accent3 2 4" xfId="7282" xr:uid="{00000000-0005-0000-0000-000064380000}"/>
    <cellStyle name="60% - Accent3 2 4 2" xfId="7283" xr:uid="{00000000-0005-0000-0000-000065380000}"/>
    <cellStyle name="60% - Accent3 2 4 3" xfId="7284" xr:uid="{00000000-0005-0000-0000-000066380000}"/>
    <cellStyle name="60% - Accent3 2 5" xfId="7285" xr:uid="{00000000-0005-0000-0000-000067380000}"/>
    <cellStyle name="60% - Accent3 2 6" xfId="7286" xr:uid="{00000000-0005-0000-0000-000068380000}"/>
    <cellStyle name="60% - Accent3 2 7" xfId="7287" xr:uid="{00000000-0005-0000-0000-000069380000}"/>
    <cellStyle name="60% - Accent3 2 8" xfId="7288" xr:uid="{00000000-0005-0000-0000-00006A380000}"/>
    <cellStyle name="60% - Accent3 3" xfId="7289" xr:uid="{00000000-0005-0000-0000-00006B380000}"/>
    <cellStyle name="60% - Accent3 3 2" xfId="7290" xr:uid="{00000000-0005-0000-0000-00006C380000}"/>
    <cellStyle name="60% - Accent3 3 2 2" xfId="7291" xr:uid="{00000000-0005-0000-0000-00006D380000}"/>
    <cellStyle name="60% - Accent3 3 2 3" xfId="7292" xr:uid="{00000000-0005-0000-0000-00006E380000}"/>
    <cellStyle name="60% - Accent3 3 3" xfId="7293" xr:uid="{00000000-0005-0000-0000-00006F380000}"/>
    <cellStyle name="60% - Accent3 3 4" xfId="7294" xr:uid="{00000000-0005-0000-0000-000070380000}"/>
    <cellStyle name="60% - Accent3 3 5" xfId="7295" xr:uid="{00000000-0005-0000-0000-000071380000}"/>
    <cellStyle name="60% - Accent3 4" xfId="7296" xr:uid="{00000000-0005-0000-0000-000072380000}"/>
    <cellStyle name="60% - Accent3 4 2" xfId="7297" xr:uid="{00000000-0005-0000-0000-000073380000}"/>
    <cellStyle name="60% - Accent3 4 2 2" xfId="7298" xr:uid="{00000000-0005-0000-0000-000074380000}"/>
    <cellStyle name="60% - Accent3 4 2 3" xfId="7299" xr:uid="{00000000-0005-0000-0000-000075380000}"/>
    <cellStyle name="60% - Accent3 4 3" xfId="7300" xr:uid="{00000000-0005-0000-0000-000076380000}"/>
    <cellStyle name="60% - Accent3 4 4" xfId="7301" xr:uid="{00000000-0005-0000-0000-000077380000}"/>
    <cellStyle name="60% - Accent3 4 5" xfId="7302" xr:uid="{00000000-0005-0000-0000-000078380000}"/>
    <cellStyle name="60% - Accent3 5" xfId="7303" xr:uid="{00000000-0005-0000-0000-000079380000}"/>
    <cellStyle name="60% - Accent3 5 2" xfId="7304" xr:uid="{00000000-0005-0000-0000-00007A380000}"/>
    <cellStyle name="60% - Accent3 5 2 2" xfId="7305" xr:uid="{00000000-0005-0000-0000-00007B380000}"/>
    <cellStyle name="60% - Accent3 5 2 3" xfId="7306" xr:uid="{00000000-0005-0000-0000-00007C380000}"/>
    <cellStyle name="60% - Accent3 5 3" xfId="7307" xr:uid="{00000000-0005-0000-0000-00007D380000}"/>
    <cellStyle name="60% - Accent3 5 4" xfId="7308" xr:uid="{00000000-0005-0000-0000-00007E380000}"/>
    <cellStyle name="60% - Accent3 5 5" xfId="7309" xr:uid="{00000000-0005-0000-0000-00007F380000}"/>
    <cellStyle name="60% - Accent3 6" xfId="7310" xr:uid="{00000000-0005-0000-0000-000080380000}"/>
    <cellStyle name="60% - Accent3 6 2" xfId="7311" xr:uid="{00000000-0005-0000-0000-000081380000}"/>
    <cellStyle name="60% - Accent3 6 3" xfId="7312" xr:uid="{00000000-0005-0000-0000-000082380000}"/>
    <cellStyle name="60% - Accent3 7" xfId="7313" xr:uid="{00000000-0005-0000-0000-000083380000}"/>
    <cellStyle name="60% - Accent3 8" xfId="7314" xr:uid="{00000000-0005-0000-0000-000084380000}"/>
    <cellStyle name="60% - Accent3 9" xfId="7315" xr:uid="{00000000-0005-0000-0000-000085380000}"/>
    <cellStyle name="60% - Accent4 10" xfId="7316" xr:uid="{00000000-0005-0000-0000-000086380000}"/>
    <cellStyle name="60% - Accent4 11" xfId="7317" xr:uid="{00000000-0005-0000-0000-000087380000}"/>
    <cellStyle name="60% - Accent4 12" xfId="7318" xr:uid="{00000000-0005-0000-0000-000088380000}"/>
    <cellStyle name="60% - Accent4 13" xfId="7319" xr:uid="{00000000-0005-0000-0000-000089380000}"/>
    <cellStyle name="60% - Accent4 14" xfId="7320" xr:uid="{00000000-0005-0000-0000-00008A380000}"/>
    <cellStyle name="60% - Accent4 15" xfId="7321" xr:uid="{00000000-0005-0000-0000-00008B380000}"/>
    <cellStyle name="60% - Accent4 16" xfId="7322" xr:uid="{00000000-0005-0000-0000-00008C380000}"/>
    <cellStyle name="60% - Accent4 17" xfId="7323" xr:uid="{00000000-0005-0000-0000-00008D380000}"/>
    <cellStyle name="60% - Accent4 18" xfId="7324" xr:uid="{00000000-0005-0000-0000-00008E380000}"/>
    <cellStyle name="60% - Accent4 19" xfId="7325" xr:uid="{00000000-0005-0000-0000-00008F380000}"/>
    <cellStyle name="60% - Accent4 2" xfId="7326" xr:uid="{00000000-0005-0000-0000-000090380000}"/>
    <cellStyle name="60% - Accent4 2 2" xfId="7327" xr:uid="{00000000-0005-0000-0000-000091380000}"/>
    <cellStyle name="60% - Accent4 2 2 2" xfId="7328" xr:uid="{00000000-0005-0000-0000-000092380000}"/>
    <cellStyle name="60% - Accent4 2 3" xfId="7329" xr:uid="{00000000-0005-0000-0000-000093380000}"/>
    <cellStyle name="60% - Accent4 2 3 2" xfId="7330" xr:uid="{00000000-0005-0000-0000-000094380000}"/>
    <cellStyle name="60% - Accent4 2 4" xfId="7331" xr:uid="{00000000-0005-0000-0000-000095380000}"/>
    <cellStyle name="60% - Accent4 2 4 2" xfId="7332" xr:uid="{00000000-0005-0000-0000-000096380000}"/>
    <cellStyle name="60% - Accent4 2 4 3" xfId="7333" xr:uid="{00000000-0005-0000-0000-000097380000}"/>
    <cellStyle name="60% - Accent4 2 5" xfId="7334" xr:uid="{00000000-0005-0000-0000-000098380000}"/>
    <cellStyle name="60% - Accent4 2 6" xfId="7335" xr:uid="{00000000-0005-0000-0000-000099380000}"/>
    <cellStyle name="60% - Accent4 2 7" xfId="7336" xr:uid="{00000000-0005-0000-0000-00009A380000}"/>
    <cellStyle name="60% - Accent4 2 8" xfId="7337" xr:uid="{00000000-0005-0000-0000-00009B380000}"/>
    <cellStyle name="60% - Accent4 3" xfId="7338" xr:uid="{00000000-0005-0000-0000-00009C380000}"/>
    <cellStyle name="60% - Accent4 3 2" xfId="7339" xr:uid="{00000000-0005-0000-0000-00009D380000}"/>
    <cellStyle name="60% - Accent4 3 2 2" xfId="7340" xr:uid="{00000000-0005-0000-0000-00009E380000}"/>
    <cellStyle name="60% - Accent4 3 2 3" xfId="7341" xr:uid="{00000000-0005-0000-0000-00009F380000}"/>
    <cellStyle name="60% - Accent4 3 3" xfId="7342" xr:uid="{00000000-0005-0000-0000-0000A0380000}"/>
    <cellStyle name="60% - Accent4 3 4" xfId="7343" xr:uid="{00000000-0005-0000-0000-0000A1380000}"/>
    <cellStyle name="60% - Accent4 3 5" xfId="7344" xr:uid="{00000000-0005-0000-0000-0000A2380000}"/>
    <cellStyle name="60% - Accent4 4" xfId="7345" xr:uid="{00000000-0005-0000-0000-0000A3380000}"/>
    <cellStyle name="60% - Accent4 4 2" xfId="7346" xr:uid="{00000000-0005-0000-0000-0000A4380000}"/>
    <cellStyle name="60% - Accent4 4 2 2" xfId="7347" xr:uid="{00000000-0005-0000-0000-0000A5380000}"/>
    <cellStyle name="60% - Accent4 4 2 3" xfId="7348" xr:uid="{00000000-0005-0000-0000-0000A6380000}"/>
    <cellStyle name="60% - Accent4 4 3" xfId="7349" xr:uid="{00000000-0005-0000-0000-0000A7380000}"/>
    <cellStyle name="60% - Accent4 4 4" xfId="7350" xr:uid="{00000000-0005-0000-0000-0000A8380000}"/>
    <cellStyle name="60% - Accent4 4 5" xfId="7351" xr:uid="{00000000-0005-0000-0000-0000A9380000}"/>
    <cellStyle name="60% - Accent4 5" xfId="7352" xr:uid="{00000000-0005-0000-0000-0000AA380000}"/>
    <cellStyle name="60% - Accent4 5 2" xfId="7353" xr:uid="{00000000-0005-0000-0000-0000AB380000}"/>
    <cellStyle name="60% - Accent4 5 2 2" xfId="7354" xr:uid="{00000000-0005-0000-0000-0000AC380000}"/>
    <cellStyle name="60% - Accent4 5 2 3" xfId="7355" xr:uid="{00000000-0005-0000-0000-0000AD380000}"/>
    <cellStyle name="60% - Accent4 5 3" xfId="7356" xr:uid="{00000000-0005-0000-0000-0000AE380000}"/>
    <cellStyle name="60% - Accent4 5 4" xfId="7357" xr:uid="{00000000-0005-0000-0000-0000AF380000}"/>
    <cellStyle name="60% - Accent4 5 5" xfId="7358" xr:uid="{00000000-0005-0000-0000-0000B0380000}"/>
    <cellStyle name="60% - Accent4 6" xfId="7359" xr:uid="{00000000-0005-0000-0000-0000B1380000}"/>
    <cellStyle name="60% - Accent4 6 2" xfId="7360" xr:uid="{00000000-0005-0000-0000-0000B2380000}"/>
    <cellStyle name="60% - Accent4 6 3" xfId="7361" xr:uid="{00000000-0005-0000-0000-0000B3380000}"/>
    <cellStyle name="60% - Accent4 7" xfId="7362" xr:uid="{00000000-0005-0000-0000-0000B4380000}"/>
    <cellStyle name="60% - Accent4 8" xfId="7363" xr:uid="{00000000-0005-0000-0000-0000B5380000}"/>
    <cellStyle name="60% - Accent4 9" xfId="7364" xr:uid="{00000000-0005-0000-0000-0000B6380000}"/>
    <cellStyle name="60% - Accent5 10" xfId="7365" xr:uid="{00000000-0005-0000-0000-0000B7380000}"/>
    <cellStyle name="60% - Accent5 11" xfId="7366" xr:uid="{00000000-0005-0000-0000-0000B8380000}"/>
    <cellStyle name="60% - Accent5 12" xfId="7367" xr:uid="{00000000-0005-0000-0000-0000B9380000}"/>
    <cellStyle name="60% - Accent5 13" xfId="7368" xr:uid="{00000000-0005-0000-0000-0000BA380000}"/>
    <cellStyle name="60% - Accent5 14" xfId="7369" xr:uid="{00000000-0005-0000-0000-0000BB380000}"/>
    <cellStyle name="60% - Accent5 15" xfId="7370" xr:uid="{00000000-0005-0000-0000-0000BC380000}"/>
    <cellStyle name="60% - Accent5 16" xfId="7371" xr:uid="{00000000-0005-0000-0000-0000BD380000}"/>
    <cellStyle name="60% - Accent5 17" xfId="7372" xr:uid="{00000000-0005-0000-0000-0000BE380000}"/>
    <cellStyle name="60% - Accent5 18" xfId="7373" xr:uid="{00000000-0005-0000-0000-0000BF380000}"/>
    <cellStyle name="60% - Accent5 19" xfId="7374" xr:uid="{00000000-0005-0000-0000-0000C0380000}"/>
    <cellStyle name="60% - Accent5 2" xfId="7375" xr:uid="{00000000-0005-0000-0000-0000C1380000}"/>
    <cellStyle name="60% - Accent5 2 2" xfId="7376" xr:uid="{00000000-0005-0000-0000-0000C2380000}"/>
    <cellStyle name="60% - Accent5 2 2 2" xfId="7377" xr:uid="{00000000-0005-0000-0000-0000C3380000}"/>
    <cellStyle name="60% - Accent5 2 3" xfId="7378" xr:uid="{00000000-0005-0000-0000-0000C4380000}"/>
    <cellStyle name="60% - Accent5 2 3 2" xfId="7379" xr:uid="{00000000-0005-0000-0000-0000C5380000}"/>
    <cellStyle name="60% - Accent5 2 4" xfId="7380" xr:uid="{00000000-0005-0000-0000-0000C6380000}"/>
    <cellStyle name="60% - Accent5 2 4 2" xfId="7381" xr:uid="{00000000-0005-0000-0000-0000C7380000}"/>
    <cellStyle name="60% - Accent5 2 4 3" xfId="7382" xr:uid="{00000000-0005-0000-0000-0000C8380000}"/>
    <cellStyle name="60% - Accent5 2 5" xfId="7383" xr:uid="{00000000-0005-0000-0000-0000C9380000}"/>
    <cellStyle name="60% - Accent5 2 6" xfId="7384" xr:uid="{00000000-0005-0000-0000-0000CA380000}"/>
    <cellStyle name="60% - Accent5 2 7" xfId="7385" xr:uid="{00000000-0005-0000-0000-0000CB380000}"/>
    <cellStyle name="60% - Accent5 2 8" xfId="7386" xr:uid="{00000000-0005-0000-0000-0000CC380000}"/>
    <cellStyle name="60% - Accent5 3" xfId="7387" xr:uid="{00000000-0005-0000-0000-0000CD380000}"/>
    <cellStyle name="60% - Accent5 3 2" xfId="7388" xr:uid="{00000000-0005-0000-0000-0000CE380000}"/>
    <cellStyle name="60% - Accent5 3 2 2" xfId="7389" xr:uid="{00000000-0005-0000-0000-0000CF380000}"/>
    <cellStyle name="60% - Accent5 3 2 3" xfId="7390" xr:uid="{00000000-0005-0000-0000-0000D0380000}"/>
    <cellStyle name="60% - Accent5 3 3" xfId="7391" xr:uid="{00000000-0005-0000-0000-0000D1380000}"/>
    <cellStyle name="60% - Accent5 3 4" xfId="7392" xr:uid="{00000000-0005-0000-0000-0000D2380000}"/>
    <cellStyle name="60% - Accent5 3 5" xfId="7393" xr:uid="{00000000-0005-0000-0000-0000D3380000}"/>
    <cellStyle name="60% - Accent5 4" xfId="7394" xr:uid="{00000000-0005-0000-0000-0000D4380000}"/>
    <cellStyle name="60% - Accent5 4 2" xfId="7395" xr:uid="{00000000-0005-0000-0000-0000D5380000}"/>
    <cellStyle name="60% - Accent5 4 2 2" xfId="7396" xr:uid="{00000000-0005-0000-0000-0000D6380000}"/>
    <cellStyle name="60% - Accent5 4 2 3" xfId="7397" xr:uid="{00000000-0005-0000-0000-0000D7380000}"/>
    <cellStyle name="60% - Accent5 4 3" xfId="7398" xr:uid="{00000000-0005-0000-0000-0000D8380000}"/>
    <cellStyle name="60% - Accent5 4 4" xfId="7399" xr:uid="{00000000-0005-0000-0000-0000D9380000}"/>
    <cellStyle name="60% - Accent5 4 5" xfId="7400" xr:uid="{00000000-0005-0000-0000-0000DA380000}"/>
    <cellStyle name="60% - Accent5 5" xfId="7401" xr:uid="{00000000-0005-0000-0000-0000DB380000}"/>
    <cellStyle name="60% - Accent5 5 2" xfId="7402" xr:uid="{00000000-0005-0000-0000-0000DC380000}"/>
    <cellStyle name="60% - Accent5 5 2 2" xfId="7403" xr:uid="{00000000-0005-0000-0000-0000DD380000}"/>
    <cellStyle name="60% - Accent5 5 2 3" xfId="7404" xr:uid="{00000000-0005-0000-0000-0000DE380000}"/>
    <cellStyle name="60% - Accent5 5 3" xfId="7405" xr:uid="{00000000-0005-0000-0000-0000DF380000}"/>
    <cellStyle name="60% - Accent5 5 4" xfId="7406" xr:uid="{00000000-0005-0000-0000-0000E0380000}"/>
    <cellStyle name="60% - Accent5 5 5" xfId="7407" xr:uid="{00000000-0005-0000-0000-0000E1380000}"/>
    <cellStyle name="60% - Accent5 6" xfId="7408" xr:uid="{00000000-0005-0000-0000-0000E2380000}"/>
    <cellStyle name="60% - Accent5 6 2" xfId="7409" xr:uid="{00000000-0005-0000-0000-0000E3380000}"/>
    <cellStyle name="60% - Accent5 6 3" xfId="7410" xr:uid="{00000000-0005-0000-0000-0000E4380000}"/>
    <cellStyle name="60% - Accent5 7" xfId="7411" xr:uid="{00000000-0005-0000-0000-0000E5380000}"/>
    <cellStyle name="60% - Accent5 8" xfId="7412" xr:uid="{00000000-0005-0000-0000-0000E6380000}"/>
    <cellStyle name="60% - Accent5 9" xfId="7413" xr:uid="{00000000-0005-0000-0000-0000E7380000}"/>
    <cellStyle name="60% - Accent6 10" xfId="7414" xr:uid="{00000000-0005-0000-0000-0000E8380000}"/>
    <cellStyle name="60% - Accent6 11" xfId="7415" xr:uid="{00000000-0005-0000-0000-0000E9380000}"/>
    <cellStyle name="60% - Accent6 12" xfId="7416" xr:uid="{00000000-0005-0000-0000-0000EA380000}"/>
    <cellStyle name="60% - Accent6 13" xfId="7417" xr:uid="{00000000-0005-0000-0000-0000EB380000}"/>
    <cellStyle name="60% - Accent6 14" xfId="7418" xr:uid="{00000000-0005-0000-0000-0000EC380000}"/>
    <cellStyle name="60% - Accent6 15" xfId="7419" xr:uid="{00000000-0005-0000-0000-0000ED380000}"/>
    <cellStyle name="60% - Accent6 16" xfId="7420" xr:uid="{00000000-0005-0000-0000-0000EE380000}"/>
    <cellStyle name="60% - Accent6 17" xfId="7421" xr:uid="{00000000-0005-0000-0000-0000EF380000}"/>
    <cellStyle name="60% - Accent6 18" xfId="7422" xr:uid="{00000000-0005-0000-0000-0000F0380000}"/>
    <cellStyle name="60% - Accent6 19" xfId="7423" xr:uid="{00000000-0005-0000-0000-0000F1380000}"/>
    <cellStyle name="60% - Accent6 2" xfId="7424" xr:uid="{00000000-0005-0000-0000-0000F2380000}"/>
    <cellStyle name="60% - Accent6 2 10" xfId="7425" xr:uid="{00000000-0005-0000-0000-0000F3380000}"/>
    <cellStyle name="60% - Accent6 2 10 2" xfId="7426" xr:uid="{00000000-0005-0000-0000-0000F4380000}"/>
    <cellStyle name="60% - Accent6 2 11" xfId="7427" xr:uid="{00000000-0005-0000-0000-0000F5380000}"/>
    <cellStyle name="60% - Accent6 2 11 2" xfId="7428" xr:uid="{00000000-0005-0000-0000-0000F6380000}"/>
    <cellStyle name="60% - Accent6 2 12" xfId="7429" xr:uid="{00000000-0005-0000-0000-0000F7380000}"/>
    <cellStyle name="60% - Accent6 2 12 10" xfId="7430" xr:uid="{00000000-0005-0000-0000-0000F8380000}"/>
    <cellStyle name="60% - Accent6 2 12 10 2" xfId="7431" xr:uid="{00000000-0005-0000-0000-0000F9380000}"/>
    <cellStyle name="60% - Accent6 2 12 11" xfId="7432" xr:uid="{00000000-0005-0000-0000-0000FA380000}"/>
    <cellStyle name="60% - Accent6 2 12 2" xfId="7433" xr:uid="{00000000-0005-0000-0000-0000FB380000}"/>
    <cellStyle name="60% - Accent6 2 12 2 2" xfId="7434" xr:uid="{00000000-0005-0000-0000-0000FC380000}"/>
    <cellStyle name="60% - Accent6 2 12 3" xfId="7435" xr:uid="{00000000-0005-0000-0000-0000FD380000}"/>
    <cellStyle name="60% - Accent6 2 12 3 2" xfId="7436" xr:uid="{00000000-0005-0000-0000-0000FE380000}"/>
    <cellStyle name="60% - Accent6 2 12 4" xfId="7437" xr:uid="{00000000-0005-0000-0000-0000FF380000}"/>
    <cellStyle name="60% - Accent6 2 12 4 2" xfId="7438" xr:uid="{00000000-0005-0000-0000-000000390000}"/>
    <cellStyle name="60% - Accent6 2 12 5" xfId="7439" xr:uid="{00000000-0005-0000-0000-000001390000}"/>
    <cellStyle name="60% - Accent6 2 12 5 2" xfId="7440" xr:uid="{00000000-0005-0000-0000-000002390000}"/>
    <cellStyle name="60% - Accent6 2 12 6" xfId="7441" xr:uid="{00000000-0005-0000-0000-000003390000}"/>
    <cellStyle name="60% - Accent6 2 12 6 2" xfId="7442" xr:uid="{00000000-0005-0000-0000-000004390000}"/>
    <cellStyle name="60% - Accent6 2 12 7" xfId="7443" xr:uid="{00000000-0005-0000-0000-000005390000}"/>
    <cellStyle name="60% - Accent6 2 12 7 2" xfId="7444" xr:uid="{00000000-0005-0000-0000-000006390000}"/>
    <cellStyle name="60% - Accent6 2 12 8" xfId="7445" xr:uid="{00000000-0005-0000-0000-000007390000}"/>
    <cellStyle name="60% - Accent6 2 12 8 2" xfId="7446" xr:uid="{00000000-0005-0000-0000-000008390000}"/>
    <cellStyle name="60% - Accent6 2 12 9" xfId="7447" xr:uid="{00000000-0005-0000-0000-000009390000}"/>
    <cellStyle name="60% - Accent6 2 12 9 2" xfId="7448" xr:uid="{00000000-0005-0000-0000-00000A390000}"/>
    <cellStyle name="60% - Accent6 2 13" xfId="7449" xr:uid="{00000000-0005-0000-0000-00000B390000}"/>
    <cellStyle name="60% - Accent6 2 13 2" xfId="7450" xr:uid="{00000000-0005-0000-0000-00000C390000}"/>
    <cellStyle name="60% - Accent6 2 14" xfId="7451" xr:uid="{00000000-0005-0000-0000-00000D390000}"/>
    <cellStyle name="60% - Accent6 2 14 2" xfId="7452" xr:uid="{00000000-0005-0000-0000-00000E390000}"/>
    <cellStyle name="60% - Accent6 2 15" xfId="7453" xr:uid="{00000000-0005-0000-0000-00000F390000}"/>
    <cellStyle name="60% - Accent6 2 15 2" xfId="7454" xr:uid="{00000000-0005-0000-0000-000010390000}"/>
    <cellStyle name="60% - Accent6 2 16" xfId="7455" xr:uid="{00000000-0005-0000-0000-000011390000}"/>
    <cellStyle name="60% - Accent6 2 16 2" xfId="7456" xr:uid="{00000000-0005-0000-0000-000012390000}"/>
    <cellStyle name="60% - Accent6 2 17" xfId="7457" xr:uid="{00000000-0005-0000-0000-000013390000}"/>
    <cellStyle name="60% - Accent6 2 17 2" xfId="7458" xr:uid="{00000000-0005-0000-0000-000014390000}"/>
    <cellStyle name="60% - Accent6 2 18" xfId="7459" xr:uid="{00000000-0005-0000-0000-000015390000}"/>
    <cellStyle name="60% - Accent6 2 18 2" xfId="7460" xr:uid="{00000000-0005-0000-0000-000016390000}"/>
    <cellStyle name="60% - Accent6 2 19" xfId="7461" xr:uid="{00000000-0005-0000-0000-000017390000}"/>
    <cellStyle name="60% - Accent6 2 19 2" xfId="7462" xr:uid="{00000000-0005-0000-0000-000018390000}"/>
    <cellStyle name="60% - Accent6 2 2" xfId="7463" xr:uid="{00000000-0005-0000-0000-000019390000}"/>
    <cellStyle name="60% - Accent6 2 2 10" xfId="7464" xr:uid="{00000000-0005-0000-0000-00001A390000}"/>
    <cellStyle name="60% - Accent6 2 2 10 2" xfId="7465" xr:uid="{00000000-0005-0000-0000-00001B390000}"/>
    <cellStyle name="60% - Accent6 2 2 11" xfId="7466" xr:uid="{00000000-0005-0000-0000-00001C390000}"/>
    <cellStyle name="60% - Accent6 2 2 11 2" xfId="7467" xr:uid="{00000000-0005-0000-0000-00001D390000}"/>
    <cellStyle name="60% - Accent6 2 2 12" xfId="7468" xr:uid="{00000000-0005-0000-0000-00001E390000}"/>
    <cellStyle name="60% - Accent6 2 2 12 10" xfId="7469" xr:uid="{00000000-0005-0000-0000-00001F390000}"/>
    <cellStyle name="60% - Accent6 2 2 12 10 2" xfId="7470" xr:uid="{00000000-0005-0000-0000-000020390000}"/>
    <cellStyle name="60% - Accent6 2 2 12 11" xfId="7471" xr:uid="{00000000-0005-0000-0000-000021390000}"/>
    <cellStyle name="60% - Accent6 2 2 12 2" xfId="7472" xr:uid="{00000000-0005-0000-0000-000022390000}"/>
    <cellStyle name="60% - Accent6 2 2 12 2 2" xfId="7473" xr:uid="{00000000-0005-0000-0000-000023390000}"/>
    <cellStyle name="60% - Accent6 2 2 12 3" xfId="7474" xr:uid="{00000000-0005-0000-0000-000024390000}"/>
    <cellStyle name="60% - Accent6 2 2 12 3 2" xfId="7475" xr:uid="{00000000-0005-0000-0000-000025390000}"/>
    <cellStyle name="60% - Accent6 2 2 12 4" xfId="7476" xr:uid="{00000000-0005-0000-0000-000026390000}"/>
    <cellStyle name="60% - Accent6 2 2 12 4 2" xfId="7477" xr:uid="{00000000-0005-0000-0000-000027390000}"/>
    <cellStyle name="60% - Accent6 2 2 12 5" xfId="7478" xr:uid="{00000000-0005-0000-0000-000028390000}"/>
    <cellStyle name="60% - Accent6 2 2 12 5 2" xfId="7479" xr:uid="{00000000-0005-0000-0000-000029390000}"/>
    <cellStyle name="60% - Accent6 2 2 12 6" xfId="7480" xr:uid="{00000000-0005-0000-0000-00002A390000}"/>
    <cellStyle name="60% - Accent6 2 2 12 6 2" xfId="7481" xr:uid="{00000000-0005-0000-0000-00002B390000}"/>
    <cellStyle name="60% - Accent6 2 2 12 7" xfId="7482" xr:uid="{00000000-0005-0000-0000-00002C390000}"/>
    <cellStyle name="60% - Accent6 2 2 12 7 2" xfId="7483" xr:uid="{00000000-0005-0000-0000-00002D390000}"/>
    <cellStyle name="60% - Accent6 2 2 12 8" xfId="7484" xr:uid="{00000000-0005-0000-0000-00002E390000}"/>
    <cellStyle name="60% - Accent6 2 2 12 8 2" xfId="7485" xr:uid="{00000000-0005-0000-0000-00002F390000}"/>
    <cellStyle name="60% - Accent6 2 2 12 9" xfId="7486" xr:uid="{00000000-0005-0000-0000-000030390000}"/>
    <cellStyle name="60% - Accent6 2 2 12 9 2" xfId="7487" xr:uid="{00000000-0005-0000-0000-000031390000}"/>
    <cellStyle name="60% - Accent6 2 2 13" xfId="7488" xr:uid="{00000000-0005-0000-0000-000032390000}"/>
    <cellStyle name="60% - Accent6 2 2 13 2" xfId="7489" xr:uid="{00000000-0005-0000-0000-000033390000}"/>
    <cellStyle name="60% - Accent6 2 2 14" xfId="7490" xr:uid="{00000000-0005-0000-0000-000034390000}"/>
    <cellStyle name="60% - Accent6 2 2 14 2" xfId="7491" xr:uid="{00000000-0005-0000-0000-000035390000}"/>
    <cellStyle name="60% - Accent6 2 2 15" xfId="7492" xr:uid="{00000000-0005-0000-0000-000036390000}"/>
    <cellStyle name="60% - Accent6 2 2 15 2" xfId="7493" xr:uid="{00000000-0005-0000-0000-000037390000}"/>
    <cellStyle name="60% - Accent6 2 2 16" xfId="7494" xr:uid="{00000000-0005-0000-0000-000038390000}"/>
    <cellStyle name="60% - Accent6 2 2 16 2" xfId="7495" xr:uid="{00000000-0005-0000-0000-000039390000}"/>
    <cellStyle name="60% - Accent6 2 2 17" xfId="7496" xr:uid="{00000000-0005-0000-0000-00003A390000}"/>
    <cellStyle name="60% - Accent6 2 2 17 2" xfId="7497" xr:uid="{00000000-0005-0000-0000-00003B390000}"/>
    <cellStyle name="60% - Accent6 2 2 18" xfId="7498" xr:uid="{00000000-0005-0000-0000-00003C390000}"/>
    <cellStyle name="60% - Accent6 2 2 18 2" xfId="7499" xr:uid="{00000000-0005-0000-0000-00003D390000}"/>
    <cellStyle name="60% - Accent6 2 2 19" xfId="7500" xr:uid="{00000000-0005-0000-0000-00003E390000}"/>
    <cellStyle name="60% - Accent6 2 2 19 2" xfId="7501" xr:uid="{00000000-0005-0000-0000-00003F390000}"/>
    <cellStyle name="60% - Accent6 2 2 2" xfId="7502" xr:uid="{00000000-0005-0000-0000-000040390000}"/>
    <cellStyle name="60% - Accent6 2 2 2 10" xfId="7503" xr:uid="{00000000-0005-0000-0000-000041390000}"/>
    <cellStyle name="60% - Accent6 2 2 2 10 2" xfId="7504" xr:uid="{00000000-0005-0000-0000-000042390000}"/>
    <cellStyle name="60% - Accent6 2 2 2 11" xfId="7505" xr:uid="{00000000-0005-0000-0000-000043390000}"/>
    <cellStyle name="60% - Accent6 2 2 2 11 2" xfId="7506" xr:uid="{00000000-0005-0000-0000-000044390000}"/>
    <cellStyle name="60% - Accent6 2 2 2 12" xfId="7507" xr:uid="{00000000-0005-0000-0000-000045390000}"/>
    <cellStyle name="60% - Accent6 2 2 2 13" xfId="7508" xr:uid="{00000000-0005-0000-0000-000046390000}"/>
    <cellStyle name="60% - Accent6 2 2 2 2" xfId="7509" xr:uid="{00000000-0005-0000-0000-000047390000}"/>
    <cellStyle name="60% - Accent6 2 2 2 2 10" xfId="7510" xr:uid="{00000000-0005-0000-0000-000048390000}"/>
    <cellStyle name="60% - Accent6 2 2 2 2 10 2" xfId="7511" xr:uid="{00000000-0005-0000-0000-000049390000}"/>
    <cellStyle name="60% - Accent6 2 2 2 2 11" xfId="7512" xr:uid="{00000000-0005-0000-0000-00004A390000}"/>
    <cellStyle name="60% - Accent6 2 2 2 2 12" xfId="7513" xr:uid="{00000000-0005-0000-0000-00004B390000}"/>
    <cellStyle name="60% - Accent6 2 2 2 2 2" xfId="7514" xr:uid="{00000000-0005-0000-0000-00004C390000}"/>
    <cellStyle name="60% - Accent6 2 2 2 2 2 2" xfId="7515" xr:uid="{00000000-0005-0000-0000-00004D390000}"/>
    <cellStyle name="60% - Accent6 2 2 2 2 2 3" xfId="7516" xr:uid="{00000000-0005-0000-0000-00004E390000}"/>
    <cellStyle name="60% - Accent6 2 2 2 2 2 4" xfId="7517" xr:uid="{00000000-0005-0000-0000-00004F390000}"/>
    <cellStyle name="60% - Accent6 2 2 2 2 3" xfId="7518" xr:uid="{00000000-0005-0000-0000-000050390000}"/>
    <cellStyle name="60% - Accent6 2 2 2 2 3 2" xfId="7519" xr:uid="{00000000-0005-0000-0000-000051390000}"/>
    <cellStyle name="60% - Accent6 2 2 2 2 4" xfId="7520" xr:uid="{00000000-0005-0000-0000-000052390000}"/>
    <cellStyle name="60% - Accent6 2 2 2 2 4 2" xfId="7521" xr:uid="{00000000-0005-0000-0000-000053390000}"/>
    <cellStyle name="60% - Accent6 2 2 2 2 5" xfId="7522" xr:uid="{00000000-0005-0000-0000-000054390000}"/>
    <cellStyle name="60% - Accent6 2 2 2 2 5 2" xfId="7523" xr:uid="{00000000-0005-0000-0000-000055390000}"/>
    <cellStyle name="60% - Accent6 2 2 2 2 6" xfId="7524" xr:uid="{00000000-0005-0000-0000-000056390000}"/>
    <cellStyle name="60% - Accent6 2 2 2 2 6 2" xfId="7525" xr:uid="{00000000-0005-0000-0000-000057390000}"/>
    <cellStyle name="60% - Accent6 2 2 2 2 7" xfId="7526" xr:uid="{00000000-0005-0000-0000-000058390000}"/>
    <cellStyle name="60% - Accent6 2 2 2 2 7 2" xfId="7527" xr:uid="{00000000-0005-0000-0000-000059390000}"/>
    <cellStyle name="60% - Accent6 2 2 2 2 8" xfId="7528" xr:uid="{00000000-0005-0000-0000-00005A390000}"/>
    <cellStyle name="60% - Accent6 2 2 2 2 8 2" xfId="7529" xr:uid="{00000000-0005-0000-0000-00005B390000}"/>
    <cellStyle name="60% - Accent6 2 2 2 2 9" xfId="7530" xr:uid="{00000000-0005-0000-0000-00005C390000}"/>
    <cellStyle name="60% - Accent6 2 2 2 2 9 2" xfId="7531" xr:uid="{00000000-0005-0000-0000-00005D390000}"/>
    <cellStyle name="60% - Accent6 2 2 2 3" xfId="7532" xr:uid="{00000000-0005-0000-0000-00005E390000}"/>
    <cellStyle name="60% - Accent6 2 2 2 3 2" xfId="7533" xr:uid="{00000000-0005-0000-0000-00005F390000}"/>
    <cellStyle name="60% - Accent6 2 2 2 4" xfId="7534" xr:uid="{00000000-0005-0000-0000-000060390000}"/>
    <cellStyle name="60% - Accent6 2 2 2 4 2" xfId="7535" xr:uid="{00000000-0005-0000-0000-000061390000}"/>
    <cellStyle name="60% - Accent6 2 2 2 5" xfId="7536" xr:uid="{00000000-0005-0000-0000-000062390000}"/>
    <cellStyle name="60% - Accent6 2 2 2 5 2" xfId="7537" xr:uid="{00000000-0005-0000-0000-000063390000}"/>
    <cellStyle name="60% - Accent6 2 2 2 6" xfId="7538" xr:uid="{00000000-0005-0000-0000-000064390000}"/>
    <cellStyle name="60% - Accent6 2 2 2 6 2" xfId="7539" xr:uid="{00000000-0005-0000-0000-000065390000}"/>
    <cellStyle name="60% - Accent6 2 2 2 7" xfId="7540" xr:uid="{00000000-0005-0000-0000-000066390000}"/>
    <cellStyle name="60% - Accent6 2 2 2 7 2" xfId="7541" xr:uid="{00000000-0005-0000-0000-000067390000}"/>
    <cellStyle name="60% - Accent6 2 2 2 8" xfId="7542" xr:uid="{00000000-0005-0000-0000-000068390000}"/>
    <cellStyle name="60% - Accent6 2 2 2 8 2" xfId="7543" xr:uid="{00000000-0005-0000-0000-000069390000}"/>
    <cellStyle name="60% - Accent6 2 2 2 9" xfId="7544" xr:uid="{00000000-0005-0000-0000-00006A390000}"/>
    <cellStyle name="60% - Accent6 2 2 2 9 2" xfId="7545" xr:uid="{00000000-0005-0000-0000-00006B390000}"/>
    <cellStyle name="60% - Accent6 2 2 20" xfId="7546" xr:uid="{00000000-0005-0000-0000-00006C390000}"/>
    <cellStyle name="60% - Accent6 2 2 20 2" xfId="7547" xr:uid="{00000000-0005-0000-0000-00006D390000}"/>
    <cellStyle name="60% - Accent6 2 2 21" xfId="7548" xr:uid="{00000000-0005-0000-0000-00006E390000}"/>
    <cellStyle name="60% - Accent6 2 2 22" xfId="7549" xr:uid="{00000000-0005-0000-0000-00006F390000}"/>
    <cellStyle name="60% - Accent6 2 2 3" xfId="7550" xr:uid="{00000000-0005-0000-0000-000070390000}"/>
    <cellStyle name="60% - Accent6 2 2 3 2" xfId="7551" xr:uid="{00000000-0005-0000-0000-000071390000}"/>
    <cellStyle name="60% - Accent6 2 2 4" xfId="7552" xr:uid="{00000000-0005-0000-0000-000072390000}"/>
    <cellStyle name="60% - Accent6 2 2 4 2" xfId="7553" xr:uid="{00000000-0005-0000-0000-000073390000}"/>
    <cellStyle name="60% - Accent6 2 2 5" xfId="7554" xr:uid="{00000000-0005-0000-0000-000074390000}"/>
    <cellStyle name="60% - Accent6 2 2 5 2" xfId="7555" xr:uid="{00000000-0005-0000-0000-000075390000}"/>
    <cellStyle name="60% - Accent6 2 2 6" xfId="7556" xr:uid="{00000000-0005-0000-0000-000076390000}"/>
    <cellStyle name="60% - Accent6 2 2 6 2" xfId="7557" xr:uid="{00000000-0005-0000-0000-000077390000}"/>
    <cellStyle name="60% - Accent6 2 2 7" xfId="7558" xr:uid="{00000000-0005-0000-0000-000078390000}"/>
    <cellStyle name="60% - Accent6 2 2 7 2" xfId="7559" xr:uid="{00000000-0005-0000-0000-000079390000}"/>
    <cellStyle name="60% - Accent6 2 2 8" xfId="7560" xr:uid="{00000000-0005-0000-0000-00007A390000}"/>
    <cellStyle name="60% - Accent6 2 2 8 2" xfId="7561" xr:uid="{00000000-0005-0000-0000-00007B390000}"/>
    <cellStyle name="60% - Accent6 2 2 9" xfId="7562" xr:uid="{00000000-0005-0000-0000-00007C390000}"/>
    <cellStyle name="60% - Accent6 2 2 9 2" xfId="7563" xr:uid="{00000000-0005-0000-0000-00007D390000}"/>
    <cellStyle name="60% - Accent6 2 20" xfId="7564" xr:uid="{00000000-0005-0000-0000-00007E390000}"/>
    <cellStyle name="60% - Accent6 2 20 2" xfId="7565" xr:uid="{00000000-0005-0000-0000-00007F390000}"/>
    <cellStyle name="60% - Accent6 2 21" xfId="7566" xr:uid="{00000000-0005-0000-0000-000080390000}"/>
    <cellStyle name="60% - Accent6 2 21 2" xfId="7567" xr:uid="{00000000-0005-0000-0000-000081390000}"/>
    <cellStyle name="60% - Accent6 2 21 3" xfId="7568" xr:uid="{00000000-0005-0000-0000-000082390000}"/>
    <cellStyle name="60% - Accent6 2 22" xfId="7569" xr:uid="{00000000-0005-0000-0000-000083390000}"/>
    <cellStyle name="60% - Accent6 2 23" xfId="7570" xr:uid="{00000000-0005-0000-0000-000084390000}"/>
    <cellStyle name="60% - Accent6 2 24" xfId="7571" xr:uid="{00000000-0005-0000-0000-000085390000}"/>
    <cellStyle name="60% - Accent6 2 25" xfId="7572" xr:uid="{00000000-0005-0000-0000-000086390000}"/>
    <cellStyle name="60% - Accent6 2 3" xfId="7573" xr:uid="{00000000-0005-0000-0000-000087390000}"/>
    <cellStyle name="60% - Accent6 2 3 2" xfId="7574" xr:uid="{00000000-0005-0000-0000-000088390000}"/>
    <cellStyle name="60% - Accent6 2 4" xfId="7575" xr:uid="{00000000-0005-0000-0000-000089390000}"/>
    <cellStyle name="60% - Accent6 2 4 2" xfId="7576" xr:uid="{00000000-0005-0000-0000-00008A390000}"/>
    <cellStyle name="60% - Accent6 2 5" xfId="7577" xr:uid="{00000000-0005-0000-0000-00008B390000}"/>
    <cellStyle name="60% - Accent6 2 5 2" xfId="7578" xr:uid="{00000000-0005-0000-0000-00008C390000}"/>
    <cellStyle name="60% - Accent6 2 6" xfId="7579" xr:uid="{00000000-0005-0000-0000-00008D390000}"/>
    <cellStyle name="60% - Accent6 2 6 2" xfId="7580" xr:uid="{00000000-0005-0000-0000-00008E390000}"/>
    <cellStyle name="60% - Accent6 2 7" xfId="7581" xr:uid="{00000000-0005-0000-0000-00008F390000}"/>
    <cellStyle name="60% - Accent6 2 7 2" xfId="7582" xr:uid="{00000000-0005-0000-0000-000090390000}"/>
    <cellStyle name="60% - Accent6 2 8" xfId="7583" xr:uid="{00000000-0005-0000-0000-000091390000}"/>
    <cellStyle name="60% - Accent6 2 8 2" xfId="7584" xr:uid="{00000000-0005-0000-0000-000092390000}"/>
    <cellStyle name="60% - Accent6 2 9" xfId="7585" xr:uid="{00000000-0005-0000-0000-000093390000}"/>
    <cellStyle name="60% - Accent6 2 9 2" xfId="7586" xr:uid="{00000000-0005-0000-0000-000094390000}"/>
    <cellStyle name="60% - Accent6 3" xfId="7587" xr:uid="{00000000-0005-0000-0000-000095390000}"/>
    <cellStyle name="60% - Accent6 3 2" xfId="7588" xr:uid="{00000000-0005-0000-0000-000096390000}"/>
    <cellStyle name="60% - Accent6 3 2 2" xfId="7589" xr:uid="{00000000-0005-0000-0000-000097390000}"/>
    <cellStyle name="60% - Accent6 3 2 3" xfId="7590" xr:uid="{00000000-0005-0000-0000-000098390000}"/>
    <cellStyle name="60% - Accent6 3 3" xfId="7591" xr:uid="{00000000-0005-0000-0000-000099390000}"/>
    <cellStyle name="60% - Accent6 3 4" xfId="7592" xr:uid="{00000000-0005-0000-0000-00009A390000}"/>
    <cellStyle name="60% - Accent6 3 5" xfId="7593" xr:uid="{00000000-0005-0000-0000-00009B390000}"/>
    <cellStyle name="60% - Accent6 4" xfId="7594" xr:uid="{00000000-0005-0000-0000-00009C390000}"/>
    <cellStyle name="60% - Accent6 4 2" xfId="7595" xr:uid="{00000000-0005-0000-0000-00009D390000}"/>
    <cellStyle name="60% - Accent6 4 2 2" xfId="7596" xr:uid="{00000000-0005-0000-0000-00009E390000}"/>
    <cellStyle name="60% - Accent6 4 2 3" xfId="7597" xr:uid="{00000000-0005-0000-0000-00009F390000}"/>
    <cellStyle name="60% - Accent6 4 3" xfId="7598" xr:uid="{00000000-0005-0000-0000-0000A0390000}"/>
    <cellStyle name="60% - Accent6 4 4" xfId="7599" xr:uid="{00000000-0005-0000-0000-0000A1390000}"/>
    <cellStyle name="60% - Accent6 4 5" xfId="7600" xr:uid="{00000000-0005-0000-0000-0000A2390000}"/>
    <cellStyle name="60% - Accent6 5" xfId="7601" xr:uid="{00000000-0005-0000-0000-0000A3390000}"/>
    <cellStyle name="60% - Accent6 5 2" xfId="7602" xr:uid="{00000000-0005-0000-0000-0000A4390000}"/>
    <cellStyle name="60% - Accent6 5 2 2" xfId="7603" xr:uid="{00000000-0005-0000-0000-0000A5390000}"/>
    <cellStyle name="60% - Accent6 5 2 3" xfId="7604" xr:uid="{00000000-0005-0000-0000-0000A6390000}"/>
    <cellStyle name="60% - Accent6 5 3" xfId="7605" xr:uid="{00000000-0005-0000-0000-0000A7390000}"/>
    <cellStyle name="60% - Accent6 5 4" xfId="7606" xr:uid="{00000000-0005-0000-0000-0000A8390000}"/>
    <cellStyle name="60% - Accent6 5 5" xfId="7607" xr:uid="{00000000-0005-0000-0000-0000A9390000}"/>
    <cellStyle name="60% - Accent6 6" xfId="7608" xr:uid="{00000000-0005-0000-0000-0000AA390000}"/>
    <cellStyle name="60% - Accent6 6 2" xfId="7609" xr:uid="{00000000-0005-0000-0000-0000AB390000}"/>
    <cellStyle name="60% - Accent6 6 3" xfId="7610" xr:uid="{00000000-0005-0000-0000-0000AC390000}"/>
    <cellStyle name="60% - Accent6 7" xfId="7611" xr:uid="{00000000-0005-0000-0000-0000AD390000}"/>
    <cellStyle name="60% - Accent6 8" xfId="7612" xr:uid="{00000000-0005-0000-0000-0000AE390000}"/>
    <cellStyle name="60% - Accent6 9" xfId="7613" xr:uid="{00000000-0005-0000-0000-0000AF390000}"/>
    <cellStyle name="60% - Ênfase1" xfId="7614" xr:uid="{00000000-0005-0000-0000-0000B0390000}"/>
    <cellStyle name="60% - Ênfase2" xfId="7615" xr:uid="{00000000-0005-0000-0000-0000B1390000}"/>
    <cellStyle name="60% - Ênfase3" xfId="7616" xr:uid="{00000000-0005-0000-0000-0000B2390000}"/>
    <cellStyle name="60% - Ênfase4" xfId="7617" xr:uid="{00000000-0005-0000-0000-0000B3390000}"/>
    <cellStyle name="60% - Ênfase5" xfId="7618" xr:uid="{00000000-0005-0000-0000-0000B4390000}"/>
    <cellStyle name="60% - Ênfase6" xfId="7619" xr:uid="{00000000-0005-0000-0000-0000B5390000}"/>
    <cellStyle name="60% - Énfasis1" xfId="7620" xr:uid="{00000000-0005-0000-0000-0000B6390000}"/>
    <cellStyle name="60% - Énfasis2" xfId="7621" xr:uid="{00000000-0005-0000-0000-0000B7390000}"/>
    <cellStyle name="60% - Énfasis3" xfId="7622" xr:uid="{00000000-0005-0000-0000-0000B8390000}"/>
    <cellStyle name="60% - Énfasis4" xfId="7623" xr:uid="{00000000-0005-0000-0000-0000B9390000}"/>
    <cellStyle name="60% - Énfasis5" xfId="7624" xr:uid="{00000000-0005-0000-0000-0000BA390000}"/>
    <cellStyle name="60% - Énfasis6" xfId="7625" xr:uid="{00000000-0005-0000-0000-0000BB390000}"/>
    <cellStyle name="60% - 강조색1" xfId="7626" xr:uid="{00000000-0005-0000-0000-0000BC390000}"/>
    <cellStyle name="60% - 강조색1 2" xfId="7627" xr:uid="{00000000-0005-0000-0000-0000BD390000}"/>
    <cellStyle name="60% - 강조색2" xfId="7628" xr:uid="{00000000-0005-0000-0000-0000BE390000}"/>
    <cellStyle name="60% - 강조색2 2" xfId="7629" xr:uid="{00000000-0005-0000-0000-0000BF390000}"/>
    <cellStyle name="60% - 강조색3" xfId="7630" xr:uid="{00000000-0005-0000-0000-0000C0390000}"/>
    <cellStyle name="60% - 강조색3 2" xfId="7631" xr:uid="{00000000-0005-0000-0000-0000C1390000}"/>
    <cellStyle name="60% - 강조색4" xfId="7632" xr:uid="{00000000-0005-0000-0000-0000C2390000}"/>
    <cellStyle name="60% - 강조색4 2" xfId="7633" xr:uid="{00000000-0005-0000-0000-0000C3390000}"/>
    <cellStyle name="60% - 강조색5" xfId="7634" xr:uid="{00000000-0005-0000-0000-0000C4390000}"/>
    <cellStyle name="60% - 강조색5 2" xfId="7635" xr:uid="{00000000-0005-0000-0000-0000C5390000}"/>
    <cellStyle name="60% - 강조색6" xfId="7636" xr:uid="{00000000-0005-0000-0000-0000C6390000}"/>
    <cellStyle name="60% - 강조색6 2" xfId="7637" xr:uid="{00000000-0005-0000-0000-0000C7390000}"/>
    <cellStyle name="752131" xfId="7638" xr:uid="{00000000-0005-0000-0000-0000C8390000}"/>
    <cellStyle name="A3 297 x 420 mm" xfId="7639" xr:uid="{00000000-0005-0000-0000-0000C9390000}"/>
    <cellStyle name="aa" xfId="16347" xr:uid="{00000000-0005-0000-0000-0000CA390000}"/>
    <cellStyle name="aaaa" xfId="16348" xr:uid="{00000000-0005-0000-0000-0000CB390000}"/>
    <cellStyle name="Accent1 10" xfId="7640" xr:uid="{00000000-0005-0000-0000-0000CC390000}"/>
    <cellStyle name="Accent1 11" xfId="7641" xr:uid="{00000000-0005-0000-0000-0000CD390000}"/>
    <cellStyle name="Accent1 12" xfId="7642" xr:uid="{00000000-0005-0000-0000-0000CE390000}"/>
    <cellStyle name="Accent1 13" xfId="7643" xr:uid="{00000000-0005-0000-0000-0000CF390000}"/>
    <cellStyle name="Accent1 14" xfId="7644" xr:uid="{00000000-0005-0000-0000-0000D0390000}"/>
    <cellStyle name="Accent1 15" xfId="7645" xr:uid="{00000000-0005-0000-0000-0000D1390000}"/>
    <cellStyle name="Accent1 16" xfId="7646" xr:uid="{00000000-0005-0000-0000-0000D2390000}"/>
    <cellStyle name="Accent1 17" xfId="7647" xr:uid="{00000000-0005-0000-0000-0000D3390000}"/>
    <cellStyle name="Accent1 18" xfId="7648" xr:uid="{00000000-0005-0000-0000-0000D4390000}"/>
    <cellStyle name="Accent1 19" xfId="7649" xr:uid="{00000000-0005-0000-0000-0000D5390000}"/>
    <cellStyle name="Accent1 2" xfId="7650" xr:uid="{00000000-0005-0000-0000-0000D6390000}"/>
    <cellStyle name="Accent1 2 10" xfId="7651" xr:uid="{00000000-0005-0000-0000-0000D7390000}"/>
    <cellStyle name="Accent1 2 10 2" xfId="7652" xr:uid="{00000000-0005-0000-0000-0000D8390000}"/>
    <cellStyle name="Accent1 2 11" xfId="7653" xr:uid="{00000000-0005-0000-0000-0000D9390000}"/>
    <cellStyle name="Accent1 2 11 2" xfId="7654" xr:uid="{00000000-0005-0000-0000-0000DA390000}"/>
    <cellStyle name="Accent1 2 12" xfId="7655" xr:uid="{00000000-0005-0000-0000-0000DB390000}"/>
    <cellStyle name="Accent1 2 12 10" xfId="7656" xr:uid="{00000000-0005-0000-0000-0000DC390000}"/>
    <cellStyle name="Accent1 2 12 10 2" xfId="7657" xr:uid="{00000000-0005-0000-0000-0000DD390000}"/>
    <cellStyle name="Accent1 2 12 11" xfId="7658" xr:uid="{00000000-0005-0000-0000-0000DE390000}"/>
    <cellStyle name="Accent1 2 12 2" xfId="7659" xr:uid="{00000000-0005-0000-0000-0000DF390000}"/>
    <cellStyle name="Accent1 2 12 2 2" xfId="7660" xr:uid="{00000000-0005-0000-0000-0000E0390000}"/>
    <cellStyle name="Accent1 2 12 3" xfId="7661" xr:uid="{00000000-0005-0000-0000-0000E1390000}"/>
    <cellStyle name="Accent1 2 12 3 2" xfId="7662" xr:uid="{00000000-0005-0000-0000-0000E2390000}"/>
    <cellStyle name="Accent1 2 12 4" xfId="7663" xr:uid="{00000000-0005-0000-0000-0000E3390000}"/>
    <cellStyle name="Accent1 2 12 4 2" xfId="7664" xr:uid="{00000000-0005-0000-0000-0000E4390000}"/>
    <cellStyle name="Accent1 2 12 5" xfId="7665" xr:uid="{00000000-0005-0000-0000-0000E5390000}"/>
    <cellStyle name="Accent1 2 12 5 2" xfId="7666" xr:uid="{00000000-0005-0000-0000-0000E6390000}"/>
    <cellStyle name="Accent1 2 12 6" xfId="7667" xr:uid="{00000000-0005-0000-0000-0000E7390000}"/>
    <cellStyle name="Accent1 2 12 6 2" xfId="7668" xr:uid="{00000000-0005-0000-0000-0000E8390000}"/>
    <cellStyle name="Accent1 2 12 7" xfId="7669" xr:uid="{00000000-0005-0000-0000-0000E9390000}"/>
    <cellStyle name="Accent1 2 12 7 2" xfId="7670" xr:uid="{00000000-0005-0000-0000-0000EA390000}"/>
    <cellStyle name="Accent1 2 12 8" xfId="7671" xr:uid="{00000000-0005-0000-0000-0000EB390000}"/>
    <cellStyle name="Accent1 2 12 8 2" xfId="7672" xr:uid="{00000000-0005-0000-0000-0000EC390000}"/>
    <cellStyle name="Accent1 2 12 9" xfId="7673" xr:uid="{00000000-0005-0000-0000-0000ED390000}"/>
    <cellStyle name="Accent1 2 12 9 2" xfId="7674" xr:uid="{00000000-0005-0000-0000-0000EE390000}"/>
    <cellStyle name="Accent1 2 13" xfId="7675" xr:uid="{00000000-0005-0000-0000-0000EF390000}"/>
    <cellStyle name="Accent1 2 13 2" xfId="7676" xr:uid="{00000000-0005-0000-0000-0000F0390000}"/>
    <cellStyle name="Accent1 2 14" xfId="7677" xr:uid="{00000000-0005-0000-0000-0000F1390000}"/>
    <cellStyle name="Accent1 2 14 2" xfId="7678" xr:uid="{00000000-0005-0000-0000-0000F2390000}"/>
    <cellStyle name="Accent1 2 15" xfId="7679" xr:uid="{00000000-0005-0000-0000-0000F3390000}"/>
    <cellStyle name="Accent1 2 15 2" xfId="7680" xr:uid="{00000000-0005-0000-0000-0000F4390000}"/>
    <cellStyle name="Accent1 2 16" xfId="7681" xr:uid="{00000000-0005-0000-0000-0000F5390000}"/>
    <cellStyle name="Accent1 2 16 2" xfId="7682" xr:uid="{00000000-0005-0000-0000-0000F6390000}"/>
    <cellStyle name="Accent1 2 17" xfId="7683" xr:uid="{00000000-0005-0000-0000-0000F7390000}"/>
    <cellStyle name="Accent1 2 17 2" xfId="7684" xr:uid="{00000000-0005-0000-0000-0000F8390000}"/>
    <cellStyle name="Accent1 2 18" xfId="7685" xr:uid="{00000000-0005-0000-0000-0000F9390000}"/>
    <cellStyle name="Accent1 2 18 2" xfId="7686" xr:uid="{00000000-0005-0000-0000-0000FA390000}"/>
    <cellStyle name="Accent1 2 19" xfId="7687" xr:uid="{00000000-0005-0000-0000-0000FB390000}"/>
    <cellStyle name="Accent1 2 19 2" xfId="7688" xr:uid="{00000000-0005-0000-0000-0000FC390000}"/>
    <cellStyle name="Accent1 2 2" xfId="7689" xr:uid="{00000000-0005-0000-0000-0000FD390000}"/>
    <cellStyle name="Accent1 2 2 10" xfId="7690" xr:uid="{00000000-0005-0000-0000-0000FE390000}"/>
    <cellStyle name="Accent1 2 2 10 2" xfId="7691" xr:uid="{00000000-0005-0000-0000-0000FF390000}"/>
    <cellStyle name="Accent1 2 2 11" xfId="7692" xr:uid="{00000000-0005-0000-0000-0000003A0000}"/>
    <cellStyle name="Accent1 2 2 11 2" xfId="7693" xr:uid="{00000000-0005-0000-0000-0000013A0000}"/>
    <cellStyle name="Accent1 2 2 12" xfId="7694" xr:uid="{00000000-0005-0000-0000-0000023A0000}"/>
    <cellStyle name="Accent1 2 2 12 10" xfId="7695" xr:uid="{00000000-0005-0000-0000-0000033A0000}"/>
    <cellStyle name="Accent1 2 2 12 10 2" xfId="7696" xr:uid="{00000000-0005-0000-0000-0000043A0000}"/>
    <cellStyle name="Accent1 2 2 12 11" xfId="7697" xr:uid="{00000000-0005-0000-0000-0000053A0000}"/>
    <cellStyle name="Accent1 2 2 12 2" xfId="7698" xr:uid="{00000000-0005-0000-0000-0000063A0000}"/>
    <cellStyle name="Accent1 2 2 12 2 2" xfId="7699" xr:uid="{00000000-0005-0000-0000-0000073A0000}"/>
    <cellStyle name="Accent1 2 2 12 3" xfId="7700" xr:uid="{00000000-0005-0000-0000-0000083A0000}"/>
    <cellStyle name="Accent1 2 2 12 3 2" xfId="7701" xr:uid="{00000000-0005-0000-0000-0000093A0000}"/>
    <cellStyle name="Accent1 2 2 12 4" xfId="7702" xr:uid="{00000000-0005-0000-0000-00000A3A0000}"/>
    <cellStyle name="Accent1 2 2 12 4 2" xfId="7703" xr:uid="{00000000-0005-0000-0000-00000B3A0000}"/>
    <cellStyle name="Accent1 2 2 12 5" xfId="7704" xr:uid="{00000000-0005-0000-0000-00000C3A0000}"/>
    <cellStyle name="Accent1 2 2 12 5 2" xfId="7705" xr:uid="{00000000-0005-0000-0000-00000D3A0000}"/>
    <cellStyle name="Accent1 2 2 12 6" xfId="7706" xr:uid="{00000000-0005-0000-0000-00000E3A0000}"/>
    <cellStyle name="Accent1 2 2 12 6 2" xfId="7707" xr:uid="{00000000-0005-0000-0000-00000F3A0000}"/>
    <cellStyle name="Accent1 2 2 12 7" xfId="7708" xr:uid="{00000000-0005-0000-0000-0000103A0000}"/>
    <cellStyle name="Accent1 2 2 12 7 2" xfId="7709" xr:uid="{00000000-0005-0000-0000-0000113A0000}"/>
    <cellStyle name="Accent1 2 2 12 8" xfId="7710" xr:uid="{00000000-0005-0000-0000-0000123A0000}"/>
    <cellStyle name="Accent1 2 2 12 8 2" xfId="7711" xr:uid="{00000000-0005-0000-0000-0000133A0000}"/>
    <cellStyle name="Accent1 2 2 12 9" xfId="7712" xr:uid="{00000000-0005-0000-0000-0000143A0000}"/>
    <cellStyle name="Accent1 2 2 12 9 2" xfId="7713" xr:uid="{00000000-0005-0000-0000-0000153A0000}"/>
    <cellStyle name="Accent1 2 2 13" xfId="7714" xr:uid="{00000000-0005-0000-0000-0000163A0000}"/>
    <cellStyle name="Accent1 2 2 13 2" xfId="7715" xr:uid="{00000000-0005-0000-0000-0000173A0000}"/>
    <cellStyle name="Accent1 2 2 14" xfId="7716" xr:uid="{00000000-0005-0000-0000-0000183A0000}"/>
    <cellStyle name="Accent1 2 2 14 2" xfId="7717" xr:uid="{00000000-0005-0000-0000-0000193A0000}"/>
    <cellStyle name="Accent1 2 2 15" xfId="7718" xr:uid="{00000000-0005-0000-0000-00001A3A0000}"/>
    <cellStyle name="Accent1 2 2 15 2" xfId="7719" xr:uid="{00000000-0005-0000-0000-00001B3A0000}"/>
    <cellStyle name="Accent1 2 2 16" xfId="7720" xr:uid="{00000000-0005-0000-0000-00001C3A0000}"/>
    <cellStyle name="Accent1 2 2 16 2" xfId="7721" xr:uid="{00000000-0005-0000-0000-00001D3A0000}"/>
    <cellStyle name="Accent1 2 2 17" xfId="7722" xr:uid="{00000000-0005-0000-0000-00001E3A0000}"/>
    <cellStyle name="Accent1 2 2 17 2" xfId="7723" xr:uid="{00000000-0005-0000-0000-00001F3A0000}"/>
    <cellStyle name="Accent1 2 2 18" xfId="7724" xr:uid="{00000000-0005-0000-0000-0000203A0000}"/>
    <cellStyle name="Accent1 2 2 18 2" xfId="7725" xr:uid="{00000000-0005-0000-0000-0000213A0000}"/>
    <cellStyle name="Accent1 2 2 19" xfId="7726" xr:uid="{00000000-0005-0000-0000-0000223A0000}"/>
    <cellStyle name="Accent1 2 2 19 2" xfId="7727" xr:uid="{00000000-0005-0000-0000-0000233A0000}"/>
    <cellStyle name="Accent1 2 2 2" xfId="7728" xr:uid="{00000000-0005-0000-0000-0000243A0000}"/>
    <cellStyle name="Accent1 2 2 2 10" xfId="7729" xr:uid="{00000000-0005-0000-0000-0000253A0000}"/>
    <cellStyle name="Accent1 2 2 2 10 2" xfId="7730" xr:uid="{00000000-0005-0000-0000-0000263A0000}"/>
    <cellStyle name="Accent1 2 2 2 11" xfId="7731" xr:uid="{00000000-0005-0000-0000-0000273A0000}"/>
    <cellStyle name="Accent1 2 2 2 11 2" xfId="7732" xr:uid="{00000000-0005-0000-0000-0000283A0000}"/>
    <cellStyle name="Accent1 2 2 2 12" xfId="7733" xr:uid="{00000000-0005-0000-0000-0000293A0000}"/>
    <cellStyle name="Accent1 2 2 2 13" xfId="7734" xr:uid="{00000000-0005-0000-0000-00002A3A0000}"/>
    <cellStyle name="Accent1 2 2 2 2" xfId="7735" xr:uid="{00000000-0005-0000-0000-00002B3A0000}"/>
    <cellStyle name="Accent1 2 2 2 2 10" xfId="7736" xr:uid="{00000000-0005-0000-0000-00002C3A0000}"/>
    <cellStyle name="Accent1 2 2 2 2 10 2" xfId="7737" xr:uid="{00000000-0005-0000-0000-00002D3A0000}"/>
    <cellStyle name="Accent1 2 2 2 2 11" xfId="7738" xr:uid="{00000000-0005-0000-0000-00002E3A0000}"/>
    <cellStyle name="Accent1 2 2 2 2 12" xfId="7739" xr:uid="{00000000-0005-0000-0000-00002F3A0000}"/>
    <cellStyle name="Accent1 2 2 2 2 2" xfId="7740" xr:uid="{00000000-0005-0000-0000-0000303A0000}"/>
    <cellStyle name="Accent1 2 2 2 2 2 2" xfId="7741" xr:uid="{00000000-0005-0000-0000-0000313A0000}"/>
    <cellStyle name="Accent1 2 2 2 2 2 3" xfId="7742" xr:uid="{00000000-0005-0000-0000-0000323A0000}"/>
    <cellStyle name="Accent1 2 2 2 2 2 4" xfId="7743" xr:uid="{00000000-0005-0000-0000-0000333A0000}"/>
    <cellStyle name="Accent1 2 2 2 2 3" xfId="7744" xr:uid="{00000000-0005-0000-0000-0000343A0000}"/>
    <cellStyle name="Accent1 2 2 2 2 3 2" xfId="7745" xr:uid="{00000000-0005-0000-0000-0000353A0000}"/>
    <cellStyle name="Accent1 2 2 2 2 4" xfId="7746" xr:uid="{00000000-0005-0000-0000-0000363A0000}"/>
    <cellStyle name="Accent1 2 2 2 2 4 2" xfId="7747" xr:uid="{00000000-0005-0000-0000-0000373A0000}"/>
    <cellStyle name="Accent1 2 2 2 2 5" xfId="7748" xr:uid="{00000000-0005-0000-0000-0000383A0000}"/>
    <cellStyle name="Accent1 2 2 2 2 5 2" xfId="7749" xr:uid="{00000000-0005-0000-0000-0000393A0000}"/>
    <cellStyle name="Accent1 2 2 2 2 6" xfId="7750" xr:uid="{00000000-0005-0000-0000-00003A3A0000}"/>
    <cellStyle name="Accent1 2 2 2 2 6 2" xfId="7751" xr:uid="{00000000-0005-0000-0000-00003B3A0000}"/>
    <cellStyle name="Accent1 2 2 2 2 7" xfId="7752" xr:uid="{00000000-0005-0000-0000-00003C3A0000}"/>
    <cellStyle name="Accent1 2 2 2 2 7 2" xfId="7753" xr:uid="{00000000-0005-0000-0000-00003D3A0000}"/>
    <cellStyle name="Accent1 2 2 2 2 8" xfId="7754" xr:uid="{00000000-0005-0000-0000-00003E3A0000}"/>
    <cellStyle name="Accent1 2 2 2 2 8 2" xfId="7755" xr:uid="{00000000-0005-0000-0000-00003F3A0000}"/>
    <cellStyle name="Accent1 2 2 2 2 9" xfId="7756" xr:uid="{00000000-0005-0000-0000-0000403A0000}"/>
    <cellStyle name="Accent1 2 2 2 2 9 2" xfId="7757" xr:uid="{00000000-0005-0000-0000-0000413A0000}"/>
    <cellStyle name="Accent1 2 2 2 3" xfId="7758" xr:uid="{00000000-0005-0000-0000-0000423A0000}"/>
    <cellStyle name="Accent1 2 2 2 3 2" xfId="7759" xr:uid="{00000000-0005-0000-0000-0000433A0000}"/>
    <cellStyle name="Accent1 2 2 2 4" xfId="7760" xr:uid="{00000000-0005-0000-0000-0000443A0000}"/>
    <cellStyle name="Accent1 2 2 2 4 2" xfId="7761" xr:uid="{00000000-0005-0000-0000-0000453A0000}"/>
    <cellStyle name="Accent1 2 2 2 5" xfId="7762" xr:uid="{00000000-0005-0000-0000-0000463A0000}"/>
    <cellStyle name="Accent1 2 2 2 5 2" xfId="7763" xr:uid="{00000000-0005-0000-0000-0000473A0000}"/>
    <cellStyle name="Accent1 2 2 2 6" xfId="7764" xr:uid="{00000000-0005-0000-0000-0000483A0000}"/>
    <cellStyle name="Accent1 2 2 2 6 2" xfId="7765" xr:uid="{00000000-0005-0000-0000-0000493A0000}"/>
    <cellStyle name="Accent1 2 2 2 7" xfId="7766" xr:uid="{00000000-0005-0000-0000-00004A3A0000}"/>
    <cellStyle name="Accent1 2 2 2 7 2" xfId="7767" xr:uid="{00000000-0005-0000-0000-00004B3A0000}"/>
    <cellStyle name="Accent1 2 2 2 8" xfId="7768" xr:uid="{00000000-0005-0000-0000-00004C3A0000}"/>
    <cellStyle name="Accent1 2 2 2 8 2" xfId="7769" xr:uid="{00000000-0005-0000-0000-00004D3A0000}"/>
    <cellStyle name="Accent1 2 2 2 9" xfId="7770" xr:uid="{00000000-0005-0000-0000-00004E3A0000}"/>
    <cellStyle name="Accent1 2 2 2 9 2" xfId="7771" xr:uid="{00000000-0005-0000-0000-00004F3A0000}"/>
    <cellStyle name="Accent1 2 2 20" xfId="7772" xr:uid="{00000000-0005-0000-0000-0000503A0000}"/>
    <cellStyle name="Accent1 2 2 20 2" xfId="7773" xr:uid="{00000000-0005-0000-0000-0000513A0000}"/>
    <cellStyle name="Accent1 2 2 21" xfId="7774" xr:uid="{00000000-0005-0000-0000-0000523A0000}"/>
    <cellStyle name="Accent1 2 2 22" xfId="7775" xr:uid="{00000000-0005-0000-0000-0000533A0000}"/>
    <cellStyle name="Accent1 2 2 3" xfId="7776" xr:uid="{00000000-0005-0000-0000-0000543A0000}"/>
    <cellStyle name="Accent1 2 2 3 2" xfId="7777" xr:uid="{00000000-0005-0000-0000-0000553A0000}"/>
    <cellStyle name="Accent1 2 2 4" xfId="7778" xr:uid="{00000000-0005-0000-0000-0000563A0000}"/>
    <cellStyle name="Accent1 2 2 4 2" xfId="7779" xr:uid="{00000000-0005-0000-0000-0000573A0000}"/>
    <cellStyle name="Accent1 2 2 5" xfId="7780" xr:uid="{00000000-0005-0000-0000-0000583A0000}"/>
    <cellStyle name="Accent1 2 2 5 2" xfId="7781" xr:uid="{00000000-0005-0000-0000-0000593A0000}"/>
    <cellStyle name="Accent1 2 2 6" xfId="7782" xr:uid="{00000000-0005-0000-0000-00005A3A0000}"/>
    <cellStyle name="Accent1 2 2 6 2" xfId="7783" xr:uid="{00000000-0005-0000-0000-00005B3A0000}"/>
    <cellStyle name="Accent1 2 2 7" xfId="7784" xr:uid="{00000000-0005-0000-0000-00005C3A0000}"/>
    <cellStyle name="Accent1 2 2 7 2" xfId="7785" xr:uid="{00000000-0005-0000-0000-00005D3A0000}"/>
    <cellStyle name="Accent1 2 2 8" xfId="7786" xr:uid="{00000000-0005-0000-0000-00005E3A0000}"/>
    <cellStyle name="Accent1 2 2 8 2" xfId="7787" xr:uid="{00000000-0005-0000-0000-00005F3A0000}"/>
    <cellStyle name="Accent1 2 2 9" xfId="7788" xr:uid="{00000000-0005-0000-0000-0000603A0000}"/>
    <cellStyle name="Accent1 2 2 9 2" xfId="7789" xr:uid="{00000000-0005-0000-0000-0000613A0000}"/>
    <cellStyle name="Accent1 2 20" xfId="7790" xr:uid="{00000000-0005-0000-0000-0000623A0000}"/>
    <cellStyle name="Accent1 2 20 2" xfId="7791" xr:uid="{00000000-0005-0000-0000-0000633A0000}"/>
    <cellStyle name="Accent1 2 21" xfId="7792" xr:uid="{00000000-0005-0000-0000-0000643A0000}"/>
    <cellStyle name="Accent1 2 21 2" xfId="7793" xr:uid="{00000000-0005-0000-0000-0000653A0000}"/>
    <cellStyle name="Accent1 2 21 3" xfId="7794" xr:uid="{00000000-0005-0000-0000-0000663A0000}"/>
    <cellStyle name="Accent1 2 22" xfId="7795" xr:uid="{00000000-0005-0000-0000-0000673A0000}"/>
    <cellStyle name="Accent1 2 23" xfId="7796" xr:uid="{00000000-0005-0000-0000-0000683A0000}"/>
    <cellStyle name="Accent1 2 24" xfId="7797" xr:uid="{00000000-0005-0000-0000-0000693A0000}"/>
    <cellStyle name="Accent1 2 25" xfId="7798" xr:uid="{00000000-0005-0000-0000-00006A3A0000}"/>
    <cellStyle name="Accent1 2 3" xfId="7799" xr:uid="{00000000-0005-0000-0000-00006B3A0000}"/>
    <cellStyle name="Accent1 2 3 2" xfId="7800" xr:uid="{00000000-0005-0000-0000-00006C3A0000}"/>
    <cellStyle name="Accent1 2 4" xfId="7801" xr:uid="{00000000-0005-0000-0000-00006D3A0000}"/>
    <cellStyle name="Accent1 2 4 2" xfId="7802" xr:uid="{00000000-0005-0000-0000-00006E3A0000}"/>
    <cellStyle name="Accent1 2 5" xfId="7803" xr:uid="{00000000-0005-0000-0000-00006F3A0000}"/>
    <cellStyle name="Accent1 2 5 2" xfId="7804" xr:uid="{00000000-0005-0000-0000-0000703A0000}"/>
    <cellStyle name="Accent1 2 6" xfId="7805" xr:uid="{00000000-0005-0000-0000-0000713A0000}"/>
    <cellStyle name="Accent1 2 6 2" xfId="7806" xr:uid="{00000000-0005-0000-0000-0000723A0000}"/>
    <cellStyle name="Accent1 2 7" xfId="7807" xr:uid="{00000000-0005-0000-0000-0000733A0000}"/>
    <cellStyle name="Accent1 2 7 2" xfId="7808" xr:uid="{00000000-0005-0000-0000-0000743A0000}"/>
    <cellStyle name="Accent1 2 8" xfId="7809" xr:uid="{00000000-0005-0000-0000-0000753A0000}"/>
    <cellStyle name="Accent1 2 8 2" xfId="7810" xr:uid="{00000000-0005-0000-0000-0000763A0000}"/>
    <cellStyle name="Accent1 2 9" xfId="7811" xr:uid="{00000000-0005-0000-0000-0000773A0000}"/>
    <cellStyle name="Accent1 2 9 2" xfId="7812" xr:uid="{00000000-0005-0000-0000-0000783A0000}"/>
    <cellStyle name="Accent1 3" xfId="7813" xr:uid="{00000000-0005-0000-0000-0000793A0000}"/>
    <cellStyle name="Accent1 3 2" xfId="7814" xr:uid="{00000000-0005-0000-0000-00007A3A0000}"/>
    <cellStyle name="Accent1 3 2 2" xfId="7815" xr:uid="{00000000-0005-0000-0000-00007B3A0000}"/>
    <cellStyle name="Accent1 3 2 3" xfId="7816" xr:uid="{00000000-0005-0000-0000-00007C3A0000}"/>
    <cellStyle name="Accent1 3 3" xfId="7817" xr:uid="{00000000-0005-0000-0000-00007D3A0000}"/>
    <cellStyle name="Accent1 3 4" xfId="7818" xr:uid="{00000000-0005-0000-0000-00007E3A0000}"/>
    <cellStyle name="Accent1 3 5" xfId="7819" xr:uid="{00000000-0005-0000-0000-00007F3A0000}"/>
    <cellStyle name="Accent1 4" xfId="7820" xr:uid="{00000000-0005-0000-0000-0000803A0000}"/>
    <cellStyle name="Accent1 4 2" xfId="7821" xr:uid="{00000000-0005-0000-0000-0000813A0000}"/>
    <cellStyle name="Accent1 4 2 2" xfId="7822" xr:uid="{00000000-0005-0000-0000-0000823A0000}"/>
    <cellStyle name="Accent1 4 2 3" xfId="7823" xr:uid="{00000000-0005-0000-0000-0000833A0000}"/>
    <cellStyle name="Accent1 4 3" xfId="7824" xr:uid="{00000000-0005-0000-0000-0000843A0000}"/>
    <cellStyle name="Accent1 4 4" xfId="7825" xr:uid="{00000000-0005-0000-0000-0000853A0000}"/>
    <cellStyle name="Accent1 4 5" xfId="7826" xr:uid="{00000000-0005-0000-0000-0000863A0000}"/>
    <cellStyle name="Accent1 5" xfId="7827" xr:uid="{00000000-0005-0000-0000-0000873A0000}"/>
    <cellStyle name="Accent1 5 2" xfId="7828" xr:uid="{00000000-0005-0000-0000-0000883A0000}"/>
    <cellStyle name="Accent1 5 2 2" xfId="7829" xr:uid="{00000000-0005-0000-0000-0000893A0000}"/>
    <cellStyle name="Accent1 5 2 3" xfId="7830" xr:uid="{00000000-0005-0000-0000-00008A3A0000}"/>
    <cellStyle name="Accent1 5 3" xfId="7831" xr:uid="{00000000-0005-0000-0000-00008B3A0000}"/>
    <cellStyle name="Accent1 5 4" xfId="7832" xr:uid="{00000000-0005-0000-0000-00008C3A0000}"/>
    <cellStyle name="Accent1 5 5" xfId="7833" xr:uid="{00000000-0005-0000-0000-00008D3A0000}"/>
    <cellStyle name="Accent1 6" xfId="7834" xr:uid="{00000000-0005-0000-0000-00008E3A0000}"/>
    <cellStyle name="Accent1 6 2" xfId="7835" xr:uid="{00000000-0005-0000-0000-00008F3A0000}"/>
    <cellStyle name="Accent1 6 3" xfId="7836" xr:uid="{00000000-0005-0000-0000-0000903A0000}"/>
    <cellStyle name="Accent1 7" xfId="7837" xr:uid="{00000000-0005-0000-0000-0000913A0000}"/>
    <cellStyle name="Accent1 8" xfId="7838" xr:uid="{00000000-0005-0000-0000-0000923A0000}"/>
    <cellStyle name="Accent1 9" xfId="7839" xr:uid="{00000000-0005-0000-0000-0000933A0000}"/>
    <cellStyle name="Accent2 10" xfId="7840" xr:uid="{00000000-0005-0000-0000-0000943A0000}"/>
    <cellStyle name="Accent2 11" xfId="7841" xr:uid="{00000000-0005-0000-0000-0000953A0000}"/>
    <cellStyle name="Accent2 12" xfId="7842" xr:uid="{00000000-0005-0000-0000-0000963A0000}"/>
    <cellStyle name="Accent2 13" xfId="7843" xr:uid="{00000000-0005-0000-0000-0000973A0000}"/>
    <cellStyle name="Accent2 14" xfId="7844" xr:uid="{00000000-0005-0000-0000-0000983A0000}"/>
    <cellStyle name="Accent2 15" xfId="7845" xr:uid="{00000000-0005-0000-0000-0000993A0000}"/>
    <cellStyle name="Accent2 16" xfId="7846" xr:uid="{00000000-0005-0000-0000-00009A3A0000}"/>
    <cellStyle name="Accent2 17" xfId="7847" xr:uid="{00000000-0005-0000-0000-00009B3A0000}"/>
    <cellStyle name="Accent2 18" xfId="7848" xr:uid="{00000000-0005-0000-0000-00009C3A0000}"/>
    <cellStyle name="Accent2 19" xfId="7849" xr:uid="{00000000-0005-0000-0000-00009D3A0000}"/>
    <cellStyle name="Accent2 2" xfId="7850" xr:uid="{00000000-0005-0000-0000-00009E3A0000}"/>
    <cellStyle name="Accent2 2 2" xfId="7851" xr:uid="{00000000-0005-0000-0000-00009F3A0000}"/>
    <cellStyle name="Accent2 2 2 2" xfId="7852" xr:uid="{00000000-0005-0000-0000-0000A03A0000}"/>
    <cellStyle name="Accent2 2 3" xfId="7853" xr:uid="{00000000-0005-0000-0000-0000A13A0000}"/>
    <cellStyle name="Accent2 2 3 2" xfId="7854" xr:uid="{00000000-0005-0000-0000-0000A23A0000}"/>
    <cellStyle name="Accent2 2 4" xfId="7855" xr:uid="{00000000-0005-0000-0000-0000A33A0000}"/>
    <cellStyle name="Accent2 2 4 2" xfId="7856" xr:uid="{00000000-0005-0000-0000-0000A43A0000}"/>
    <cellStyle name="Accent2 2 4 3" xfId="7857" xr:uid="{00000000-0005-0000-0000-0000A53A0000}"/>
    <cellStyle name="Accent2 2 5" xfId="7858" xr:uid="{00000000-0005-0000-0000-0000A63A0000}"/>
    <cellStyle name="Accent2 2 6" xfId="7859" xr:uid="{00000000-0005-0000-0000-0000A73A0000}"/>
    <cellStyle name="Accent2 2 7" xfId="7860" xr:uid="{00000000-0005-0000-0000-0000A83A0000}"/>
    <cellStyle name="Accent2 2 8" xfId="7861" xr:uid="{00000000-0005-0000-0000-0000A93A0000}"/>
    <cellStyle name="Accent2 3" xfId="7862" xr:uid="{00000000-0005-0000-0000-0000AA3A0000}"/>
    <cellStyle name="Accent2 3 2" xfId="7863" xr:uid="{00000000-0005-0000-0000-0000AB3A0000}"/>
    <cellStyle name="Accent2 3 2 2" xfId="7864" xr:uid="{00000000-0005-0000-0000-0000AC3A0000}"/>
    <cellStyle name="Accent2 3 2 3" xfId="7865" xr:uid="{00000000-0005-0000-0000-0000AD3A0000}"/>
    <cellStyle name="Accent2 3 3" xfId="7866" xr:uid="{00000000-0005-0000-0000-0000AE3A0000}"/>
    <cellStyle name="Accent2 3 4" xfId="7867" xr:uid="{00000000-0005-0000-0000-0000AF3A0000}"/>
    <cellStyle name="Accent2 3 5" xfId="7868" xr:uid="{00000000-0005-0000-0000-0000B03A0000}"/>
    <cellStyle name="Accent2 4" xfId="7869" xr:uid="{00000000-0005-0000-0000-0000B13A0000}"/>
    <cellStyle name="Accent2 4 2" xfId="7870" xr:uid="{00000000-0005-0000-0000-0000B23A0000}"/>
    <cellStyle name="Accent2 4 2 2" xfId="7871" xr:uid="{00000000-0005-0000-0000-0000B33A0000}"/>
    <cellStyle name="Accent2 4 2 3" xfId="7872" xr:uid="{00000000-0005-0000-0000-0000B43A0000}"/>
    <cellStyle name="Accent2 4 3" xfId="7873" xr:uid="{00000000-0005-0000-0000-0000B53A0000}"/>
    <cellStyle name="Accent2 4 4" xfId="7874" xr:uid="{00000000-0005-0000-0000-0000B63A0000}"/>
    <cellStyle name="Accent2 4 5" xfId="7875" xr:uid="{00000000-0005-0000-0000-0000B73A0000}"/>
    <cellStyle name="Accent2 5" xfId="7876" xr:uid="{00000000-0005-0000-0000-0000B83A0000}"/>
    <cellStyle name="Accent2 5 2" xfId="7877" xr:uid="{00000000-0005-0000-0000-0000B93A0000}"/>
    <cellStyle name="Accent2 5 2 2" xfId="7878" xr:uid="{00000000-0005-0000-0000-0000BA3A0000}"/>
    <cellStyle name="Accent2 5 2 3" xfId="7879" xr:uid="{00000000-0005-0000-0000-0000BB3A0000}"/>
    <cellStyle name="Accent2 5 3" xfId="7880" xr:uid="{00000000-0005-0000-0000-0000BC3A0000}"/>
    <cellStyle name="Accent2 5 4" xfId="7881" xr:uid="{00000000-0005-0000-0000-0000BD3A0000}"/>
    <cellStyle name="Accent2 5 5" xfId="7882" xr:uid="{00000000-0005-0000-0000-0000BE3A0000}"/>
    <cellStyle name="Accent2 6" xfId="7883" xr:uid="{00000000-0005-0000-0000-0000BF3A0000}"/>
    <cellStyle name="Accent2 6 2" xfId="7884" xr:uid="{00000000-0005-0000-0000-0000C03A0000}"/>
    <cellStyle name="Accent2 6 3" xfId="7885" xr:uid="{00000000-0005-0000-0000-0000C13A0000}"/>
    <cellStyle name="Accent2 7" xfId="7886" xr:uid="{00000000-0005-0000-0000-0000C23A0000}"/>
    <cellStyle name="Accent2 8" xfId="7887" xr:uid="{00000000-0005-0000-0000-0000C33A0000}"/>
    <cellStyle name="Accent2 9" xfId="7888" xr:uid="{00000000-0005-0000-0000-0000C43A0000}"/>
    <cellStyle name="Accent3 10" xfId="7889" xr:uid="{00000000-0005-0000-0000-0000C53A0000}"/>
    <cellStyle name="Accent3 11" xfId="7890" xr:uid="{00000000-0005-0000-0000-0000C63A0000}"/>
    <cellStyle name="Accent3 12" xfId="7891" xr:uid="{00000000-0005-0000-0000-0000C73A0000}"/>
    <cellStyle name="Accent3 13" xfId="7892" xr:uid="{00000000-0005-0000-0000-0000C83A0000}"/>
    <cellStyle name="Accent3 14" xfId="7893" xr:uid="{00000000-0005-0000-0000-0000C93A0000}"/>
    <cellStyle name="Accent3 15" xfId="7894" xr:uid="{00000000-0005-0000-0000-0000CA3A0000}"/>
    <cellStyle name="Accent3 16" xfId="7895" xr:uid="{00000000-0005-0000-0000-0000CB3A0000}"/>
    <cellStyle name="Accent3 17" xfId="7896" xr:uid="{00000000-0005-0000-0000-0000CC3A0000}"/>
    <cellStyle name="Accent3 18" xfId="7897" xr:uid="{00000000-0005-0000-0000-0000CD3A0000}"/>
    <cellStyle name="Accent3 19" xfId="7898" xr:uid="{00000000-0005-0000-0000-0000CE3A0000}"/>
    <cellStyle name="Accent3 2" xfId="7899" xr:uid="{00000000-0005-0000-0000-0000CF3A0000}"/>
    <cellStyle name="Accent3 2 2" xfId="7900" xr:uid="{00000000-0005-0000-0000-0000D03A0000}"/>
    <cellStyle name="Accent3 2 2 2" xfId="7901" xr:uid="{00000000-0005-0000-0000-0000D13A0000}"/>
    <cellStyle name="Accent3 2 3" xfId="7902" xr:uid="{00000000-0005-0000-0000-0000D23A0000}"/>
    <cellStyle name="Accent3 2 3 2" xfId="7903" xr:uid="{00000000-0005-0000-0000-0000D33A0000}"/>
    <cellStyle name="Accent3 2 4" xfId="7904" xr:uid="{00000000-0005-0000-0000-0000D43A0000}"/>
    <cellStyle name="Accent3 2 4 2" xfId="7905" xr:uid="{00000000-0005-0000-0000-0000D53A0000}"/>
    <cellStyle name="Accent3 2 4 3" xfId="7906" xr:uid="{00000000-0005-0000-0000-0000D63A0000}"/>
    <cellStyle name="Accent3 2 5" xfId="7907" xr:uid="{00000000-0005-0000-0000-0000D73A0000}"/>
    <cellStyle name="Accent3 2 6" xfId="7908" xr:uid="{00000000-0005-0000-0000-0000D83A0000}"/>
    <cellStyle name="Accent3 2 7" xfId="7909" xr:uid="{00000000-0005-0000-0000-0000D93A0000}"/>
    <cellStyle name="Accent3 2 8" xfId="7910" xr:uid="{00000000-0005-0000-0000-0000DA3A0000}"/>
    <cellStyle name="Accent3 3" xfId="7911" xr:uid="{00000000-0005-0000-0000-0000DB3A0000}"/>
    <cellStyle name="Accent3 3 2" xfId="7912" xr:uid="{00000000-0005-0000-0000-0000DC3A0000}"/>
    <cellStyle name="Accent3 3 2 2" xfId="7913" xr:uid="{00000000-0005-0000-0000-0000DD3A0000}"/>
    <cellStyle name="Accent3 3 2 3" xfId="7914" xr:uid="{00000000-0005-0000-0000-0000DE3A0000}"/>
    <cellStyle name="Accent3 3 3" xfId="7915" xr:uid="{00000000-0005-0000-0000-0000DF3A0000}"/>
    <cellStyle name="Accent3 3 4" xfId="7916" xr:uid="{00000000-0005-0000-0000-0000E03A0000}"/>
    <cellStyle name="Accent3 3 5" xfId="7917" xr:uid="{00000000-0005-0000-0000-0000E13A0000}"/>
    <cellStyle name="Accent3 4" xfId="7918" xr:uid="{00000000-0005-0000-0000-0000E23A0000}"/>
    <cellStyle name="Accent3 4 2" xfId="7919" xr:uid="{00000000-0005-0000-0000-0000E33A0000}"/>
    <cellStyle name="Accent3 4 2 2" xfId="7920" xr:uid="{00000000-0005-0000-0000-0000E43A0000}"/>
    <cellStyle name="Accent3 4 2 3" xfId="7921" xr:uid="{00000000-0005-0000-0000-0000E53A0000}"/>
    <cellStyle name="Accent3 4 3" xfId="7922" xr:uid="{00000000-0005-0000-0000-0000E63A0000}"/>
    <cellStyle name="Accent3 4 4" xfId="7923" xr:uid="{00000000-0005-0000-0000-0000E73A0000}"/>
    <cellStyle name="Accent3 4 5" xfId="7924" xr:uid="{00000000-0005-0000-0000-0000E83A0000}"/>
    <cellStyle name="Accent3 5" xfId="7925" xr:uid="{00000000-0005-0000-0000-0000E93A0000}"/>
    <cellStyle name="Accent3 5 2" xfId="7926" xr:uid="{00000000-0005-0000-0000-0000EA3A0000}"/>
    <cellStyle name="Accent3 5 2 2" xfId="7927" xr:uid="{00000000-0005-0000-0000-0000EB3A0000}"/>
    <cellStyle name="Accent3 5 2 3" xfId="7928" xr:uid="{00000000-0005-0000-0000-0000EC3A0000}"/>
    <cellStyle name="Accent3 5 3" xfId="7929" xr:uid="{00000000-0005-0000-0000-0000ED3A0000}"/>
    <cellStyle name="Accent3 5 4" xfId="7930" xr:uid="{00000000-0005-0000-0000-0000EE3A0000}"/>
    <cellStyle name="Accent3 5 5" xfId="7931" xr:uid="{00000000-0005-0000-0000-0000EF3A0000}"/>
    <cellStyle name="Accent3 6" xfId="7932" xr:uid="{00000000-0005-0000-0000-0000F03A0000}"/>
    <cellStyle name="Accent3 6 2" xfId="7933" xr:uid="{00000000-0005-0000-0000-0000F13A0000}"/>
    <cellStyle name="Accent3 6 3" xfId="7934" xr:uid="{00000000-0005-0000-0000-0000F23A0000}"/>
    <cellStyle name="Accent3 7" xfId="7935" xr:uid="{00000000-0005-0000-0000-0000F33A0000}"/>
    <cellStyle name="Accent3 8" xfId="7936" xr:uid="{00000000-0005-0000-0000-0000F43A0000}"/>
    <cellStyle name="Accent3 9" xfId="7937" xr:uid="{00000000-0005-0000-0000-0000F53A0000}"/>
    <cellStyle name="Accent4 10" xfId="7938" xr:uid="{00000000-0005-0000-0000-0000F63A0000}"/>
    <cellStyle name="Accent4 11" xfId="7939" xr:uid="{00000000-0005-0000-0000-0000F73A0000}"/>
    <cellStyle name="Accent4 12" xfId="7940" xr:uid="{00000000-0005-0000-0000-0000F83A0000}"/>
    <cellStyle name="Accent4 13" xfId="7941" xr:uid="{00000000-0005-0000-0000-0000F93A0000}"/>
    <cellStyle name="Accent4 14" xfId="7942" xr:uid="{00000000-0005-0000-0000-0000FA3A0000}"/>
    <cellStyle name="Accent4 15" xfId="7943" xr:uid="{00000000-0005-0000-0000-0000FB3A0000}"/>
    <cellStyle name="Accent4 16" xfId="7944" xr:uid="{00000000-0005-0000-0000-0000FC3A0000}"/>
    <cellStyle name="Accent4 17" xfId="7945" xr:uid="{00000000-0005-0000-0000-0000FD3A0000}"/>
    <cellStyle name="Accent4 18" xfId="7946" xr:uid="{00000000-0005-0000-0000-0000FE3A0000}"/>
    <cellStyle name="Accent4 19" xfId="7947" xr:uid="{00000000-0005-0000-0000-0000FF3A0000}"/>
    <cellStyle name="Accent4 2" xfId="7948" xr:uid="{00000000-0005-0000-0000-0000003B0000}"/>
    <cellStyle name="Accent4 2 2" xfId="7949" xr:uid="{00000000-0005-0000-0000-0000013B0000}"/>
    <cellStyle name="Accent4 2 2 2" xfId="7950" xr:uid="{00000000-0005-0000-0000-0000023B0000}"/>
    <cellStyle name="Accent4 2 3" xfId="7951" xr:uid="{00000000-0005-0000-0000-0000033B0000}"/>
    <cellStyle name="Accent4 2 3 2" xfId="7952" xr:uid="{00000000-0005-0000-0000-0000043B0000}"/>
    <cellStyle name="Accent4 2 4" xfId="7953" xr:uid="{00000000-0005-0000-0000-0000053B0000}"/>
    <cellStyle name="Accent4 2 4 2" xfId="7954" xr:uid="{00000000-0005-0000-0000-0000063B0000}"/>
    <cellStyle name="Accent4 2 4 3" xfId="7955" xr:uid="{00000000-0005-0000-0000-0000073B0000}"/>
    <cellStyle name="Accent4 2 5" xfId="7956" xr:uid="{00000000-0005-0000-0000-0000083B0000}"/>
    <cellStyle name="Accent4 2 6" xfId="7957" xr:uid="{00000000-0005-0000-0000-0000093B0000}"/>
    <cellStyle name="Accent4 2 7" xfId="7958" xr:uid="{00000000-0005-0000-0000-00000A3B0000}"/>
    <cellStyle name="Accent4 2 8" xfId="7959" xr:uid="{00000000-0005-0000-0000-00000B3B0000}"/>
    <cellStyle name="Accent4 3" xfId="7960" xr:uid="{00000000-0005-0000-0000-00000C3B0000}"/>
    <cellStyle name="Accent4 3 2" xfId="7961" xr:uid="{00000000-0005-0000-0000-00000D3B0000}"/>
    <cellStyle name="Accent4 3 2 2" xfId="7962" xr:uid="{00000000-0005-0000-0000-00000E3B0000}"/>
    <cellStyle name="Accent4 3 2 3" xfId="7963" xr:uid="{00000000-0005-0000-0000-00000F3B0000}"/>
    <cellStyle name="Accent4 3 3" xfId="7964" xr:uid="{00000000-0005-0000-0000-0000103B0000}"/>
    <cellStyle name="Accent4 3 4" xfId="7965" xr:uid="{00000000-0005-0000-0000-0000113B0000}"/>
    <cellStyle name="Accent4 3 5" xfId="7966" xr:uid="{00000000-0005-0000-0000-0000123B0000}"/>
    <cellStyle name="Accent4 4" xfId="7967" xr:uid="{00000000-0005-0000-0000-0000133B0000}"/>
    <cellStyle name="Accent4 4 2" xfId="7968" xr:uid="{00000000-0005-0000-0000-0000143B0000}"/>
    <cellStyle name="Accent4 4 2 2" xfId="7969" xr:uid="{00000000-0005-0000-0000-0000153B0000}"/>
    <cellStyle name="Accent4 4 2 3" xfId="7970" xr:uid="{00000000-0005-0000-0000-0000163B0000}"/>
    <cellStyle name="Accent4 4 3" xfId="7971" xr:uid="{00000000-0005-0000-0000-0000173B0000}"/>
    <cellStyle name="Accent4 4 4" xfId="7972" xr:uid="{00000000-0005-0000-0000-0000183B0000}"/>
    <cellStyle name="Accent4 4 5" xfId="7973" xr:uid="{00000000-0005-0000-0000-0000193B0000}"/>
    <cellStyle name="Accent4 5" xfId="7974" xr:uid="{00000000-0005-0000-0000-00001A3B0000}"/>
    <cellStyle name="Accent4 5 2" xfId="7975" xr:uid="{00000000-0005-0000-0000-00001B3B0000}"/>
    <cellStyle name="Accent4 5 2 2" xfId="7976" xr:uid="{00000000-0005-0000-0000-00001C3B0000}"/>
    <cellStyle name="Accent4 5 2 3" xfId="7977" xr:uid="{00000000-0005-0000-0000-00001D3B0000}"/>
    <cellStyle name="Accent4 5 3" xfId="7978" xr:uid="{00000000-0005-0000-0000-00001E3B0000}"/>
    <cellStyle name="Accent4 5 4" xfId="7979" xr:uid="{00000000-0005-0000-0000-00001F3B0000}"/>
    <cellStyle name="Accent4 5 5" xfId="7980" xr:uid="{00000000-0005-0000-0000-0000203B0000}"/>
    <cellStyle name="Accent4 6" xfId="7981" xr:uid="{00000000-0005-0000-0000-0000213B0000}"/>
    <cellStyle name="Accent4 6 2" xfId="7982" xr:uid="{00000000-0005-0000-0000-0000223B0000}"/>
    <cellStyle name="Accent4 6 3" xfId="7983" xr:uid="{00000000-0005-0000-0000-0000233B0000}"/>
    <cellStyle name="Accent4 7" xfId="7984" xr:uid="{00000000-0005-0000-0000-0000243B0000}"/>
    <cellStyle name="Accent4 8" xfId="7985" xr:uid="{00000000-0005-0000-0000-0000253B0000}"/>
    <cellStyle name="Accent4 9" xfId="7986" xr:uid="{00000000-0005-0000-0000-0000263B0000}"/>
    <cellStyle name="Accent5 10" xfId="7987" xr:uid="{00000000-0005-0000-0000-0000273B0000}"/>
    <cellStyle name="Accent5 11" xfId="7988" xr:uid="{00000000-0005-0000-0000-0000283B0000}"/>
    <cellStyle name="Accent5 12" xfId="7989" xr:uid="{00000000-0005-0000-0000-0000293B0000}"/>
    <cellStyle name="Accent5 13" xfId="7990" xr:uid="{00000000-0005-0000-0000-00002A3B0000}"/>
    <cellStyle name="Accent5 14" xfId="7991" xr:uid="{00000000-0005-0000-0000-00002B3B0000}"/>
    <cellStyle name="Accent5 15" xfId="7992" xr:uid="{00000000-0005-0000-0000-00002C3B0000}"/>
    <cellStyle name="Accent5 16" xfId="7993" xr:uid="{00000000-0005-0000-0000-00002D3B0000}"/>
    <cellStyle name="Accent5 17" xfId="7994" xr:uid="{00000000-0005-0000-0000-00002E3B0000}"/>
    <cellStyle name="Accent5 18" xfId="7995" xr:uid="{00000000-0005-0000-0000-00002F3B0000}"/>
    <cellStyle name="Accent5 19" xfId="7996" xr:uid="{00000000-0005-0000-0000-0000303B0000}"/>
    <cellStyle name="Accent5 2" xfId="7997" xr:uid="{00000000-0005-0000-0000-0000313B0000}"/>
    <cellStyle name="Accent5 2 2" xfId="7998" xr:uid="{00000000-0005-0000-0000-0000323B0000}"/>
    <cellStyle name="Accent5 2 2 2" xfId="7999" xr:uid="{00000000-0005-0000-0000-0000333B0000}"/>
    <cellStyle name="Accent5 2 3" xfId="8000" xr:uid="{00000000-0005-0000-0000-0000343B0000}"/>
    <cellStyle name="Accent5 2 3 2" xfId="8001" xr:uid="{00000000-0005-0000-0000-0000353B0000}"/>
    <cellStyle name="Accent5 2 4" xfId="8002" xr:uid="{00000000-0005-0000-0000-0000363B0000}"/>
    <cellStyle name="Accent5 2 4 2" xfId="8003" xr:uid="{00000000-0005-0000-0000-0000373B0000}"/>
    <cellStyle name="Accent5 2 4 3" xfId="8004" xr:uid="{00000000-0005-0000-0000-0000383B0000}"/>
    <cellStyle name="Accent5 2 5" xfId="8005" xr:uid="{00000000-0005-0000-0000-0000393B0000}"/>
    <cellStyle name="Accent5 2 6" xfId="8006" xr:uid="{00000000-0005-0000-0000-00003A3B0000}"/>
    <cellStyle name="Accent5 2 7" xfId="8007" xr:uid="{00000000-0005-0000-0000-00003B3B0000}"/>
    <cellStyle name="Accent5 2 8" xfId="8008" xr:uid="{00000000-0005-0000-0000-00003C3B0000}"/>
    <cellStyle name="Accent5 3" xfId="8009" xr:uid="{00000000-0005-0000-0000-00003D3B0000}"/>
    <cellStyle name="Accent5 3 2" xfId="8010" xr:uid="{00000000-0005-0000-0000-00003E3B0000}"/>
    <cellStyle name="Accent5 3 2 2" xfId="8011" xr:uid="{00000000-0005-0000-0000-00003F3B0000}"/>
    <cellStyle name="Accent5 3 2 3" xfId="8012" xr:uid="{00000000-0005-0000-0000-0000403B0000}"/>
    <cellStyle name="Accent5 3 3" xfId="8013" xr:uid="{00000000-0005-0000-0000-0000413B0000}"/>
    <cellStyle name="Accent5 3 4" xfId="8014" xr:uid="{00000000-0005-0000-0000-0000423B0000}"/>
    <cellStyle name="Accent5 3 5" xfId="8015" xr:uid="{00000000-0005-0000-0000-0000433B0000}"/>
    <cellStyle name="Accent5 4" xfId="8016" xr:uid="{00000000-0005-0000-0000-0000443B0000}"/>
    <cellStyle name="Accent5 4 2" xfId="8017" xr:uid="{00000000-0005-0000-0000-0000453B0000}"/>
    <cellStyle name="Accent5 4 2 2" xfId="8018" xr:uid="{00000000-0005-0000-0000-0000463B0000}"/>
    <cellStyle name="Accent5 4 2 3" xfId="8019" xr:uid="{00000000-0005-0000-0000-0000473B0000}"/>
    <cellStyle name="Accent5 4 3" xfId="8020" xr:uid="{00000000-0005-0000-0000-0000483B0000}"/>
    <cellStyle name="Accent5 4 4" xfId="8021" xr:uid="{00000000-0005-0000-0000-0000493B0000}"/>
    <cellStyle name="Accent5 4 5" xfId="8022" xr:uid="{00000000-0005-0000-0000-00004A3B0000}"/>
    <cellStyle name="Accent5 5" xfId="8023" xr:uid="{00000000-0005-0000-0000-00004B3B0000}"/>
    <cellStyle name="Accent5 5 2" xfId="8024" xr:uid="{00000000-0005-0000-0000-00004C3B0000}"/>
    <cellStyle name="Accent5 5 2 2" xfId="8025" xr:uid="{00000000-0005-0000-0000-00004D3B0000}"/>
    <cellStyle name="Accent5 5 2 3" xfId="8026" xr:uid="{00000000-0005-0000-0000-00004E3B0000}"/>
    <cellStyle name="Accent5 5 3" xfId="8027" xr:uid="{00000000-0005-0000-0000-00004F3B0000}"/>
    <cellStyle name="Accent5 5 4" xfId="8028" xr:uid="{00000000-0005-0000-0000-0000503B0000}"/>
    <cellStyle name="Accent5 5 5" xfId="8029" xr:uid="{00000000-0005-0000-0000-0000513B0000}"/>
    <cellStyle name="Accent5 6" xfId="8030" xr:uid="{00000000-0005-0000-0000-0000523B0000}"/>
    <cellStyle name="Accent5 6 2" xfId="8031" xr:uid="{00000000-0005-0000-0000-0000533B0000}"/>
    <cellStyle name="Accent5 6 3" xfId="8032" xr:uid="{00000000-0005-0000-0000-0000543B0000}"/>
    <cellStyle name="Accent5 7" xfId="8033" xr:uid="{00000000-0005-0000-0000-0000553B0000}"/>
    <cellStyle name="Accent5 8" xfId="8034" xr:uid="{00000000-0005-0000-0000-0000563B0000}"/>
    <cellStyle name="Accent5 9" xfId="8035" xr:uid="{00000000-0005-0000-0000-0000573B0000}"/>
    <cellStyle name="Accent6 10" xfId="8036" xr:uid="{00000000-0005-0000-0000-0000583B0000}"/>
    <cellStyle name="Accent6 11" xfId="8037" xr:uid="{00000000-0005-0000-0000-0000593B0000}"/>
    <cellStyle name="Accent6 12" xfId="8038" xr:uid="{00000000-0005-0000-0000-00005A3B0000}"/>
    <cellStyle name="Accent6 13" xfId="8039" xr:uid="{00000000-0005-0000-0000-00005B3B0000}"/>
    <cellStyle name="Accent6 14" xfId="8040" xr:uid="{00000000-0005-0000-0000-00005C3B0000}"/>
    <cellStyle name="Accent6 15" xfId="8041" xr:uid="{00000000-0005-0000-0000-00005D3B0000}"/>
    <cellStyle name="Accent6 16" xfId="8042" xr:uid="{00000000-0005-0000-0000-00005E3B0000}"/>
    <cellStyle name="Accent6 17" xfId="8043" xr:uid="{00000000-0005-0000-0000-00005F3B0000}"/>
    <cellStyle name="Accent6 18" xfId="8044" xr:uid="{00000000-0005-0000-0000-0000603B0000}"/>
    <cellStyle name="Accent6 19" xfId="8045" xr:uid="{00000000-0005-0000-0000-0000613B0000}"/>
    <cellStyle name="Accent6 2" xfId="8046" xr:uid="{00000000-0005-0000-0000-0000623B0000}"/>
    <cellStyle name="Accent6 2 2" xfId="8047" xr:uid="{00000000-0005-0000-0000-0000633B0000}"/>
    <cellStyle name="Accent6 2 2 2" xfId="8048" xr:uid="{00000000-0005-0000-0000-0000643B0000}"/>
    <cellStyle name="Accent6 2 3" xfId="8049" xr:uid="{00000000-0005-0000-0000-0000653B0000}"/>
    <cellStyle name="Accent6 2 3 2" xfId="8050" xr:uid="{00000000-0005-0000-0000-0000663B0000}"/>
    <cellStyle name="Accent6 2 4" xfId="8051" xr:uid="{00000000-0005-0000-0000-0000673B0000}"/>
    <cellStyle name="Accent6 2 4 2" xfId="8052" xr:uid="{00000000-0005-0000-0000-0000683B0000}"/>
    <cellStyle name="Accent6 2 4 3" xfId="8053" xr:uid="{00000000-0005-0000-0000-0000693B0000}"/>
    <cellStyle name="Accent6 2 5" xfId="8054" xr:uid="{00000000-0005-0000-0000-00006A3B0000}"/>
    <cellStyle name="Accent6 2 6" xfId="8055" xr:uid="{00000000-0005-0000-0000-00006B3B0000}"/>
    <cellStyle name="Accent6 2 7" xfId="8056" xr:uid="{00000000-0005-0000-0000-00006C3B0000}"/>
    <cellStyle name="Accent6 2 8" xfId="8057" xr:uid="{00000000-0005-0000-0000-00006D3B0000}"/>
    <cellStyle name="Accent6 3" xfId="8058" xr:uid="{00000000-0005-0000-0000-00006E3B0000}"/>
    <cellStyle name="Accent6 3 2" xfId="8059" xr:uid="{00000000-0005-0000-0000-00006F3B0000}"/>
    <cellStyle name="Accent6 3 2 2" xfId="8060" xr:uid="{00000000-0005-0000-0000-0000703B0000}"/>
    <cellStyle name="Accent6 3 2 3" xfId="8061" xr:uid="{00000000-0005-0000-0000-0000713B0000}"/>
    <cellStyle name="Accent6 3 3" xfId="8062" xr:uid="{00000000-0005-0000-0000-0000723B0000}"/>
    <cellStyle name="Accent6 3 4" xfId="8063" xr:uid="{00000000-0005-0000-0000-0000733B0000}"/>
    <cellStyle name="Accent6 3 5" xfId="8064" xr:uid="{00000000-0005-0000-0000-0000743B0000}"/>
    <cellStyle name="Accent6 4" xfId="8065" xr:uid="{00000000-0005-0000-0000-0000753B0000}"/>
    <cellStyle name="Accent6 4 2" xfId="8066" xr:uid="{00000000-0005-0000-0000-0000763B0000}"/>
    <cellStyle name="Accent6 4 2 2" xfId="8067" xr:uid="{00000000-0005-0000-0000-0000773B0000}"/>
    <cellStyle name="Accent6 4 2 3" xfId="8068" xr:uid="{00000000-0005-0000-0000-0000783B0000}"/>
    <cellStyle name="Accent6 4 3" xfId="8069" xr:uid="{00000000-0005-0000-0000-0000793B0000}"/>
    <cellStyle name="Accent6 4 4" xfId="8070" xr:uid="{00000000-0005-0000-0000-00007A3B0000}"/>
    <cellStyle name="Accent6 4 5" xfId="8071" xr:uid="{00000000-0005-0000-0000-00007B3B0000}"/>
    <cellStyle name="Accent6 5" xfId="8072" xr:uid="{00000000-0005-0000-0000-00007C3B0000}"/>
    <cellStyle name="Accent6 5 2" xfId="8073" xr:uid="{00000000-0005-0000-0000-00007D3B0000}"/>
    <cellStyle name="Accent6 5 2 2" xfId="8074" xr:uid="{00000000-0005-0000-0000-00007E3B0000}"/>
    <cellStyle name="Accent6 5 2 3" xfId="8075" xr:uid="{00000000-0005-0000-0000-00007F3B0000}"/>
    <cellStyle name="Accent6 5 3" xfId="8076" xr:uid="{00000000-0005-0000-0000-0000803B0000}"/>
    <cellStyle name="Accent6 5 4" xfId="8077" xr:uid="{00000000-0005-0000-0000-0000813B0000}"/>
    <cellStyle name="Accent6 5 5" xfId="8078" xr:uid="{00000000-0005-0000-0000-0000823B0000}"/>
    <cellStyle name="Accent6 6" xfId="8079" xr:uid="{00000000-0005-0000-0000-0000833B0000}"/>
    <cellStyle name="Accent6 6 2" xfId="8080" xr:uid="{00000000-0005-0000-0000-0000843B0000}"/>
    <cellStyle name="Accent6 6 3" xfId="8081" xr:uid="{00000000-0005-0000-0000-0000853B0000}"/>
    <cellStyle name="Accent6 7" xfId="8082" xr:uid="{00000000-0005-0000-0000-0000863B0000}"/>
    <cellStyle name="Accent6 8" xfId="8083" xr:uid="{00000000-0005-0000-0000-0000873B0000}"/>
    <cellStyle name="Accent6 9" xfId="8084" xr:uid="{00000000-0005-0000-0000-0000883B0000}"/>
    <cellStyle name="accounting" xfId="8085" xr:uid="{00000000-0005-0000-0000-0000893B0000}"/>
    <cellStyle name="accounting 2" xfId="8086" xr:uid="{00000000-0005-0000-0000-00008A3B0000}"/>
    <cellStyle name="accounting 2 2" xfId="8087" xr:uid="{00000000-0005-0000-0000-00008B3B0000}"/>
    <cellStyle name="accounting 2 3" xfId="20245" xr:uid="{00000000-0005-0000-0000-00008C3B0000}"/>
    <cellStyle name="accounting 3" xfId="8088" xr:uid="{00000000-0005-0000-0000-00008D3B0000}"/>
    <cellStyle name="accounting 3 2" xfId="20246" xr:uid="{00000000-0005-0000-0000-00008E3B0000}"/>
    <cellStyle name="accounting 4" xfId="8089" xr:uid="{00000000-0005-0000-0000-00008F3B0000}"/>
    <cellStyle name="accounting 4 2" xfId="20247" xr:uid="{00000000-0005-0000-0000-0000903B0000}"/>
    <cellStyle name="accounting 5" xfId="8090" xr:uid="{00000000-0005-0000-0000-0000913B0000}"/>
    <cellStyle name="accounting 5 2" xfId="20248" xr:uid="{00000000-0005-0000-0000-0000923B0000}"/>
    <cellStyle name="accounting 6" xfId="20249" xr:uid="{00000000-0005-0000-0000-0000933B0000}"/>
    <cellStyle name="Accounting w/$" xfId="8091" xr:uid="{00000000-0005-0000-0000-0000943B0000}"/>
    <cellStyle name="Accounting w/$ Total" xfId="8092" xr:uid="{00000000-0005-0000-0000-0000953B0000}"/>
    <cellStyle name="Accounting w/o $" xfId="8093" xr:uid="{00000000-0005-0000-0000-0000963B0000}"/>
    <cellStyle name="acct" xfId="16349" xr:uid="{00000000-0005-0000-0000-0000973B0000}"/>
    <cellStyle name="acct bold" xfId="16350" xr:uid="{00000000-0005-0000-0000-0000983B0000}"/>
    <cellStyle name="acct no" xfId="16351" xr:uid="{00000000-0005-0000-0000-0000993B0000}"/>
    <cellStyle name="acct_EPL LBO 5.16.05 - Mgmt IPO v6" xfId="16352" xr:uid="{00000000-0005-0000-0000-00009A3B0000}"/>
    <cellStyle name="Acctg" xfId="16353" xr:uid="{00000000-0005-0000-0000-00009B3B0000}"/>
    <cellStyle name="Açıklama Metni" xfId="16354" xr:uid="{00000000-0005-0000-0000-00009C3B0000}"/>
    <cellStyle name="Across" xfId="16355" xr:uid="{00000000-0005-0000-0000-00009D3B0000}"/>
    <cellStyle name="active" xfId="8094" xr:uid="{00000000-0005-0000-0000-00009E3B0000}"/>
    <cellStyle name="active 2" xfId="8095" xr:uid="{00000000-0005-0000-0000-00009F3B0000}"/>
    <cellStyle name="active 2 2" xfId="8096" xr:uid="{00000000-0005-0000-0000-0000A03B0000}"/>
    <cellStyle name="active 3" xfId="8097" xr:uid="{00000000-0005-0000-0000-0000A13B0000}"/>
    <cellStyle name="active 4" xfId="8098" xr:uid="{00000000-0005-0000-0000-0000A23B0000}"/>
    <cellStyle name="active 5" xfId="8099" xr:uid="{00000000-0005-0000-0000-0000A33B0000}"/>
    <cellStyle name="Actual" xfId="16356" xr:uid="{00000000-0005-0000-0000-0000A43B0000}"/>
    <cellStyle name="Actual Date" xfId="8100" xr:uid="{00000000-0005-0000-0000-0000A53B0000}"/>
    <cellStyle name="Actuals" xfId="8101" xr:uid="{00000000-0005-0000-0000-0000A63B0000}"/>
    <cellStyle name="Actuals 10" xfId="8102" xr:uid="{00000000-0005-0000-0000-0000A73B0000}"/>
    <cellStyle name="Actuals 10 2" xfId="8103" xr:uid="{00000000-0005-0000-0000-0000A83B0000}"/>
    <cellStyle name="Actuals 11" xfId="8104" xr:uid="{00000000-0005-0000-0000-0000A93B0000}"/>
    <cellStyle name="Actuals 11 2" xfId="8105" xr:uid="{00000000-0005-0000-0000-0000AA3B0000}"/>
    <cellStyle name="Actuals 12" xfId="8106" xr:uid="{00000000-0005-0000-0000-0000AB3B0000}"/>
    <cellStyle name="Actuals 12 2" xfId="8107" xr:uid="{00000000-0005-0000-0000-0000AC3B0000}"/>
    <cellStyle name="Actuals 13" xfId="8108" xr:uid="{00000000-0005-0000-0000-0000AD3B0000}"/>
    <cellStyle name="Actuals 13 2" xfId="8109" xr:uid="{00000000-0005-0000-0000-0000AE3B0000}"/>
    <cellStyle name="Actuals 14" xfId="8110" xr:uid="{00000000-0005-0000-0000-0000AF3B0000}"/>
    <cellStyle name="Actuals 14 2" xfId="8111" xr:uid="{00000000-0005-0000-0000-0000B03B0000}"/>
    <cellStyle name="Actuals 15" xfId="8112" xr:uid="{00000000-0005-0000-0000-0000B13B0000}"/>
    <cellStyle name="Actuals 15 2" xfId="8113" xr:uid="{00000000-0005-0000-0000-0000B23B0000}"/>
    <cellStyle name="Actuals 16" xfId="8114" xr:uid="{00000000-0005-0000-0000-0000B33B0000}"/>
    <cellStyle name="Actuals 16 2" xfId="8115" xr:uid="{00000000-0005-0000-0000-0000B43B0000}"/>
    <cellStyle name="Actuals 17" xfId="8116" xr:uid="{00000000-0005-0000-0000-0000B53B0000}"/>
    <cellStyle name="Actuals 17 2" xfId="8117" xr:uid="{00000000-0005-0000-0000-0000B63B0000}"/>
    <cellStyle name="Actuals 18" xfId="8118" xr:uid="{00000000-0005-0000-0000-0000B73B0000}"/>
    <cellStyle name="Actuals 18 2" xfId="8119" xr:uid="{00000000-0005-0000-0000-0000B83B0000}"/>
    <cellStyle name="Actuals 19" xfId="8120" xr:uid="{00000000-0005-0000-0000-0000B93B0000}"/>
    <cellStyle name="Actuals 19 2" xfId="8121" xr:uid="{00000000-0005-0000-0000-0000BA3B0000}"/>
    <cellStyle name="Actuals 2" xfId="8122" xr:uid="{00000000-0005-0000-0000-0000BB3B0000}"/>
    <cellStyle name="Actuals 2 2" xfId="8123" xr:uid="{00000000-0005-0000-0000-0000BC3B0000}"/>
    <cellStyle name="Actuals 2 2 2" xfId="8124" xr:uid="{00000000-0005-0000-0000-0000BD3B0000}"/>
    <cellStyle name="Actuals 2 2 3" xfId="8125" xr:uid="{00000000-0005-0000-0000-0000BE3B0000}"/>
    <cellStyle name="Actuals 2 3" xfId="8126" xr:uid="{00000000-0005-0000-0000-0000BF3B0000}"/>
    <cellStyle name="Actuals 2 4" xfId="8127" xr:uid="{00000000-0005-0000-0000-0000C03B0000}"/>
    <cellStyle name="Actuals 2 5" xfId="8128" xr:uid="{00000000-0005-0000-0000-0000C13B0000}"/>
    <cellStyle name="Actuals 20" xfId="8129" xr:uid="{00000000-0005-0000-0000-0000C23B0000}"/>
    <cellStyle name="Actuals 20 2" xfId="8130" xr:uid="{00000000-0005-0000-0000-0000C33B0000}"/>
    <cellStyle name="Actuals 21" xfId="8131" xr:uid="{00000000-0005-0000-0000-0000C43B0000}"/>
    <cellStyle name="Actuals 21 2" xfId="8132" xr:uid="{00000000-0005-0000-0000-0000C53B0000}"/>
    <cellStyle name="Actuals 22" xfId="8133" xr:uid="{00000000-0005-0000-0000-0000C63B0000}"/>
    <cellStyle name="Actuals 22 2" xfId="8134" xr:uid="{00000000-0005-0000-0000-0000C73B0000}"/>
    <cellStyle name="Actuals 23" xfId="8135" xr:uid="{00000000-0005-0000-0000-0000C83B0000}"/>
    <cellStyle name="Actuals 23 2" xfId="8136" xr:uid="{00000000-0005-0000-0000-0000C93B0000}"/>
    <cellStyle name="Actuals 24" xfId="8137" xr:uid="{00000000-0005-0000-0000-0000CA3B0000}"/>
    <cellStyle name="Actuals 24 2" xfId="8138" xr:uid="{00000000-0005-0000-0000-0000CB3B0000}"/>
    <cellStyle name="Actuals 25" xfId="8139" xr:uid="{00000000-0005-0000-0000-0000CC3B0000}"/>
    <cellStyle name="Actuals 25 2" xfId="8140" xr:uid="{00000000-0005-0000-0000-0000CD3B0000}"/>
    <cellStyle name="Actuals 26" xfId="8141" xr:uid="{00000000-0005-0000-0000-0000CE3B0000}"/>
    <cellStyle name="Actuals 26 2" xfId="8142" xr:uid="{00000000-0005-0000-0000-0000CF3B0000}"/>
    <cellStyle name="Actuals 27" xfId="8143" xr:uid="{00000000-0005-0000-0000-0000D03B0000}"/>
    <cellStyle name="Actuals 27 2" xfId="8144" xr:uid="{00000000-0005-0000-0000-0000D13B0000}"/>
    <cellStyle name="Actuals 28" xfId="8145" xr:uid="{00000000-0005-0000-0000-0000D23B0000}"/>
    <cellStyle name="Actuals 28 2" xfId="8146" xr:uid="{00000000-0005-0000-0000-0000D33B0000}"/>
    <cellStyle name="Actuals 29" xfId="8147" xr:uid="{00000000-0005-0000-0000-0000D43B0000}"/>
    <cellStyle name="Actuals 29 2" xfId="8148" xr:uid="{00000000-0005-0000-0000-0000D53B0000}"/>
    <cellStyle name="Actuals 3" xfId="8149" xr:uid="{00000000-0005-0000-0000-0000D63B0000}"/>
    <cellStyle name="Actuals 3 2" xfId="8150" xr:uid="{00000000-0005-0000-0000-0000D73B0000}"/>
    <cellStyle name="Actuals 30" xfId="8151" xr:uid="{00000000-0005-0000-0000-0000D83B0000}"/>
    <cellStyle name="Actuals 30 2" xfId="8152" xr:uid="{00000000-0005-0000-0000-0000D93B0000}"/>
    <cellStyle name="Actuals 30 3" xfId="8153" xr:uid="{00000000-0005-0000-0000-0000DA3B0000}"/>
    <cellStyle name="Actuals 31" xfId="8154" xr:uid="{00000000-0005-0000-0000-0000DB3B0000}"/>
    <cellStyle name="Actuals 32" xfId="8155" xr:uid="{00000000-0005-0000-0000-0000DC3B0000}"/>
    <cellStyle name="Actuals 33" xfId="8156" xr:uid="{00000000-0005-0000-0000-0000DD3B0000}"/>
    <cellStyle name="Actuals 4" xfId="8157" xr:uid="{00000000-0005-0000-0000-0000DE3B0000}"/>
    <cellStyle name="Actuals 4 2" xfId="8158" xr:uid="{00000000-0005-0000-0000-0000DF3B0000}"/>
    <cellStyle name="Actuals 5" xfId="8159" xr:uid="{00000000-0005-0000-0000-0000E03B0000}"/>
    <cellStyle name="Actuals 5 2" xfId="8160" xr:uid="{00000000-0005-0000-0000-0000E13B0000}"/>
    <cellStyle name="Actuals 6" xfId="8161" xr:uid="{00000000-0005-0000-0000-0000E23B0000}"/>
    <cellStyle name="Actuals 6 2" xfId="8162" xr:uid="{00000000-0005-0000-0000-0000E33B0000}"/>
    <cellStyle name="Actuals 7" xfId="8163" xr:uid="{00000000-0005-0000-0000-0000E43B0000}"/>
    <cellStyle name="Actuals 7 2" xfId="8164" xr:uid="{00000000-0005-0000-0000-0000E53B0000}"/>
    <cellStyle name="Actuals 8" xfId="8165" xr:uid="{00000000-0005-0000-0000-0000E63B0000}"/>
    <cellStyle name="Actuals 8 2" xfId="8166" xr:uid="{00000000-0005-0000-0000-0000E73B0000}"/>
    <cellStyle name="Actuals 9" xfId="8167" xr:uid="{00000000-0005-0000-0000-0000E83B0000}"/>
    <cellStyle name="Actuals 9 2" xfId="8168" xr:uid="{00000000-0005-0000-0000-0000E93B0000}"/>
    <cellStyle name="adj_share" xfId="8169" xr:uid="{00000000-0005-0000-0000-0000EA3B0000}"/>
    <cellStyle name="Adjustable" xfId="8170" xr:uid="{00000000-0005-0000-0000-0000EB3B0000}"/>
    <cellStyle name="Adjusted" xfId="8171" xr:uid="{00000000-0005-0000-0000-0000EC3B0000}"/>
    <cellStyle name="Adjusted 2" xfId="8172" xr:uid="{00000000-0005-0000-0000-0000ED3B0000}"/>
    <cellStyle name="Adjusted 2 2" xfId="8173" xr:uid="{00000000-0005-0000-0000-0000EE3B0000}"/>
    <cellStyle name="Adjusted 2 3" xfId="20250" xr:uid="{00000000-0005-0000-0000-0000EF3B0000}"/>
    <cellStyle name="Adjusted 3" xfId="8174" xr:uid="{00000000-0005-0000-0000-0000F03B0000}"/>
    <cellStyle name="Adjusted 3 2" xfId="20251" xr:uid="{00000000-0005-0000-0000-0000F13B0000}"/>
    <cellStyle name="Adjusted 4" xfId="8175" xr:uid="{00000000-0005-0000-0000-0000F23B0000}"/>
    <cellStyle name="Adjusted 4 2" xfId="20252" xr:uid="{00000000-0005-0000-0000-0000F33B0000}"/>
    <cellStyle name="Adjusted 5" xfId="8176" xr:uid="{00000000-0005-0000-0000-0000F43B0000}"/>
    <cellStyle name="Adjusted 5 2" xfId="20253" xr:uid="{00000000-0005-0000-0000-0000F53B0000}"/>
    <cellStyle name="Adjusted 6" xfId="20254" xr:uid="{00000000-0005-0000-0000-0000F63B0000}"/>
    <cellStyle name="AFE" xfId="8177" xr:uid="{00000000-0005-0000-0000-0000F73B0000}"/>
    <cellStyle name="AFE 2" xfId="8178" xr:uid="{00000000-0005-0000-0000-0000F83B0000}"/>
    <cellStyle name="AFE 2 2" xfId="8179" xr:uid="{00000000-0005-0000-0000-0000F93B0000}"/>
    <cellStyle name="AFE 3" xfId="8180" xr:uid="{00000000-0005-0000-0000-0000FA3B0000}"/>
    <cellStyle name="AFE 4" xfId="8181" xr:uid="{00000000-0005-0000-0000-0000FB3B0000}"/>
    <cellStyle name="Afjusted" xfId="8182" xr:uid="{00000000-0005-0000-0000-0000FC3B0000}"/>
    <cellStyle name="Afjusted 2" xfId="8183" xr:uid="{00000000-0005-0000-0000-0000FD3B0000}"/>
    <cellStyle name="Afjusted 2 2" xfId="8184" xr:uid="{00000000-0005-0000-0000-0000FE3B0000}"/>
    <cellStyle name="Afjusted 3" xfId="8185" xr:uid="{00000000-0005-0000-0000-0000FF3B0000}"/>
    <cellStyle name="Afjusted 4" xfId="8186" xr:uid="{00000000-0005-0000-0000-0000003C0000}"/>
    <cellStyle name="Afjusted 5" xfId="8187" xr:uid="{00000000-0005-0000-0000-0000013C0000}"/>
    <cellStyle name="ai_תנאי הצמדה " xfId="8188" xr:uid="{00000000-0005-0000-0000-0000023C0000}"/>
    <cellStyle name="AIRCO" xfId="8189" xr:uid="{00000000-0005-0000-0000-0000033C0000}"/>
    <cellStyle name="AIRCO 2" xfId="8190" xr:uid="{00000000-0005-0000-0000-0000043C0000}"/>
    <cellStyle name="AIRCO 2 2" xfId="15950" xr:uid="{00000000-0005-0000-0000-0000053C0000}"/>
    <cellStyle name="AIRCO 2 3" xfId="19901" xr:uid="{00000000-0005-0000-0000-0000063C0000}"/>
    <cellStyle name="AIRCO 3" xfId="15949" xr:uid="{00000000-0005-0000-0000-0000073C0000}"/>
    <cellStyle name="AIRCO 4" xfId="19900" xr:uid="{00000000-0005-0000-0000-0000083C0000}"/>
    <cellStyle name="amount" xfId="8191" xr:uid="{00000000-0005-0000-0000-0000093C0000}"/>
    <cellStyle name="amount 2" xfId="8192" xr:uid="{00000000-0005-0000-0000-00000A3C0000}"/>
    <cellStyle name="amount 2 2" xfId="8193" xr:uid="{00000000-0005-0000-0000-00000B3C0000}"/>
    <cellStyle name="amount 2 2 2" xfId="8194" xr:uid="{00000000-0005-0000-0000-00000C3C0000}"/>
    <cellStyle name="amount 2 2 2 2" xfId="15952" xr:uid="{00000000-0005-0000-0000-00000D3C0000}"/>
    <cellStyle name="amount 2 2 2 3" xfId="19903" xr:uid="{00000000-0005-0000-0000-00000E3C0000}"/>
    <cellStyle name="amount 2 2 3" xfId="15951" xr:uid="{00000000-0005-0000-0000-00000F3C0000}"/>
    <cellStyle name="amount 2 2 4" xfId="19902" xr:uid="{00000000-0005-0000-0000-0000103C0000}"/>
    <cellStyle name="amount 2 3" xfId="8195" xr:uid="{00000000-0005-0000-0000-0000113C0000}"/>
    <cellStyle name="amount 2 3 2" xfId="8196" xr:uid="{00000000-0005-0000-0000-0000123C0000}"/>
    <cellStyle name="amount 2 3 2 2" xfId="15954" xr:uid="{00000000-0005-0000-0000-0000133C0000}"/>
    <cellStyle name="amount 2 3 2 3" xfId="19905" xr:uid="{00000000-0005-0000-0000-0000143C0000}"/>
    <cellStyle name="amount 2 3 3" xfId="15953" xr:uid="{00000000-0005-0000-0000-0000153C0000}"/>
    <cellStyle name="amount 2 3 4" xfId="19904" xr:uid="{00000000-0005-0000-0000-0000163C0000}"/>
    <cellStyle name="amount 2 4" xfId="8197" xr:uid="{00000000-0005-0000-0000-0000173C0000}"/>
    <cellStyle name="amount 2 4 2" xfId="8198" xr:uid="{00000000-0005-0000-0000-0000183C0000}"/>
    <cellStyle name="amount 2 4 2 2" xfId="15956" xr:uid="{00000000-0005-0000-0000-0000193C0000}"/>
    <cellStyle name="amount 2 4 2 3" xfId="19907" xr:uid="{00000000-0005-0000-0000-00001A3C0000}"/>
    <cellStyle name="amount 2 4 3" xfId="15955" xr:uid="{00000000-0005-0000-0000-00001B3C0000}"/>
    <cellStyle name="amount 2 4 4" xfId="19906" xr:uid="{00000000-0005-0000-0000-00001C3C0000}"/>
    <cellStyle name="amount 2 5" xfId="8199" xr:uid="{00000000-0005-0000-0000-00001D3C0000}"/>
    <cellStyle name="amount 2 5 2" xfId="8200" xr:uid="{00000000-0005-0000-0000-00001E3C0000}"/>
    <cellStyle name="amount 2 5 2 2" xfId="15958" xr:uid="{00000000-0005-0000-0000-00001F3C0000}"/>
    <cellStyle name="amount 2 5 2 3" xfId="19909" xr:uid="{00000000-0005-0000-0000-0000203C0000}"/>
    <cellStyle name="amount 2 5 3" xfId="15957" xr:uid="{00000000-0005-0000-0000-0000213C0000}"/>
    <cellStyle name="amount 2 5 4" xfId="19908" xr:uid="{00000000-0005-0000-0000-0000223C0000}"/>
    <cellStyle name="amount 3" xfId="8201" xr:uid="{00000000-0005-0000-0000-0000233C0000}"/>
    <cellStyle name="amount 3 2" xfId="8202" xr:uid="{00000000-0005-0000-0000-0000243C0000}"/>
    <cellStyle name="amount 3 2 2" xfId="8203" xr:uid="{00000000-0005-0000-0000-0000253C0000}"/>
    <cellStyle name="amount 3 2 2 2" xfId="15961" xr:uid="{00000000-0005-0000-0000-0000263C0000}"/>
    <cellStyle name="amount 3 2 2 3" xfId="19912" xr:uid="{00000000-0005-0000-0000-0000273C0000}"/>
    <cellStyle name="amount 3 2 3" xfId="15960" xr:uid="{00000000-0005-0000-0000-0000283C0000}"/>
    <cellStyle name="amount 3 2 4" xfId="19911" xr:uid="{00000000-0005-0000-0000-0000293C0000}"/>
    <cellStyle name="amount 3 3" xfId="8204" xr:uid="{00000000-0005-0000-0000-00002A3C0000}"/>
    <cellStyle name="amount 3 3 2" xfId="8205" xr:uid="{00000000-0005-0000-0000-00002B3C0000}"/>
    <cellStyle name="amount 3 3 2 2" xfId="15963" xr:uid="{00000000-0005-0000-0000-00002C3C0000}"/>
    <cellStyle name="amount 3 3 2 3" xfId="19914" xr:uid="{00000000-0005-0000-0000-00002D3C0000}"/>
    <cellStyle name="amount 3 3 3" xfId="15962" xr:uid="{00000000-0005-0000-0000-00002E3C0000}"/>
    <cellStyle name="amount 3 3 4" xfId="19913" xr:uid="{00000000-0005-0000-0000-00002F3C0000}"/>
    <cellStyle name="amount 3 4" xfId="8206" xr:uid="{00000000-0005-0000-0000-0000303C0000}"/>
    <cellStyle name="amount 3 4 2" xfId="8207" xr:uid="{00000000-0005-0000-0000-0000313C0000}"/>
    <cellStyle name="amount 3 4 2 2" xfId="15965" xr:uid="{00000000-0005-0000-0000-0000323C0000}"/>
    <cellStyle name="amount 3 4 2 3" xfId="19916" xr:uid="{00000000-0005-0000-0000-0000333C0000}"/>
    <cellStyle name="amount 3 4 3" xfId="15964" xr:uid="{00000000-0005-0000-0000-0000343C0000}"/>
    <cellStyle name="amount 3 4 4" xfId="19915" xr:uid="{00000000-0005-0000-0000-0000353C0000}"/>
    <cellStyle name="amount 3 5" xfId="8208" xr:uid="{00000000-0005-0000-0000-0000363C0000}"/>
    <cellStyle name="amount 3 5 2" xfId="8209" xr:uid="{00000000-0005-0000-0000-0000373C0000}"/>
    <cellStyle name="amount 3 5 2 2" xfId="15967" xr:uid="{00000000-0005-0000-0000-0000383C0000}"/>
    <cellStyle name="amount 3 5 2 3" xfId="19918" xr:uid="{00000000-0005-0000-0000-0000393C0000}"/>
    <cellStyle name="amount 3 5 3" xfId="15966" xr:uid="{00000000-0005-0000-0000-00003A3C0000}"/>
    <cellStyle name="amount 3 5 4" xfId="19917" xr:uid="{00000000-0005-0000-0000-00003B3C0000}"/>
    <cellStyle name="amount 3 6" xfId="15959" xr:uid="{00000000-0005-0000-0000-00003C3C0000}"/>
    <cellStyle name="amount 3 7" xfId="19910" xr:uid="{00000000-0005-0000-0000-00003D3C0000}"/>
    <cellStyle name="amount 4" xfId="8210" xr:uid="{00000000-0005-0000-0000-00003E3C0000}"/>
    <cellStyle name="amount 4 2" xfId="8211" xr:uid="{00000000-0005-0000-0000-00003F3C0000}"/>
    <cellStyle name="amount 4 2 2" xfId="15969" xr:uid="{00000000-0005-0000-0000-0000403C0000}"/>
    <cellStyle name="amount 4 2 3" xfId="19920" xr:uid="{00000000-0005-0000-0000-0000413C0000}"/>
    <cellStyle name="amount 4 3" xfId="15968" xr:uid="{00000000-0005-0000-0000-0000423C0000}"/>
    <cellStyle name="amount 4 4" xfId="19919" xr:uid="{00000000-0005-0000-0000-0000433C0000}"/>
    <cellStyle name="amount 5" xfId="8212" xr:uid="{00000000-0005-0000-0000-0000443C0000}"/>
    <cellStyle name="amount 5 2" xfId="8213" xr:uid="{00000000-0005-0000-0000-0000453C0000}"/>
    <cellStyle name="amount 5 2 2" xfId="15971" xr:uid="{00000000-0005-0000-0000-0000463C0000}"/>
    <cellStyle name="amount 5 2 3" xfId="19922" xr:uid="{00000000-0005-0000-0000-0000473C0000}"/>
    <cellStyle name="amount 5 3" xfId="15970" xr:uid="{00000000-0005-0000-0000-0000483C0000}"/>
    <cellStyle name="amount 5 4" xfId="19921" xr:uid="{00000000-0005-0000-0000-0000493C0000}"/>
    <cellStyle name="amount 6" xfId="8214" xr:uid="{00000000-0005-0000-0000-00004A3C0000}"/>
    <cellStyle name="amount 6 2" xfId="8215" xr:uid="{00000000-0005-0000-0000-00004B3C0000}"/>
    <cellStyle name="amount 6 2 2" xfId="15973" xr:uid="{00000000-0005-0000-0000-00004C3C0000}"/>
    <cellStyle name="amount 6 2 3" xfId="19924" xr:uid="{00000000-0005-0000-0000-00004D3C0000}"/>
    <cellStyle name="amount 6 3" xfId="15972" xr:uid="{00000000-0005-0000-0000-00004E3C0000}"/>
    <cellStyle name="amount 6 4" xfId="19923" xr:uid="{00000000-0005-0000-0000-00004F3C0000}"/>
    <cellStyle name="amount 7" xfId="8216" xr:uid="{00000000-0005-0000-0000-0000503C0000}"/>
    <cellStyle name="amount 7 2" xfId="8217" xr:uid="{00000000-0005-0000-0000-0000513C0000}"/>
    <cellStyle name="amount 7 2 2" xfId="15975" xr:uid="{00000000-0005-0000-0000-0000523C0000}"/>
    <cellStyle name="amount 7 2 3" xfId="19926" xr:uid="{00000000-0005-0000-0000-0000533C0000}"/>
    <cellStyle name="amount 7 3" xfId="15974" xr:uid="{00000000-0005-0000-0000-0000543C0000}"/>
    <cellStyle name="amount 7 4" xfId="19925" xr:uid="{00000000-0005-0000-0000-0000553C0000}"/>
    <cellStyle name="Ana Başlık" xfId="16357" xr:uid="{00000000-0005-0000-0000-0000563C0000}"/>
    <cellStyle name="Andre's Title" xfId="16358" xr:uid="{00000000-0005-0000-0000-0000573C0000}"/>
    <cellStyle name="Ann'l_Incr" xfId="8218" xr:uid="{00000000-0005-0000-0000-0000583C0000}"/>
    <cellStyle name="args.style" xfId="8219" xr:uid="{00000000-0005-0000-0000-0000593C0000}"/>
    <cellStyle name="args.style 10" xfId="8220" xr:uid="{00000000-0005-0000-0000-00005A3C0000}"/>
    <cellStyle name="args.style 10 2" xfId="8221" xr:uid="{00000000-0005-0000-0000-00005B3C0000}"/>
    <cellStyle name="args.style 11" xfId="8222" xr:uid="{00000000-0005-0000-0000-00005C3C0000}"/>
    <cellStyle name="args.style 11 2" xfId="8223" xr:uid="{00000000-0005-0000-0000-00005D3C0000}"/>
    <cellStyle name="args.style 12" xfId="8224" xr:uid="{00000000-0005-0000-0000-00005E3C0000}"/>
    <cellStyle name="args.style 12 2" xfId="8225" xr:uid="{00000000-0005-0000-0000-00005F3C0000}"/>
    <cellStyle name="args.style 13" xfId="8226" xr:uid="{00000000-0005-0000-0000-0000603C0000}"/>
    <cellStyle name="args.style 13 2" xfId="8227" xr:uid="{00000000-0005-0000-0000-0000613C0000}"/>
    <cellStyle name="args.style 14" xfId="8228" xr:uid="{00000000-0005-0000-0000-0000623C0000}"/>
    <cellStyle name="args.style 15" xfId="8229" xr:uid="{00000000-0005-0000-0000-0000633C0000}"/>
    <cellStyle name="args.style 16" xfId="8230" xr:uid="{00000000-0005-0000-0000-0000643C0000}"/>
    <cellStyle name="args.style 17" xfId="8231" xr:uid="{00000000-0005-0000-0000-0000653C0000}"/>
    <cellStyle name="args.style 18" xfId="8232" xr:uid="{00000000-0005-0000-0000-0000663C0000}"/>
    <cellStyle name="args.style 2" xfId="8233" xr:uid="{00000000-0005-0000-0000-0000673C0000}"/>
    <cellStyle name="args.style 2 10" xfId="8234" xr:uid="{00000000-0005-0000-0000-0000683C0000}"/>
    <cellStyle name="args.style 2 2" xfId="8235" xr:uid="{00000000-0005-0000-0000-0000693C0000}"/>
    <cellStyle name="args.style 2 2 2" xfId="8236" xr:uid="{00000000-0005-0000-0000-00006A3C0000}"/>
    <cellStyle name="args.style 2 2 2 2" xfId="8237" xr:uid="{00000000-0005-0000-0000-00006B3C0000}"/>
    <cellStyle name="args.style 2 2 2 2 2" xfId="8238" xr:uid="{00000000-0005-0000-0000-00006C3C0000}"/>
    <cellStyle name="args.style 2 2 2 2 3" xfId="8239" xr:uid="{00000000-0005-0000-0000-00006D3C0000}"/>
    <cellStyle name="args.style 2 2 2 2 4" xfId="8240" xr:uid="{00000000-0005-0000-0000-00006E3C0000}"/>
    <cellStyle name="args.style 2 2 2 2 5" xfId="8241" xr:uid="{00000000-0005-0000-0000-00006F3C0000}"/>
    <cellStyle name="args.style 2 2 2 2 6" xfId="8242" xr:uid="{00000000-0005-0000-0000-0000703C0000}"/>
    <cellStyle name="args.style 2 2 2 2 7" xfId="8243" xr:uid="{00000000-0005-0000-0000-0000713C0000}"/>
    <cellStyle name="args.style 2 2 2 2 8" xfId="8244" xr:uid="{00000000-0005-0000-0000-0000723C0000}"/>
    <cellStyle name="args.style 2 2 2 3" xfId="8245" xr:uid="{00000000-0005-0000-0000-0000733C0000}"/>
    <cellStyle name="args.style 2 2 2 4" xfId="8246" xr:uid="{00000000-0005-0000-0000-0000743C0000}"/>
    <cellStyle name="args.style 2 2 2 5" xfId="8247" xr:uid="{00000000-0005-0000-0000-0000753C0000}"/>
    <cellStyle name="args.style 2 2 2 6" xfId="8248" xr:uid="{00000000-0005-0000-0000-0000763C0000}"/>
    <cellStyle name="args.style 2 2 2 7" xfId="8249" xr:uid="{00000000-0005-0000-0000-0000773C0000}"/>
    <cellStyle name="args.style 2 2 2 8" xfId="8250" xr:uid="{00000000-0005-0000-0000-0000783C0000}"/>
    <cellStyle name="args.style 2 2 3" xfId="8251" xr:uid="{00000000-0005-0000-0000-0000793C0000}"/>
    <cellStyle name="args.style 2 2 4" xfId="8252" xr:uid="{00000000-0005-0000-0000-00007A3C0000}"/>
    <cellStyle name="args.style 2 2 5" xfId="8253" xr:uid="{00000000-0005-0000-0000-00007B3C0000}"/>
    <cellStyle name="args.style 2 2 6" xfId="8254" xr:uid="{00000000-0005-0000-0000-00007C3C0000}"/>
    <cellStyle name="args.style 2 2 7" xfId="8255" xr:uid="{00000000-0005-0000-0000-00007D3C0000}"/>
    <cellStyle name="args.style 2 2 8" xfId="8256" xr:uid="{00000000-0005-0000-0000-00007E3C0000}"/>
    <cellStyle name="args.style 2 3" xfId="8257" xr:uid="{00000000-0005-0000-0000-00007F3C0000}"/>
    <cellStyle name="args.style 2 3 2" xfId="8258" xr:uid="{00000000-0005-0000-0000-0000803C0000}"/>
    <cellStyle name="args.style 2 3 3" xfId="8259" xr:uid="{00000000-0005-0000-0000-0000813C0000}"/>
    <cellStyle name="args.style 2 3 4" xfId="8260" xr:uid="{00000000-0005-0000-0000-0000823C0000}"/>
    <cellStyle name="args.style 2 3 5" xfId="8261" xr:uid="{00000000-0005-0000-0000-0000833C0000}"/>
    <cellStyle name="args.style 2 3 6" xfId="8262" xr:uid="{00000000-0005-0000-0000-0000843C0000}"/>
    <cellStyle name="args.style 2 3 7" xfId="8263" xr:uid="{00000000-0005-0000-0000-0000853C0000}"/>
    <cellStyle name="args.style 2 3 8" xfId="8264" xr:uid="{00000000-0005-0000-0000-0000863C0000}"/>
    <cellStyle name="args.style 2 4" xfId="8265" xr:uid="{00000000-0005-0000-0000-0000873C0000}"/>
    <cellStyle name="args.style 2 5" xfId="8266" xr:uid="{00000000-0005-0000-0000-0000883C0000}"/>
    <cellStyle name="args.style 2 6" xfId="8267" xr:uid="{00000000-0005-0000-0000-0000893C0000}"/>
    <cellStyle name="args.style 2 7" xfId="8268" xr:uid="{00000000-0005-0000-0000-00008A3C0000}"/>
    <cellStyle name="args.style 2 8" xfId="8269" xr:uid="{00000000-0005-0000-0000-00008B3C0000}"/>
    <cellStyle name="args.style 2 9" xfId="8270" xr:uid="{00000000-0005-0000-0000-00008C3C0000}"/>
    <cellStyle name="args.style 3" xfId="8271" xr:uid="{00000000-0005-0000-0000-00008D3C0000}"/>
    <cellStyle name="args.style 3 10" xfId="8272" xr:uid="{00000000-0005-0000-0000-00008E3C0000}"/>
    <cellStyle name="args.style 3 2" xfId="8273" xr:uid="{00000000-0005-0000-0000-00008F3C0000}"/>
    <cellStyle name="args.style 3 2 2" xfId="8274" xr:uid="{00000000-0005-0000-0000-0000903C0000}"/>
    <cellStyle name="args.style 3 2 2 2" xfId="8275" xr:uid="{00000000-0005-0000-0000-0000913C0000}"/>
    <cellStyle name="args.style 3 2 2 2 2" xfId="8276" xr:uid="{00000000-0005-0000-0000-0000923C0000}"/>
    <cellStyle name="args.style 3 2 2 2 3" xfId="8277" xr:uid="{00000000-0005-0000-0000-0000933C0000}"/>
    <cellStyle name="args.style 3 2 2 2 4" xfId="8278" xr:uid="{00000000-0005-0000-0000-0000943C0000}"/>
    <cellStyle name="args.style 3 2 2 2 5" xfId="8279" xr:uid="{00000000-0005-0000-0000-0000953C0000}"/>
    <cellStyle name="args.style 3 2 2 2 6" xfId="8280" xr:uid="{00000000-0005-0000-0000-0000963C0000}"/>
    <cellStyle name="args.style 3 2 2 2 7" xfId="8281" xr:uid="{00000000-0005-0000-0000-0000973C0000}"/>
    <cellStyle name="args.style 3 2 2 2 8" xfId="8282" xr:uid="{00000000-0005-0000-0000-0000983C0000}"/>
    <cellStyle name="args.style 3 2 2 3" xfId="8283" xr:uid="{00000000-0005-0000-0000-0000993C0000}"/>
    <cellStyle name="args.style 3 2 2 4" xfId="8284" xr:uid="{00000000-0005-0000-0000-00009A3C0000}"/>
    <cellStyle name="args.style 3 2 2 5" xfId="8285" xr:uid="{00000000-0005-0000-0000-00009B3C0000}"/>
    <cellStyle name="args.style 3 2 2 6" xfId="8286" xr:uid="{00000000-0005-0000-0000-00009C3C0000}"/>
    <cellStyle name="args.style 3 2 2 7" xfId="8287" xr:uid="{00000000-0005-0000-0000-00009D3C0000}"/>
    <cellStyle name="args.style 3 2 2 8" xfId="8288" xr:uid="{00000000-0005-0000-0000-00009E3C0000}"/>
    <cellStyle name="args.style 3 2 3" xfId="8289" xr:uid="{00000000-0005-0000-0000-00009F3C0000}"/>
    <cellStyle name="args.style 3 2 4" xfId="8290" xr:uid="{00000000-0005-0000-0000-0000A03C0000}"/>
    <cellStyle name="args.style 3 2 5" xfId="8291" xr:uid="{00000000-0005-0000-0000-0000A13C0000}"/>
    <cellStyle name="args.style 3 2 6" xfId="8292" xr:uid="{00000000-0005-0000-0000-0000A23C0000}"/>
    <cellStyle name="args.style 3 2 7" xfId="8293" xr:uid="{00000000-0005-0000-0000-0000A33C0000}"/>
    <cellStyle name="args.style 3 2 8" xfId="8294" xr:uid="{00000000-0005-0000-0000-0000A43C0000}"/>
    <cellStyle name="args.style 3 3" xfId="8295" xr:uid="{00000000-0005-0000-0000-0000A53C0000}"/>
    <cellStyle name="args.style 3 3 2" xfId="8296" xr:uid="{00000000-0005-0000-0000-0000A63C0000}"/>
    <cellStyle name="args.style 3 3 3" xfId="8297" xr:uid="{00000000-0005-0000-0000-0000A73C0000}"/>
    <cellStyle name="args.style 3 3 4" xfId="8298" xr:uid="{00000000-0005-0000-0000-0000A83C0000}"/>
    <cellStyle name="args.style 3 3 5" xfId="8299" xr:uid="{00000000-0005-0000-0000-0000A93C0000}"/>
    <cellStyle name="args.style 3 3 6" xfId="8300" xr:uid="{00000000-0005-0000-0000-0000AA3C0000}"/>
    <cellStyle name="args.style 3 3 7" xfId="8301" xr:uid="{00000000-0005-0000-0000-0000AB3C0000}"/>
    <cellStyle name="args.style 3 3 8" xfId="8302" xr:uid="{00000000-0005-0000-0000-0000AC3C0000}"/>
    <cellStyle name="args.style 3 4" xfId="8303" xr:uid="{00000000-0005-0000-0000-0000AD3C0000}"/>
    <cellStyle name="args.style 3 5" xfId="8304" xr:uid="{00000000-0005-0000-0000-0000AE3C0000}"/>
    <cellStyle name="args.style 3 6" xfId="8305" xr:uid="{00000000-0005-0000-0000-0000AF3C0000}"/>
    <cellStyle name="args.style 3 7" xfId="8306" xr:uid="{00000000-0005-0000-0000-0000B03C0000}"/>
    <cellStyle name="args.style 3 8" xfId="8307" xr:uid="{00000000-0005-0000-0000-0000B13C0000}"/>
    <cellStyle name="args.style 3 9" xfId="8308" xr:uid="{00000000-0005-0000-0000-0000B23C0000}"/>
    <cellStyle name="args.style 4" xfId="8309" xr:uid="{00000000-0005-0000-0000-0000B33C0000}"/>
    <cellStyle name="args.style 4 2" xfId="8310" xr:uid="{00000000-0005-0000-0000-0000B43C0000}"/>
    <cellStyle name="args.style 4 2 2" xfId="8311" xr:uid="{00000000-0005-0000-0000-0000B53C0000}"/>
    <cellStyle name="args.style 4 2 2 2" xfId="8312" xr:uid="{00000000-0005-0000-0000-0000B63C0000}"/>
    <cellStyle name="args.style 4 3" xfId="8313" xr:uid="{00000000-0005-0000-0000-0000B73C0000}"/>
    <cellStyle name="args.style 4 4" xfId="8314" xr:uid="{00000000-0005-0000-0000-0000B83C0000}"/>
    <cellStyle name="args.style 5" xfId="8315" xr:uid="{00000000-0005-0000-0000-0000B93C0000}"/>
    <cellStyle name="args.style 5 2" xfId="8316" xr:uid="{00000000-0005-0000-0000-0000BA3C0000}"/>
    <cellStyle name="args.style 5 2 2" xfId="8317" xr:uid="{00000000-0005-0000-0000-0000BB3C0000}"/>
    <cellStyle name="args.style 5 2 3" xfId="8318" xr:uid="{00000000-0005-0000-0000-0000BC3C0000}"/>
    <cellStyle name="args.style 5 3" xfId="8319" xr:uid="{00000000-0005-0000-0000-0000BD3C0000}"/>
    <cellStyle name="args.style 5 4" xfId="8320" xr:uid="{00000000-0005-0000-0000-0000BE3C0000}"/>
    <cellStyle name="args.style 5 5" xfId="8321" xr:uid="{00000000-0005-0000-0000-0000BF3C0000}"/>
    <cellStyle name="args.style 6" xfId="8322" xr:uid="{00000000-0005-0000-0000-0000C03C0000}"/>
    <cellStyle name="args.style 6 2" xfId="8323" xr:uid="{00000000-0005-0000-0000-0000C13C0000}"/>
    <cellStyle name="args.style 6 3" xfId="8324" xr:uid="{00000000-0005-0000-0000-0000C23C0000}"/>
    <cellStyle name="args.style 6 4" xfId="8325" xr:uid="{00000000-0005-0000-0000-0000C33C0000}"/>
    <cellStyle name="args.style 7" xfId="8326" xr:uid="{00000000-0005-0000-0000-0000C43C0000}"/>
    <cellStyle name="args.style 7 2" xfId="8327" xr:uid="{00000000-0005-0000-0000-0000C53C0000}"/>
    <cellStyle name="args.style 8" xfId="8328" xr:uid="{00000000-0005-0000-0000-0000C63C0000}"/>
    <cellStyle name="args.style 8 2" xfId="8329" xr:uid="{00000000-0005-0000-0000-0000C73C0000}"/>
    <cellStyle name="args.style 9" xfId="8330" xr:uid="{00000000-0005-0000-0000-0000C83C0000}"/>
    <cellStyle name="args.style 9 2" xfId="8331" xr:uid="{00000000-0005-0000-0000-0000C93C0000}"/>
    <cellStyle name="Arial 10" xfId="8332" xr:uid="{00000000-0005-0000-0000-0000CA3C0000}"/>
    <cellStyle name="Arial 10 10" xfId="8333" xr:uid="{00000000-0005-0000-0000-0000CB3C0000}"/>
    <cellStyle name="Arial 10 10 2" xfId="8334" xr:uid="{00000000-0005-0000-0000-0000CC3C0000}"/>
    <cellStyle name="Arial 10 10 3" xfId="8335" xr:uid="{00000000-0005-0000-0000-0000CD3C0000}"/>
    <cellStyle name="Arial 10 11" xfId="8336" xr:uid="{00000000-0005-0000-0000-0000CE3C0000}"/>
    <cellStyle name="Arial 10 11 2" xfId="8337" xr:uid="{00000000-0005-0000-0000-0000CF3C0000}"/>
    <cellStyle name="Arial 10 11 2 2" xfId="8338" xr:uid="{00000000-0005-0000-0000-0000D03C0000}"/>
    <cellStyle name="Arial 10 11 2 3" xfId="8339" xr:uid="{00000000-0005-0000-0000-0000D13C0000}"/>
    <cellStyle name="Arial 10 11 3" xfId="8340" xr:uid="{00000000-0005-0000-0000-0000D23C0000}"/>
    <cellStyle name="Arial 10 12" xfId="8341" xr:uid="{00000000-0005-0000-0000-0000D33C0000}"/>
    <cellStyle name="Arial 10 13" xfId="8342" xr:uid="{00000000-0005-0000-0000-0000D43C0000}"/>
    <cellStyle name="Arial 10 14" xfId="8343" xr:uid="{00000000-0005-0000-0000-0000D53C0000}"/>
    <cellStyle name="Arial 10 15" xfId="8344" xr:uid="{00000000-0005-0000-0000-0000D63C0000}"/>
    <cellStyle name="Arial 10 16" xfId="8345" xr:uid="{00000000-0005-0000-0000-0000D73C0000}"/>
    <cellStyle name="Arial 10 17" xfId="8346" xr:uid="{00000000-0005-0000-0000-0000D83C0000}"/>
    <cellStyle name="Arial 10 2" xfId="8347" xr:uid="{00000000-0005-0000-0000-0000D93C0000}"/>
    <cellStyle name="Arial 10 2 10" xfId="8348" xr:uid="{00000000-0005-0000-0000-0000DA3C0000}"/>
    <cellStyle name="Arial 10 2 11" xfId="8349" xr:uid="{00000000-0005-0000-0000-0000DB3C0000}"/>
    <cellStyle name="Arial 10 2 12" xfId="8350" xr:uid="{00000000-0005-0000-0000-0000DC3C0000}"/>
    <cellStyle name="Arial 10 2 2" xfId="8351" xr:uid="{00000000-0005-0000-0000-0000DD3C0000}"/>
    <cellStyle name="Arial 10 2 2 2" xfId="8352" xr:uid="{00000000-0005-0000-0000-0000DE3C0000}"/>
    <cellStyle name="Arial 10 2 2 2 2" xfId="8353" xr:uid="{00000000-0005-0000-0000-0000DF3C0000}"/>
    <cellStyle name="Arial 10 2 2 2 2 2" xfId="8354" xr:uid="{00000000-0005-0000-0000-0000E03C0000}"/>
    <cellStyle name="Arial 10 2 2 2 2 2 2" xfId="8355" xr:uid="{00000000-0005-0000-0000-0000E13C0000}"/>
    <cellStyle name="Arial 10 2 2 2 2 2 3" xfId="8356" xr:uid="{00000000-0005-0000-0000-0000E23C0000}"/>
    <cellStyle name="Arial 10 2 2 2 2 2 4" xfId="8357" xr:uid="{00000000-0005-0000-0000-0000E33C0000}"/>
    <cellStyle name="Arial 10 2 2 2 2 2 5" xfId="8358" xr:uid="{00000000-0005-0000-0000-0000E43C0000}"/>
    <cellStyle name="Arial 10 2 2 2 2 2 6" xfId="8359" xr:uid="{00000000-0005-0000-0000-0000E53C0000}"/>
    <cellStyle name="Arial 10 2 2 2 2 2 7" xfId="8360" xr:uid="{00000000-0005-0000-0000-0000E63C0000}"/>
    <cellStyle name="Arial 10 2 2 2 2 2 8" xfId="8361" xr:uid="{00000000-0005-0000-0000-0000E73C0000}"/>
    <cellStyle name="Arial 10 2 2 2 2 3" xfId="8362" xr:uid="{00000000-0005-0000-0000-0000E83C0000}"/>
    <cellStyle name="Arial 10 2 2 2 2 4" xfId="8363" xr:uid="{00000000-0005-0000-0000-0000E93C0000}"/>
    <cellStyle name="Arial 10 2 2 2 2 5" xfId="8364" xr:uid="{00000000-0005-0000-0000-0000EA3C0000}"/>
    <cellStyle name="Arial 10 2 2 2 2 6" xfId="8365" xr:uid="{00000000-0005-0000-0000-0000EB3C0000}"/>
    <cellStyle name="Arial 10 2 2 2 2 7" xfId="8366" xr:uid="{00000000-0005-0000-0000-0000EC3C0000}"/>
    <cellStyle name="Arial 10 2 2 2 2 8" xfId="8367" xr:uid="{00000000-0005-0000-0000-0000ED3C0000}"/>
    <cellStyle name="Arial 10 2 2 2 2 9" xfId="8368" xr:uid="{00000000-0005-0000-0000-0000EE3C0000}"/>
    <cellStyle name="Arial 10 2 2 2 3" xfId="8369" xr:uid="{00000000-0005-0000-0000-0000EF3C0000}"/>
    <cellStyle name="Arial 10 2 2 2 4" xfId="8370" xr:uid="{00000000-0005-0000-0000-0000F03C0000}"/>
    <cellStyle name="Arial 10 2 2 2 5" xfId="8371" xr:uid="{00000000-0005-0000-0000-0000F13C0000}"/>
    <cellStyle name="Arial 10 2 2 2 6" xfId="8372" xr:uid="{00000000-0005-0000-0000-0000F23C0000}"/>
    <cellStyle name="Arial 10 2 2 2 7" xfId="8373" xr:uid="{00000000-0005-0000-0000-0000F33C0000}"/>
    <cellStyle name="Arial 10 2 2 2 8" xfId="8374" xr:uid="{00000000-0005-0000-0000-0000F43C0000}"/>
    <cellStyle name="Arial 10 2 2 2 9" xfId="8375" xr:uid="{00000000-0005-0000-0000-0000F53C0000}"/>
    <cellStyle name="Arial 10 2 2 3" xfId="8376" xr:uid="{00000000-0005-0000-0000-0000F63C0000}"/>
    <cellStyle name="Arial 10 2 2 4" xfId="8377" xr:uid="{00000000-0005-0000-0000-0000F73C0000}"/>
    <cellStyle name="Arial 10 2 2 5" xfId="8378" xr:uid="{00000000-0005-0000-0000-0000F83C0000}"/>
    <cellStyle name="Arial 10 2 2 6" xfId="8379" xr:uid="{00000000-0005-0000-0000-0000F93C0000}"/>
    <cellStyle name="Arial 10 2 2 7" xfId="8380" xr:uid="{00000000-0005-0000-0000-0000FA3C0000}"/>
    <cellStyle name="Arial 10 2 2 8" xfId="8381" xr:uid="{00000000-0005-0000-0000-0000FB3C0000}"/>
    <cellStyle name="Arial 10 2 2 9" xfId="8382" xr:uid="{00000000-0005-0000-0000-0000FC3C0000}"/>
    <cellStyle name="Arial 10 2 3" xfId="8383" xr:uid="{00000000-0005-0000-0000-0000FD3C0000}"/>
    <cellStyle name="Arial 10 2 4" xfId="8384" xr:uid="{00000000-0005-0000-0000-0000FE3C0000}"/>
    <cellStyle name="Arial 10 2 5" xfId="8385" xr:uid="{00000000-0005-0000-0000-0000FF3C0000}"/>
    <cellStyle name="Arial 10 2 6" xfId="8386" xr:uid="{00000000-0005-0000-0000-0000003D0000}"/>
    <cellStyle name="Arial 10 2 7" xfId="8387" xr:uid="{00000000-0005-0000-0000-0000013D0000}"/>
    <cellStyle name="Arial 10 2 8" xfId="8388" xr:uid="{00000000-0005-0000-0000-0000023D0000}"/>
    <cellStyle name="Arial 10 2 9" xfId="8389" xr:uid="{00000000-0005-0000-0000-0000033D0000}"/>
    <cellStyle name="Arial 10 3" xfId="8390" xr:uid="{00000000-0005-0000-0000-0000043D0000}"/>
    <cellStyle name="Arial 10 3 2" xfId="8391" xr:uid="{00000000-0005-0000-0000-0000053D0000}"/>
    <cellStyle name="Arial 10 3 3" xfId="8392" xr:uid="{00000000-0005-0000-0000-0000063D0000}"/>
    <cellStyle name="Arial 10 3 4" xfId="8393" xr:uid="{00000000-0005-0000-0000-0000073D0000}"/>
    <cellStyle name="Arial 10 3 5" xfId="8394" xr:uid="{00000000-0005-0000-0000-0000083D0000}"/>
    <cellStyle name="Arial 10 3 6" xfId="8395" xr:uid="{00000000-0005-0000-0000-0000093D0000}"/>
    <cellStyle name="Arial 10 3 7" xfId="8396" xr:uid="{00000000-0005-0000-0000-00000A3D0000}"/>
    <cellStyle name="Arial 10 3 8" xfId="8397" xr:uid="{00000000-0005-0000-0000-00000B3D0000}"/>
    <cellStyle name="Arial 10 3 9" xfId="8398" xr:uid="{00000000-0005-0000-0000-00000C3D0000}"/>
    <cellStyle name="Arial 10 4" xfId="8399" xr:uid="{00000000-0005-0000-0000-00000D3D0000}"/>
    <cellStyle name="Arial 10 4 2" xfId="8400" xr:uid="{00000000-0005-0000-0000-00000E3D0000}"/>
    <cellStyle name="Arial 10 4 3" xfId="8401" xr:uid="{00000000-0005-0000-0000-00000F3D0000}"/>
    <cellStyle name="Arial 10 4 4" xfId="8402" xr:uid="{00000000-0005-0000-0000-0000103D0000}"/>
    <cellStyle name="Arial 10 4 5" xfId="8403" xr:uid="{00000000-0005-0000-0000-0000113D0000}"/>
    <cellStyle name="Arial 10 4 6" xfId="8404" xr:uid="{00000000-0005-0000-0000-0000123D0000}"/>
    <cellStyle name="Arial 10 4 7" xfId="8405" xr:uid="{00000000-0005-0000-0000-0000133D0000}"/>
    <cellStyle name="Arial 10 4 8" xfId="8406" xr:uid="{00000000-0005-0000-0000-0000143D0000}"/>
    <cellStyle name="Arial 10 4 9" xfId="8407" xr:uid="{00000000-0005-0000-0000-0000153D0000}"/>
    <cellStyle name="Arial 10 5" xfId="8408" xr:uid="{00000000-0005-0000-0000-0000163D0000}"/>
    <cellStyle name="Arial 10 5 2" xfId="8409" xr:uid="{00000000-0005-0000-0000-0000173D0000}"/>
    <cellStyle name="Arial 10 5 3" xfId="8410" xr:uid="{00000000-0005-0000-0000-0000183D0000}"/>
    <cellStyle name="Arial 10 5 4" xfId="8411" xr:uid="{00000000-0005-0000-0000-0000193D0000}"/>
    <cellStyle name="Arial 10 5 5" xfId="8412" xr:uid="{00000000-0005-0000-0000-00001A3D0000}"/>
    <cellStyle name="Arial 10 5 6" xfId="8413" xr:uid="{00000000-0005-0000-0000-00001B3D0000}"/>
    <cellStyle name="Arial 10 5 7" xfId="8414" xr:uid="{00000000-0005-0000-0000-00001C3D0000}"/>
    <cellStyle name="Arial 10 5 8" xfId="8415" xr:uid="{00000000-0005-0000-0000-00001D3D0000}"/>
    <cellStyle name="Arial 10 5 9" xfId="8416" xr:uid="{00000000-0005-0000-0000-00001E3D0000}"/>
    <cellStyle name="Arial 10 6" xfId="8417" xr:uid="{00000000-0005-0000-0000-00001F3D0000}"/>
    <cellStyle name="Arial 10 6 2" xfId="8418" xr:uid="{00000000-0005-0000-0000-0000203D0000}"/>
    <cellStyle name="Arial 10 6 3" xfId="8419" xr:uid="{00000000-0005-0000-0000-0000213D0000}"/>
    <cellStyle name="Arial 10 6 4" xfId="8420" xr:uid="{00000000-0005-0000-0000-0000223D0000}"/>
    <cellStyle name="Arial 10 6 5" xfId="8421" xr:uid="{00000000-0005-0000-0000-0000233D0000}"/>
    <cellStyle name="Arial 10 6 6" xfId="8422" xr:uid="{00000000-0005-0000-0000-0000243D0000}"/>
    <cellStyle name="Arial 10 6 7" xfId="8423" xr:uid="{00000000-0005-0000-0000-0000253D0000}"/>
    <cellStyle name="Arial 10 6 8" xfId="8424" xr:uid="{00000000-0005-0000-0000-0000263D0000}"/>
    <cellStyle name="Arial 10 6 9" xfId="8425" xr:uid="{00000000-0005-0000-0000-0000273D0000}"/>
    <cellStyle name="Arial 10 7" xfId="8426" xr:uid="{00000000-0005-0000-0000-0000283D0000}"/>
    <cellStyle name="Arial 10 7 2" xfId="8427" xr:uid="{00000000-0005-0000-0000-0000293D0000}"/>
    <cellStyle name="Arial 10 7 3" xfId="8428" xr:uid="{00000000-0005-0000-0000-00002A3D0000}"/>
    <cellStyle name="Arial 10 7 4" xfId="8429" xr:uid="{00000000-0005-0000-0000-00002B3D0000}"/>
    <cellStyle name="Arial 10 7 5" xfId="8430" xr:uid="{00000000-0005-0000-0000-00002C3D0000}"/>
    <cellStyle name="Arial 10 7 6" xfId="8431" xr:uid="{00000000-0005-0000-0000-00002D3D0000}"/>
    <cellStyle name="Arial 10 7 7" xfId="8432" xr:uid="{00000000-0005-0000-0000-00002E3D0000}"/>
    <cellStyle name="Arial 10 7 8" xfId="8433" xr:uid="{00000000-0005-0000-0000-00002F3D0000}"/>
    <cellStyle name="Arial 10 7 9" xfId="8434" xr:uid="{00000000-0005-0000-0000-0000303D0000}"/>
    <cellStyle name="Arial 10 8" xfId="8435" xr:uid="{00000000-0005-0000-0000-0000313D0000}"/>
    <cellStyle name="Arial 10 8 2" xfId="8436" xr:uid="{00000000-0005-0000-0000-0000323D0000}"/>
    <cellStyle name="Arial 10 8 3" xfId="8437" xr:uid="{00000000-0005-0000-0000-0000333D0000}"/>
    <cellStyle name="Arial 10 8 4" xfId="8438" xr:uid="{00000000-0005-0000-0000-0000343D0000}"/>
    <cellStyle name="Arial 10 8 5" xfId="8439" xr:uid="{00000000-0005-0000-0000-0000353D0000}"/>
    <cellStyle name="Arial 10 8 6" xfId="8440" xr:uid="{00000000-0005-0000-0000-0000363D0000}"/>
    <cellStyle name="Arial 10 8 7" xfId="8441" xr:uid="{00000000-0005-0000-0000-0000373D0000}"/>
    <cellStyle name="Arial 10 8 8" xfId="8442" xr:uid="{00000000-0005-0000-0000-0000383D0000}"/>
    <cellStyle name="Arial 10 8 9" xfId="8443" xr:uid="{00000000-0005-0000-0000-0000393D0000}"/>
    <cellStyle name="Arial 10 9" xfId="8444" xr:uid="{00000000-0005-0000-0000-00003A3D0000}"/>
    <cellStyle name="Arial 10 9 2" xfId="8445" xr:uid="{00000000-0005-0000-0000-00003B3D0000}"/>
    <cellStyle name="Arial 10 9 3" xfId="8446" xr:uid="{00000000-0005-0000-0000-00003C3D0000}"/>
    <cellStyle name="Arial 10 9 4" xfId="8447" xr:uid="{00000000-0005-0000-0000-00003D3D0000}"/>
    <cellStyle name="Arial 10 9 5" xfId="8448" xr:uid="{00000000-0005-0000-0000-00003E3D0000}"/>
    <cellStyle name="Arial 10 9 6" xfId="8449" xr:uid="{00000000-0005-0000-0000-00003F3D0000}"/>
    <cellStyle name="Arial 10 9 7" xfId="8450" xr:uid="{00000000-0005-0000-0000-0000403D0000}"/>
    <cellStyle name="Arial 10 9 8" xfId="8451" xr:uid="{00000000-0005-0000-0000-0000413D0000}"/>
    <cellStyle name="Arial 10 9 9" xfId="8452" xr:uid="{00000000-0005-0000-0000-0000423D0000}"/>
    <cellStyle name="Arial 12" xfId="8453" xr:uid="{00000000-0005-0000-0000-0000433D0000}"/>
    <cellStyle name="Arial 12 2" xfId="8454" xr:uid="{00000000-0005-0000-0000-0000443D0000}"/>
    <cellStyle name="Arial 12 2 2" xfId="8455" xr:uid="{00000000-0005-0000-0000-0000453D0000}"/>
    <cellStyle name="Arial 12 2 2 2" xfId="8456" xr:uid="{00000000-0005-0000-0000-0000463D0000}"/>
    <cellStyle name="Arial 12 3" xfId="8457" xr:uid="{00000000-0005-0000-0000-0000473D0000}"/>
    <cellStyle name="Arial 12 4" xfId="8458" xr:uid="{00000000-0005-0000-0000-0000483D0000}"/>
    <cellStyle name="Arial 12 5" xfId="8459" xr:uid="{00000000-0005-0000-0000-0000493D0000}"/>
    <cellStyle name="ARIAL 14" xfId="8460" xr:uid="{00000000-0005-0000-0000-00004A3D0000}"/>
    <cellStyle name="ARIAL 14 2" xfId="8461" xr:uid="{00000000-0005-0000-0000-00004B3D0000}"/>
    <cellStyle name="Arial6Bold" xfId="8462" xr:uid="{00000000-0005-0000-0000-00004C3D0000}"/>
    <cellStyle name="Arial6Bold 2" xfId="8463" xr:uid="{00000000-0005-0000-0000-00004D3D0000}"/>
    <cellStyle name="Arial6Bold 2 2" xfId="8464" xr:uid="{00000000-0005-0000-0000-00004E3D0000}"/>
    <cellStyle name="Arial6Bold 2 2 2" xfId="8465" xr:uid="{00000000-0005-0000-0000-00004F3D0000}"/>
    <cellStyle name="Arial6Bold 2 2 2 2" xfId="19930" xr:uid="{00000000-0005-0000-0000-0000503D0000}"/>
    <cellStyle name="Arial6Bold 2 2 3" xfId="19929" xr:uid="{00000000-0005-0000-0000-0000513D0000}"/>
    <cellStyle name="Arial6Bold 2 3" xfId="8466" xr:uid="{00000000-0005-0000-0000-0000523D0000}"/>
    <cellStyle name="Arial6Bold 2 3 2" xfId="8467" xr:uid="{00000000-0005-0000-0000-0000533D0000}"/>
    <cellStyle name="Arial6Bold 2 3 2 2" xfId="19932" xr:uid="{00000000-0005-0000-0000-0000543D0000}"/>
    <cellStyle name="Arial6Bold 2 3 3" xfId="19931" xr:uid="{00000000-0005-0000-0000-0000553D0000}"/>
    <cellStyle name="Arial6Bold 2 4" xfId="8468" xr:uid="{00000000-0005-0000-0000-0000563D0000}"/>
    <cellStyle name="Arial6Bold 2 4 2" xfId="19933" xr:uid="{00000000-0005-0000-0000-0000573D0000}"/>
    <cellStyle name="Arial6Bold 2 5" xfId="19928" xr:uid="{00000000-0005-0000-0000-0000583D0000}"/>
    <cellStyle name="Arial6Bold 3" xfId="8469" xr:uid="{00000000-0005-0000-0000-0000593D0000}"/>
    <cellStyle name="Arial6Bold 3 2" xfId="8470" xr:uid="{00000000-0005-0000-0000-00005A3D0000}"/>
    <cellStyle name="Arial6Bold 3 2 2" xfId="19935" xr:uid="{00000000-0005-0000-0000-00005B3D0000}"/>
    <cellStyle name="Arial6Bold 3 3" xfId="19934" xr:uid="{00000000-0005-0000-0000-00005C3D0000}"/>
    <cellStyle name="Arial6Bold 4" xfId="8471" xr:uid="{00000000-0005-0000-0000-00005D3D0000}"/>
    <cellStyle name="Arial6Bold 4 2" xfId="8472" xr:uid="{00000000-0005-0000-0000-00005E3D0000}"/>
    <cellStyle name="Arial6Bold 4 2 2" xfId="19937" xr:uid="{00000000-0005-0000-0000-00005F3D0000}"/>
    <cellStyle name="Arial6Bold 4 3" xfId="19936" xr:uid="{00000000-0005-0000-0000-0000603D0000}"/>
    <cellStyle name="Arial6Bold 5" xfId="8473" xr:uid="{00000000-0005-0000-0000-0000613D0000}"/>
    <cellStyle name="Arial6Bold 5 2" xfId="19938" xr:uid="{00000000-0005-0000-0000-0000623D0000}"/>
    <cellStyle name="Arial6Bold 6" xfId="19927" xr:uid="{00000000-0005-0000-0000-0000633D0000}"/>
    <cellStyle name="Arial8Bold" xfId="8474" xr:uid="{00000000-0005-0000-0000-0000643D0000}"/>
    <cellStyle name="Arial8Bold 2" xfId="8475" xr:uid="{00000000-0005-0000-0000-0000653D0000}"/>
    <cellStyle name="Arial8Bold 2 2" xfId="8476" xr:uid="{00000000-0005-0000-0000-0000663D0000}"/>
    <cellStyle name="Arial8Bold 2 2 2" xfId="8477" xr:uid="{00000000-0005-0000-0000-0000673D0000}"/>
    <cellStyle name="Arial8Bold 2 2 2 2" xfId="19942" xr:uid="{00000000-0005-0000-0000-0000683D0000}"/>
    <cellStyle name="Arial8Bold 2 2 3" xfId="19941" xr:uid="{00000000-0005-0000-0000-0000693D0000}"/>
    <cellStyle name="Arial8Bold 2 3" xfId="8478" xr:uid="{00000000-0005-0000-0000-00006A3D0000}"/>
    <cellStyle name="Arial8Bold 2 3 2" xfId="8479" xr:uid="{00000000-0005-0000-0000-00006B3D0000}"/>
    <cellStyle name="Arial8Bold 2 3 2 2" xfId="19944" xr:uid="{00000000-0005-0000-0000-00006C3D0000}"/>
    <cellStyle name="Arial8Bold 2 3 3" xfId="19943" xr:uid="{00000000-0005-0000-0000-00006D3D0000}"/>
    <cellStyle name="Arial8Bold 2 4" xfId="8480" xr:uid="{00000000-0005-0000-0000-00006E3D0000}"/>
    <cellStyle name="Arial8Bold 2 4 2" xfId="19945" xr:uid="{00000000-0005-0000-0000-00006F3D0000}"/>
    <cellStyle name="Arial8Bold 2 5" xfId="19940" xr:uid="{00000000-0005-0000-0000-0000703D0000}"/>
    <cellStyle name="Arial8Bold 3" xfId="8481" xr:uid="{00000000-0005-0000-0000-0000713D0000}"/>
    <cellStyle name="Arial8Bold 3 2" xfId="8482" xr:uid="{00000000-0005-0000-0000-0000723D0000}"/>
    <cellStyle name="Arial8Bold 3 2 2" xfId="19947" xr:uid="{00000000-0005-0000-0000-0000733D0000}"/>
    <cellStyle name="Arial8Bold 3 3" xfId="19946" xr:uid="{00000000-0005-0000-0000-0000743D0000}"/>
    <cellStyle name="Arial8Bold 4" xfId="8483" xr:uid="{00000000-0005-0000-0000-0000753D0000}"/>
    <cellStyle name="Arial8Bold 4 2" xfId="8484" xr:uid="{00000000-0005-0000-0000-0000763D0000}"/>
    <cellStyle name="Arial8Bold 4 2 2" xfId="19949" xr:uid="{00000000-0005-0000-0000-0000773D0000}"/>
    <cellStyle name="Arial8Bold 4 3" xfId="19948" xr:uid="{00000000-0005-0000-0000-0000783D0000}"/>
    <cellStyle name="Arial8Bold 5" xfId="8485" xr:uid="{00000000-0005-0000-0000-0000793D0000}"/>
    <cellStyle name="Arial8Bold 5 2" xfId="19950" xr:uid="{00000000-0005-0000-0000-00007A3D0000}"/>
    <cellStyle name="Arial8Bold 6" xfId="19939" xr:uid="{00000000-0005-0000-0000-00007B3D0000}"/>
    <cellStyle name="Arial8Italic" xfId="8486" xr:uid="{00000000-0005-0000-0000-00007C3D0000}"/>
    <cellStyle name="Arial8Italic 2" xfId="8487" xr:uid="{00000000-0005-0000-0000-00007D3D0000}"/>
    <cellStyle name="Arial8Italic 2 2" xfId="8488" xr:uid="{00000000-0005-0000-0000-00007E3D0000}"/>
    <cellStyle name="Arial8Italic 2 2 2" xfId="8489" xr:uid="{00000000-0005-0000-0000-00007F3D0000}"/>
    <cellStyle name="Arial8Italic 2 2 2 2" xfId="19954" xr:uid="{00000000-0005-0000-0000-0000803D0000}"/>
    <cellStyle name="Arial8Italic 2 2 3" xfId="19953" xr:uid="{00000000-0005-0000-0000-0000813D0000}"/>
    <cellStyle name="Arial8Italic 2 3" xfId="8490" xr:uid="{00000000-0005-0000-0000-0000823D0000}"/>
    <cellStyle name="Arial8Italic 2 3 2" xfId="8491" xr:uid="{00000000-0005-0000-0000-0000833D0000}"/>
    <cellStyle name="Arial8Italic 2 3 2 2" xfId="19956" xr:uid="{00000000-0005-0000-0000-0000843D0000}"/>
    <cellStyle name="Arial8Italic 2 3 3" xfId="19955" xr:uid="{00000000-0005-0000-0000-0000853D0000}"/>
    <cellStyle name="Arial8Italic 2 4" xfId="8492" xr:uid="{00000000-0005-0000-0000-0000863D0000}"/>
    <cellStyle name="Arial8Italic 2 4 2" xfId="19957" xr:uid="{00000000-0005-0000-0000-0000873D0000}"/>
    <cellStyle name="Arial8Italic 2 5" xfId="19952" xr:uid="{00000000-0005-0000-0000-0000883D0000}"/>
    <cellStyle name="Arial8Italic 3" xfId="8493" xr:uid="{00000000-0005-0000-0000-0000893D0000}"/>
    <cellStyle name="Arial8Italic 3 2" xfId="8494" xr:uid="{00000000-0005-0000-0000-00008A3D0000}"/>
    <cellStyle name="Arial8Italic 3 2 2" xfId="19959" xr:uid="{00000000-0005-0000-0000-00008B3D0000}"/>
    <cellStyle name="Arial8Italic 3 3" xfId="19958" xr:uid="{00000000-0005-0000-0000-00008C3D0000}"/>
    <cellStyle name="Arial8Italic 4" xfId="8495" xr:uid="{00000000-0005-0000-0000-00008D3D0000}"/>
    <cellStyle name="Arial8Italic 4 2" xfId="8496" xr:uid="{00000000-0005-0000-0000-00008E3D0000}"/>
    <cellStyle name="Arial8Italic 4 2 2" xfId="19961" xr:uid="{00000000-0005-0000-0000-00008F3D0000}"/>
    <cellStyle name="Arial8Italic 4 3" xfId="19960" xr:uid="{00000000-0005-0000-0000-0000903D0000}"/>
    <cellStyle name="Arial8Italic 5" xfId="8497" xr:uid="{00000000-0005-0000-0000-0000913D0000}"/>
    <cellStyle name="Arial8Italic 5 2" xfId="19962" xr:uid="{00000000-0005-0000-0000-0000923D0000}"/>
    <cellStyle name="Arial8Italic 6" xfId="19951" xr:uid="{00000000-0005-0000-0000-0000933D0000}"/>
    <cellStyle name="ArialNormal" xfId="8498" xr:uid="{00000000-0005-0000-0000-0000943D0000}"/>
    <cellStyle name="ArialNormal 2" xfId="8499" xr:uid="{00000000-0005-0000-0000-0000953D0000}"/>
    <cellStyle name="ArialNormal 2 2" xfId="8500" xr:uid="{00000000-0005-0000-0000-0000963D0000}"/>
    <cellStyle name="ArialNormal 2 2 2" xfId="8501" xr:uid="{00000000-0005-0000-0000-0000973D0000}"/>
    <cellStyle name="ArialNormal 2 2 2 2" xfId="19964" xr:uid="{00000000-0005-0000-0000-0000983D0000}"/>
    <cellStyle name="ArialNormal 2 2 3" xfId="19963" xr:uid="{00000000-0005-0000-0000-0000993D0000}"/>
    <cellStyle name="ArialNormal 2 3" xfId="8502" xr:uid="{00000000-0005-0000-0000-00009A3D0000}"/>
    <cellStyle name="ArialNormal 2 3 2" xfId="8503" xr:uid="{00000000-0005-0000-0000-00009B3D0000}"/>
    <cellStyle name="ArialNormal 2 3 2 2" xfId="19966" xr:uid="{00000000-0005-0000-0000-00009C3D0000}"/>
    <cellStyle name="ArialNormal 2 3 3" xfId="19965" xr:uid="{00000000-0005-0000-0000-00009D3D0000}"/>
    <cellStyle name="ArialNormal 3" xfId="8504" xr:uid="{00000000-0005-0000-0000-00009E3D0000}"/>
    <cellStyle name="ArialNormal 3 2" xfId="8505" xr:uid="{00000000-0005-0000-0000-00009F3D0000}"/>
    <cellStyle name="ArialNormal 3 2 2" xfId="19968" xr:uid="{00000000-0005-0000-0000-0000A03D0000}"/>
    <cellStyle name="ArialNormal 3 3" xfId="19967" xr:uid="{00000000-0005-0000-0000-0000A13D0000}"/>
    <cellStyle name="ArialNormal 4" xfId="8506" xr:uid="{00000000-0005-0000-0000-0000A23D0000}"/>
    <cellStyle name="ArialNormal 4 2" xfId="8507" xr:uid="{00000000-0005-0000-0000-0000A33D0000}"/>
    <cellStyle name="ArialNormal 4 2 2" xfId="19970" xr:uid="{00000000-0005-0000-0000-0000A43D0000}"/>
    <cellStyle name="ArialNormal 4 3" xfId="19969" xr:uid="{00000000-0005-0000-0000-0000A53D0000}"/>
    <cellStyle name="Ariel 7 pt. plain" xfId="16359" xr:uid="{00000000-0005-0000-0000-0000A63D0000}"/>
    <cellStyle name="Array" xfId="8508" xr:uid="{00000000-0005-0000-0000-0000A73D0000}"/>
    <cellStyle name="Array Enter" xfId="8509" xr:uid="{00000000-0005-0000-0000-0000A83D0000}"/>
    <cellStyle name="Assumption" xfId="16360" xr:uid="{00000000-0005-0000-0000-0000A93D0000}"/>
    <cellStyle name="ÄÞ¸¶ [0]_±âÅ¸" xfId="16361" xr:uid="{00000000-0005-0000-0000-0000AA3D0000}"/>
    <cellStyle name="ÄÞ¸¶_±âÅ¸" xfId="16362" xr:uid="{00000000-0005-0000-0000-0000AB3D0000}"/>
    <cellStyle name="AuditErrRangeFormula" xfId="16363" xr:uid="{00000000-0005-0000-0000-0000AC3D0000}"/>
    <cellStyle name="AuditErrRangeText" xfId="16364" xr:uid="{00000000-0005-0000-0000-0000AD3D0000}"/>
    <cellStyle name="AutoFormat" xfId="16365" xr:uid="{00000000-0005-0000-0000-0000AE3D0000}"/>
    <cellStyle name="avihai" xfId="8510" xr:uid="{00000000-0005-0000-0000-0000AF3D0000}"/>
    <cellStyle name="avihai 2" xfId="8511" xr:uid="{00000000-0005-0000-0000-0000B03D0000}"/>
    <cellStyle name="b" xfId="8512" xr:uid="{00000000-0005-0000-0000-0000B13D0000}"/>
    <cellStyle name="b - Line" xfId="8513" xr:uid="{00000000-0005-0000-0000-0000B23D0000}"/>
    <cellStyle name="b - Line - Dotted" xfId="8514" xr:uid="{00000000-0005-0000-0000-0000B33D0000}"/>
    <cellStyle name="b 2" xfId="8515" xr:uid="{00000000-0005-0000-0000-0000B43D0000}"/>
    <cellStyle name="b_Master Utilities Comps 060210 with IBES links" xfId="8516" xr:uid="{00000000-0005-0000-0000-0000B53D0000}"/>
    <cellStyle name="Bad 10" xfId="8517" xr:uid="{00000000-0005-0000-0000-0000B63D0000}"/>
    <cellStyle name="Bad 11" xfId="8518" xr:uid="{00000000-0005-0000-0000-0000B73D0000}"/>
    <cellStyle name="Bad 12" xfId="8519" xr:uid="{00000000-0005-0000-0000-0000B83D0000}"/>
    <cellStyle name="Bad 13" xfId="8520" xr:uid="{00000000-0005-0000-0000-0000B93D0000}"/>
    <cellStyle name="Bad 14" xfId="8521" xr:uid="{00000000-0005-0000-0000-0000BA3D0000}"/>
    <cellStyle name="Bad 15" xfId="8522" xr:uid="{00000000-0005-0000-0000-0000BB3D0000}"/>
    <cellStyle name="Bad 16" xfId="8523" xr:uid="{00000000-0005-0000-0000-0000BC3D0000}"/>
    <cellStyle name="Bad 17" xfId="8524" xr:uid="{00000000-0005-0000-0000-0000BD3D0000}"/>
    <cellStyle name="Bad 18" xfId="8525" xr:uid="{00000000-0005-0000-0000-0000BE3D0000}"/>
    <cellStyle name="Bad 19" xfId="8526" xr:uid="{00000000-0005-0000-0000-0000BF3D0000}"/>
    <cellStyle name="Bad 2" xfId="8527" xr:uid="{00000000-0005-0000-0000-0000C03D0000}"/>
    <cellStyle name="Bad 2 2" xfId="8528" xr:uid="{00000000-0005-0000-0000-0000C13D0000}"/>
    <cellStyle name="Bad 2 2 2" xfId="8529" xr:uid="{00000000-0005-0000-0000-0000C23D0000}"/>
    <cellStyle name="Bad 2 3" xfId="8530" xr:uid="{00000000-0005-0000-0000-0000C33D0000}"/>
    <cellStyle name="Bad 2 3 2" xfId="8531" xr:uid="{00000000-0005-0000-0000-0000C43D0000}"/>
    <cellStyle name="Bad 2 4" xfId="8532" xr:uid="{00000000-0005-0000-0000-0000C53D0000}"/>
    <cellStyle name="Bad 2 4 2" xfId="8533" xr:uid="{00000000-0005-0000-0000-0000C63D0000}"/>
    <cellStyle name="Bad 2 4 3" xfId="8534" xr:uid="{00000000-0005-0000-0000-0000C73D0000}"/>
    <cellStyle name="Bad 2 5" xfId="8535" xr:uid="{00000000-0005-0000-0000-0000C83D0000}"/>
    <cellStyle name="Bad 2 6" xfId="8536" xr:uid="{00000000-0005-0000-0000-0000C93D0000}"/>
    <cellStyle name="Bad 2 7" xfId="8537" xr:uid="{00000000-0005-0000-0000-0000CA3D0000}"/>
    <cellStyle name="Bad 2 8" xfId="8538" xr:uid="{00000000-0005-0000-0000-0000CB3D0000}"/>
    <cellStyle name="Bad 3" xfId="8539" xr:uid="{00000000-0005-0000-0000-0000CC3D0000}"/>
    <cellStyle name="Bad 3 2" xfId="8540" xr:uid="{00000000-0005-0000-0000-0000CD3D0000}"/>
    <cellStyle name="Bad 3 2 2" xfId="8541" xr:uid="{00000000-0005-0000-0000-0000CE3D0000}"/>
    <cellStyle name="Bad 3 2 3" xfId="8542" xr:uid="{00000000-0005-0000-0000-0000CF3D0000}"/>
    <cellStyle name="Bad 3 3" xfId="8543" xr:uid="{00000000-0005-0000-0000-0000D03D0000}"/>
    <cellStyle name="Bad 3 4" xfId="8544" xr:uid="{00000000-0005-0000-0000-0000D13D0000}"/>
    <cellStyle name="Bad 3 5" xfId="8545" xr:uid="{00000000-0005-0000-0000-0000D23D0000}"/>
    <cellStyle name="Bad 4" xfId="8546" xr:uid="{00000000-0005-0000-0000-0000D33D0000}"/>
    <cellStyle name="Bad 4 2" xfId="8547" xr:uid="{00000000-0005-0000-0000-0000D43D0000}"/>
    <cellStyle name="Bad 4 2 2" xfId="8548" xr:uid="{00000000-0005-0000-0000-0000D53D0000}"/>
    <cellStyle name="Bad 4 2 3" xfId="8549" xr:uid="{00000000-0005-0000-0000-0000D63D0000}"/>
    <cellStyle name="Bad 4 3" xfId="8550" xr:uid="{00000000-0005-0000-0000-0000D73D0000}"/>
    <cellStyle name="Bad 4 4" xfId="8551" xr:uid="{00000000-0005-0000-0000-0000D83D0000}"/>
    <cellStyle name="Bad 4 5" xfId="8552" xr:uid="{00000000-0005-0000-0000-0000D93D0000}"/>
    <cellStyle name="Bad 5" xfId="8553" xr:uid="{00000000-0005-0000-0000-0000DA3D0000}"/>
    <cellStyle name="Bad 5 2" xfId="8554" xr:uid="{00000000-0005-0000-0000-0000DB3D0000}"/>
    <cellStyle name="Bad 5 2 2" xfId="8555" xr:uid="{00000000-0005-0000-0000-0000DC3D0000}"/>
    <cellStyle name="Bad 5 2 3" xfId="8556" xr:uid="{00000000-0005-0000-0000-0000DD3D0000}"/>
    <cellStyle name="Bad 5 3" xfId="8557" xr:uid="{00000000-0005-0000-0000-0000DE3D0000}"/>
    <cellStyle name="Bad 5 4" xfId="8558" xr:uid="{00000000-0005-0000-0000-0000DF3D0000}"/>
    <cellStyle name="Bad 5 5" xfId="8559" xr:uid="{00000000-0005-0000-0000-0000E03D0000}"/>
    <cellStyle name="Bad 6" xfId="8560" xr:uid="{00000000-0005-0000-0000-0000E13D0000}"/>
    <cellStyle name="Bad 6 2" xfId="8561" xr:uid="{00000000-0005-0000-0000-0000E23D0000}"/>
    <cellStyle name="Bad 6 3" xfId="8562" xr:uid="{00000000-0005-0000-0000-0000E33D0000}"/>
    <cellStyle name="Bad 7" xfId="8563" xr:uid="{00000000-0005-0000-0000-0000E43D0000}"/>
    <cellStyle name="Bad 8" xfId="8564" xr:uid="{00000000-0005-0000-0000-0000E53D0000}"/>
    <cellStyle name="Bad 9" xfId="8565" xr:uid="{00000000-0005-0000-0000-0000E63D0000}"/>
    <cellStyle name="Bağlı Hücre" xfId="16366" xr:uid="{00000000-0005-0000-0000-0000E73D0000}"/>
    <cellStyle name="BalanceSheet" xfId="16367" xr:uid="{00000000-0005-0000-0000-0000E83D0000}"/>
    <cellStyle name="bar" xfId="16368" xr:uid="{00000000-0005-0000-0000-0000E93D0000}"/>
    <cellStyle name="Bar Title" xfId="16369" xr:uid="{00000000-0005-0000-0000-0000EA3D0000}"/>
    <cellStyle name="Bar1" xfId="8566" xr:uid="{00000000-0005-0000-0000-0000EB3D0000}"/>
    <cellStyle name="BAS Comma [0]" xfId="16370" xr:uid="{00000000-0005-0000-0000-0000EC3D0000}"/>
    <cellStyle name="BAS Date mm/dd/yy" xfId="16371" xr:uid="{00000000-0005-0000-0000-0000ED3D0000}"/>
    <cellStyle name="-Bas de tableau" xfId="8567" xr:uid="{00000000-0005-0000-0000-0000EE3D0000}"/>
    <cellStyle name="BAS Percent Actual [1]" xfId="16372" xr:uid="{00000000-0005-0000-0000-0000EF3D0000}"/>
    <cellStyle name="Başlık 1" xfId="16373" xr:uid="{00000000-0005-0000-0000-0000F03D0000}"/>
    <cellStyle name="Başlık 2" xfId="16374" xr:uid="{00000000-0005-0000-0000-0000F13D0000}"/>
    <cellStyle name="Başlık 3" xfId="16375" xr:uid="{00000000-0005-0000-0000-0000F23D0000}"/>
    <cellStyle name="Başlık 4" xfId="16376" xr:uid="{00000000-0005-0000-0000-0000F33D0000}"/>
    <cellStyle name="bch" xfId="16377" xr:uid="{00000000-0005-0000-0000-0000F43D0000}"/>
    <cellStyle name="bci" xfId="16378" xr:uid="{00000000-0005-0000-0000-0000F53D0000}"/>
    <cellStyle name="Below 0" xfId="16379" xr:uid="{00000000-0005-0000-0000-0000F63D0000}"/>
    <cellStyle name="Below 0.0" xfId="16380" xr:uid="{00000000-0005-0000-0000-0000F73D0000}"/>
    <cellStyle name="Best" xfId="8568" xr:uid="{00000000-0005-0000-0000-0000F83D0000}"/>
    <cellStyle name="Besuchter Hyperlink" xfId="16381" xr:uid="{00000000-0005-0000-0000-0000F93D0000}"/>
    <cellStyle name="Black" xfId="8569" xr:uid="{00000000-0005-0000-0000-0000FA3D0000}"/>
    <cellStyle name="Black 2" xfId="8570" xr:uid="{00000000-0005-0000-0000-0000FB3D0000}"/>
    <cellStyle name="Black 2 2" xfId="8571" xr:uid="{00000000-0005-0000-0000-0000FC3D0000}"/>
    <cellStyle name="Black 3" xfId="8572" xr:uid="{00000000-0005-0000-0000-0000FD3D0000}"/>
    <cellStyle name="Black 4" xfId="8573" xr:uid="{00000000-0005-0000-0000-0000FE3D0000}"/>
    <cellStyle name="Black 5" xfId="8574" xr:uid="{00000000-0005-0000-0000-0000FF3D0000}"/>
    <cellStyle name="Black Days" xfId="8575" xr:uid="{00000000-0005-0000-0000-0000003E0000}"/>
    <cellStyle name="Black Days 2" xfId="8576" xr:uid="{00000000-0005-0000-0000-0000013E0000}"/>
    <cellStyle name="Black Decimal" xfId="8577" xr:uid="{00000000-0005-0000-0000-0000023E0000}"/>
    <cellStyle name="Black Decimal 2" xfId="8578" xr:uid="{00000000-0005-0000-0000-0000033E0000}"/>
    <cellStyle name="Black Decimal 2 2" xfId="8579" xr:uid="{00000000-0005-0000-0000-0000043E0000}"/>
    <cellStyle name="Black Decimal 3" xfId="8580" xr:uid="{00000000-0005-0000-0000-0000053E0000}"/>
    <cellStyle name="Black Decimal 4" xfId="8581" xr:uid="{00000000-0005-0000-0000-0000063E0000}"/>
    <cellStyle name="Black Decimal 5" xfId="8582" xr:uid="{00000000-0005-0000-0000-0000073E0000}"/>
    <cellStyle name="Black Dollar" xfId="8583" xr:uid="{00000000-0005-0000-0000-0000083E0000}"/>
    <cellStyle name="Black Dollar 2" xfId="8584" xr:uid="{00000000-0005-0000-0000-0000093E0000}"/>
    <cellStyle name="Black Dollar 2 2" xfId="8585" xr:uid="{00000000-0005-0000-0000-00000A3E0000}"/>
    <cellStyle name="Black Dollar 2 3" xfId="15977" xr:uid="{00000000-0005-0000-0000-00000B3E0000}"/>
    <cellStyle name="Black Dollar 2 4" xfId="19972" xr:uid="{00000000-0005-0000-0000-00000C3E0000}"/>
    <cellStyle name="Black Dollar 3" xfId="8586" xr:uid="{00000000-0005-0000-0000-00000D3E0000}"/>
    <cellStyle name="Black Dollar 3 2" xfId="15978" xr:uid="{00000000-0005-0000-0000-00000E3E0000}"/>
    <cellStyle name="Black Dollar 3 3" xfId="19973" xr:uid="{00000000-0005-0000-0000-00000F3E0000}"/>
    <cellStyle name="Black Dollar 4" xfId="8587" xr:uid="{00000000-0005-0000-0000-0000103E0000}"/>
    <cellStyle name="Black Dollar 4 2" xfId="15979" xr:uid="{00000000-0005-0000-0000-0000113E0000}"/>
    <cellStyle name="Black Dollar 4 3" xfId="19974" xr:uid="{00000000-0005-0000-0000-0000123E0000}"/>
    <cellStyle name="Black Dollar 5" xfId="8588" xr:uid="{00000000-0005-0000-0000-0000133E0000}"/>
    <cellStyle name="Black Dollar 5 2" xfId="15980" xr:uid="{00000000-0005-0000-0000-0000143E0000}"/>
    <cellStyle name="Black Dollar 5 3" xfId="19975" xr:uid="{00000000-0005-0000-0000-0000153E0000}"/>
    <cellStyle name="Black Dollar 6" xfId="15976" xr:uid="{00000000-0005-0000-0000-0000163E0000}"/>
    <cellStyle name="Black Dollar 7" xfId="19971" xr:uid="{00000000-0005-0000-0000-0000173E0000}"/>
    <cellStyle name="Black EPS" xfId="8589" xr:uid="{00000000-0005-0000-0000-0000183E0000}"/>
    <cellStyle name="Black EPS 2" xfId="8590" xr:uid="{00000000-0005-0000-0000-0000193E0000}"/>
    <cellStyle name="Black Percent" xfId="8591" xr:uid="{00000000-0005-0000-0000-00001A3E0000}"/>
    <cellStyle name="Black Percent 2" xfId="8592" xr:uid="{00000000-0005-0000-0000-00001B3E0000}"/>
    <cellStyle name="Black Percent2" xfId="8593" xr:uid="{00000000-0005-0000-0000-00001C3E0000}"/>
    <cellStyle name="Black Percent2 2" xfId="8594" xr:uid="{00000000-0005-0000-0000-00001D3E0000}"/>
    <cellStyle name="Black Times" xfId="8595" xr:uid="{00000000-0005-0000-0000-00001E3E0000}"/>
    <cellStyle name="Black Times 2" xfId="8596" xr:uid="{00000000-0005-0000-0000-00001F3E0000}"/>
    <cellStyle name="Black Times 2 2" xfId="8597" xr:uid="{00000000-0005-0000-0000-0000203E0000}"/>
    <cellStyle name="Black Times 3" xfId="8598" xr:uid="{00000000-0005-0000-0000-0000213E0000}"/>
    <cellStyle name="Black Times 4" xfId="8599" xr:uid="{00000000-0005-0000-0000-0000223E0000}"/>
    <cellStyle name="Black Times 5" xfId="8600" xr:uid="{00000000-0005-0000-0000-0000233E0000}"/>
    <cellStyle name="Black Times Two Deci" xfId="8601" xr:uid="{00000000-0005-0000-0000-0000243E0000}"/>
    <cellStyle name="Black Times Two Deci 2" xfId="8602" xr:uid="{00000000-0005-0000-0000-0000253E0000}"/>
    <cellStyle name="Black Times Two Deci2" xfId="8603" xr:uid="{00000000-0005-0000-0000-0000263E0000}"/>
    <cellStyle name="Black Times Two Deci2 2" xfId="8604" xr:uid="{00000000-0005-0000-0000-0000273E0000}"/>
    <cellStyle name="Black Times_Anaphore 12 31 2008 Draft Analysis 02 19 2009" xfId="8605" xr:uid="{00000000-0005-0000-0000-0000283E0000}"/>
    <cellStyle name="Black Times2" xfId="8606" xr:uid="{00000000-0005-0000-0000-0000293E0000}"/>
    <cellStyle name="Black Times2 2" xfId="8607" xr:uid="{00000000-0005-0000-0000-00002A3E0000}"/>
    <cellStyle name="Black Times2 2 2" xfId="8608" xr:uid="{00000000-0005-0000-0000-00002B3E0000}"/>
    <cellStyle name="Black Times2 3" xfId="8609" xr:uid="{00000000-0005-0000-0000-00002C3E0000}"/>
    <cellStyle name="Black Times2 4" xfId="8610" xr:uid="{00000000-0005-0000-0000-00002D3E0000}"/>
    <cellStyle name="Black Times2 5" xfId="8611" xr:uid="{00000000-0005-0000-0000-00002E3E0000}"/>
    <cellStyle name="Black_Anaphore 12 31 2008 Draft Analysis 02 19 2009" xfId="8612" xr:uid="{00000000-0005-0000-0000-00002F3E0000}"/>
    <cellStyle name="BlackStrike" xfId="8613" xr:uid="{00000000-0005-0000-0000-0000303E0000}"/>
    <cellStyle name="BlackText" xfId="8614" xr:uid="{00000000-0005-0000-0000-0000313E0000}"/>
    <cellStyle name="blank" xfId="8615" xr:uid="{00000000-0005-0000-0000-0000323E0000}"/>
    <cellStyle name="Blank[$]" xfId="8616" xr:uid="{00000000-0005-0000-0000-0000333E0000}"/>
    <cellStyle name="Blank[,]" xfId="8617" xr:uid="{00000000-0005-0000-0000-0000343E0000}"/>
    <cellStyle name="Blank[1$]" xfId="8618" xr:uid="{00000000-0005-0000-0000-0000353E0000}"/>
    <cellStyle name="Blank[1%]" xfId="8619" xr:uid="{00000000-0005-0000-0000-0000363E0000}"/>
    <cellStyle name="Blank[1]" xfId="8620" xr:uid="{00000000-0005-0000-0000-0000373E0000}"/>
    <cellStyle name="Blank[2$]" xfId="8621" xr:uid="{00000000-0005-0000-0000-0000383E0000}"/>
    <cellStyle name="Blank[2%]" xfId="8622" xr:uid="{00000000-0005-0000-0000-0000393E0000}"/>
    <cellStyle name="Blank[2]" xfId="8623" xr:uid="{00000000-0005-0000-0000-00003A3E0000}"/>
    <cellStyle name="Blank[3$]" xfId="8624" xr:uid="{00000000-0005-0000-0000-00003B3E0000}"/>
    <cellStyle name="Blank[3]" xfId="8625" xr:uid="{00000000-0005-0000-0000-00003C3E0000}"/>
    <cellStyle name="blue" xfId="8626" xr:uid="{00000000-0005-0000-0000-00003D3E0000}"/>
    <cellStyle name="Blue 2" xfId="8627" xr:uid="{00000000-0005-0000-0000-00003E3E0000}"/>
    <cellStyle name="Blue Decimal" xfId="8628" xr:uid="{00000000-0005-0000-0000-00003F3E0000}"/>
    <cellStyle name="Blue Decimal 2" xfId="8629" xr:uid="{00000000-0005-0000-0000-0000403E0000}"/>
    <cellStyle name="Blue Dollar" xfId="8630" xr:uid="{00000000-0005-0000-0000-0000413E0000}"/>
    <cellStyle name="Blue Dollar 2" xfId="8631" xr:uid="{00000000-0005-0000-0000-0000423E0000}"/>
    <cellStyle name="Blue EPS" xfId="8632" xr:uid="{00000000-0005-0000-0000-0000433E0000}"/>
    <cellStyle name="Blue EPS 2" xfId="8633" xr:uid="{00000000-0005-0000-0000-0000443E0000}"/>
    <cellStyle name="Blue Header" xfId="8634" xr:uid="{00000000-0005-0000-0000-0000453E0000}"/>
    <cellStyle name="Blue Header 2" xfId="8635" xr:uid="{00000000-0005-0000-0000-0000463E0000}"/>
    <cellStyle name="Blue Header 2 2" xfId="20255" xr:uid="{00000000-0005-0000-0000-0000473E0000}"/>
    <cellStyle name="Blue Header 3" xfId="8636" xr:uid="{00000000-0005-0000-0000-0000483E0000}"/>
    <cellStyle name="Blue Header 3 2" xfId="20256" xr:uid="{00000000-0005-0000-0000-0000493E0000}"/>
    <cellStyle name="Blue Header 4" xfId="20257" xr:uid="{00000000-0005-0000-0000-00004A3E0000}"/>
    <cellStyle name="blue shading" xfId="8637" xr:uid="{00000000-0005-0000-0000-00004B3E0000}"/>
    <cellStyle name="blue shading 2" xfId="8638" xr:uid="{00000000-0005-0000-0000-00004C3E0000}"/>
    <cellStyle name="Blue Text" xfId="8639" xr:uid="{00000000-0005-0000-0000-00004D3E0000}"/>
    <cellStyle name="Blue Text 2" xfId="8640" xr:uid="{00000000-0005-0000-0000-00004E3E0000}"/>
    <cellStyle name="Blue Title" xfId="8641" xr:uid="{00000000-0005-0000-0000-00004F3E0000}"/>
    <cellStyle name="Blue Title 2" xfId="8642" xr:uid="{00000000-0005-0000-0000-0000503E0000}"/>
    <cellStyle name="Blue Title 2 2" xfId="8643" xr:uid="{00000000-0005-0000-0000-0000513E0000}"/>
    <cellStyle name="Blue Title 3" xfId="8644" xr:uid="{00000000-0005-0000-0000-0000523E0000}"/>
    <cellStyle name="Blue Title 4" xfId="8645" xr:uid="{00000000-0005-0000-0000-0000533E0000}"/>
    <cellStyle name="Blue Title 5" xfId="8646" xr:uid="{00000000-0005-0000-0000-0000543E0000}"/>
    <cellStyle name="Blue Zero Deci" xfId="8647" xr:uid="{00000000-0005-0000-0000-0000553E0000}"/>
    <cellStyle name="Blue Zero Deci 2" xfId="8648" xr:uid="{00000000-0005-0000-0000-0000563E0000}"/>
    <cellStyle name="Blue_Boston Power VD 01 31 2008 Model 02 26 2008" xfId="8649" xr:uid="{00000000-0005-0000-0000-0000573E0000}"/>
    <cellStyle name="Body" xfId="8650" xr:uid="{00000000-0005-0000-0000-0000583E0000}"/>
    <cellStyle name="Body 2" xfId="8651" xr:uid="{00000000-0005-0000-0000-0000593E0000}"/>
    <cellStyle name="Body text" xfId="8652" xr:uid="{00000000-0005-0000-0000-00005A3E0000}"/>
    <cellStyle name="Body text 2" xfId="8653" xr:uid="{00000000-0005-0000-0000-00005B3E0000}"/>
    <cellStyle name="Body_$Numeric" xfId="8654" xr:uid="{00000000-0005-0000-0000-00005C3E0000}"/>
    <cellStyle name="bold" xfId="8655" xr:uid="{00000000-0005-0000-0000-00005D3E0000}"/>
    <cellStyle name="bold 2" xfId="8656" xr:uid="{00000000-0005-0000-0000-00005E3E0000}"/>
    <cellStyle name="Bold Italic + Line Top" xfId="8657" xr:uid="{00000000-0005-0000-0000-00005F3E0000}"/>
    <cellStyle name="Bold Italic + Line Top 2" xfId="8658" xr:uid="{00000000-0005-0000-0000-0000603E0000}"/>
    <cellStyle name="Bold Label" xfId="8659" xr:uid="{00000000-0005-0000-0000-0000613E0000}"/>
    <cellStyle name="Bold Text" xfId="8660" xr:uid="{00000000-0005-0000-0000-0000623E0000}"/>
    <cellStyle name="Bold Text %" xfId="8661" xr:uid="{00000000-0005-0000-0000-0000633E0000}"/>
    <cellStyle name="Bold Text + Line Top" xfId="8662" xr:uid="{00000000-0005-0000-0000-0000643E0000}"/>
    <cellStyle name="Bold Text + Line Top 2" xfId="8663" xr:uid="{00000000-0005-0000-0000-0000653E0000}"/>
    <cellStyle name="Bold Text 2" xfId="8664" xr:uid="{00000000-0005-0000-0000-0000663E0000}"/>
    <cellStyle name="Bold/Border" xfId="8665" xr:uid="{00000000-0005-0000-0000-0000673E0000}"/>
    <cellStyle name="Bold/Border 2" xfId="8666" xr:uid="{00000000-0005-0000-0000-0000683E0000}"/>
    <cellStyle name="Bold/Border 3" xfId="8667" xr:uid="{00000000-0005-0000-0000-0000693E0000}"/>
    <cellStyle name="Bold/Border 3 2" xfId="20258" xr:uid="{00000000-0005-0000-0000-00006A3E0000}"/>
    <cellStyle name="bold_Boston Power VD 01 31 2008 Model 02 26 2008" xfId="8668" xr:uid="{00000000-0005-0000-0000-00006B3E0000}"/>
    <cellStyle name="Bol-Data" xfId="8669" xr:uid="{00000000-0005-0000-0000-00006C3E0000}"/>
    <cellStyle name="BoldCen" xfId="8670" xr:uid="{00000000-0005-0000-0000-00006D3E0000}"/>
    <cellStyle name="BoldCenUnd" xfId="8671" xr:uid="{00000000-0005-0000-0000-00006E3E0000}"/>
    <cellStyle name="BoldCenUnd 2" xfId="8672" xr:uid="{00000000-0005-0000-0000-00006F3E0000}"/>
    <cellStyle name="BoldText" xfId="8673" xr:uid="{00000000-0005-0000-0000-0000703E0000}"/>
    <cellStyle name="bolet" xfId="8674" xr:uid="{00000000-0005-0000-0000-0000713E0000}"/>
    <cellStyle name="Boletim" xfId="8675" xr:uid="{00000000-0005-0000-0000-0000723E0000}"/>
    <cellStyle name="Bom" xfId="8676" xr:uid="{00000000-0005-0000-0000-0000733E0000}"/>
    <cellStyle name="Border" xfId="8677" xr:uid="{00000000-0005-0000-0000-0000743E0000}"/>
    <cellStyle name="Border 10" xfId="8678" xr:uid="{00000000-0005-0000-0000-0000753E0000}"/>
    <cellStyle name="Border 10 2" xfId="8679" xr:uid="{00000000-0005-0000-0000-0000763E0000}"/>
    <cellStyle name="Border 10 2 2" xfId="15982" xr:uid="{00000000-0005-0000-0000-0000773E0000}"/>
    <cellStyle name="Border 10 2 3" xfId="19977" xr:uid="{00000000-0005-0000-0000-0000783E0000}"/>
    <cellStyle name="Border 10 3" xfId="8680" xr:uid="{00000000-0005-0000-0000-0000793E0000}"/>
    <cellStyle name="Border 10 3 2" xfId="15983" xr:uid="{00000000-0005-0000-0000-00007A3E0000}"/>
    <cellStyle name="Border 10 3 3" xfId="19978" xr:uid="{00000000-0005-0000-0000-00007B3E0000}"/>
    <cellStyle name="Border 10 4" xfId="15981" xr:uid="{00000000-0005-0000-0000-00007C3E0000}"/>
    <cellStyle name="Border 10 5" xfId="19976" xr:uid="{00000000-0005-0000-0000-00007D3E0000}"/>
    <cellStyle name="Border 11" xfId="8681" xr:uid="{00000000-0005-0000-0000-00007E3E0000}"/>
    <cellStyle name="Border 11 2" xfId="8682" xr:uid="{00000000-0005-0000-0000-00007F3E0000}"/>
    <cellStyle name="Border 11 2 2" xfId="15985" xr:uid="{00000000-0005-0000-0000-0000803E0000}"/>
    <cellStyle name="Border 11 2 3" xfId="19980" xr:uid="{00000000-0005-0000-0000-0000813E0000}"/>
    <cellStyle name="Border 11 3" xfId="8683" xr:uid="{00000000-0005-0000-0000-0000823E0000}"/>
    <cellStyle name="Border 11 3 2" xfId="15986" xr:uid="{00000000-0005-0000-0000-0000833E0000}"/>
    <cellStyle name="Border 11 3 3" xfId="19981" xr:uid="{00000000-0005-0000-0000-0000843E0000}"/>
    <cellStyle name="Border 11 4" xfId="15984" xr:uid="{00000000-0005-0000-0000-0000853E0000}"/>
    <cellStyle name="Border 11 5" xfId="19979" xr:uid="{00000000-0005-0000-0000-0000863E0000}"/>
    <cellStyle name="Border 12" xfId="8684" xr:uid="{00000000-0005-0000-0000-0000873E0000}"/>
    <cellStyle name="Border 12 2" xfId="8685" xr:uid="{00000000-0005-0000-0000-0000883E0000}"/>
    <cellStyle name="Border 12 2 2" xfId="15988" xr:uid="{00000000-0005-0000-0000-0000893E0000}"/>
    <cellStyle name="Border 12 2 3" xfId="19983" xr:uid="{00000000-0005-0000-0000-00008A3E0000}"/>
    <cellStyle name="Border 12 3" xfId="8686" xr:uid="{00000000-0005-0000-0000-00008B3E0000}"/>
    <cellStyle name="Border 12 3 2" xfId="15989" xr:uid="{00000000-0005-0000-0000-00008C3E0000}"/>
    <cellStyle name="Border 12 3 3" xfId="19984" xr:uid="{00000000-0005-0000-0000-00008D3E0000}"/>
    <cellStyle name="Border 12 4" xfId="15987" xr:uid="{00000000-0005-0000-0000-00008E3E0000}"/>
    <cellStyle name="Border 12 5" xfId="19982" xr:uid="{00000000-0005-0000-0000-00008F3E0000}"/>
    <cellStyle name="Border 13" xfId="8687" xr:uid="{00000000-0005-0000-0000-0000903E0000}"/>
    <cellStyle name="Border 13 2" xfId="15990" xr:uid="{00000000-0005-0000-0000-0000913E0000}"/>
    <cellStyle name="Border 13 3" xfId="19985" xr:uid="{00000000-0005-0000-0000-0000923E0000}"/>
    <cellStyle name="Border 14" xfId="8688" xr:uid="{00000000-0005-0000-0000-0000933E0000}"/>
    <cellStyle name="Border 14 2" xfId="15991" xr:uid="{00000000-0005-0000-0000-0000943E0000}"/>
    <cellStyle name="Border 14 3" xfId="19986" xr:uid="{00000000-0005-0000-0000-0000953E0000}"/>
    <cellStyle name="Border 2" xfId="8689" xr:uid="{00000000-0005-0000-0000-0000963E0000}"/>
    <cellStyle name="Border 2 10" xfId="8690" xr:uid="{00000000-0005-0000-0000-0000973E0000}"/>
    <cellStyle name="Border 2 10 2" xfId="15993" xr:uid="{00000000-0005-0000-0000-0000983E0000}"/>
    <cellStyle name="Border 2 10 3" xfId="19988" xr:uid="{00000000-0005-0000-0000-0000993E0000}"/>
    <cellStyle name="Border 2 11" xfId="8691" xr:uid="{00000000-0005-0000-0000-00009A3E0000}"/>
    <cellStyle name="Border 2 11 2" xfId="15994" xr:uid="{00000000-0005-0000-0000-00009B3E0000}"/>
    <cellStyle name="Border 2 11 3" xfId="19989" xr:uid="{00000000-0005-0000-0000-00009C3E0000}"/>
    <cellStyle name="Border 2 12" xfId="15992" xr:uid="{00000000-0005-0000-0000-00009D3E0000}"/>
    <cellStyle name="Border 2 13" xfId="19987" xr:uid="{00000000-0005-0000-0000-00009E3E0000}"/>
    <cellStyle name="Border 2 2" xfId="8692" xr:uid="{00000000-0005-0000-0000-00009F3E0000}"/>
    <cellStyle name="Border 2 2 2" xfId="8693" xr:uid="{00000000-0005-0000-0000-0000A03E0000}"/>
    <cellStyle name="Border 2 2 2 2" xfId="15996" xr:uid="{00000000-0005-0000-0000-0000A13E0000}"/>
    <cellStyle name="Border 2 2 2 3" xfId="19991" xr:uid="{00000000-0005-0000-0000-0000A23E0000}"/>
    <cellStyle name="Border 2 2 3" xfId="8694" xr:uid="{00000000-0005-0000-0000-0000A33E0000}"/>
    <cellStyle name="Border 2 2 3 2" xfId="15997" xr:uid="{00000000-0005-0000-0000-0000A43E0000}"/>
    <cellStyle name="Border 2 2 3 3" xfId="19992" xr:uid="{00000000-0005-0000-0000-0000A53E0000}"/>
    <cellStyle name="Border 2 2 4" xfId="15995" xr:uid="{00000000-0005-0000-0000-0000A63E0000}"/>
    <cellStyle name="Border 2 2 5" xfId="19990" xr:uid="{00000000-0005-0000-0000-0000A73E0000}"/>
    <cellStyle name="Border 2 3" xfId="8695" xr:uid="{00000000-0005-0000-0000-0000A83E0000}"/>
    <cellStyle name="Border 2 3 2" xfId="8696" xr:uid="{00000000-0005-0000-0000-0000A93E0000}"/>
    <cellStyle name="Border 2 3 2 2" xfId="15999" xr:uid="{00000000-0005-0000-0000-0000AA3E0000}"/>
    <cellStyle name="Border 2 3 2 3" xfId="19994" xr:uid="{00000000-0005-0000-0000-0000AB3E0000}"/>
    <cellStyle name="Border 2 3 3" xfId="8697" xr:uid="{00000000-0005-0000-0000-0000AC3E0000}"/>
    <cellStyle name="Border 2 3 3 2" xfId="16000" xr:uid="{00000000-0005-0000-0000-0000AD3E0000}"/>
    <cellStyle name="Border 2 3 3 3" xfId="19995" xr:uid="{00000000-0005-0000-0000-0000AE3E0000}"/>
    <cellStyle name="Border 2 3 4" xfId="15998" xr:uid="{00000000-0005-0000-0000-0000AF3E0000}"/>
    <cellStyle name="Border 2 3 5" xfId="19993" xr:uid="{00000000-0005-0000-0000-0000B03E0000}"/>
    <cellStyle name="Border 2 4" xfId="8698" xr:uid="{00000000-0005-0000-0000-0000B13E0000}"/>
    <cellStyle name="Border 2 4 2" xfId="8699" xr:uid="{00000000-0005-0000-0000-0000B23E0000}"/>
    <cellStyle name="Border 2 4 2 2" xfId="16002" xr:uid="{00000000-0005-0000-0000-0000B33E0000}"/>
    <cellStyle name="Border 2 4 2 3" xfId="19997" xr:uid="{00000000-0005-0000-0000-0000B43E0000}"/>
    <cellStyle name="Border 2 4 3" xfId="8700" xr:uid="{00000000-0005-0000-0000-0000B53E0000}"/>
    <cellStyle name="Border 2 4 3 2" xfId="16003" xr:uid="{00000000-0005-0000-0000-0000B63E0000}"/>
    <cellStyle name="Border 2 4 3 3" xfId="19998" xr:uid="{00000000-0005-0000-0000-0000B73E0000}"/>
    <cellStyle name="Border 2 4 4" xfId="16001" xr:uid="{00000000-0005-0000-0000-0000B83E0000}"/>
    <cellStyle name="Border 2 4 5" xfId="19996" xr:uid="{00000000-0005-0000-0000-0000B93E0000}"/>
    <cellStyle name="Border 2 5" xfId="8701" xr:uid="{00000000-0005-0000-0000-0000BA3E0000}"/>
    <cellStyle name="Border 2 5 2" xfId="8702" xr:uid="{00000000-0005-0000-0000-0000BB3E0000}"/>
    <cellStyle name="Border 2 5 2 2" xfId="16005" xr:uid="{00000000-0005-0000-0000-0000BC3E0000}"/>
    <cellStyle name="Border 2 5 2 3" xfId="20000" xr:uid="{00000000-0005-0000-0000-0000BD3E0000}"/>
    <cellStyle name="Border 2 5 3" xfId="8703" xr:uid="{00000000-0005-0000-0000-0000BE3E0000}"/>
    <cellStyle name="Border 2 5 3 2" xfId="16006" xr:uid="{00000000-0005-0000-0000-0000BF3E0000}"/>
    <cellStyle name="Border 2 5 3 3" xfId="20001" xr:uid="{00000000-0005-0000-0000-0000C03E0000}"/>
    <cellStyle name="Border 2 5 4" xfId="16004" xr:uid="{00000000-0005-0000-0000-0000C13E0000}"/>
    <cellStyle name="Border 2 5 5" xfId="19999" xr:uid="{00000000-0005-0000-0000-0000C23E0000}"/>
    <cellStyle name="Border 2 6" xfId="8704" xr:uid="{00000000-0005-0000-0000-0000C33E0000}"/>
    <cellStyle name="Border 2 6 2" xfId="8705" xr:uid="{00000000-0005-0000-0000-0000C43E0000}"/>
    <cellStyle name="Border 2 6 2 2" xfId="16008" xr:uid="{00000000-0005-0000-0000-0000C53E0000}"/>
    <cellStyle name="Border 2 6 2 3" xfId="20003" xr:uid="{00000000-0005-0000-0000-0000C63E0000}"/>
    <cellStyle name="Border 2 6 3" xfId="8706" xr:uid="{00000000-0005-0000-0000-0000C73E0000}"/>
    <cellStyle name="Border 2 6 3 2" xfId="16009" xr:uid="{00000000-0005-0000-0000-0000C83E0000}"/>
    <cellStyle name="Border 2 6 3 3" xfId="20004" xr:uid="{00000000-0005-0000-0000-0000C93E0000}"/>
    <cellStyle name="Border 2 6 4" xfId="16007" xr:uid="{00000000-0005-0000-0000-0000CA3E0000}"/>
    <cellStyle name="Border 2 6 5" xfId="20002" xr:uid="{00000000-0005-0000-0000-0000CB3E0000}"/>
    <cellStyle name="Border 2 7" xfId="8707" xr:uid="{00000000-0005-0000-0000-0000CC3E0000}"/>
    <cellStyle name="Border 2 7 2" xfId="8708" xr:uid="{00000000-0005-0000-0000-0000CD3E0000}"/>
    <cellStyle name="Border 2 7 2 2" xfId="16011" xr:uid="{00000000-0005-0000-0000-0000CE3E0000}"/>
    <cellStyle name="Border 2 7 2 3" xfId="20006" xr:uid="{00000000-0005-0000-0000-0000CF3E0000}"/>
    <cellStyle name="Border 2 7 3" xfId="8709" xr:uid="{00000000-0005-0000-0000-0000D03E0000}"/>
    <cellStyle name="Border 2 7 3 2" xfId="16012" xr:uid="{00000000-0005-0000-0000-0000D13E0000}"/>
    <cellStyle name="Border 2 7 3 3" xfId="20007" xr:uid="{00000000-0005-0000-0000-0000D23E0000}"/>
    <cellStyle name="Border 2 7 4" xfId="16010" xr:uid="{00000000-0005-0000-0000-0000D33E0000}"/>
    <cellStyle name="Border 2 7 5" xfId="20005" xr:uid="{00000000-0005-0000-0000-0000D43E0000}"/>
    <cellStyle name="Border 2 8" xfId="8710" xr:uid="{00000000-0005-0000-0000-0000D53E0000}"/>
    <cellStyle name="Border 2 8 2" xfId="8711" xr:uid="{00000000-0005-0000-0000-0000D63E0000}"/>
    <cellStyle name="Border 2 8 2 2" xfId="16014" xr:uid="{00000000-0005-0000-0000-0000D73E0000}"/>
    <cellStyle name="Border 2 8 2 3" xfId="20009" xr:uid="{00000000-0005-0000-0000-0000D83E0000}"/>
    <cellStyle name="Border 2 8 3" xfId="8712" xr:uid="{00000000-0005-0000-0000-0000D93E0000}"/>
    <cellStyle name="Border 2 8 3 2" xfId="16015" xr:uid="{00000000-0005-0000-0000-0000DA3E0000}"/>
    <cellStyle name="Border 2 8 3 3" xfId="20010" xr:uid="{00000000-0005-0000-0000-0000DB3E0000}"/>
    <cellStyle name="Border 2 8 4" xfId="16013" xr:uid="{00000000-0005-0000-0000-0000DC3E0000}"/>
    <cellStyle name="Border 2 8 5" xfId="20008" xr:uid="{00000000-0005-0000-0000-0000DD3E0000}"/>
    <cellStyle name="Border 2 9" xfId="8713" xr:uid="{00000000-0005-0000-0000-0000DE3E0000}"/>
    <cellStyle name="Border 2 9 2" xfId="8714" xr:uid="{00000000-0005-0000-0000-0000DF3E0000}"/>
    <cellStyle name="Border 2 9 2 2" xfId="16017" xr:uid="{00000000-0005-0000-0000-0000E03E0000}"/>
    <cellStyle name="Border 2 9 2 3" xfId="20012" xr:uid="{00000000-0005-0000-0000-0000E13E0000}"/>
    <cellStyle name="Border 2 9 3" xfId="8715" xr:uid="{00000000-0005-0000-0000-0000E23E0000}"/>
    <cellStyle name="Border 2 9 3 2" xfId="16018" xr:uid="{00000000-0005-0000-0000-0000E33E0000}"/>
    <cellStyle name="Border 2 9 3 3" xfId="20013" xr:uid="{00000000-0005-0000-0000-0000E43E0000}"/>
    <cellStyle name="Border 2 9 4" xfId="16016" xr:uid="{00000000-0005-0000-0000-0000E53E0000}"/>
    <cellStyle name="Border 2 9 5" xfId="20011" xr:uid="{00000000-0005-0000-0000-0000E63E0000}"/>
    <cellStyle name="Border 3" xfId="8716" xr:uid="{00000000-0005-0000-0000-0000E73E0000}"/>
    <cellStyle name="Border 3 10" xfId="8717" xr:uid="{00000000-0005-0000-0000-0000E83E0000}"/>
    <cellStyle name="Border 3 10 2" xfId="16020" xr:uid="{00000000-0005-0000-0000-0000E93E0000}"/>
    <cellStyle name="Border 3 10 3" xfId="20015" xr:uid="{00000000-0005-0000-0000-0000EA3E0000}"/>
    <cellStyle name="Border 3 11" xfId="8718" xr:uid="{00000000-0005-0000-0000-0000EB3E0000}"/>
    <cellStyle name="Border 3 11 2" xfId="16021" xr:uid="{00000000-0005-0000-0000-0000EC3E0000}"/>
    <cellStyle name="Border 3 11 3" xfId="20016" xr:uid="{00000000-0005-0000-0000-0000ED3E0000}"/>
    <cellStyle name="Border 3 12" xfId="16019" xr:uid="{00000000-0005-0000-0000-0000EE3E0000}"/>
    <cellStyle name="Border 3 13" xfId="20014" xr:uid="{00000000-0005-0000-0000-0000EF3E0000}"/>
    <cellStyle name="Border 3 2" xfId="8719" xr:uid="{00000000-0005-0000-0000-0000F03E0000}"/>
    <cellStyle name="Border 3 2 2" xfId="8720" xr:uid="{00000000-0005-0000-0000-0000F13E0000}"/>
    <cellStyle name="Border 3 2 2 2" xfId="16023" xr:uid="{00000000-0005-0000-0000-0000F23E0000}"/>
    <cellStyle name="Border 3 2 2 3" xfId="20018" xr:uid="{00000000-0005-0000-0000-0000F33E0000}"/>
    <cellStyle name="Border 3 2 3" xfId="8721" xr:uid="{00000000-0005-0000-0000-0000F43E0000}"/>
    <cellStyle name="Border 3 2 3 2" xfId="16024" xr:uid="{00000000-0005-0000-0000-0000F53E0000}"/>
    <cellStyle name="Border 3 2 3 3" xfId="20019" xr:uid="{00000000-0005-0000-0000-0000F63E0000}"/>
    <cellStyle name="Border 3 2 4" xfId="16022" xr:uid="{00000000-0005-0000-0000-0000F73E0000}"/>
    <cellStyle name="Border 3 2 5" xfId="20017" xr:uid="{00000000-0005-0000-0000-0000F83E0000}"/>
    <cellStyle name="Border 3 3" xfId="8722" xr:uid="{00000000-0005-0000-0000-0000F93E0000}"/>
    <cellStyle name="Border 3 3 2" xfId="8723" xr:uid="{00000000-0005-0000-0000-0000FA3E0000}"/>
    <cellStyle name="Border 3 3 2 2" xfId="16026" xr:uid="{00000000-0005-0000-0000-0000FB3E0000}"/>
    <cellStyle name="Border 3 3 2 3" xfId="20021" xr:uid="{00000000-0005-0000-0000-0000FC3E0000}"/>
    <cellStyle name="Border 3 3 3" xfId="8724" xr:uid="{00000000-0005-0000-0000-0000FD3E0000}"/>
    <cellStyle name="Border 3 3 3 2" xfId="16027" xr:uid="{00000000-0005-0000-0000-0000FE3E0000}"/>
    <cellStyle name="Border 3 3 3 3" xfId="20022" xr:uid="{00000000-0005-0000-0000-0000FF3E0000}"/>
    <cellStyle name="Border 3 3 4" xfId="16025" xr:uid="{00000000-0005-0000-0000-0000003F0000}"/>
    <cellStyle name="Border 3 3 5" xfId="20020" xr:uid="{00000000-0005-0000-0000-0000013F0000}"/>
    <cellStyle name="Border 3 4" xfId="8725" xr:uid="{00000000-0005-0000-0000-0000023F0000}"/>
    <cellStyle name="Border 3 4 2" xfId="8726" xr:uid="{00000000-0005-0000-0000-0000033F0000}"/>
    <cellStyle name="Border 3 4 2 2" xfId="16029" xr:uid="{00000000-0005-0000-0000-0000043F0000}"/>
    <cellStyle name="Border 3 4 2 3" xfId="20024" xr:uid="{00000000-0005-0000-0000-0000053F0000}"/>
    <cellStyle name="Border 3 4 3" xfId="8727" xr:uid="{00000000-0005-0000-0000-0000063F0000}"/>
    <cellStyle name="Border 3 4 3 2" xfId="16030" xr:uid="{00000000-0005-0000-0000-0000073F0000}"/>
    <cellStyle name="Border 3 4 3 3" xfId="20025" xr:uid="{00000000-0005-0000-0000-0000083F0000}"/>
    <cellStyle name="Border 3 4 4" xfId="16028" xr:uid="{00000000-0005-0000-0000-0000093F0000}"/>
    <cellStyle name="Border 3 4 5" xfId="20023" xr:uid="{00000000-0005-0000-0000-00000A3F0000}"/>
    <cellStyle name="Border 3 5" xfId="8728" xr:uid="{00000000-0005-0000-0000-00000B3F0000}"/>
    <cellStyle name="Border 3 5 2" xfId="8729" xr:uid="{00000000-0005-0000-0000-00000C3F0000}"/>
    <cellStyle name="Border 3 5 2 2" xfId="16032" xr:uid="{00000000-0005-0000-0000-00000D3F0000}"/>
    <cellStyle name="Border 3 5 2 3" xfId="20027" xr:uid="{00000000-0005-0000-0000-00000E3F0000}"/>
    <cellStyle name="Border 3 5 3" xfId="8730" xr:uid="{00000000-0005-0000-0000-00000F3F0000}"/>
    <cellStyle name="Border 3 5 3 2" xfId="16033" xr:uid="{00000000-0005-0000-0000-0000103F0000}"/>
    <cellStyle name="Border 3 5 3 3" xfId="20028" xr:uid="{00000000-0005-0000-0000-0000113F0000}"/>
    <cellStyle name="Border 3 5 4" xfId="16031" xr:uid="{00000000-0005-0000-0000-0000123F0000}"/>
    <cellStyle name="Border 3 5 5" xfId="20026" xr:uid="{00000000-0005-0000-0000-0000133F0000}"/>
    <cellStyle name="Border 3 6" xfId="8731" xr:uid="{00000000-0005-0000-0000-0000143F0000}"/>
    <cellStyle name="Border 3 6 2" xfId="8732" xr:uid="{00000000-0005-0000-0000-0000153F0000}"/>
    <cellStyle name="Border 3 6 2 2" xfId="16035" xr:uid="{00000000-0005-0000-0000-0000163F0000}"/>
    <cellStyle name="Border 3 6 2 3" xfId="20030" xr:uid="{00000000-0005-0000-0000-0000173F0000}"/>
    <cellStyle name="Border 3 6 3" xfId="8733" xr:uid="{00000000-0005-0000-0000-0000183F0000}"/>
    <cellStyle name="Border 3 6 3 2" xfId="16036" xr:uid="{00000000-0005-0000-0000-0000193F0000}"/>
    <cellStyle name="Border 3 6 3 3" xfId="20031" xr:uid="{00000000-0005-0000-0000-00001A3F0000}"/>
    <cellStyle name="Border 3 6 4" xfId="16034" xr:uid="{00000000-0005-0000-0000-00001B3F0000}"/>
    <cellStyle name="Border 3 6 5" xfId="20029" xr:uid="{00000000-0005-0000-0000-00001C3F0000}"/>
    <cellStyle name="Border 3 7" xfId="8734" xr:uid="{00000000-0005-0000-0000-00001D3F0000}"/>
    <cellStyle name="Border 3 7 2" xfId="8735" xr:uid="{00000000-0005-0000-0000-00001E3F0000}"/>
    <cellStyle name="Border 3 7 2 2" xfId="16038" xr:uid="{00000000-0005-0000-0000-00001F3F0000}"/>
    <cellStyle name="Border 3 7 2 3" xfId="20033" xr:uid="{00000000-0005-0000-0000-0000203F0000}"/>
    <cellStyle name="Border 3 7 3" xfId="8736" xr:uid="{00000000-0005-0000-0000-0000213F0000}"/>
    <cellStyle name="Border 3 7 3 2" xfId="16039" xr:uid="{00000000-0005-0000-0000-0000223F0000}"/>
    <cellStyle name="Border 3 7 3 3" xfId="20034" xr:uid="{00000000-0005-0000-0000-0000233F0000}"/>
    <cellStyle name="Border 3 7 4" xfId="16037" xr:uid="{00000000-0005-0000-0000-0000243F0000}"/>
    <cellStyle name="Border 3 7 5" xfId="20032" xr:uid="{00000000-0005-0000-0000-0000253F0000}"/>
    <cellStyle name="Border 3 8" xfId="8737" xr:uid="{00000000-0005-0000-0000-0000263F0000}"/>
    <cellStyle name="Border 3 8 2" xfId="8738" xr:uid="{00000000-0005-0000-0000-0000273F0000}"/>
    <cellStyle name="Border 3 8 2 2" xfId="16041" xr:uid="{00000000-0005-0000-0000-0000283F0000}"/>
    <cellStyle name="Border 3 8 2 3" xfId="20036" xr:uid="{00000000-0005-0000-0000-0000293F0000}"/>
    <cellStyle name="Border 3 8 3" xfId="8739" xr:uid="{00000000-0005-0000-0000-00002A3F0000}"/>
    <cellStyle name="Border 3 8 3 2" xfId="16042" xr:uid="{00000000-0005-0000-0000-00002B3F0000}"/>
    <cellStyle name="Border 3 8 3 3" xfId="20037" xr:uid="{00000000-0005-0000-0000-00002C3F0000}"/>
    <cellStyle name="Border 3 8 4" xfId="16040" xr:uid="{00000000-0005-0000-0000-00002D3F0000}"/>
    <cellStyle name="Border 3 8 5" xfId="20035" xr:uid="{00000000-0005-0000-0000-00002E3F0000}"/>
    <cellStyle name="Border 3 9" xfId="8740" xr:uid="{00000000-0005-0000-0000-00002F3F0000}"/>
    <cellStyle name="Border 3 9 2" xfId="8741" xr:uid="{00000000-0005-0000-0000-0000303F0000}"/>
    <cellStyle name="Border 3 9 2 2" xfId="16044" xr:uid="{00000000-0005-0000-0000-0000313F0000}"/>
    <cellStyle name="Border 3 9 2 3" xfId="20039" xr:uid="{00000000-0005-0000-0000-0000323F0000}"/>
    <cellStyle name="Border 3 9 3" xfId="8742" xr:uid="{00000000-0005-0000-0000-0000333F0000}"/>
    <cellStyle name="Border 3 9 3 2" xfId="16045" xr:uid="{00000000-0005-0000-0000-0000343F0000}"/>
    <cellStyle name="Border 3 9 3 3" xfId="20040" xr:uid="{00000000-0005-0000-0000-0000353F0000}"/>
    <cellStyle name="Border 3 9 4" xfId="16043" xr:uid="{00000000-0005-0000-0000-0000363F0000}"/>
    <cellStyle name="Border 3 9 5" xfId="20038" xr:uid="{00000000-0005-0000-0000-0000373F0000}"/>
    <cellStyle name="Border 4" xfId="8743" xr:uid="{00000000-0005-0000-0000-0000383F0000}"/>
    <cellStyle name="Border 4 2" xfId="8744" xr:uid="{00000000-0005-0000-0000-0000393F0000}"/>
    <cellStyle name="Border 4 2 2" xfId="8745" xr:uid="{00000000-0005-0000-0000-00003A3F0000}"/>
    <cellStyle name="Border 4 2 2 2" xfId="16048" xr:uid="{00000000-0005-0000-0000-00003B3F0000}"/>
    <cellStyle name="Border 4 2 2 3" xfId="20043" xr:uid="{00000000-0005-0000-0000-00003C3F0000}"/>
    <cellStyle name="Border 4 2 3" xfId="8746" xr:uid="{00000000-0005-0000-0000-00003D3F0000}"/>
    <cellStyle name="Border 4 2 3 2" xfId="16049" xr:uid="{00000000-0005-0000-0000-00003E3F0000}"/>
    <cellStyle name="Border 4 2 3 3" xfId="20044" xr:uid="{00000000-0005-0000-0000-00003F3F0000}"/>
    <cellStyle name="Border 4 2 4" xfId="16047" xr:uid="{00000000-0005-0000-0000-0000403F0000}"/>
    <cellStyle name="Border 4 2 5" xfId="20042" xr:uid="{00000000-0005-0000-0000-0000413F0000}"/>
    <cellStyle name="Border 4 3" xfId="8747" xr:uid="{00000000-0005-0000-0000-0000423F0000}"/>
    <cellStyle name="Border 4 3 2" xfId="8748" xr:uid="{00000000-0005-0000-0000-0000433F0000}"/>
    <cellStyle name="Border 4 3 2 2" xfId="16051" xr:uid="{00000000-0005-0000-0000-0000443F0000}"/>
    <cellStyle name="Border 4 3 2 3" xfId="20046" xr:uid="{00000000-0005-0000-0000-0000453F0000}"/>
    <cellStyle name="Border 4 3 3" xfId="8749" xr:uid="{00000000-0005-0000-0000-0000463F0000}"/>
    <cellStyle name="Border 4 3 3 2" xfId="16052" xr:uid="{00000000-0005-0000-0000-0000473F0000}"/>
    <cellStyle name="Border 4 3 3 3" xfId="20047" xr:uid="{00000000-0005-0000-0000-0000483F0000}"/>
    <cellStyle name="Border 4 3 4" xfId="16050" xr:uid="{00000000-0005-0000-0000-0000493F0000}"/>
    <cellStyle name="Border 4 3 5" xfId="20045" xr:uid="{00000000-0005-0000-0000-00004A3F0000}"/>
    <cellStyle name="Border 4 4" xfId="8750" xr:uid="{00000000-0005-0000-0000-00004B3F0000}"/>
    <cellStyle name="Border 4 4 2" xfId="16053" xr:uid="{00000000-0005-0000-0000-00004C3F0000}"/>
    <cellStyle name="Border 4 4 3" xfId="20048" xr:uid="{00000000-0005-0000-0000-00004D3F0000}"/>
    <cellStyle name="Border 4 5" xfId="8751" xr:uid="{00000000-0005-0000-0000-00004E3F0000}"/>
    <cellStyle name="Border 4 5 2" xfId="16054" xr:uid="{00000000-0005-0000-0000-00004F3F0000}"/>
    <cellStyle name="Border 4 5 3" xfId="20049" xr:uid="{00000000-0005-0000-0000-0000503F0000}"/>
    <cellStyle name="Border 4 6" xfId="16046" xr:uid="{00000000-0005-0000-0000-0000513F0000}"/>
    <cellStyle name="Border 4 7" xfId="20041" xr:uid="{00000000-0005-0000-0000-0000523F0000}"/>
    <cellStyle name="Border 5" xfId="8752" xr:uid="{00000000-0005-0000-0000-0000533F0000}"/>
    <cellStyle name="Border 5 2" xfId="8753" xr:uid="{00000000-0005-0000-0000-0000543F0000}"/>
    <cellStyle name="Border 5 2 2" xfId="16056" xr:uid="{00000000-0005-0000-0000-0000553F0000}"/>
    <cellStyle name="Border 5 2 3" xfId="20051" xr:uid="{00000000-0005-0000-0000-0000563F0000}"/>
    <cellStyle name="Border 5 3" xfId="8754" xr:uid="{00000000-0005-0000-0000-0000573F0000}"/>
    <cellStyle name="Border 5 3 2" xfId="16057" xr:uid="{00000000-0005-0000-0000-0000583F0000}"/>
    <cellStyle name="Border 5 3 3" xfId="20052" xr:uid="{00000000-0005-0000-0000-0000593F0000}"/>
    <cellStyle name="Border 5 4" xfId="16055" xr:uid="{00000000-0005-0000-0000-00005A3F0000}"/>
    <cellStyle name="Border 5 5" xfId="20050" xr:uid="{00000000-0005-0000-0000-00005B3F0000}"/>
    <cellStyle name="Border 6" xfId="8755" xr:uid="{00000000-0005-0000-0000-00005C3F0000}"/>
    <cellStyle name="Border 6 2" xfId="8756" xr:uid="{00000000-0005-0000-0000-00005D3F0000}"/>
    <cellStyle name="Border 6 2 2" xfId="16059" xr:uid="{00000000-0005-0000-0000-00005E3F0000}"/>
    <cellStyle name="Border 6 2 3" xfId="20054" xr:uid="{00000000-0005-0000-0000-00005F3F0000}"/>
    <cellStyle name="Border 6 3" xfId="8757" xr:uid="{00000000-0005-0000-0000-0000603F0000}"/>
    <cellStyle name="Border 6 3 2" xfId="16060" xr:uid="{00000000-0005-0000-0000-0000613F0000}"/>
    <cellStyle name="Border 6 3 3" xfId="20055" xr:uid="{00000000-0005-0000-0000-0000623F0000}"/>
    <cellStyle name="Border 6 4" xfId="16058" xr:uid="{00000000-0005-0000-0000-0000633F0000}"/>
    <cellStyle name="Border 6 5" xfId="20053" xr:uid="{00000000-0005-0000-0000-0000643F0000}"/>
    <cellStyle name="Border 7" xfId="8758" xr:uid="{00000000-0005-0000-0000-0000653F0000}"/>
    <cellStyle name="Border 7 2" xfId="8759" xr:uid="{00000000-0005-0000-0000-0000663F0000}"/>
    <cellStyle name="Border 7 2 2" xfId="16062" xr:uid="{00000000-0005-0000-0000-0000673F0000}"/>
    <cellStyle name="Border 7 2 3" xfId="20057" xr:uid="{00000000-0005-0000-0000-0000683F0000}"/>
    <cellStyle name="Border 7 3" xfId="8760" xr:uid="{00000000-0005-0000-0000-0000693F0000}"/>
    <cellStyle name="Border 7 3 2" xfId="16063" xr:uid="{00000000-0005-0000-0000-00006A3F0000}"/>
    <cellStyle name="Border 7 3 3" xfId="20058" xr:uid="{00000000-0005-0000-0000-00006B3F0000}"/>
    <cellStyle name="Border 7 4" xfId="16061" xr:uid="{00000000-0005-0000-0000-00006C3F0000}"/>
    <cellStyle name="Border 7 5" xfId="20056" xr:uid="{00000000-0005-0000-0000-00006D3F0000}"/>
    <cellStyle name="Border 8" xfId="8761" xr:uid="{00000000-0005-0000-0000-00006E3F0000}"/>
    <cellStyle name="Border 8 2" xfId="8762" xr:uid="{00000000-0005-0000-0000-00006F3F0000}"/>
    <cellStyle name="Border 8 2 2" xfId="16065" xr:uid="{00000000-0005-0000-0000-0000703F0000}"/>
    <cellStyle name="Border 8 2 3" xfId="20060" xr:uid="{00000000-0005-0000-0000-0000713F0000}"/>
    <cellStyle name="Border 8 3" xfId="8763" xr:uid="{00000000-0005-0000-0000-0000723F0000}"/>
    <cellStyle name="Border 8 3 2" xfId="16066" xr:uid="{00000000-0005-0000-0000-0000733F0000}"/>
    <cellStyle name="Border 8 3 3" xfId="20061" xr:uid="{00000000-0005-0000-0000-0000743F0000}"/>
    <cellStyle name="Border 8 4" xfId="16064" xr:uid="{00000000-0005-0000-0000-0000753F0000}"/>
    <cellStyle name="Border 8 5" xfId="20059" xr:uid="{00000000-0005-0000-0000-0000763F0000}"/>
    <cellStyle name="Border 9" xfId="8764" xr:uid="{00000000-0005-0000-0000-0000773F0000}"/>
    <cellStyle name="Border 9 2" xfId="8765" xr:uid="{00000000-0005-0000-0000-0000783F0000}"/>
    <cellStyle name="Border 9 2 2" xfId="16068" xr:uid="{00000000-0005-0000-0000-0000793F0000}"/>
    <cellStyle name="Border 9 2 3" xfId="20063" xr:uid="{00000000-0005-0000-0000-00007A3F0000}"/>
    <cellStyle name="Border 9 3" xfId="8766" xr:uid="{00000000-0005-0000-0000-00007B3F0000}"/>
    <cellStyle name="Border 9 3 2" xfId="16069" xr:uid="{00000000-0005-0000-0000-00007C3F0000}"/>
    <cellStyle name="Border 9 3 3" xfId="20064" xr:uid="{00000000-0005-0000-0000-00007D3F0000}"/>
    <cellStyle name="Border 9 4" xfId="16067" xr:uid="{00000000-0005-0000-0000-00007E3F0000}"/>
    <cellStyle name="Border 9 5" xfId="20062" xr:uid="{00000000-0005-0000-0000-00007F3F0000}"/>
    <cellStyle name="Border Heavy" xfId="8767" xr:uid="{00000000-0005-0000-0000-0000803F0000}"/>
    <cellStyle name="Border Heavy 2" xfId="8768" xr:uid="{00000000-0005-0000-0000-0000813F0000}"/>
    <cellStyle name="Border Heavy 2 2" xfId="8769" xr:uid="{00000000-0005-0000-0000-0000823F0000}"/>
    <cellStyle name="Border Heavy 3" xfId="8770" xr:uid="{00000000-0005-0000-0000-0000833F0000}"/>
    <cellStyle name="Border Heavy 4" xfId="8771" xr:uid="{00000000-0005-0000-0000-0000843F0000}"/>
    <cellStyle name="Border Thin" xfId="8772" xr:uid="{00000000-0005-0000-0000-0000853F0000}"/>
    <cellStyle name="Border Thin 2" xfId="8773" xr:uid="{00000000-0005-0000-0000-0000863F0000}"/>
    <cellStyle name="Border Thin 2 2" xfId="8774" xr:uid="{00000000-0005-0000-0000-0000873F0000}"/>
    <cellStyle name="Border Thin 3" xfId="8775" xr:uid="{00000000-0005-0000-0000-0000883F0000}"/>
    <cellStyle name="Border, Bottom" xfId="8776" xr:uid="{00000000-0005-0000-0000-0000893F0000}"/>
    <cellStyle name="Border, Bottom 2" xfId="8777" xr:uid="{00000000-0005-0000-0000-00008A3F0000}"/>
    <cellStyle name="Border, Left" xfId="8778" xr:uid="{00000000-0005-0000-0000-00008B3F0000}"/>
    <cellStyle name="Border, Right" xfId="8779" xr:uid="{00000000-0005-0000-0000-00008C3F0000}"/>
    <cellStyle name="Border, Top" xfId="8780" xr:uid="{00000000-0005-0000-0000-00008D3F0000}"/>
    <cellStyle name="Border, Top 2" xfId="8781" xr:uid="{00000000-0005-0000-0000-00008E3F0000}"/>
    <cellStyle name="Border_Anaphore 12 31 2008 Draft Analysis 02 19 2009" xfId="8782" xr:uid="{00000000-0005-0000-0000-00008F3F0000}"/>
    <cellStyle name="Bottom bold border" xfId="8783" xr:uid="{00000000-0005-0000-0000-0000903F0000}"/>
    <cellStyle name="Bottom bold border 2" xfId="8784" xr:uid="{00000000-0005-0000-0000-0000913F0000}"/>
    <cellStyle name="Bottom bold border 2 2" xfId="8785" xr:uid="{00000000-0005-0000-0000-0000923F0000}"/>
    <cellStyle name="Bottom bold border 3" xfId="8786" xr:uid="{00000000-0005-0000-0000-0000933F0000}"/>
    <cellStyle name="Bottom bold border 4" xfId="8787" xr:uid="{00000000-0005-0000-0000-0000943F0000}"/>
    <cellStyle name="Bottom bold border 5" xfId="8788" xr:uid="{00000000-0005-0000-0000-0000953F0000}"/>
    <cellStyle name="Bottom Edge" xfId="8789" xr:uid="{00000000-0005-0000-0000-0000963F0000}"/>
    <cellStyle name="Bottom Edge 2" xfId="8790" xr:uid="{00000000-0005-0000-0000-0000973F0000}"/>
    <cellStyle name="Bottom single border" xfId="8791" xr:uid="{00000000-0005-0000-0000-0000983F0000}"/>
    <cellStyle name="Bottom single border 2" xfId="8792" xr:uid="{00000000-0005-0000-0000-0000993F0000}"/>
    <cellStyle name="Bottom single border 2 2" xfId="8793" xr:uid="{00000000-0005-0000-0000-00009A3F0000}"/>
    <cellStyle name="Bottom single border 2 3" xfId="20259" xr:uid="{00000000-0005-0000-0000-00009B3F0000}"/>
    <cellStyle name="Bottom single border 3" xfId="8794" xr:uid="{00000000-0005-0000-0000-00009C3F0000}"/>
    <cellStyle name="Bottom single border 3 2" xfId="20260" xr:uid="{00000000-0005-0000-0000-00009D3F0000}"/>
    <cellStyle name="Bottom single border 4" xfId="8795" xr:uid="{00000000-0005-0000-0000-00009E3F0000}"/>
    <cellStyle name="Bottom single border 4 2" xfId="20261" xr:uid="{00000000-0005-0000-0000-00009F3F0000}"/>
    <cellStyle name="Bottom single border 5" xfId="8796" xr:uid="{00000000-0005-0000-0000-0000A03F0000}"/>
    <cellStyle name="Bottom single border 5 2" xfId="20262" xr:uid="{00000000-0005-0000-0000-0000A13F0000}"/>
    <cellStyle name="British Pound" xfId="8797" xr:uid="{00000000-0005-0000-0000-0000A23F0000}"/>
    <cellStyle name="British Pound 10" xfId="8798" xr:uid="{00000000-0005-0000-0000-0000A33F0000}"/>
    <cellStyle name="British Pound 10 2" xfId="8799" xr:uid="{00000000-0005-0000-0000-0000A43F0000}"/>
    <cellStyle name="British Pound 10 3" xfId="8800" xr:uid="{00000000-0005-0000-0000-0000A53F0000}"/>
    <cellStyle name="British Pound 10 4" xfId="8801" xr:uid="{00000000-0005-0000-0000-0000A63F0000}"/>
    <cellStyle name="British Pound 10 5" xfId="8802" xr:uid="{00000000-0005-0000-0000-0000A73F0000}"/>
    <cellStyle name="British Pound 10 6" xfId="8803" xr:uid="{00000000-0005-0000-0000-0000A83F0000}"/>
    <cellStyle name="British Pound 10 7" xfId="8804" xr:uid="{00000000-0005-0000-0000-0000A93F0000}"/>
    <cellStyle name="British Pound 10 8" xfId="8805" xr:uid="{00000000-0005-0000-0000-0000AA3F0000}"/>
    <cellStyle name="British Pound 10 9" xfId="8806" xr:uid="{00000000-0005-0000-0000-0000AB3F0000}"/>
    <cellStyle name="British Pound 11" xfId="8807" xr:uid="{00000000-0005-0000-0000-0000AC3F0000}"/>
    <cellStyle name="British Pound 11 2" xfId="8808" xr:uid="{00000000-0005-0000-0000-0000AD3F0000}"/>
    <cellStyle name="British Pound 11 2 2" xfId="8809" xr:uid="{00000000-0005-0000-0000-0000AE3F0000}"/>
    <cellStyle name="British Pound 11 2 2 2" xfId="8810" xr:uid="{00000000-0005-0000-0000-0000AF3F0000}"/>
    <cellStyle name="British Pound 11 2 2 3" xfId="8811" xr:uid="{00000000-0005-0000-0000-0000B03F0000}"/>
    <cellStyle name="British Pound 11 2 2 4" xfId="8812" xr:uid="{00000000-0005-0000-0000-0000B13F0000}"/>
    <cellStyle name="British Pound 11 2 2 5" xfId="8813" xr:uid="{00000000-0005-0000-0000-0000B23F0000}"/>
    <cellStyle name="British Pound 11 2 2 6" xfId="8814" xr:uid="{00000000-0005-0000-0000-0000B33F0000}"/>
    <cellStyle name="British Pound 11 2 2 7" xfId="8815" xr:uid="{00000000-0005-0000-0000-0000B43F0000}"/>
    <cellStyle name="British Pound 11 2 2 8" xfId="8816" xr:uid="{00000000-0005-0000-0000-0000B53F0000}"/>
    <cellStyle name="British Pound 11 2 3" xfId="8817" xr:uid="{00000000-0005-0000-0000-0000B63F0000}"/>
    <cellStyle name="British Pound 11 2 4" xfId="8818" xr:uid="{00000000-0005-0000-0000-0000B73F0000}"/>
    <cellStyle name="British Pound 11 2 5" xfId="8819" xr:uid="{00000000-0005-0000-0000-0000B83F0000}"/>
    <cellStyle name="British Pound 11 2 6" xfId="8820" xr:uid="{00000000-0005-0000-0000-0000B93F0000}"/>
    <cellStyle name="British Pound 11 2 7" xfId="8821" xr:uid="{00000000-0005-0000-0000-0000BA3F0000}"/>
    <cellStyle name="British Pound 11 2 8" xfId="8822" xr:uid="{00000000-0005-0000-0000-0000BB3F0000}"/>
    <cellStyle name="British Pound 11 2 9" xfId="8823" xr:uid="{00000000-0005-0000-0000-0000BC3F0000}"/>
    <cellStyle name="British Pound 11 3" xfId="8824" xr:uid="{00000000-0005-0000-0000-0000BD3F0000}"/>
    <cellStyle name="British Pound 11 3 2" xfId="8825" xr:uid="{00000000-0005-0000-0000-0000BE3F0000}"/>
    <cellStyle name="British Pound 11 3 3" xfId="8826" xr:uid="{00000000-0005-0000-0000-0000BF3F0000}"/>
    <cellStyle name="British Pound 11 3 4" xfId="8827" xr:uid="{00000000-0005-0000-0000-0000C03F0000}"/>
    <cellStyle name="British Pound 11 3 5" xfId="8828" xr:uid="{00000000-0005-0000-0000-0000C13F0000}"/>
    <cellStyle name="British Pound 11 3 6" xfId="8829" xr:uid="{00000000-0005-0000-0000-0000C23F0000}"/>
    <cellStyle name="British Pound 11 3 7" xfId="8830" xr:uid="{00000000-0005-0000-0000-0000C33F0000}"/>
    <cellStyle name="British Pound 11 3 8" xfId="8831" xr:uid="{00000000-0005-0000-0000-0000C43F0000}"/>
    <cellStyle name="British Pound 11 4" xfId="8832" xr:uid="{00000000-0005-0000-0000-0000C53F0000}"/>
    <cellStyle name="British Pound 11 5" xfId="8833" xr:uid="{00000000-0005-0000-0000-0000C63F0000}"/>
    <cellStyle name="British Pound 11 6" xfId="8834" xr:uid="{00000000-0005-0000-0000-0000C73F0000}"/>
    <cellStyle name="British Pound 11 7" xfId="8835" xr:uid="{00000000-0005-0000-0000-0000C83F0000}"/>
    <cellStyle name="British Pound 11 8" xfId="8836" xr:uid="{00000000-0005-0000-0000-0000C93F0000}"/>
    <cellStyle name="British Pound 11 9" xfId="8837" xr:uid="{00000000-0005-0000-0000-0000CA3F0000}"/>
    <cellStyle name="British Pound 12" xfId="8838" xr:uid="{00000000-0005-0000-0000-0000CB3F0000}"/>
    <cellStyle name="British Pound 12 10" xfId="8839" xr:uid="{00000000-0005-0000-0000-0000CC3F0000}"/>
    <cellStyle name="British Pound 12 11" xfId="8840" xr:uid="{00000000-0005-0000-0000-0000CD3F0000}"/>
    <cellStyle name="British Pound 12 12" xfId="8841" xr:uid="{00000000-0005-0000-0000-0000CE3F0000}"/>
    <cellStyle name="British Pound 12 13" xfId="8842" xr:uid="{00000000-0005-0000-0000-0000CF3F0000}"/>
    <cellStyle name="British Pound 12 14" xfId="8843" xr:uid="{00000000-0005-0000-0000-0000D03F0000}"/>
    <cellStyle name="British Pound 12 15" xfId="8844" xr:uid="{00000000-0005-0000-0000-0000D13F0000}"/>
    <cellStyle name="British Pound 12 16" xfId="8845" xr:uid="{00000000-0005-0000-0000-0000D23F0000}"/>
    <cellStyle name="British Pound 12 2" xfId="8846" xr:uid="{00000000-0005-0000-0000-0000D33F0000}"/>
    <cellStyle name="British Pound 12 3" xfId="8847" xr:uid="{00000000-0005-0000-0000-0000D43F0000}"/>
    <cellStyle name="British Pound 12 4" xfId="8848" xr:uid="{00000000-0005-0000-0000-0000D53F0000}"/>
    <cellStyle name="British Pound 12 5" xfId="8849" xr:uid="{00000000-0005-0000-0000-0000D63F0000}"/>
    <cellStyle name="British Pound 12 6" xfId="8850" xr:uid="{00000000-0005-0000-0000-0000D73F0000}"/>
    <cellStyle name="British Pound 12 7" xfId="8851" xr:uid="{00000000-0005-0000-0000-0000D83F0000}"/>
    <cellStyle name="British Pound 12 8" xfId="8852" xr:uid="{00000000-0005-0000-0000-0000D93F0000}"/>
    <cellStyle name="British Pound 12 9" xfId="8853" xr:uid="{00000000-0005-0000-0000-0000DA3F0000}"/>
    <cellStyle name="British Pound 13" xfId="8854" xr:uid="{00000000-0005-0000-0000-0000DB3F0000}"/>
    <cellStyle name="British Pound 13 2" xfId="8855" xr:uid="{00000000-0005-0000-0000-0000DC3F0000}"/>
    <cellStyle name="British Pound 13 3" xfId="8856" xr:uid="{00000000-0005-0000-0000-0000DD3F0000}"/>
    <cellStyle name="British Pound 13 4" xfId="8857" xr:uid="{00000000-0005-0000-0000-0000DE3F0000}"/>
    <cellStyle name="British Pound 13 5" xfId="8858" xr:uid="{00000000-0005-0000-0000-0000DF3F0000}"/>
    <cellStyle name="British Pound 13 6" xfId="8859" xr:uid="{00000000-0005-0000-0000-0000E03F0000}"/>
    <cellStyle name="British Pound 13 7" xfId="8860" xr:uid="{00000000-0005-0000-0000-0000E13F0000}"/>
    <cellStyle name="British Pound 13 8" xfId="8861" xr:uid="{00000000-0005-0000-0000-0000E23F0000}"/>
    <cellStyle name="British Pound 13 9" xfId="8862" xr:uid="{00000000-0005-0000-0000-0000E33F0000}"/>
    <cellStyle name="British Pound 14" xfId="8863" xr:uid="{00000000-0005-0000-0000-0000E43F0000}"/>
    <cellStyle name="British Pound 14 2" xfId="8864" xr:uid="{00000000-0005-0000-0000-0000E53F0000}"/>
    <cellStyle name="British Pound 14 3" xfId="8865" xr:uid="{00000000-0005-0000-0000-0000E63F0000}"/>
    <cellStyle name="British Pound 14 4" xfId="8866" xr:uid="{00000000-0005-0000-0000-0000E73F0000}"/>
    <cellStyle name="British Pound 14 5" xfId="8867" xr:uid="{00000000-0005-0000-0000-0000E83F0000}"/>
    <cellStyle name="British Pound 14 6" xfId="8868" xr:uid="{00000000-0005-0000-0000-0000E93F0000}"/>
    <cellStyle name="British Pound 14 7" xfId="8869" xr:uid="{00000000-0005-0000-0000-0000EA3F0000}"/>
    <cellStyle name="British Pound 14 8" xfId="8870" xr:uid="{00000000-0005-0000-0000-0000EB3F0000}"/>
    <cellStyle name="British Pound 14 9" xfId="8871" xr:uid="{00000000-0005-0000-0000-0000EC3F0000}"/>
    <cellStyle name="British Pound 15" xfId="8872" xr:uid="{00000000-0005-0000-0000-0000ED3F0000}"/>
    <cellStyle name="British Pound 15 2" xfId="8873" xr:uid="{00000000-0005-0000-0000-0000EE3F0000}"/>
    <cellStyle name="British Pound 15 3" xfId="8874" xr:uid="{00000000-0005-0000-0000-0000EF3F0000}"/>
    <cellStyle name="British Pound 15 4" xfId="8875" xr:uid="{00000000-0005-0000-0000-0000F03F0000}"/>
    <cellStyle name="British Pound 15 5" xfId="8876" xr:uid="{00000000-0005-0000-0000-0000F13F0000}"/>
    <cellStyle name="British Pound 15 6" xfId="8877" xr:uid="{00000000-0005-0000-0000-0000F23F0000}"/>
    <cellStyle name="British Pound 15 7" xfId="8878" xr:uid="{00000000-0005-0000-0000-0000F33F0000}"/>
    <cellStyle name="British Pound 15 8" xfId="8879" xr:uid="{00000000-0005-0000-0000-0000F43F0000}"/>
    <cellStyle name="British Pound 15 9" xfId="8880" xr:uid="{00000000-0005-0000-0000-0000F53F0000}"/>
    <cellStyle name="British Pound 16" xfId="8881" xr:uid="{00000000-0005-0000-0000-0000F63F0000}"/>
    <cellStyle name="British Pound 16 2" xfId="8882" xr:uid="{00000000-0005-0000-0000-0000F73F0000}"/>
    <cellStyle name="British Pound 16 3" xfId="8883" xr:uid="{00000000-0005-0000-0000-0000F83F0000}"/>
    <cellStyle name="British Pound 16 4" xfId="8884" xr:uid="{00000000-0005-0000-0000-0000F93F0000}"/>
    <cellStyle name="British Pound 16 5" xfId="8885" xr:uid="{00000000-0005-0000-0000-0000FA3F0000}"/>
    <cellStyle name="British Pound 16 6" xfId="8886" xr:uid="{00000000-0005-0000-0000-0000FB3F0000}"/>
    <cellStyle name="British Pound 16 7" xfId="8887" xr:uid="{00000000-0005-0000-0000-0000FC3F0000}"/>
    <cellStyle name="British Pound 16 8" xfId="8888" xr:uid="{00000000-0005-0000-0000-0000FD3F0000}"/>
    <cellStyle name="British Pound 16 9" xfId="8889" xr:uid="{00000000-0005-0000-0000-0000FE3F0000}"/>
    <cellStyle name="British Pound 17" xfId="8890" xr:uid="{00000000-0005-0000-0000-0000FF3F0000}"/>
    <cellStyle name="British Pound 17 2" xfId="8891" xr:uid="{00000000-0005-0000-0000-000000400000}"/>
    <cellStyle name="British Pound 17 3" xfId="8892" xr:uid="{00000000-0005-0000-0000-000001400000}"/>
    <cellStyle name="British Pound 17 4" xfId="8893" xr:uid="{00000000-0005-0000-0000-000002400000}"/>
    <cellStyle name="British Pound 17 5" xfId="8894" xr:uid="{00000000-0005-0000-0000-000003400000}"/>
    <cellStyle name="British Pound 17 6" xfId="8895" xr:uid="{00000000-0005-0000-0000-000004400000}"/>
    <cellStyle name="British Pound 17 7" xfId="8896" xr:uid="{00000000-0005-0000-0000-000005400000}"/>
    <cellStyle name="British Pound 17 8" xfId="8897" xr:uid="{00000000-0005-0000-0000-000006400000}"/>
    <cellStyle name="British Pound 17 9" xfId="8898" xr:uid="{00000000-0005-0000-0000-000007400000}"/>
    <cellStyle name="British Pound 18" xfId="8899" xr:uid="{00000000-0005-0000-0000-000008400000}"/>
    <cellStyle name="British Pound 18 2" xfId="8900" xr:uid="{00000000-0005-0000-0000-000009400000}"/>
    <cellStyle name="British Pound 18 3" xfId="8901" xr:uid="{00000000-0005-0000-0000-00000A400000}"/>
    <cellStyle name="British Pound 18 4" xfId="8902" xr:uid="{00000000-0005-0000-0000-00000B400000}"/>
    <cellStyle name="British Pound 18 5" xfId="8903" xr:uid="{00000000-0005-0000-0000-00000C400000}"/>
    <cellStyle name="British Pound 18 6" xfId="8904" xr:uid="{00000000-0005-0000-0000-00000D400000}"/>
    <cellStyle name="British Pound 18 7" xfId="8905" xr:uid="{00000000-0005-0000-0000-00000E400000}"/>
    <cellStyle name="British Pound 18 8" xfId="8906" xr:uid="{00000000-0005-0000-0000-00000F400000}"/>
    <cellStyle name="British Pound 18 9" xfId="8907" xr:uid="{00000000-0005-0000-0000-000010400000}"/>
    <cellStyle name="British Pound 19" xfId="8908" xr:uid="{00000000-0005-0000-0000-000011400000}"/>
    <cellStyle name="British Pound 19 2" xfId="8909" xr:uid="{00000000-0005-0000-0000-000012400000}"/>
    <cellStyle name="British Pound 19 3" xfId="8910" xr:uid="{00000000-0005-0000-0000-000013400000}"/>
    <cellStyle name="British Pound 19 4" xfId="8911" xr:uid="{00000000-0005-0000-0000-000014400000}"/>
    <cellStyle name="British Pound 19 5" xfId="8912" xr:uid="{00000000-0005-0000-0000-000015400000}"/>
    <cellStyle name="British Pound 19 6" xfId="8913" xr:uid="{00000000-0005-0000-0000-000016400000}"/>
    <cellStyle name="British Pound 19 7" xfId="8914" xr:uid="{00000000-0005-0000-0000-000017400000}"/>
    <cellStyle name="British Pound 19 8" xfId="8915" xr:uid="{00000000-0005-0000-0000-000018400000}"/>
    <cellStyle name="British Pound 19 9" xfId="8916" xr:uid="{00000000-0005-0000-0000-000019400000}"/>
    <cellStyle name="British Pound 2" xfId="8917" xr:uid="{00000000-0005-0000-0000-00001A400000}"/>
    <cellStyle name="British Pound 2 10" xfId="8918" xr:uid="{00000000-0005-0000-0000-00001B400000}"/>
    <cellStyle name="British Pound 2 11" xfId="8919" xr:uid="{00000000-0005-0000-0000-00001C400000}"/>
    <cellStyle name="British Pound 2 11 2" xfId="8920" xr:uid="{00000000-0005-0000-0000-00001D400000}"/>
    <cellStyle name="British Pound 2 11 3" xfId="8921" xr:uid="{00000000-0005-0000-0000-00001E400000}"/>
    <cellStyle name="British Pound 2 11 4" xfId="8922" xr:uid="{00000000-0005-0000-0000-00001F400000}"/>
    <cellStyle name="British Pound 2 11 5" xfId="8923" xr:uid="{00000000-0005-0000-0000-000020400000}"/>
    <cellStyle name="British Pound 2 11 6" xfId="8924" xr:uid="{00000000-0005-0000-0000-000021400000}"/>
    <cellStyle name="British Pound 2 11 7" xfId="8925" xr:uid="{00000000-0005-0000-0000-000022400000}"/>
    <cellStyle name="British Pound 2 11 8" xfId="8926" xr:uid="{00000000-0005-0000-0000-000023400000}"/>
    <cellStyle name="British Pound 2 12" xfId="8927" xr:uid="{00000000-0005-0000-0000-000024400000}"/>
    <cellStyle name="British Pound 2 12 2" xfId="8928" xr:uid="{00000000-0005-0000-0000-000025400000}"/>
    <cellStyle name="British Pound 2 12 3" xfId="8929" xr:uid="{00000000-0005-0000-0000-000026400000}"/>
    <cellStyle name="British Pound 2 12 4" xfId="8930" xr:uid="{00000000-0005-0000-0000-000027400000}"/>
    <cellStyle name="British Pound 2 12 5" xfId="8931" xr:uid="{00000000-0005-0000-0000-000028400000}"/>
    <cellStyle name="British Pound 2 12 6" xfId="8932" xr:uid="{00000000-0005-0000-0000-000029400000}"/>
    <cellStyle name="British Pound 2 12 7" xfId="8933" xr:uid="{00000000-0005-0000-0000-00002A400000}"/>
    <cellStyle name="British Pound 2 12 8" xfId="8934" xr:uid="{00000000-0005-0000-0000-00002B400000}"/>
    <cellStyle name="British Pound 2 13" xfId="8935" xr:uid="{00000000-0005-0000-0000-00002C400000}"/>
    <cellStyle name="British Pound 2 14" xfId="8936" xr:uid="{00000000-0005-0000-0000-00002D400000}"/>
    <cellStyle name="British Pound 2 15" xfId="8937" xr:uid="{00000000-0005-0000-0000-00002E400000}"/>
    <cellStyle name="British Pound 2 16" xfId="8938" xr:uid="{00000000-0005-0000-0000-00002F400000}"/>
    <cellStyle name="British Pound 2 17" xfId="8939" xr:uid="{00000000-0005-0000-0000-000030400000}"/>
    <cellStyle name="British Pound 2 18" xfId="8940" xr:uid="{00000000-0005-0000-0000-000031400000}"/>
    <cellStyle name="British Pound 2 2" xfId="8941" xr:uid="{00000000-0005-0000-0000-000032400000}"/>
    <cellStyle name="British Pound 2 2 10" xfId="8942" xr:uid="{00000000-0005-0000-0000-000033400000}"/>
    <cellStyle name="British Pound 2 2 11" xfId="8943" xr:uid="{00000000-0005-0000-0000-000034400000}"/>
    <cellStyle name="British Pound 2 2 12" xfId="8944" xr:uid="{00000000-0005-0000-0000-000035400000}"/>
    <cellStyle name="British Pound 2 2 13" xfId="8945" xr:uid="{00000000-0005-0000-0000-000036400000}"/>
    <cellStyle name="British Pound 2 2 14" xfId="8946" xr:uid="{00000000-0005-0000-0000-000037400000}"/>
    <cellStyle name="British Pound 2 2 15" xfId="8947" xr:uid="{00000000-0005-0000-0000-000038400000}"/>
    <cellStyle name="British Pound 2 2 16" xfId="8948" xr:uid="{00000000-0005-0000-0000-000039400000}"/>
    <cellStyle name="British Pound 2 2 17" xfId="8949" xr:uid="{00000000-0005-0000-0000-00003A400000}"/>
    <cellStyle name="British Pound 2 2 18" xfId="8950" xr:uid="{00000000-0005-0000-0000-00003B400000}"/>
    <cellStyle name="British Pound 2 2 2" xfId="8951" xr:uid="{00000000-0005-0000-0000-00003C400000}"/>
    <cellStyle name="British Pound 2 2 2 10" xfId="8952" xr:uid="{00000000-0005-0000-0000-00003D400000}"/>
    <cellStyle name="British Pound 2 2 2 11" xfId="8953" xr:uid="{00000000-0005-0000-0000-00003E400000}"/>
    <cellStyle name="British Pound 2 2 2 12" xfId="8954" xr:uid="{00000000-0005-0000-0000-00003F400000}"/>
    <cellStyle name="British Pound 2 2 2 13" xfId="8955" xr:uid="{00000000-0005-0000-0000-000040400000}"/>
    <cellStyle name="British Pound 2 2 2 14" xfId="8956" xr:uid="{00000000-0005-0000-0000-000041400000}"/>
    <cellStyle name="British Pound 2 2 2 15" xfId="8957" xr:uid="{00000000-0005-0000-0000-000042400000}"/>
    <cellStyle name="British Pound 2 2 2 16" xfId="8958" xr:uid="{00000000-0005-0000-0000-000043400000}"/>
    <cellStyle name="British Pound 2 2 2 2" xfId="8959" xr:uid="{00000000-0005-0000-0000-000044400000}"/>
    <cellStyle name="British Pound 2 2 2 2 10" xfId="8960" xr:uid="{00000000-0005-0000-0000-000045400000}"/>
    <cellStyle name="British Pound 2 2 2 2 11" xfId="8961" xr:uid="{00000000-0005-0000-0000-000046400000}"/>
    <cellStyle name="British Pound 2 2 2 2 12" xfId="8962" xr:uid="{00000000-0005-0000-0000-000047400000}"/>
    <cellStyle name="British Pound 2 2 2 2 13" xfId="8963" xr:uid="{00000000-0005-0000-0000-000048400000}"/>
    <cellStyle name="British Pound 2 2 2 2 14" xfId="8964" xr:uid="{00000000-0005-0000-0000-000049400000}"/>
    <cellStyle name="British Pound 2 2 2 2 15" xfId="8965" xr:uid="{00000000-0005-0000-0000-00004A400000}"/>
    <cellStyle name="British Pound 2 2 2 2 2" xfId="8966" xr:uid="{00000000-0005-0000-0000-00004B400000}"/>
    <cellStyle name="British Pound 2 2 2 2 2 2" xfId="8967" xr:uid="{00000000-0005-0000-0000-00004C400000}"/>
    <cellStyle name="British Pound 2 2 2 2 2 2 2" xfId="8968" xr:uid="{00000000-0005-0000-0000-00004D400000}"/>
    <cellStyle name="British Pound 2 2 2 2 2 2 2 2" xfId="8969" xr:uid="{00000000-0005-0000-0000-00004E400000}"/>
    <cellStyle name="British Pound 2 2 2 2 2 2 2 3" xfId="8970" xr:uid="{00000000-0005-0000-0000-00004F400000}"/>
    <cellStyle name="British Pound 2 2 2 2 2 2 2 4" xfId="8971" xr:uid="{00000000-0005-0000-0000-000050400000}"/>
    <cellStyle name="British Pound 2 2 2 2 2 2 2 5" xfId="8972" xr:uid="{00000000-0005-0000-0000-000051400000}"/>
    <cellStyle name="British Pound 2 2 2 2 2 2 2 6" xfId="8973" xr:uid="{00000000-0005-0000-0000-000052400000}"/>
    <cellStyle name="British Pound 2 2 2 2 2 2 2 7" xfId="8974" xr:uid="{00000000-0005-0000-0000-000053400000}"/>
    <cellStyle name="British Pound 2 2 2 2 2 2 2 8" xfId="8975" xr:uid="{00000000-0005-0000-0000-000054400000}"/>
    <cellStyle name="British Pound 2 2 2 2 2 2 3" xfId="8976" xr:uid="{00000000-0005-0000-0000-000055400000}"/>
    <cellStyle name="British Pound 2 2 2 2 2 2 4" xfId="8977" xr:uid="{00000000-0005-0000-0000-000056400000}"/>
    <cellStyle name="British Pound 2 2 2 2 2 2 5" xfId="8978" xr:uid="{00000000-0005-0000-0000-000057400000}"/>
    <cellStyle name="British Pound 2 2 2 2 2 2 6" xfId="8979" xr:uid="{00000000-0005-0000-0000-000058400000}"/>
    <cellStyle name="British Pound 2 2 2 2 2 2 7" xfId="8980" xr:uid="{00000000-0005-0000-0000-000059400000}"/>
    <cellStyle name="British Pound 2 2 2 2 2 2 8" xfId="8981" xr:uid="{00000000-0005-0000-0000-00005A400000}"/>
    <cellStyle name="British Pound 2 2 2 2 2 2 9" xfId="8982" xr:uid="{00000000-0005-0000-0000-00005B400000}"/>
    <cellStyle name="British Pound 2 2 2 2 2 3" xfId="8983" xr:uid="{00000000-0005-0000-0000-00005C400000}"/>
    <cellStyle name="British Pound 2 2 2 2 2 4" xfId="8984" xr:uid="{00000000-0005-0000-0000-00005D400000}"/>
    <cellStyle name="British Pound 2 2 2 2 2 5" xfId="8985" xr:uid="{00000000-0005-0000-0000-00005E400000}"/>
    <cellStyle name="British Pound 2 2 2 2 2 6" xfId="8986" xr:uid="{00000000-0005-0000-0000-00005F400000}"/>
    <cellStyle name="British Pound 2 2 2 2 2 7" xfId="8987" xr:uid="{00000000-0005-0000-0000-000060400000}"/>
    <cellStyle name="British Pound 2 2 2 2 2 8" xfId="8988" xr:uid="{00000000-0005-0000-0000-000061400000}"/>
    <cellStyle name="British Pound 2 2 2 2 2 9" xfId="8989" xr:uid="{00000000-0005-0000-0000-000062400000}"/>
    <cellStyle name="British Pound 2 2 2 2 3" xfId="8990" xr:uid="{00000000-0005-0000-0000-000063400000}"/>
    <cellStyle name="British Pound 2 2 2 2 3 2" xfId="8991" xr:uid="{00000000-0005-0000-0000-000064400000}"/>
    <cellStyle name="British Pound 2 2 2 2 3 3" xfId="8992" xr:uid="{00000000-0005-0000-0000-000065400000}"/>
    <cellStyle name="British Pound 2 2 2 2 3 4" xfId="8993" xr:uid="{00000000-0005-0000-0000-000066400000}"/>
    <cellStyle name="British Pound 2 2 2 2 3 5" xfId="8994" xr:uid="{00000000-0005-0000-0000-000067400000}"/>
    <cellStyle name="British Pound 2 2 2 2 3 6" xfId="8995" xr:uid="{00000000-0005-0000-0000-000068400000}"/>
    <cellStyle name="British Pound 2 2 2 2 3 7" xfId="8996" xr:uid="{00000000-0005-0000-0000-000069400000}"/>
    <cellStyle name="British Pound 2 2 2 2 3 8" xfId="8997" xr:uid="{00000000-0005-0000-0000-00006A400000}"/>
    <cellStyle name="British Pound 2 2 2 2 4" xfId="8998" xr:uid="{00000000-0005-0000-0000-00006B400000}"/>
    <cellStyle name="British Pound 2 2 2 2 5" xfId="8999" xr:uid="{00000000-0005-0000-0000-00006C400000}"/>
    <cellStyle name="British Pound 2 2 2 2 6" xfId="9000" xr:uid="{00000000-0005-0000-0000-00006D400000}"/>
    <cellStyle name="British Pound 2 2 2 2 7" xfId="9001" xr:uid="{00000000-0005-0000-0000-00006E400000}"/>
    <cellStyle name="British Pound 2 2 2 2 8" xfId="9002" xr:uid="{00000000-0005-0000-0000-00006F400000}"/>
    <cellStyle name="British Pound 2 2 2 2 9" xfId="9003" xr:uid="{00000000-0005-0000-0000-000070400000}"/>
    <cellStyle name="British Pound 2 2 2 3" xfId="9004" xr:uid="{00000000-0005-0000-0000-000071400000}"/>
    <cellStyle name="British Pound 2 2 2 3 2" xfId="9005" xr:uid="{00000000-0005-0000-0000-000072400000}"/>
    <cellStyle name="British Pound 2 2 2 3 3" xfId="9006" xr:uid="{00000000-0005-0000-0000-000073400000}"/>
    <cellStyle name="British Pound 2 2 2 3 4" xfId="9007" xr:uid="{00000000-0005-0000-0000-000074400000}"/>
    <cellStyle name="British Pound 2 2 2 3 5" xfId="9008" xr:uid="{00000000-0005-0000-0000-000075400000}"/>
    <cellStyle name="British Pound 2 2 2 3 6" xfId="9009" xr:uid="{00000000-0005-0000-0000-000076400000}"/>
    <cellStyle name="British Pound 2 2 2 3 7" xfId="9010" xr:uid="{00000000-0005-0000-0000-000077400000}"/>
    <cellStyle name="British Pound 2 2 2 3 8" xfId="9011" xr:uid="{00000000-0005-0000-0000-000078400000}"/>
    <cellStyle name="British Pound 2 2 2 4" xfId="9012" xr:uid="{00000000-0005-0000-0000-000079400000}"/>
    <cellStyle name="British Pound 2 2 2 4 2" xfId="9013" xr:uid="{00000000-0005-0000-0000-00007A400000}"/>
    <cellStyle name="British Pound 2 2 2 4 3" xfId="9014" xr:uid="{00000000-0005-0000-0000-00007B400000}"/>
    <cellStyle name="British Pound 2 2 2 4 4" xfId="9015" xr:uid="{00000000-0005-0000-0000-00007C400000}"/>
    <cellStyle name="British Pound 2 2 2 4 5" xfId="9016" xr:uid="{00000000-0005-0000-0000-00007D400000}"/>
    <cellStyle name="British Pound 2 2 2 4 6" xfId="9017" xr:uid="{00000000-0005-0000-0000-00007E400000}"/>
    <cellStyle name="British Pound 2 2 2 4 7" xfId="9018" xr:uid="{00000000-0005-0000-0000-00007F400000}"/>
    <cellStyle name="British Pound 2 2 2 4 8" xfId="9019" xr:uid="{00000000-0005-0000-0000-000080400000}"/>
    <cellStyle name="British Pound 2 2 2 5" xfId="9020" xr:uid="{00000000-0005-0000-0000-000081400000}"/>
    <cellStyle name="British Pound 2 2 2 5 2" xfId="9021" xr:uid="{00000000-0005-0000-0000-000082400000}"/>
    <cellStyle name="British Pound 2 2 2 5 3" xfId="9022" xr:uid="{00000000-0005-0000-0000-000083400000}"/>
    <cellStyle name="British Pound 2 2 2 5 4" xfId="9023" xr:uid="{00000000-0005-0000-0000-000084400000}"/>
    <cellStyle name="British Pound 2 2 2 5 5" xfId="9024" xr:uid="{00000000-0005-0000-0000-000085400000}"/>
    <cellStyle name="British Pound 2 2 2 5 6" xfId="9025" xr:uid="{00000000-0005-0000-0000-000086400000}"/>
    <cellStyle name="British Pound 2 2 2 5 7" xfId="9026" xr:uid="{00000000-0005-0000-0000-000087400000}"/>
    <cellStyle name="British Pound 2 2 2 5 8" xfId="9027" xr:uid="{00000000-0005-0000-0000-000088400000}"/>
    <cellStyle name="British Pound 2 2 2 6" xfId="9028" xr:uid="{00000000-0005-0000-0000-000089400000}"/>
    <cellStyle name="British Pound 2 2 2 6 2" xfId="9029" xr:uid="{00000000-0005-0000-0000-00008A400000}"/>
    <cellStyle name="British Pound 2 2 2 6 3" xfId="9030" xr:uid="{00000000-0005-0000-0000-00008B400000}"/>
    <cellStyle name="British Pound 2 2 2 6 4" xfId="9031" xr:uid="{00000000-0005-0000-0000-00008C400000}"/>
    <cellStyle name="British Pound 2 2 2 6 5" xfId="9032" xr:uid="{00000000-0005-0000-0000-00008D400000}"/>
    <cellStyle name="British Pound 2 2 2 6 6" xfId="9033" xr:uid="{00000000-0005-0000-0000-00008E400000}"/>
    <cellStyle name="British Pound 2 2 2 6 7" xfId="9034" xr:uid="{00000000-0005-0000-0000-00008F400000}"/>
    <cellStyle name="British Pound 2 2 2 6 8" xfId="9035" xr:uid="{00000000-0005-0000-0000-000090400000}"/>
    <cellStyle name="British Pound 2 2 2 7" xfId="9036" xr:uid="{00000000-0005-0000-0000-000091400000}"/>
    <cellStyle name="British Pound 2 2 2 8" xfId="9037" xr:uid="{00000000-0005-0000-0000-000092400000}"/>
    <cellStyle name="British Pound 2 2 2 9" xfId="9038" xr:uid="{00000000-0005-0000-0000-000093400000}"/>
    <cellStyle name="British Pound 2 2 3" xfId="9039" xr:uid="{00000000-0005-0000-0000-000094400000}"/>
    <cellStyle name="British Pound 2 2 3 10" xfId="9040" xr:uid="{00000000-0005-0000-0000-000095400000}"/>
    <cellStyle name="British Pound 2 2 3 11" xfId="9041" xr:uid="{00000000-0005-0000-0000-000096400000}"/>
    <cellStyle name="British Pound 2 2 3 12" xfId="9042" xr:uid="{00000000-0005-0000-0000-000097400000}"/>
    <cellStyle name="British Pound 2 2 3 13" xfId="9043" xr:uid="{00000000-0005-0000-0000-000098400000}"/>
    <cellStyle name="British Pound 2 2 3 14" xfId="9044" xr:uid="{00000000-0005-0000-0000-000099400000}"/>
    <cellStyle name="British Pound 2 2 3 15" xfId="9045" xr:uid="{00000000-0005-0000-0000-00009A400000}"/>
    <cellStyle name="British Pound 2 2 3 16" xfId="9046" xr:uid="{00000000-0005-0000-0000-00009B400000}"/>
    <cellStyle name="British Pound 2 2 3 2" xfId="9047" xr:uid="{00000000-0005-0000-0000-00009C400000}"/>
    <cellStyle name="British Pound 2 2 3 2 2" xfId="9048" xr:uid="{00000000-0005-0000-0000-00009D400000}"/>
    <cellStyle name="British Pound 2 2 3 2 3" xfId="9049" xr:uid="{00000000-0005-0000-0000-00009E400000}"/>
    <cellStyle name="British Pound 2 2 3 2 4" xfId="9050" xr:uid="{00000000-0005-0000-0000-00009F400000}"/>
    <cellStyle name="British Pound 2 2 3 2 5" xfId="9051" xr:uid="{00000000-0005-0000-0000-0000A0400000}"/>
    <cellStyle name="British Pound 2 2 3 2 6" xfId="9052" xr:uid="{00000000-0005-0000-0000-0000A1400000}"/>
    <cellStyle name="British Pound 2 2 3 2 7" xfId="9053" xr:uid="{00000000-0005-0000-0000-0000A2400000}"/>
    <cellStyle name="British Pound 2 2 3 2 8" xfId="9054" xr:uid="{00000000-0005-0000-0000-0000A3400000}"/>
    <cellStyle name="British Pound 2 2 3 3" xfId="9055" xr:uid="{00000000-0005-0000-0000-0000A4400000}"/>
    <cellStyle name="British Pound 2 2 3 3 2" xfId="9056" xr:uid="{00000000-0005-0000-0000-0000A5400000}"/>
    <cellStyle name="British Pound 2 2 3 3 3" xfId="9057" xr:uid="{00000000-0005-0000-0000-0000A6400000}"/>
    <cellStyle name="British Pound 2 2 3 3 4" xfId="9058" xr:uid="{00000000-0005-0000-0000-0000A7400000}"/>
    <cellStyle name="British Pound 2 2 3 3 5" xfId="9059" xr:uid="{00000000-0005-0000-0000-0000A8400000}"/>
    <cellStyle name="British Pound 2 2 3 3 6" xfId="9060" xr:uid="{00000000-0005-0000-0000-0000A9400000}"/>
    <cellStyle name="British Pound 2 2 3 3 7" xfId="9061" xr:uid="{00000000-0005-0000-0000-0000AA400000}"/>
    <cellStyle name="British Pound 2 2 3 3 8" xfId="9062" xr:uid="{00000000-0005-0000-0000-0000AB400000}"/>
    <cellStyle name="British Pound 2 2 3 4" xfId="9063" xr:uid="{00000000-0005-0000-0000-0000AC400000}"/>
    <cellStyle name="British Pound 2 2 3 5" xfId="9064" xr:uid="{00000000-0005-0000-0000-0000AD400000}"/>
    <cellStyle name="British Pound 2 2 3 6" xfId="9065" xr:uid="{00000000-0005-0000-0000-0000AE400000}"/>
    <cellStyle name="British Pound 2 2 3 7" xfId="9066" xr:uid="{00000000-0005-0000-0000-0000AF400000}"/>
    <cellStyle name="British Pound 2 2 3 8" xfId="9067" xr:uid="{00000000-0005-0000-0000-0000B0400000}"/>
    <cellStyle name="British Pound 2 2 3 9" xfId="9068" xr:uid="{00000000-0005-0000-0000-0000B1400000}"/>
    <cellStyle name="British Pound 2 2 4" xfId="9069" xr:uid="{00000000-0005-0000-0000-0000B2400000}"/>
    <cellStyle name="British Pound 2 2 4 2" xfId="9070" xr:uid="{00000000-0005-0000-0000-0000B3400000}"/>
    <cellStyle name="British Pound 2 2 4 2 2" xfId="9071" xr:uid="{00000000-0005-0000-0000-0000B4400000}"/>
    <cellStyle name="British Pound 2 2 4 2 2 2" xfId="9072" xr:uid="{00000000-0005-0000-0000-0000B5400000}"/>
    <cellStyle name="British Pound 2 2 4 2 2 3" xfId="9073" xr:uid="{00000000-0005-0000-0000-0000B6400000}"/>
    <cellStyle name="British Pound 2 2 4 2 2 4" xfId="9074" xr:uid="{00000000-0005-0000-0000-0000B7400000}"/>
    <cellStyle name="British Pound 2 2 4 2 2 5" xfId="9075" xr:uid="{00000000-0005-0000-0000-0000B8400000}"/>
    <cellStyle name="British Pound 2 2 4 2 2 6" xfId="9076" xr:uid="{00000000-0005-0000-0000-0000B9400000}"/>
    <cellStyle name="British Pound 2 2 4 2 2 7" xfId="9077" xr:uid="{00000000-0005-0000-0000-0000BA400000}"/>
    <cellStyle name="British Pound 2 2 4 2 2 8" xfId="9078" xr:uid="{00000000-0005-0000-0000-0000BB400000}"/>
    <cellStyle name="British Pound 2 2 4 2 3" xfId="9079" xr:uid="{00000000-0005-0000-0000-0000BC400000}"/>
    <cellStyle name="British Pound 2 2 4 2 4" xfId="9080" xr:uid="{00000000-0005-0000-0000-0000BD400000}"/>
    <cellStyle name="British Pound 2 2 4 2 5" xfId="9081" xr:uid="{00000000-0005-0000-0000-0000BE400000}"/>
    <cellStyle name="British Pound 2 2 4 2 6" xfId="9082" xr:uid="{00000000-0005-0000-0000-0000BF400000}"/>
    <cellStyle name="British Pound 2 2 4 2 7" xfId="9083" xr:uid="{00000000-0005-0000-0000-0000C0400000}"/>
    <cellStyle name="British Pound 2 2 4 2 8" xfId="9084" xr:uid="{00000000-0005-0000-0000-0000C1400000}"/>
    <cellStyle name="British Pound 2 2 4 2 9" xfId="9085" xr:uid="{00000000-0005-0000-0000-0000C2400000}"/>
    <cellStyle name="British Pound 2 2 4 3" xfId="9086" xr:uid="{00000000-0005-0000-0000-0000C3400000}"/>
    <cellStyle name="British Pound 2 2 4 4" xfId="9087" xr:uid="{00000000-0005-0000-0000-0000C4400000}"/>
    <cellStyle name="British Pound 2 2 4 5" xfId="9088" xr:uid="{00000000-0005-0000-0000-0000C5400000}"/>
    <cellStyle name="British Pound 2 2 4 6" xfId="9089" xr:uid="{00000000-0005-0000-0000-0000C6400000}"/>
    <cellStyle name="British Pound 2 2 4 7" xfId="9090" xr:uid="{00000000-0005-0000-0000-0000C7400000}"/>
    <cellStyle name="British Pound 2 2 4 8" xfId="9091" xr:uid="{00000000-0005-0000-0000-0000C8400000}"/>
    <cellStyle name="British Pound 2 2 4 9" xfId="9092" xr:uid="{00000000-0005-0000-0000-0000C9400000}"/>
    <cellStyle name="British Pound 2 2 5" xfId="9093" xr:uid="{00000000-0005-0000-0000-0000CA400000}"/>
    <cellStyle name="British Pound 2 2 6" xfId="9094" xr:uid="{00000000-0005-0000-0000-0000CB400000}"/>
    <cellStyle name="British Pound 2 2 7" xfId="9095" xr:uid="{00000000-0005-0000-0000-0000CC400000}"/>
    <cellStyle name="British Pound 2 2 7 2" xfId="9096" xr:uid="{00000000-0005-0000-0000-0000CD400000}"/>
    <cellStyle name="British Pound 2 2 7 3" xfId="9097" xr:uid="{00000000-0005-0000-0000-0000CE400000}"/>
    <cellStyle name="British Pound 2 2 7 4" xfId="9098" xr:uid="{00000000-0005-0000-0000-0000CF400000}"/>
    <cellStyle name="British Pound 2 2 7 5" xfId="9099" xr:uid="{00000000-0005-0000-0000-0000D0400000}"/>
    <cellStyle name="British Pound 2 2 7 6" xfId="9100" xr:uid="{00000000-0005-0000-0000-0000D1400000}"/>
    <cellStyle name="British Pound 2 2 7 7" xfId="9101" xr:uid="{00000000-0005-0000-0000-0000D2400000}"/>
    <cellStyle name="British Pound 2 2 7 8" xfId="9102" xr:uid="{00000000-0005-0000-0000-0000D3400000}"/>
    <cellStyle name="British Pound 2 2 8" xfId="9103" xr:uid="{00000000-0005-0000-0000-0000D4400000}"/>
    <cellStyle name="British Pound 2 2 9" xfId="9104" xr:uid="{00000000-0005-0000-0000-0000D5400000}"/>
    <cellStyle name="British Pound 2 3" xfId="9105" xr:uid="{00000000-0005-0000-0000-0000D6400000}"/>
    <cellStyle name="British Pound 2 3 10" xfId="9106" xr:uid="{00000000-0005-0000-0000-0000D7400000}"/>
    <cellStyle name="British Pound 2 3 11" xfId="9107" xr:uid="{00000000-0005-0000-0000-0000D8400000}"/>
    <cellStyle name="British Pound 2 3 12" xfId="9108" xr:uid="{00000000-0005-0000-0000-0000D9400000}"/>
    <cellStyle name="British Pound 2 3 13" xfId="9109" xr:uid="{00000000-0005-0000-0000-0000DA400000}"/>
    <cellStyle name="British Pound 2 3 14" xfId="9110" xr:uid="{00000000-0005-0000-0000-0000DB400000}"/>
    <cellStyle name="British Pound 2 3 15" xfId="9111" xr:uid="{00000000-0005-0000-0000-0000DC400000}"/>
    <cellStyle name="British Pound 2 3 16" xfId="9112" xr:uid="{00000000-0005-0000-0000-0000DD400000}"/>
    <cellStyle name="British Pound 2 3 2" xfId="9113" xr:uid="{00000000-0005-0000-0000-0000DE400000}"/>
    <cellStyle name="British Pound 2 3 2 2" xfId="9114" xr:uid="{00000000-0005-0000-0000-0000DF400000}"/>
    <cellStyle name="British Pound 2 3 2 3" xfId="9115" xr:uid="{00000000-0005-0000-0000-0000E0400000}"/>
    <cellStyle name="British Pound 2 3 2 4" xfId="9116" xr:uid="{00000000-0005-0000-0000-0000E1400000}"/>
    <cellStyle name="British Pound 2 3 2 5" xfId="9117" xr:uid="{00000000-0005-0000-0000-0000E2400000}"/>
    <cellStyle name="British Pound 2 3 2 6" xfId="9118" xr:uid="{00000000-0005-0000-0000-0000E3400000}"/>
    <cellStyle name="British Pound 2 3 2 7" xfId="9119" xr:uid="{00000000-0005-0000-0000-0000E4400000}"/>
    <cellStyle name="British Pound 2 3 2 8" xfId="9120" xr:uid="{00000000-0005-0000-0000-0000E5400000}"/>
    <cellStyle name="British Pound 2 3 3" xfId="9121" xr:uid="{00000000-0005-0000-0000-0000E6400000}"/>
    <cellStyle name="British Pound 2 3 3 2" xfId="9122" xr:uid="{00000000-0005-0000-0000-0000E7400000}"/>
    <cellStyle name="British Pound 2 3 3 3" xfId="9123" xr:uid="{00000000-0005-0000-0000-0000E8400000}"/>
    <cellStyle name="British Pound 2 3 3 4" xfId="9124" xr:uid="{00000000-0005-0000-0000-0000E9400000}"/>
    <cellStyle name="British Pound 2 3 3 5" xfId="9125" xr:uid="{00000000-0005-0000-0000-0000EA400000}"/>
    <cellStyle name="British Pound 2 3 3 6" xfId="9126" xr:uid="{00000000-0005-0000-0000-0000EB400000}"/>
    <cellStyle name="British Pound 2 3 3 7" xfId="9127" xr:uid="{00000000-0005-0000-0000-0000EC400000}"/>
    <cellStyle name="British Pound 2 3 3 8" xfId="9128" xr:uid="{00000000-0005-0000-0000-0000ED400000}"/>
    <cellStyle name="British Pound 2 3 4" xfId="9129" xr:uid="{00000000-0005-0000-0000-0000EE400000}"/>
    <cellStyle name="British Pound 2 3 5" xfId="9130" xr:uid="{00000000-0005-0000-0000-0000EF400000}"/>
    <cellStyle name="British Pound 2 3 6" xfId="9131" xr:uid="{00000000-0005-0000-0000-0000F0400000}"/>
    <cellStyle name="British Pound 2 3 7" xfId="9132" xr:uid="{00000000-0005-0000-0000-0000F1400000}"/>
    <cellStyle name="British Pound 2 3 8" xfId="9133" xr:uid="{00000000-0005-0000-0000-0000F2400000}"/>
    <cellStyle name="British Pound 2 3 9" xfId="9134" xr:uid="{00000000-0005-0000-0000-0000F3400000}"/>
    <cellStyle name="British Pound 2 4" xfId="9135" xr:uid="{00000000-0005-0000-0000-0000F4400000}"/>
    <cellStyle name="British Pound 2 4 2" xfId="9136" xr:uid="{00000000-0005-0000-0000-0000F5400000}"/>
    <cellStyle name="British Pound 2 4 3" xfId="9137" xr:uid="{00000000-0005-0000-0000-0000F6400000}"/>
    <cellStyle name="British Pound 2 4 4" xfId="9138" xr:uid="{00000000-0005-0000-0000-0000F7400000}"/>
    <cellStyle name="British Pound 2 4 5" xfId="9139" xr:uid="{00000000-0005-0000-0000-0000F8400000}"/>
    <cellStyle name="British Pound 2 4 6" xfId="9140" xr:uid="{00000000-0005-0000-0000-0000F9400000}"/>
    <cellStyle name="British Pound 2 4 7" xfId="9141" xr:uid="{00000000-0005-0000-0000-0000FA400000}"/>
    <cellStyle name="British Pound 2 4 8" xfId="9142" xr:uid="{00000000-0005-0000-0000-0000FB400000}"/>
    <cellStyle name="British Pound 2 4 9" xfId="9143" xr:uid="{00000000-0005-0000-0000-0000FC400000}"/>
    <cellStyle name="British Pound 2 5" xfId="9144" xr:uid="{00000000-0005-0000-0000-0000FD400000}"/>
    <cellStyle name="British Pound 2 5 2" xfId="9145" xr:uid="{00000000-0005-0000-0000-0000FE400000}"/>
    <cellStyle name="British Pound 2 5 3" xfId="9146" xr:uid="{00000000-0005-0000-0000-0000FF400000}"/>
    <cellStyle name="British Pound 2 5 4" xfId="9147" xr:uid="{00000000-0005-0000-0000-000000410000}"/>
    <cellStyle name="British Pound 2 5 5" xfId="9148" xr:uid="{00000000-0005-0000-0000-000001410000}"/>
    <cellStyle name="British Pound 2 5 6" xfId="9149" xr:uid="{00000000-0005-0000-0000-000002410000}"/>
    <cellStyle name="British Pound 2 5 7" xfId="9150" xr:uid="{00000000-0005-0000-0000-000003410000}"/>
    <cellStyle name="British Pound 2 5 8" xfId="9151" xr:uid="{00000000-0005-0000-0000-000004410000}"/>
    <cellStyle name="British Pound 2 5 9" xfId="9152" xr:uid="{00000000-0005-0000-0000-000005410000}"/>
    <cellStyle name="British Pound 2 6" xfId="9153" xr:uid="{00000000-0005-0000-0000-000006410000}"/>
    <cellStyle name="British Pound 2 6 2" xfId="9154" xr:uid="{00000000-0005-0000-0000-000007410000}"/>
    <cellStyle name="British Pound 2 6 3" xfId="9155" xr:uid="{00000000-0005-0000-0000-000008410000}"/>
    <cellStyle name="British Pound 2 6 4" xfId="9156" xr:uid="{00000000-0005-0000-0000-000009410000}"/>
    <cellStyle name="British Pound 2 6 5" xfId="9157" xr:uid="{00000000-0005-0000-0000-00000A410000}"/>
    <cellStyle name="British Pound 2 6 6" xfId="9158" xr:uid="{00000000-0005-0000-0000-00000B410000}"/>
    <cellStyle name="British Pound 2 6 7" xfId="9159" xr:uid="{00000000-0005-0000-0000-00000C410000}"/>
    <cellStyle name="British Pound 2 6 8" xfId="9160" xr:uid="{00000000-0005-0000-0000-00000D410000}"/>
    <cellStyle name="British Pound 2 6 9" xfId="9161" xr:uid="{00000000-0005-0000-0000-00000E410000}"/>
    <cellStyle name="British Pound 2 7" xfId="9162" xr:uid="{00000000-0005-0000-0000-00000F410000}"/>
    <cellStyle name="British Pound 2 7 2" xfId="9163" xr:uid="{00000000-0005-0000-0000-000010410000}"/>
    <cellStyle name="British Pound 2 7 3" xfId="9164" xr:uid="{00000000-0005-0000-0000-000011410000}"/>
    <cellStyle name="British Pound 2 7 4" xfId="9165" xr:uid="{00000000-0005-0000-0000-000012410000}"/>
    <cellStyle name="British Pound 2 7 5" xfId="9166" xr:uid="{00000000-0005-0000-0000-000013410000}"/>
    <cellStyle name="British Pound 2 7 6" xfId="9167" xr:uid="{00000000-0005-0000-0000-000014410000}"/>
    <cellStyle name="British Pound 2 7 7" xfId="9168" xr:uid="{00000000-0005-0000-0000-000015410000}"/>
    <cellStyle name="British Pound 2 7 8" xfId="9169" xr:uid="{00000000-0005-0000-0000-000016410000}"/>
    <cellStyle name="British Pound 2 7 9" xfId="9170" xr:uid="{00000000-0005-0000-0000-000017410000}"/>
    <cellStyle name="British Pound 2 8" xfId="9171" xr:uid="{00000000-0005-0000-0000-000018410000}"/>
    <cellStyle name="British Pound 2 8 2" xfId="9172" xr:uid="{00000000-0005-0000-0000-000019410000}"/>
    <cellStyle name="British Pound 2 8 3" xfId="9173" xr:uid="{00000000-0005-0000-0000-00001A410000}"/>
    <cellStyle name="British Pound 2 8 4" xfId="9174" xr:uid="{00000000-0005-0000-0000-00001B410000}"/>
    <cellStyle name="British Pound 2 8 5" xfId="9175" xr:uid="{00000000-0005-0000-0000-00001C410000}"/>
    <cellStyle name="British Pound 2 8 6" xfId="9176" xr:uid="{00000000-0005-0000-0000-00001D410000}"/>
    <cellStyle name="British Pound 2 8 7" xfId="9177" xr:uid="{00000000-0005-0000-0000-00001E410000}"/>
    <cellStyle name="British Pound 2 8 8" xfId="9178" xr:uid="{00000000-0005-0000-0000-00001F410000}"/>
    <cellStyle name="British Pound 2 8 9" xfId="9179" xr:uid="{00000000-0005-0000-0000-000020410000}"/>
    <cellStyle name="British Pound 2 9" xfId="9180" xr:uid="{00000000-0005-0000-0000-000021410000}"/>
    <cellStyle name="British Pound 2 9 2" xfId="9181" xr:uid="{00000000-0005-0000-0000-000022410000}"/>
    <cellStyle name="British Pound 2 9 2 2" xfId="9182" xr:uid="{00000000-0005-0000-0000-000023410000}"/>
    <cellStyle name="British Pound 2 9 2 2 2" xfId="9183" xr:uid="{00000000-0005-0000-0000-000024410000}"/>
    <cellStyle name="British Pound 2 9 2 2 3" xfId="9184" xr:uid="{00000000-0005-0000-0000-000025410000}"/>
    <cellStyle name="British Pound 2 9 2 2 4" xfId="9185" xr:uid="{00000000-0005-0000-0000-000026410000}"/>
    <cellStyle name="British Pound 2 9 2 2 5" xfId="9186" xr:uid="{00000000-0005-0000-0000-000027410000}"/>
    <cellStyle name="British Pound 2 9 2 2 6" xfId="9187" xr:uid="{00000000-0005-0000-0000-000028410000}"/>
    <cellStyle name="British Pound 2 9 2 2 7" xfId="9188" xr:uid="{00000000-0005-0000-0000-000029410000}"/>
    <cellStyle name="British Pound 2 9 2 2 8" xfId="9189" xr:uid="{00000000-0005-0000-0000-00002A410000}"/>
    <cellStyle name="British Pound 2 9 2 3" xfId="9190" xr:uid="{00000000-0005-0000-0000-00002B410000}"/>
    <cellStyle name="British Pound 2 9 2 4" xfId="9191" xr:uid="{00000000-0005-0000-0000-00002C410000}"/>
    <cellStyle name="British Pound 2 9 2 5" xfId="9192" xr:uid="{00000000-0005-0000-0000-00002D410000}"/>
    <cellStyle name="British Pound 2 9 2 6" xfId="9193" xr:uid="{00000000-0005-0000-0000-00002E410000}"/>
    <cellStyle name="British Pound 2 9 2 7" xfId="9194" xr:uid="{00000000-0005-0000-0000-00002F410000}"/>
    <cellStyle name="British Pound 2 9 2 8" xfId="9195" xr:uid="{00000000-0005-0000-0000-000030410000}"/>
    <cellStyle name="British Pound 2 9 2 9" xfId="9196" xr:uid="{00000000-0005-0000-0000-000031410000}"/>
    <cellStyle name="British Pound 2 9 3" xfId="9197" xr:uid="{00000000-0005-0000-0000-000032410000}"/>
    <cellStyle name="British Pound 2 9 4" xfId="9198" xr:uid="{00000000-0005-0000-0000-000033410000}"/>
    <cellStyle name="British Pound 2 9 5" xfId="9199" xr:uid="{00000000-0005-0000-0000-000034410000}"/>
    <cellStyle name="British Pound 2 9 6" xfId="9200" xr:uid="{00000000-0005-0000-0000-000035410000}"/>
    <cellStyle name="British Pound 2 9 7" xfId="9201" xr:uid="{00000000-0005-0000-0000-000036410000}"/>
    <cellStyle name="British Pound 2 9 8" xfId="9202" xr:uid="{00000000-0005-0000-0000-000037410000}"/>
    <cellStyle name="British Pound 2 9 9" xfId="9203" xr:uid="{00000000-0005-0000-0000-000038410000}"/>
    <cellStyle name="British Pound 20" xfId="9204" xr:uid="{00000000-0005-0000-0000-000039410000}"/>
    <cellStyle name="British Pound 20 2" xfId="9205" xr:uid="{00000000-0005-0000-0000-00003A410000}"/>
    <cellStyle name="British Pound 20 3" xfId="9206" xr:uid="{00000000-0005-0000-0000-00003B410000}"/>
    <cellStyle name="British Pound 20 4" xfId="9207" xr:uid="{00000000-0005-0000-0000-00003C410000}"/>
    <cellStyle name="British Pound 20 5" xfId="9208" xr:uid="{00000000-0005-0000-0000-00003D410000}"/>
    <cellStyle name="British Pound 20 6" xfId="9209" xr:uid="{00000000-0005-0000-0000-00003E410000}"/>
    <cellStyle name="British Pound 20 7" xfId="9210" xr:uid="{00000000-0005-0000-0000-00003F410000}"/>
    <cellStyle name="British Pound 20 8" xfId="9211" xr:uid="{00000000-0005-0000-0000-000040410000}"/>
    <cellStyle name="British Pound 20 9" xfId="9212" xr:uid="{00000000-0005-0000-0000-000041410000}"/>
    <cellStyle name="British Pound 21" xfId="9213" xr:uid="{00000000-0005-0000-0000-000042410000}"/>
    <cellStyle name="British Pound 21 2" xfId="9214" xr:uid="{00000000-0005-0000-0000-000043410000}"/>
    <cellStyle name="British Pound 21 3" xfId="9215" xr:uid="{00000000-0005-0000-0000-000044410000}"/>
    <cellStyle name="British Pound 21 4" xfId="9216" xr:uid="{00000000-0005-0000-0000-000045410000}"/>
    <cellStyle name="British Pound 21 5" xfId="9217" xr:uid="{00000000-0005-0000-0000-000046410000}"/>
    <cellStyle name="British Pound 21 6" xfId="9218" xr:uid="{00000000-0005-0000-0000-000047410000}"/>
    <cellStyle name="British Pound 21 7" xfId="9219" xr:uid="{00000000-0005-0000-0000-000048410000}"/>
    <cellStyle name="British Pound 21 8" xfId="9220" xr:uid="{00000000-0005-0000-0000-000049410000}"/>
    <cellStyle name="British Pound 21 9" xfId="9221" xr:uid="{00000000-0005-0000-0000-00004A410000}"/>
    <cellStyle name="British Pound 22" xfId="9222" xr:uid="{00000000-0005-0000-0000-00004B410000}"/>
    <cellStyle name="British Pound 22 2" xfId="9223" xr:uid="{00000000-0005-0000-0000-00004C410000}"/>
    <cellStyle name="British Pound 22 3" xfId="9224" xr:uid="{00000000-0005-0000-0000-00004D410000}"/>
    <cellStyle name="British Pound 22 4" xfId="9225" xr:uid="{00000000-0005-0000-0000-00004E410000}"/>
    <cellStyle name="British Pound 22 5" xfId="9226" xr:uid="{00000000-0005-0000-0000-00004F410000}"/>
    <cellStyle name="British Pound 22 6" xfId="9227" xr:uid="{00000000-0005-0000-0000-000050410000}"/>
    <cellStyle name="British Pound 22 7" xfId="9228" xr:uid="{00000000-0005-0000-0000-000051410000}"/>
    <cellStyle name="British Pound 22 8" xfId="9229" xr:uid="{00000000-0005-0000-0000-000052410000}"/>
    <cellStyle name="British Pound 22 9" xfId="9230" xr:uid="{00000000-0005-0000-0000-000053410000}"/>
    <cellStyle name="British Pound 23" xfId="9231" xr:uid="{00000000-0005-0000-0000-000054410000}"/>
    <cellStyle name="British Pound 24" xfId="9232" xr:uid="{00000000-0005-0000-0000-000055410000}"/>
    <cellStyle name="British Pound 25" xfId="9233" xr:uid="{00000000-0005-0000-0000-000056410000}"/>
    <cellStyle name="British Pound 26" xfId="9234" xr:uid="{00000000-0005-0000-0000-000057410000}"/>
    <cellStyle name="British Pound 27" xfId="9235" xr:uid="{00000000-0005-0000-0000-000058410000}"/>
    <cellStyle name="British Pound 28" xfId="9236" xr:uid="{00000000-0005-0000-0000-000059410000}"/>
    <cellStyle name="British Pound 29" xfId="9237" xr:uid="{00000000-0005-0000-0000-00005A410000}"/>
    <cellStyle name="British Pound 3" xfId="9238" xr:uid="{00000000-0005-0000-0000-00005B410000}"/>
    <cellStyle name="British Pound 3 2" xfId="9239" xr:uid="{00000000-0005-0000-0000-00005C410000}"/>
    <cellStyle name="British Pound 3 2 2" xfId="9240" xr:uid="{00000000-0005-0000-0000-00005D410000}"/>
    <cellStyle name="British Pound 3 2 2 2" xfId="9241" xr:uid="{00000000-0005-0000-0000-00005E410000}"/>
    <cellStyle name="British Pound 3 2 2 2 2" xfId="9242" xr:uid="{00000000-0005-0000-0000-00005F410000}"/>
    <cellStyle name="British Pound 3 2 2 2 2 2" xfId="9243" xr:uid="{00000000-0005-0000-0000-000060410000}"/>
    <cellStyle name="British Pound 3 2 2 2 2 3" xfId="9244" xr:uid="{00000000-0005-0000-0000-000061410000}"/>
    <cellStyle name="British Pound 3 2 2 2 2 4" xfId="9245" xr:uid="{00000000-0005-0000-0000-000062410000}"/>
    <cellStyle name="British Pound 3 2 2 2 2 5" xfId="9246" xr:uid="{00000000-0005-0000-0000-000063410000}"/>
    <cellStyle name="British Pound 3 2 2 2 2 6" xfId="9247" xr:uid="{00000000-0005-0000-0000-000064410000}"/>
    <cellStyle name="British Pound 3 2 2 2 2 7" xfId="9248" xr:uid="{00000000-0005-0000-0000-000065410000}"/>
    <cellStyle name="British Pound 3 2 2 2 2 8" xfId="9249" xr:uid="{00000000-0005-0000-0000-000066410000}"/>
    <cellStyle name="British Pound 3 2 2 2 3" xfId="9250" xr:uid="{00000000-0005-0000-0000-000067410000}"/>
    <cellStyle name="British Pound 3 2 2 2 4" xfId="9251" xr:uid="{00000000-0005-0000-0000-000068410000}"/>
    <cellStyle name="British Pound 3 2 2 2 5" xfId="9252" xr:uid="{00000000-0005-0000-0000-000069410000}"/>
    <cellStyle name="British Pound 3 2 2 2 6" xfId="9253" xr:uid="{00000000-0005-0000-0000-00006A410000}"/>
    <cellStyle name="British Pound 3 2 2 2 7" xfId="9254" xr:uid="{00000000-0005-0000-0000-00006B410000}"/>
    <cellStyle name="British Pound 3 2 2 2 8" xfId="9255" xr:uid="{00000000-0005-0000-0000-00006C410000}"/>
    <cellStyle name="British Pound 3 2 2 2 9" xfId="9256" xr:uid="{00000000-0005-0000-0000-00006D410000}"/>
    <cellStyle name="British Pound 3 2 2 3" xfId="9257" xr:uid="{00000000-0005-0000-0000-00006E410000}"/>
    <cellStyle name="British Pound 3 2 2 4" xfId="9258" xr:uid="{00000000-0005-0000-0000-00006F410000}"/>
    <cellStyle name="British Pound 3 2 2 5" xfId="9259" xr:uid="{00000000-0005-0000-0000-000070410000}"/>
    <cellStyle name="British Pound 3 2 2 6" xfId="9260" xr:uid="{00000000-0005-0000-0000-000071410000}"/>
    <cellStyle name="British Pound 3 2 2 7" xfId="9261" xr:uid="{00000000-0005-0000-0000-000072410000}"/>
    <cellStyle name="British Pound 3 2 2 8" xfId="9262" xr:uid="{00000000-0005-0000-0000-000073410000}"/>
    <cellStyle name="British Pound 3 2 2 9" xfId="9263" xr:uid="{00000000-0005-0000-0000-000074410000}"/>
    <cellStyle name="British Pound 3 2 3" xfId="9264" xr:uid="{00000000-0005-0000-0000-000075410000}"/>
    <cellStyle name="British Pound 3 2 4" xfId="9265" xr:uid="{00000000-0005-0000-0000-000076410000}"/>
    <cellStyle name="British Pound 3 2 5" xfId="9266" xr:uid="{00000000-0005-0000-0000-000077410000}"/>
    <cellStyle name="British Pound 3 2 6" xfId="9267" xr:uid="{00000000-0005-0000-0000-000078410000}"/>
    <cellStyle name="British Pound 3 2 7" xfId="9268" xr:uid="{00000000-0005-0000-0000-000079410000}"/>
    <cellStyle name="British Pound 3 2 8" xfId="9269" xr:uid="{00000000-0005-0000-0000-00007A410000}"/>
    <cellStyle name="British Pound 3 2 9" xfId="9270" xr:uid="{00000000-0005-0000-0000-00007B410000}"/>
    <cellStyle name="British Pound 3 3" xfId="9271" xr:uid="{00000000-0005-0000-0000-00007C410000}"/>
    <cellStyle name="British Pound 3 4" xfId="9272" xr:uid="{00000000-0005-0000-0000-00007D410000}"/>
    <cellStyle name="British Pound 3 5" xfId="9273" xr:uid="{00000000-0005-0000-0000-00007E410000}"/>
    <cellStyle name="British Pound 3 6" xfId="9274" xr:uid="{00000000-0005-0000-0000-00007F410000}"/>
    <cellStyle name="British Pound 3 6 2" xfId="9275" xr:uid="{00000000-0005-0000-0000-000080410000}"/>
    <cellStyle name="British Pound 3 6 3" xfId="9276" xr:uid="{00000000-0005-0000-0000-000081410000}"/>
    <cellStyle name="British Pound 3 6 4" xfId="9277" xr:uid="{00000000-0005-0000-0000-000082410000}"/>
    <cellStyle name="British Pound 3 6 5" xfId="9278" xr:uid="{00000000-0005-0000-0000-000083410000}"/>
    <cellStyle name="British Pound 3 6 6" xfId="9279" xr:uid="{00000000-0005-0000-0000-000084410000}"/>
    <cellStyle name="British Pound 3 6 7" xfId="9280" xr:uid="{00000000-0005-0000-0000-000085410000}"/>
    <cellStyle name="British Pound 3 6 8" xfId="9281" xr:uid="{00000000-0005-0000-0000-000086410000}"/>
    <cellStyle name="British Pound 3 7" xfId="9282" xr:uid="{00000000-0005-0000-0000-000087410000}"/>
    <cellStyle name="British Pound 3 8" xfId="9283" xr:uid="{00000000-0005-0000-0000-000088410000}"/>
    <cellStyle name="British Pound 3 9" xfId="9284" xr:uid="{00000000-0005-0000-0000-000089410000}"/>
    <cellStyle name="British Pound 30" xfId="9285" xr:uid="{00000000-0005-0000-0000-00008A410000}"/>
    <cellStyle name="British Pound 31" xfId="9286" xr:uid="{00000000-0005-0000-0000-00008B410000}"/>
    <cellStyle name="British Pound 32" xfId="9287" xr:uid="{00000000-0005-0000-0000-00008C410000}"/>
    <cellStyle name="British Pound 33" xfId="9288" xr:uid="{00000000-0005-0000-0000-00008D410000}"/>
    <cellStyle name="British Pound 34" xfId="9289" xr:uid="{00000000-0005-0000-0000-00008E410000}"/>
    <cellStyle name="British Pound 35" xfId="9290" xr:uid="{00000000-0005-0000-0000-00008F410000}"/>
    <cellStyle name="British Pound 36" xfId="9291" xr:uid="{00000000-0005-0000-0000-000090410000}"/>
    <cellStyle name="British Pound 37" xfId="9292" xr:uid="{00000000-0005-0000-0000-000091410000}"/>
    <cellStyle name="British Pound 4" xfId="9293" xr:uid="{00000000-0005-0000-0000-000092410000}"/>
    <cellStyle name="British Pound 4 2" xfId="9294" xr:uid="{00000000-0005-0000-0000-000093410000}"/>
    <cellStyle name="British Pound 4 3" xfId="9295" xr:uid="{00000000-0005-0000-0000-000094410000}"/>
    <cellStyle name="British Pound 4 4" xfId="9296" xr:uid="{00000000-0005-0000-0000-000095410000}"/>
    <cellStyle name="British Pound 4 5" xfId="9297" xr:uid="{00000000-0005-0000-0000-000096410000}"/>
    <cellStyle name="British Pound 4 6" xfId="9298" xr:uid="{00000000-0005-0000-0000-000097410000}"/>
    <cellStyle name="British Pound 4 7" xfId="9299" xr:uid="{00000000-0005-0000-0000-000098410000}"/>
    <cellStyle name="British Pound 4 8" xfId="9300" xr:uid="{00000000-0005-0000-0000-000099410000}"/>
    <cellStyle name="British Pound 4 9" xfId="9301" xr:uid="{00000000-0005-0000-0000-00009A410000}"/>
    <cellStyle name="British Pound 5" xfId="9302" xr:uid="{00000000-0005-0000-0000-00009B410000}"/>
    <cellStyle name="British Pound 5 2" xfId="9303" xr:uid="{00000000-0005-0000-0000-00009C410000}"/>
    <cellStyle name="British Pound 5 3" xfId="9304" xr:uid="{00000000-0005-0000-0000-00009D410000}"/>
    <cellStyle name="British Pound 5 4" xfId="9305" xr:uid="{00000000-0005-0000-0000-00009E410000}"/>
    <cellStyle name="British Pound 5 5" xfId="9306" xr:uid="{00000000-0005-0000-0000-00009F410000}"/>
    <cellStyle name="British Pound 5 6" xfId="9307" xr:uid="{00000000-0005-0000-0000-0000A0410000}"/>
    <cellStyle name="British Pound 5 7" xfId="9308" xr:uid="{00000000-0005-0000-0000-0000A1410000}"/>
    <cellStyle name="British Pound 5 8" xfId="9309" xr:uid="{00000000-0005-0000-0000-0000A2410000}"/>
    <cellStyle name="British Pound 5 9" xfId="9310" xr:uid="{00000000-0005-0000-0000-0000A3410000}"/>
    <cellStyle name="British Pound 6" xfId="9311" xr:uid="{00000000-0005-0000-0000-0000A4410000}"/>
    <cellStyle name="British Pound 6 2" xfId="9312" xr:uid="{00000000-0005-0000-0000-0000A5410000}"/>
    <cellStyle name="British Pound 6 3" xfId="9313" xr:uid="{00000000-0005-0000-0000-0000A6410000}"/>
    <cellStyle name="British Pound 6 4" xfId="9314" xr:uid="{00000000-0005-0000-0000-0000A7410000}"/>
    <cellStyle name="British Pound 6 5" xfId="9315" xr:uid="{00000000-0005-0000-0000-0000A8410000}"/>
    <cellStyle name="British Pound 6 6" xfId="9316" xr:uid="{00000000-0005-0000-0000-0000A9410000}"/>
    <cellStyle name="British Pound 6 7" xfId="9317" xr:uid="{00000000-0005-0000-0000-0000AA410000}"/>
    <cellStyle name="British Pound 6 8" xfId="9318" xr:uid="{00000000-0005-0000-0000-0000AB410000}"/>
    <cellStyle name="British Pound 6 9" xfId="9319" xr:uid="{00000000-0005-0000-0000-0000AC410000}"/>
    <cellStyle name="British Pound 7" xfId="9320" xr:uid="{00000000-0005-0000-0000-0000AD410000}"/>
    <cellStyle name="British Pound 7 2" xfId="9321" xr:uid="{00000000-0005-0000-0000-0000AE410000}"/>
    <cellStyle name="British Pound 7 3" xfId="9322" xr:uid="{00000000-0005-0000-0000-0000AF410000}"/>
    <cellStyle name="British Pound 7 4" xfId="9323" xr:uid="{00000000-0005-0000-0000-0000B0410000}"/>
    <cellStyle name="British Pound 7 5" xfId="9324" xr:uid="{00000000-0005-0000-0000-0000B1410000}"/>
    <cellStyle name="British Pound 7 6" xfId="9325" xr:uid="{00000000-0005-0000-0000-0000B2410000}"/>
    <cellStyle name="British Pound 7 7" xfId="9326" xr:uid="{00000000-0005-0000-0000-0000B3410000}"/>
    <cellStyle name="British Pound 7 8" xfId="9327" xr:uid="{00000000-0005-0000-0000-0000B4410000}"/>
    <cellStyle name="British Pound 7 9" xfId="9328" xr:uid="{00000000-0005-0000-0000-0000B5410000}"/>
    <cellStyle name="British Pound 8" xfId="9329" xr:uid="{00000000-0005-0000-0000-0000B6410000}"/>
    <cellStyle name="British Pound 8 10" xfId="9330" xr:uid="{00000000-0005-0000-0000-0000B7410000}"/>
    <cellStyle name="British Pound 8 11" xfId="9331" xr:uid="{00000000-0005-0000-0000-0000B8410000}"/>
    <cellStyle name="British Pound 8 12" xfId="9332" xr:uid="{00000000-0005-0000-0000-0000B9410000}"/>
    <cellStyle name="British Pound 8 13" xfId="9333" xr:uid="{00000000-0005-0000-0000-0000BA410000}"/>
    <cellStyle name="British Pound 8 14" xfId="9334" xr:uid="{00000000-0005-0000-0000-0000BB410000}"/>
    <cellStyle name="British Pound 8 15" xfId="9335" xr:uid="{00000000-0005-0000-0000-0000BC410000}"/>
    <cellStyle name="British Pound 8 16" xfId="9336" xr:uid="{00000000-0005-0000-0000-0000BD410000}"/>
    <cellStyle name="British Pound 8 2" xfId="9337" xr:uid="{00000000-0005-0000-0000-0000BE410000}"/>
    <cellStyle name="British Pound 8 2 2" xfId="9338" xr:uid="{00000000-0005-0000-0000-0000BF410000}"/>
    <cellStyle name="British Pound 8 2 3" xfId="9339" xr:uid="{00000000-0005-0000-0000-0000C0410000}"/>
    <cellStyle name="British Pound 8 2 4" xfId="9340" xr:uid="{00000000-0005-0000-0000-0000C1410000}"/>
    <cellStyle name="British Pound 8 2 5" xfId="9341" xr:uid="{00000000-0005-0000-0000-0000C2410000}"/>
    <cellStyle name="British Pound 8 2 6" xfId="9342" xr:uid="{00000000-0005-0000-0000-0000C3410000}"/>
    <cellStyle name="British Pound 8 2 7" xfId="9343" xr:uid="{00000000-0005-0000-0000-0000C4410000}"/>
    <cellStyle name="British Pound 8 2 8" xfId="9344" xr:uid="{00000000-0005-0000-0000-0000C5410000}"/>
    <cellStyle name="British Pound 8 3" xfId="9345" xr:uid="{00000000-0005-0000-0000-0000C6410000}"/>
    <cellStyle name="British Pound 8 3 2" xfId="9346" xr:uid="{00000000-0005-0000-0000-0000C7410000}"/>
    <cellStyle name="British Pound 8 3 3" xfId="9347" xr:uid="{00000000-0005-0000-0000-0000C8410000}"/>
    <cellStyle name="British Pound 8 3 4" xfId="9348" xr:uid="{00000000-0005-0000-0000-0000C9410000}"/>
    <cellStyle name="British Pound 8 3 5" xfId="9349" xr:uid="{00000000-0005-0000-0000-0000CA410000}"/>
    <cellStyle name="British Pound 8 3 6" xfId="9350" xr:uid="{00000000-0005-0000-0000-0000CB410000}"/>
    <cellStyle name="British Pound 8 3 7" xfId="9351" xr:uid="{00000000-0005-0000-0000-0000CC410000}"/>
    <cellStyle name="British Pound 8 3 8" xfId="9352" xr:uid="{00000000-0005-0000-0000-0000CD410000}"/>
    <cellStyle name="British Pound 8 4" xfId="9353" xr:uid="{00000000-0005-0000-0000-0000CE410000}"/>
    <cellStyle name="British Pound 8 5" xfId="9354" xr:uid="{00000000-0005-0000-0000-0000CF410000}"/>
    <cellStyle name="British Pound 8 6" xfId="9355" xr:uid="{00000000-0005-0000-0000-0000D0410000}"/>
    <cellStyle name="British Pound 8 7" xfId="9356" xr:uid="{00000000-0005-0000-0000-0000D1410000}"/>
    <cellStyle name="British Pound 8 8" xfId="9357" xr:uid="{00000000-0005-0000-0000-0000D2410000}"/>
    <cellStyle name="British Pound 8 9" xfId="9358" xr:uid="{00000000-0005-0000-0000-0000D3410000}"/>
    <cellStyle name="British Pound 9" xfId="9359" xr:uid="{00000000-0005-0000-0000-0000D4410000}"/>
    <cellStyle name="British Pound 9 2" xfId="9360" xr:uid="{00000000-0005-0000-0000-0000D5410000}"/>
    <cellStyle name="British Pound 9 3" xfId="9361" xr:uid="{00000000-0005-0000-0000-0000D6410000}"/>
    <cellStyle name="British Pound 9 4" xfId="9362" xr:uid="{00000000-0005-0000-0000-0000D7410000}"/>
    <cellStyle name="British Pound 9 5" xfId="9363" xr:uid="{00000000-0005-0000-0000-0000D8410000}"/>
    <cellStyle name="British Pound 9 6" xfId="9364" xr:uid="{00000000-0005-0000-0000-0000D9410000}"/>
    <cellStyle name="British Pound 9 7" xfId="9365" xr:uid="{00000000-0005-0000-0000-0000DA410000}"/>
    <cellStyle name="British Pound 9 8" xfId="9366" xr:uid="{00000000-0005-0000-0000-0000DB410000}"/>
    <cellStyle name="British Pound 9 9" xfId="9367" xr:uid="{00000000-0005-0000-0000-0000DC410000}"/>
    <cellStyle name="BrödText" xfId="9368" xr:uid="{00000000-0005-0000-0000-0000DD410000}"/>
    <cellStyle name="BrödText 2" xfId="9369" xr:uid="{00000000-0005-0000-0000-0000DE410000}"/>
    <cellStyle name="BrödText 2 2" xfId="9370" xr:uid="{00000000-0005-0000-0000-0000DF410000}"/>
    <cellStyle name="BrödText 3" xfId="9371" xr:uid="{00000000-0005-0000-0000-0000E0410000}"/>
    <cellStyle name="BrödText 4" xfId="9372" xr:uid="{00000000-0005-0000-0000-0000E1410000}"/>
    <cellStyle name="BrödText 5" xfId="9373" xr:uid="{00000000-0005-0000-0000-0000E2410000}"/>
    <cellStyle name="Buena" xfId="9374" xr:uid="{00000000-0005-0000-0000-0000E3410000}"/>
    <cellStyle name="Bullet" xfId="9375" xr:uid="{00000000-0005-0000-0000-0000E4410000}"/>
    <cellStyle name="Bullet 2" xfId="9376" xr:uid="{00000000-0005-0000-0000-0000E5410000}"/>
    <cellStyle name="CABEÇALHO" xfId="9377" xr:uid="{00000000-0005-0000-0000-0000E6410000}"/>
    <cellStyle name="Cadre" xfId="9378" xr:uid="{00000000-0005-0000-0000-0000E7410000}"/>
    <cellStyle name="Cadre 2" xfId="9379" xr:uid="{00000000-0005-0000-0000-0000E8410000}"/>
    <cellStyle name="Calc" xfId="9380" xr:uid="{00000000-0005-0000-0000-0000E9410000}"/>
    <cellStyle name="Calc # [0]" xfId="9381" xr:uid="{00000000-0005-0000-0000-0000EA410000}"/>
    <cellStyle name="Calc # [1]" xfId="9382" xr:uid="{00000000-0005-0000-0000-0000EB410000}"/>
    <cellStyle name="Calc # [2]" xfId="9383" xr:uid="{00000000-0005-0000-0000-0000EC410000}"/>
    <cellStyle name="Calc % [0]" xfId="9384" xr:uid="{00000000-0005-0000-0000-0000ED410000}"/>
    <cellStyle name="Calc % [1]" xfId="9385" xr:uid="{00000000-0005-0000-0000-0000EE410000}"/>
    <cellStyle name="Calc % [2]" xfId="9386" xr:uid="{00000000-0005-0000-0000-0000EF410000}"/>
    <cellStyle name="Calc 2" xfId="9387" xr:uid="{00000000-0005-0000-0000-0000F0410000}"/>
    <cellStyle name="Calc Currency (0)" xfId="9388" xr:uid="{00000000-0005-0000-0000-0000F1410000}"/>
    <cellStyle name="Calc Currency (0) 10" xfId="9389" xr:uid="{00000000-0005-0000-0000-0000F2410000}"/>
    <cellStyle name="Calc Currency (0) 10 10" xfId="9390" xr:uid="{00000000-0005-0000-0000-0000F3410000}"/>
    <cellStyle name="Calc Currency (0) 10 11" xfId="9391" xr:uid="{00000000-0005-0000-0000-0000F4410000}"/>
    <cellStyle name="Calc Currency (0) 10 2" xfId="9392" xr:uid="{00000000-0005-0000-0000-0000F5410000}"/>
    <cellStyle name="Calc Currency (0) 10 2 2" xfId="9393" xr:uid="{00000000-0005-0000-0000-0000F6410000}"/>
    <cellStyle name="Calc Currency (0) 10 2 3" xfId="9394" xr:uid="{00000000-0005-0000-0000-0000F7410000}"/>
    <cellStyle name="Calc Currency (0) 10 2 4" xfId="9395" xr:uid="{00000000-0005-0000-0000-0000F8410000}"/>
    <cellStyle name="Calc Currency (0) 10 2 5" xfId="9396" xr:uid="{00000000-0005-0000-0000-0000F9410000}"/>
    <cellStyle name="Calc Currency (0) 10 2 6" xfId="9397" xr:uid="{00000000-0005-0000-0000-0000FA410000}"/>
    <cellStyle name="Calc Currency (0) 10 2 7" xfId="9398" xr:uid="{00000000-0005-0000-0000-0000FB410000}"/>
    <cellStyle name="Calc Currency (0) 10 2 8" xfId="9399" xr:uid="{00000000-0005-0000-0000-0000FC410000}"/>
    <cellStyle name="Calc Currency (0) 10 2 9" xfId="9400" xr:uid="{00000000-0005-0000-0000-0000FD410000}"/>
    <cellStyle name="Calc Currency (0) 10 3" xfId="9401" xr:uid="{00000000-0005-0000-0000-0000FE410000}"/>
    <cellStyle name="Calc Currency (0) 10 3 2" xfId="9402" xr:uid="{00000000-0005-0000-0000-0000FF410000}"/>
    <cellStyle name="Calc Currency (0) 10 3 3" xfId="9403" xr:uid="{00000000-0005-0000-0000-000000420000}"/>
    <cellStyle name="Calc Currency (0) 10 3 4" xfId="9404" xr:uid="{00000000-0005-0000-0000-000001420000}"/>
    <cellStyle name="Calc Currency (0) 10 3 5" xfId="9405" xr:uid="{00000000-0005-0000-0000-000002420000}"/>
    <cellStyle name="Calc Currency (0) 10 3 6" xfId="9406" xr:uid="{00000000-0005-0000-0000-000003420000}"/>
    <cellStyle name="Calc Currency (0) 10 3 7" xfId="9407" xr:uid="{00000000-0005-0000-0000-000004420000}"/>
    <cellStyle name="Calc Currency (0) 10 3 8" xfId="9408" xr:uid="{00000000-0005-0000-0000-000005420000}"/>
    <cellStyle name="Calc Currency (0) 10 3 9" xfId="9409" xr:uid="{00000000-0005-0000-0000-000006420000}"/>
    <cellStyle name="Calc Currency (0) 10 4" xfId="9410" xr:uid="{00000000-0005-0000-0000-000007420000}"/>
    <cellStyle name="Calc Currency (0) 10 5" xfId="9411" xr:uid="{00000000-0005-0000-0000-000008420000}"/>
    <cellStyle name="Calc Currency (0) 10 6" xfId="9412" xr:uid="{00000000-0005-0000-0000-000009420000}"/>
    <cellStyle name="Calc Currency (0) 10 7" xfId="9413" xr:uid="{00000000-0005-0000-0000-00000A420000}"/>
    <cellStyle name="Calc Currency (0) 10 8" xfId="9414" xr:uid="{00000000-0005-0000-0000-00000B420000}"/>
    <cellStyle name="Calc Currency (0) 10 9" xfId="9415" xr:uid="{00000000-0005-0000-0000-00000C420000}"/>
    <cellStyle name="Calc Currency (0) 11" xfId="9416" xr:uid="{00000000-0005-0000-0000-00000D420000}"/>
    <cellStyle name="Calc Currency (0) 11 2" xfId="9417" xr:uid="{00000000-0005-0000-0000-00000E420000}"/>
    <cellStyle name="Calc Currency (0) 11 3" xfId="9418" xr:uid="{00000000-0005-0000-0000-00000F420000}"/>
    <cellStyle name="Calc Currency (0) 11 4" xfId="9419" xr:uid="{00000000-0005-0000-0000-000010420000}"/>
    <cellStyle name="Calc Currency (0) 11 5" xfId="9420" xr:uid="{00000000-0005-0000-0000-000011420000}"/>
    <cellStyle name="Calc Currency (0) 11 6" xfId="9421" xr:uid="{00000000-0005-0000-0000-000012420000}"/>
    <cellStyle name="Calc Currency (0) 11 7" xfId="9422" xr:uid="{00000000-0005-0000-0000-000013420000}"/>
    <cellStyle name="Calc Currency (0) 11 8" xfId="9423" xr:uid="{00000000-0005-0000-0000-000014420000}"/>
    <cellStyle name="Calc Currency (0) 11 9" xfId="9424" xr:uid="{00000000-0005-0000-0000-000015420000}"/>
    <cellStyle name="Calc Currency (0) 12" xfId="9425" xr:uid="{00000000-0005-0000-0000-000016420000}"/>
    <cellStyle name="Calc Currency (0) 12 2" xfId="9426" xr:uid="{00000000-0005-0000-0000-000017420000}"/>
    <cellStyle name="Calc Currency (0) 12 3" xfId="9427" xr:uid="{00000000-0005-0000-0000-000018420000}"/>
    <cellStyle name="Calc Currency (0) 12 4" xfId="9428" xr:uid="{00000000-0005-0000-0000-000019420000}"/>
    <cellStyle name="Calc Currency (0) 12 5" xfId="9429" xr:uid="{00000000-0005-0000-0000-00001A420000}"/>
    <cellStyle name="Calc Currency (0) 12 6" xfId="9430" xr:uid="{00000000-0005-0000-0000-00001B420000}"/>
    <cellStyle name="Calc Currency (0) 12 7" xfId="9431" xr:uid="{00000000-0005-0000-0000-00001C420000}"/>
    <cellStyle name="Calc Currency (0) 12 8" xfId="9432" xr:uid="{00000000-0005-0000-0000-00001D420000}"/>
    <cellStyle name="Calc Currency (0) 12 9" xfId="9433" xr:uid="{00000000-0005-0000-0000-00001E420000}"/>
    <cellStyle name="Calc Currency (0) 13" xfId="9434" xr:uid="{00000000-0005-0000-0000-00001F420000}"/>
    <cellStyle name="Calc Currency (0) 13 10" xfId="9435" xr:uid="{00000000-0005-0000-0000-000020420000}"/>
    <cellStyle name="Calc Currency (0) 13 11" xfId="9436" xr:uid="{00000000-0005-0000-0000-000021420000}"/>
    <cellStyle name="Calc Currency (0) 13 12" xfId="9437" xr:uid="{00000000-0005-0000-0000-000022420000}"/>
    <cellStyle name="Calc Currency (0) 13 13" xfId="9438" xr:uid="{00000000-0005-0000-0000-000023420000}"/>
    <cellStyle name="Calc Currency (0) 13 14" xfId="9439" xr:uid="{00000000-0005-0000-0000-000024420000}"/>
    <cellStyle name="Calc Currency (0) 13 15" xfId="9440" xr:uid="{00000000-0005-0000-0000-000025420000}"/>
    <cellStyle name="Calc Currency (0) 13 16" xfId="9441" xr:uid="{00000000-0005-0000-0000-000026420000}"/>
    <cellStyle name="Calc Currency (0) 13 2" xfId="9442" xr:uid="{00000000-0005-0000-0000-000027420000}"/>
    <cellStyle name="Calc Currency (0) 13 3" xfId="9443" xr:uid="{00000000-0005-0000-0000-000028420000}"/>
    <cellStyle name="Calc Currency (0) 13 4" xfId="9444" xr:uid="{00000000-0005-0000-0000-000029420000}"/>
    <cellStyle name="Calc Currency (0) 13 5" xfId="9445" xr:uid="{00000000-0005-0000-0000-00002A420000}"/>
    <cellStyle name="Calc Currency (0) 13 6" xfId="9446" xr:uid="{00000000-0005-0000-0000-00002B420000}"/>
    <cellStyle name="Calc Currency (0) 13 7" xfId="9447" xr:uid="{00000000-0005-0000-0000-00002C420000}"/>
    <cellStyle name="Calc Currency (0) 13 8" xfId="9448" xr:uid="{00000000-0005-0000-0000-00002D420000}"/>
    <cellStyle name="Calc Currency (0) 13 9" xfId="9449" xr:uid="{00000000-0005-0000-0000-00002E420000}"/>
    <cellStyle name="Calc Currency (0) 14" xfId="9450" xr:uid="{00000000-0005-0000-0000-00002F420000}"/>
    <cellStyle name="Calc Currency (0) 14 10" xfId="9451" xr:uid="{00000000-0005-0000-0000-000030420000}"/>
    <cellStyle name="Calc Currency (0) 14 11" xfId="9452" xr:uid="{00000000-0005-0000-0000-000031420000}"/>
    <cellStyle name="Calc Currency (0) 14 12" xfId="9453" xr:uid="{00000000-0005-0000-0000-000032420000}"/>
    <cellStyle name="Calc Currency (0) 14 13" xfId="9454" xr:uid="{00000000-0005-0000-0000-000033420000}"/>
    <cellStyle name="Calc Currency (0) 14 14" xfId="9455" xr:uid="{00000000-0005-0000-0000-000034420000}"/>
    <cellStyle name="Calc Currency (0) 14 15" xfId="9456" xr:uid="{00000000-0005-0000-0000-000035420000}"/>
    <cellStyle name="Calc Currency (0) 14 16" xfId="9457" xr:uid="{00000000-0005-0000-0000-000036420000}"/>
    <cellStyle name="Calc Currency (0) 14 2" xfId="9458" xr:uid="{00000000-0005-0000-0000-000037420000}"/>
    <cellStyle name="Calc Currency (0) 14 3" xfId="9459" xr:uid="{00000000-0005-0000-0000-000038420000}"/>
    <cellStyle name="Calc Currency (0) 14 4" xfId="9460" xr:uid="{00000000-0005-0000-0000-000039420000}"/>
    <cellStyle name="Calc Currency (0) 14 5" xfId="9461" xr:uid="{00000000-0005-0000-0000-00003A420000}"/>
    <cellStyle name="Calc Currency (0) 14 6" xfId="9462" xr:uid="{00000000-0005-0000-0000-00003B420000}"/>
    <cellStyle name="Calc Currency (0) 14 7" xfId="9463" xr:uid="{00000000-0005-0000-0000-00003C420000}"/>
    <cellStyle name="Calc Currency (0) 14 8" xfId="9464" xr:uid="{00000000-0005-0000-0000-00003D420000}"/>
    <cellStyle name="Calc Currency (0) 14 9" xfId="9465" xr:uid="{00000000-0005-0000-0000-00003E420000}"/>
    <cellStyle name="Calc Currency (0) 15" xfId="9466" xr:uid="{00000000-0005-0000-0000-00003F420000}"/>
    <cellStyle name="Calc Currency (0) 15 10" xfId="9467" xr:uid="{00000000-0005-0000-0000-000040420000}"/>
    <cellStyle name="Calc Currency (0) 15 11" xfId="9468" xr:uid="{00000000-0005-0000-0000-000041420000}"/>
    <cellStyle name="Calc Currency (0) 15 12" xfId="9469" xr:uid="{00000000-0005-0000-0000-000042420000}"/>
    <cellStyle name="Calc Currency (0) 15 13" xfId="9470" xr:uid="{00000000-0005-0000-0000-000043420000}"/>
    <cellStyle name="Calc Currency (0) 15 14" xfId="9471" xr:uid="{00000000-0005-0000-0000-000044420000}"/>
    <cellStyle name="Calc Currency (0) 15 15" xfId="9472" xr:uid="{00000000-0005-0000-0000-000045420000}"/>
    <cellStyle name="Calc Currency (0) 15 16" xfId="9473" xr:uid="{00000000-0005-0000-0000-000046420000}"/>
    <cellStyle name="Calc Currency (0) 15 2" xfId="9474" xr:uid="{00000000-0005-0000-0000-000047420000}"/>
    <cellStyle name="Calc Currency (0) 15 3" xfId="9475" xr:uid="{00000000-0005-0000-0000-000048420000}"/>
    <cellStyle name="Calc Currency (0) 15 4" xfId="9476" xr:uid="{00000000-0005-0000-0000-000049420000}"/>
    <cellStyle name="Calc Currency (0) 15 5" xfId="9477" xr:uid="{00000000-0005-0000-0000-00004A420000}"/>
    <cellStyle name="Calc Currency (0) 15 6" xfId="9478" xr:uid="{00000000-0005-0000-0000-00004B420000}"/>
    <cellStyle name="Calc Currency (0) 15 7" xfId="9479" xr:uid="{00000000-0005-0000-0000-00004C420000}"/>
    <cellStyle name="Calc Currency (0) 15 8" xfId="9480" xr:uid="{00000000-0005-0000-0000-00004D420000}"/>
    <cellStyle name="Calc Currency (0) 15 9" xfId="9481" xr:uid="{00000000-0005-0000-0000-00004E420000}"/>
    <cellStyle name="Calc Currency (0) 16" xfId="9482" xr:uid="{00000000-0005-0000-0000-00004F420000}"/>
    <cellStyle name="Calc Currency (0) 16 2" xfId="9483" xr:uid="{00000000-0005-0000-0000-000050420000}"/>
    <cellStyle name="Calc Currency (0) 16 3" xfId="9484" xr:uid="{00000000-0005-0000-0000-000051420000}"/>
    <cellStyle name="Calc Currency (0) 16 4" xfId="9485" xr:uid="{00000000-0005-0000-0000-000052420000}"/>
    <cellStyle name="Calc Currency (0) 16 5" xfId="9486" xr:uid="{00000000-0005-0000-0000-000053420000}"/>
    <cellStyle name="Calc Currency (0) 16 6" xfId="9487" xr:uid="{00000000-0005-0000-0000-000054420000}"/>
    <cellStyle name="Calc Currency (0) 16 7" xfId="9488" xr:uid="{00000000-0005-0000-0000-000055420000}"/>
    <cellStyle name="Calc Currency (0) 16 8" xfId="9489" xr:uid="{00000000-0005-0000-0000-000056420000}"/>
    <cellStyle name="Calc Currency (0) 16 9" xfId="9490" xr:uid="{00000000-0005-0000-0000-000057420000}"/>
    <cellStyle name="Calc Currency (0) 17" xfId="9491" xr:uid="{00000000-0005-0000-0000-000058420000}"/>
    <cellStyle name="Calc Currency (0) 17 2" xfId="9492" xr:uid="{00000000-0005-0000-0000-000059420000}"/>
    <cellStyle name="Calc Currency (0) 17 3" xfId="9493" xr:uid="{00000000-0005-0000-0000-00005A420000}"/>
    <cellStyle name="Calc Currency (0) 17 4" xfId="9494" xr:uid="{00000000-0005-0000-0000-00005B420000}"/>
    <cellStyle name="Calc Currency (0) 17 5" xfId="9495" xr:uid="{00000000-0005-0000-0000-00005C420000}"/>
    <cellStyle name="Calc Currency (0) 17 6" xfId="9496" xr:uid="{00000000-0005-0000-0000-00005D420000}"/>
    <cellStyle name="Calc Currency (0) 17 7" xfId="9497" xr:uid="{00000000-0005-0000-0000-00005E420000}"/>
    <cellStyle name="Calc Currency (0) 17 8" xfId="9498" xr:uid="{00000000-0005-0000-0000-00005F420000}"/>
    <cellStyle name="Calc Currency (0) 17 9" xfId="9499" xr:uid="{00000000-0005-0000-0000-000060420000}"/>
    <cellStyle name="Calc Currency (0) 18" xfId="9500" xr:uid="{00000000-0005-0000-0000-000061420000}"/>
    <cellStyle name="Calc Currency (0) 18 2" xfId="9501" xr:uid="{00000000-0005-0000-0000-000062420000}"/>
    <cellStyle name="Calc Currency (0) 18 3" xfId="9502" xr:uid="{00000000-0005-0000-0000-000063420000}"/>
    <cellStyle name="Calc Currency (0) 18 4" xfId="9503" xr:uid="{00000000-0005-0000-0000-000064420000}"/>
    <cellStyle name="Calc Currency (0) 18 5" xfId="9504" xr:uid="{00000000-0005-0000-0000-000065420000}"/>
    <cellStyle name="Calc Currency (0) 18 6" xfId="9505" xr:uid="{00000000-0005-0000-0000-000066420000}"/>
    <cellStyle name="Calc Currency (0) 18 7" xfId="9506" xr:uid="{00000000-0005-0000-0000-000067420000}"/>
    <cellStyle name="Calc Currency (0) 18 8" xfId="9507" xr:uid="{00000000-0005-0000-0000-000068420000}"/>
    <cellStyle name="Calc Currency (0) 18 9" xfId="9508" xr:uid="{00000000-0005-0000-0000-000069420000}"/>
    <cellStyle name="Calc Currency (0) 19" xfId="9509" xr:uid="{00000000-0005-0000-0000-00006A420000}"/>
    <cellStyle name="Calc Currency (0) 19 2" xfId="9510" xr:uid="{00000000-0005-0000-0000-00006B420000}"/>
    <cellStyle name="Calc Currency (0) 19 3" xfId="9511" xr:uid="{00000000-0005-0000-0000-00006C420000}"/>
    <cellStyle name="Calc Currency (0) 19 4" xfId="9512" xr:uid="{00000000-0005-0000-0000-00006D420000}"/>
    <cellStyle name="Calc Currency (0) 19 5" xfId="9513" xr:uid="{00000000-0005-0000-0000-00006E420000}"/>
    <cellStyle name="Calc Currency (0) 19 6" xfId="9514" xr:uid="{00000000-0005-0000-0000-00006F420000}"/>
    <cellStyle name="Calc Currency (0) 19 7" xfId="9515" xr:uid="{00000000-0005-0000-0000-000070420000}"/>
    <cellStyle name="Calc Currency (0) 19 8" xfId="9516" xr:uid="{00000000-0005-0000-0000-000071420000}"/>
    <cellStyle name="Calc Currency (0) 19 9" xfId="9517" xr:uid="{00000000-0005-0000-0000-000072420000}"/>
    <cellStyle name="Calc Currency (0) 2" xfId="9518" xr:uid="{00000000-0005-0000-0000-000073420000}"/>
    <cellStyle name="Calc Currency (0) 2 10" xfId="9519" xr:uid="{00000000-0005-0000-0000-000074420000}"/>
    <cellStyle name="Calc Currency (0) 2 10 2" xfId="9520" xr:uid="{00000000-0005-0000-0000-000075420000}"/>
    <cellStyle name="Calc Currency (0) 2 10 3" xfId="9521" xr:uid="{00000000-0005-0000-0000-000076420000}"/>
    <cellStyle name="Calc Currency (0) 2 11" xfId="9522" xr:uid="{00000000-0005-0000-0000-000077420000}"/>
    <cellStyle name="Calc Currency (0) 2 11 2" xfId="9523" xr:uid="{00000000-0005-0000-0000-000078420000}"/>
    <cellStyle name="Calc Currency (0) 2 11 2 2" xfId="9524" xr:uid="{00000000-0005-0000-0000-000079420000}"/>
    <cellStyle name="Calc Currency (0) 2 11 2 3" xfId="9525" xr:uid="{00000000-0005-0000-0000-00007A420000}"/>
    <cellStyle name="Calc Currency (0) 2 11 3" xfId="9526" xr:uid="{00000000-0005-0000-0000-00007B420000}"/>
    <cellStyle name="Calc Currency (0) 2 12" xfId="9527" xr:uid="{00000000-0005-0000-0000-00007C420000}"/>
    <cellStyle name="Calc Currency (0) 2 13" xfId="9528" xr:uid="{00000000-0005-0000-0000-00007D420000}"/>
    <cellStyle name="Calc Currency (0) 2 14" xfId="9529" xr:uid="{00000000-0005-0000-0000-00007E420000}"/>
    <cellStyle name="Calc Currency (0) 2 2" xfId="9530" xr:uid="{00000000-0005-0000-0000-00007F420000}"/>
    <cellStyle name="Calc Currency (0) 2 2 10" xfId="9531" xr:uid="{00000000-0005-0000-0000-000080420000}"/>
    <cellStyle name="Calc Currency (0) 2 2 11" xfId="9532" xr:uid="{00000000-0005-0000-0000-000081420000}"/>
    <cellStyle name="Calc Currency (0) 2 2 12" xfId="9533" xr:uid="{00000000-0005-0000-0000-000082420000}"/>
    <cellStyle name="Calc Currency (0) 2 2 13" xfId="9534" xr:uid="{00000000-0005-0000-0000-000083420000}"/>
    <cellStyle name="Calc Currency (0) 2 2 14" xfId="9535" xr:uid="{00000000-0005-0000-0000-000084420000}"/>
    <cellStyle name="Calc Currency (0) 2 2 15" xfId="9536" xr:uid="{00000000-0005-0000-0000-000085420000}"/>
    <cellStyle name="Calc Currency (0) 2 2 16" xfId="9537" xr:uid="{00000000-0005-0000-0000-000086420000}"/>
    <cellStyle name="Calc Currency (0) 2 2 17" xfId="9538" xr:uid="{00000000-0005-0000-0000-000087420000}"/>
    <cellStyle name="Calc Currency (0) 2 2 18" xfId="9539" xr:uid="{00000000-0005-0000-0000-000088420000}"/>
    <cellStyle name="Calc Currency (0) 2 2 2" xfId="9540" xr:uid="{00000000-0005-0000-0000-000089420000}"/>
    <cellStyle name="Calc Currency (0) 2 2 2 2" xfId="9541" xr:uid="{00000000-0005-0000-0000-00008A420000}"/>
    <cellStyle name="Calc Currency (0) 2 2 2 2 2" xfId="9542" xr:uid="{00000000-0005-0000-0000-00008B420000}"/>
    <cellStyle name="Calc Currency (0) 2 2 2 2 3" xfId="9543" xr:uid="{00000000-0005-0000-0000-00008C420000}"/>
    <cellStyle name="Calc Currency (0) 2 2 2 2 4" xfId="9544" xr:uid="{00000000-0005-0000-0000-00008D420000}"/>
    <cellStyle name="Calc Currency (0) 2 2 2 2 5" xfId="9545" xr:uid="{00000000-0005-0000-0000-00008E420000}"/>
    <cellStyle name="Calc Currency (0) 2 2 2 2 6" xfId="9546" xr:uid="{00000000-0005-0000-0000-00008F420000}"/>
    <cellStyle name="Calc Currency (0) 2 2 2 2 7" xfId="9547" xr:uid="{00000000-0005-0000-0000-000090420000}"/>
    <cellStyle name="Calc Currency (0) 2 2 2 2 8" xfId="9548" xr:uid="{00000000-0005-0000-0000-000091420000}"/>
    <cellStyle name="Calc Currency (0) 2 2 2 3" xfId="9549" xr:uid="{00000000-0005-0000-0000-000092420000}"/>
    <cellStyle name="Calc Currency (0) 2 2 2 4" xfId="9550" xr:uid="{00000000-0005-0000-0000-000093420000}"/>
    <cellStyle name="Calc Currency (0) 2 2 2 5" xfId="9551" xr:uid="{00000000-0005-0000-0000-000094420000}"/>
    <cellStyle name="Calc Currency (0) 2 2 2 6" xfId="9552" xr:uid="{00000000-0005-0000-0000-000095420000}"/>
    <cellStyle name="Calc Currency (0) 2 2 2 7" xfId="9553" xr:uid="{00000000-0005-0000-0000-000096420000}"/>
    <cellStyle name="Calc Currency (0) 2 2 2 8" xfId="9554" xr:uid="{00000000-0005-0000-0000-000097420000}"/>
    <cellStyle name="Calc Currency (0) 2 2 2 9" xfId="9555" xr:uid="{00000000-0005-0000-0000-000098420000}"/>
    <cellStyle name="Calc Currency (0) 2 2 3" xfId="9556" xr:uid="{00000000-0005-0000-0000-000099420000}"/>
    <cellStyle name="Calc Currency (0) 2 2 3 2" xfId="9557" xr:uid="{00000000-0005-0000-0000-00009A420000}"/>
    <cellStyle name="Calc Currency (0) 2 2 3 3" xfId="9558" xr:uid="{00000000-0005-0000-0000-00009B420000}"/>
    <cellStyle name="Calc Currency (0) 2 2 3 4" xfId="9559" xr:uid="{00000000-0005-0000-0000-00009C420000}"/>
    <cellStyle name="Calc Currency (0) 2 2 3 5" xfId="9560" xr:uid="{00000000-0005-0000-0000-00009D420000}"/>
    <cellStyle name="Calc Currency (0) 2 2 3 6" xfId="9561" xr:uid="{00000000-0005-0000-0000-00009E420000}"/>
    <cellStyle name="Calc Currency (0) 2 2 3 7" xfId="9562" xr:uid="{00000000-0005-0000-0000-00009F420000}"/>
    <cellStyle name="Calc Currency (0) 2 2 3 8" xfId="9563" xr:uid="{00000000-0005-0000-0000-0000A0420000}"/>
    <cellStyle name="Calc Currency (0) 2 2 3 9" xfId="9564" xr:uid="{00000000-0005-0000-0000-0000A1420000}"/>
    <cellStyle name="Calc Currency (0) 2 2 4" xfId="9565" xr:uid="{00000000-0005-0000-0000-0000A2420000}"/>
    <cellStyle name="Calc Currency (0) 2 2 5" xfId="9566" xr:uid="{00000000-0005-0000-0000-0000A3420000}"/>
    <cellStyle name="Calc Currency (0) 2 2 6" xfId="9567" xr:uid="{00000000-0005-0000-0000-0000A4420000}"/>
    <cellStyle name="Calc Currency (0) 2 2 7" xfId="9568" xr:uid="{00000000-0005-0000-0000-0000A5420000}"/>
    <cellStyle name="Calc Currency (0) 2 2 8" xfId="9569" xr:uid="{00000000-0005-0000-0000-0000A6420000}"/>
    <cellStyle name="Calc Currency (0) 2 2 9" xfId="9570" xr:uid="{00000000-0005-0000-0000-0000A7420000}"/>
    <cellStyle name="Calc Currency (0) 2 3" xfId="9571" xr:uid="{00000000-0005-0000-0000-0000A8420000}"/>
    <cellStyle name="Calc Currency (0) 2 3 10" xfId="9572" xr:uid="{00000000-0005-0000-0000-0000A9420000}"/>
    <cellStyle name="Calc Currency (0) 2 3 11" xfId="9573" xr:uid="{00000000-0005-0000-0000-0000AA420000}"/>
    <cellStyle name="Calc Currency (0) 2 3 12" xfId="9574" xr:uid="{00000000-0005-0000-0000-0000AB420000}"/>
    <cellStyle name="Calc Currency (0) 2 3 13" xfId="9575" xr:uid="{00000000-0005-0000-0000-0000AC420000}"/>
    <cellStyle name="Calc Currency (0) 2 3 14" xfId="9576" xr:uid="{00000000-0005-0000-0000-0000AD420000}"/>
    <cellStyle name="Calc Currency (0) 2 3 15" xfId="9577" xr:uid="{00000000-0005-0000-0000-0000AE420000}"/>
    <cellStyle name="Calc Currency (0) 2 3 16" xfId="9578" xr:uid="{00000000-0005-0000-0000-0000AF420000}"/>
    <cellStyle name="Calc Currency (0) 2 3 2" xfId="9579" xr:uid="{00000000-0005-0000-0000-0000B0420000}"/>
    <cellStyle name="Calc Currency (0) 2 3 2 2" xfId="9580" xr:uid="{00000000-0005-0000-0000-0000B1420000}"/>
    <cellStyle name="Calc Currency (0) 2 3 2 2 2" xfId="9581" xr:uid="{00000000-0005-0000-0000-0000B2420000}"/>
    <cellStyle name="Calc Currency (0) 2 3 2 2 2 2" xfId="9582" xr:uid="{00000000-0005-0000-0000-0000B3420000}"/>
    <cellStyle name="Calc Currency (0) 2 3 2 2 2 2 2" xfId="9583" xr:uid="{00000000-0005-0000-0000-0000B4420000}"/>
    <cellStyle name="Calc Currency (0) 2 3 2 2 2 2 3" xfId="9584" xr:uid="{00000000-0005-0000-0000-0000B5420000}"/>
    <cellStyle name="Calc Currency (0) 2 3 2 2 2 2 4" xfId="9585" xr:uid="{00000000-0005-0000-0000-0000B6420000}"/>
    <cellStyle name="Calc Currency (0) 2 3 2 2 2 2 5" xfId="9586" xr:uid="{00000000-0005-0000-0000-0000B7420000}"/>
    <cellStyle name="Calc Currency (0) 2 3 2 2 2 2 6" xfId="9587" xr:uid="{00000000-0005-0000-0000-0000B8420000}"/>
    <cellStyle name="Calc Currency (0) 2 3 2 2 2 2 7" xfId="9588" xr:uid="{00000000-0005-0000-0000-0000B9420000}"/>
    <cellStyle name="Calc Currency (0) 2 3 2 2 2 2 8" xfId="9589" xr:uid="{00000000-0005-0000-0000-0000BA420000}"/>
    <cellStyle name="Calc Currency (0) 2 3 2 2 2 3" xfId="9590" xr:uid="{00000000-0005-0000-0000-0000BB420000}"/>
    <cellStyle name="Calc Currency (0) 2 3 2 2 2 4" xfId="9591" xr:uid="{00000000-0005-0000-0000-0000BC420000}"/>
    <cellStyle name="Calc Currency (0) 2 3 2 2 2 5" xfId="9592" xr:uid="{00000000-0005-0000-0000-0000BD420000}"/>
    <cellStyle name="Calc Currency (0) 2 3 2 2 2 6" xfId="9593" xr:uid="{00000000-0005-0000-0000-0000BE420000}"/>
    <cellStyle name="Calc Currency (0) 2 3 2 2 2 7" xfId="9594" xr:uid="{00000000-0005-0000-0000-0000BF420000}"/>
    <cellStyle name="Calc Currency (0) 2 3 2 2 2 8" xfId="9595" xr:uid="{00000000-0005-0000-0000-0000C0420000}"/>
    <cellStyle name="Calc Currency (0) 2 3 2 2 2 9" xfId="9596" xr:uid="{00000000-0005-0000-0000-0000C1420000}"/>
    <cellStyle name="Calc Currency (0) 2 3 2 2 3" xfId="9597" xr:uid="{00000000-0005-0000-0000-0000C2420000}"/>
    <cellStyle name="Calc Currency (0) 2 3 2 2 4" xfId="9598" xr:uid="{00000000-0005-0000-0000-0000C3420000}"/>
    <cellStyle name="Calc Currency (0) 2 3 2 2 5" xfId="9599" xr:uid="{00000000-0005-0000-0000-0000C4420000}"/>
    <cellStyle name="Calc Currency (0) 2 3 2 2 6" xfId="9600" xr:uid="{00000000-0005-0000-0000-0000C5420000}"/>
    <cellStyle name="Calc Currency (0) 2 3 2 2 7" xfId="9601" xr:uid="{00000000-0005-0000-0000-0000C6420000}"/>
    <cellStyle name="Calc Currency (0) 2 3 2 2 8" xfId="9602" xr:uid="{00000000-0005-0000-0000-0000C7420000}"/>
    <cellStyle name="Calc Currency (0) 2 3 2 2 9" xfId="9603" xr:uid="{00000000-0005-0000-0000-0000C8420000}"/>
    <cellStyle name="Calc Currency (0) 2 3 2 3" xfId="9604" xr:uid="{00000000-0005-0000-0000-0000C9420000}"/>
    <cellStyle name="Calc Currency (0) 2 3 2 4" xfId="9605" xr:uid="{00000000-0005-0000-0000-0000CA420000}"/>
    <cellStyle name="Calc Currency (0) 2 3 2 5" xfId="9606" xr:uid="{00000000-0005-0000-0000-0000CB420000}"/>
    <cellStyle name="Calc Currency (0) 2 3 2 6" xfId="9607" xr:uid="{00000000-0005-0000-0000-0000CC420000}"/>
    <cellStyle name="Calc Currency (0) 2 3 2 7" xfId="9608" xr:uid="{00000000-0005-0000-0000-0000CD420000}"/>
    <cellStyle name="Calc Currency (0) 2 3 2 8" xfId="9609" xr:uid="{00000000-0005-0000-0000-0000CE420000}"/>
    <cellStyle name="Calc Currency (0) 2 3 2 9" xfId="9610" xr:uid="{00000000-0005-0000-0000-0000CF420000}"/>
    <cellStyle name="Calc Currency (0) 2 3 3" xfId="9611" xr:uid="{00000000-0005-0000-0000-0000D0420000}"/>
    <cellStyle name="Calc Currency (0) 2 3 3 2" xfId="9612" xr:uid="{00000000-0005-0000-0000-0000D1420000}"/>
    <cellStyle name="Calc Currency (0) 2 3 3 3" xfId="9613" xr:uid="{00000000-0005-0000-0000-0000D2420000}"/>
    <cellStyle name="Calc Currency (0) 2 3 3 4" xfId="9614" xr:uid="{00000000-0005-0000-0000-0000D3420000}"/>
    <cellStyle name="Calc Currency (0) 2 3 3 5" xfId="9615" xr:uid="{00000000-0005-0000-0000-0000D4420000}"/>
    <cellStyle name="Calc Currency (0) 2 3 3 6" xfId="9616" xr:uid="{00000000-0005-0000-0000-0000D5420000}"/>
    <cellStyle name="Calc Currency (0) 2 3 3 7" xfId="9617" xr:uid="{00000000-0005-0000-0000-0000D6420000}"/>
    <cellStyle name="Calc Currency (0) 2 3 3 8" xfId="9618" xr:uid="{00000000-0005-0000-0000-0000D7420000}"/>
    <cellStyle name="Calc Currency (0) 2 3 4" xfId="9619" xr:uid="{00000000-0005-0000-0000-0000D8420000}"/>
    <cellStyle name="Calc Currency (0) 2 3 4 2" xfId="9620" xr:uid="{00000000-0005-0000-0000-0000D9420000}"/>
    <cellStyle name="Calc Currency (0) 2 3 4 3" xfId="9621" xr:uid="{00000000-0005-0000-0000-0000DA420000}"/>
    <cellStyle name="Calc Currency (0) 2 3 4 4" xfId="9622" xr:uid="{00000000-0005-0000-0000-0000DB420000}"/>
    <cellStyle name="Calc Currency (0) 2 3 4 5" xfId="9623" xr:uid="{00000000-0005-0000-0000-0000DC420000}"/>
    <cellStyle name="Calc Currency (0) 2 3 4 6" xfId="9624" xr:uid="{00000000-0005-0000-0000-0000DD420000}"/>
    <cellStyle name="Calc Currency (0) 2 3 4 7" xfId="9625" xr:uid="{00000000-0005-0000-0000-0000DE420000}"/>
    <cellStyle name="Calc Currency (0) 2 3 4 8" xfId="9626" xr:uid="{00000000-0005-0000-0000-0000DF420000}"/>
    <cellStyle name="Calc Currency (0) 2 3 5" xfId="9627" xr:uid="{00000000-0005-0000-0000-0000E0420000}"/>
    <cellStyle name="Calc Currency (0) 2 3 5 2" xfId="9628" xr:uid="{00000000-0005-0000-0000-0000E1420000}"/>
    <cellStyle name="Calc Currency (0) 2 3 5 3" xfId="9629" xr:uid="{00000000-0005-0000-0000-0000E2420000}"/>
    <cellStyle name="Calc Currency (0) 2 3 5 4" xfId="9630" xr:uid="{00000000-0005-0000-0000-0000E3420000}"/>
    <cellStyle name="Calc Currency (0) 2 3 5 5" xfId="9631" xr:uid="{00000000-0005-0000-0000-0000E4420000}"/>
    <cellStyle name="Calc Currency (0) 2 3 5 6" xfId="9632" xr:uid="{00000000-0005-0000-0000-0000E5420000}"/>
    <cellStyle name="Calc Currency (0) 2 3 5 7" xfId="9633" xr:uid="{00000000-0005-0000-0000-0000E6420000}"/>
    <cellStyle name="Calc Currency (0) 2 3 5 8" xfId="9634" xr:uid="{00000000-0005-0000-0000-0000E7420000}"/>
    <cellStyle name="Calc Currency (0) 2 3 6" xfId="9635" xr:uid="{00000000-0005-0000-0000-0000E8420000}"/>
    <cellStyle name="Calc Currency (0) 2 3 6 2" xfId="9636" xr:uid="{00000000-0005-0000-0000-0000E9420000}"/>
    <cellStyle name="Calc Currency (0) 2 3 6 3" xfId="9637" xr:uid="{00000000-0005-0000-0000-0000EA420000}"/>
    <cellStyle name="Calc Currency (0) 2 3 6 4" xfId="9638" xr:uid="{00000000-0005-0000-0000-0000EB420000}"/>
    <cellStyle name="Calc Currency (0) 2 3 6 5" xfId="9639" xr:uid="{00000000-0005-0000-0000-0000EC420000}"/>
    <cellStyle name="Calc Currency (0) 2 3 6 6" xfId="9640" xr:uid="{00000000-0005-0000-0000-0000ED420000}"/>
    <cellStyle name="Calc Currency (0) 2 3 6 7" xfId="9641" xr:uid="{00000000-0005-0000-0000-0000EE420000}"/>
    <cellStyle name="Calc Currency (0) 2 3 6 8" xfId="9642" xr:uid="{00000000-0005-0000-0000-0000EF420000}"/>
    <cellStyle name="Calc Currency (0) 2 3 7" xfId="9643" xr:uid="{00000000-0005-0000-0000-0000F0420000}"/>
    <cellStyle name="Calc Currency (0) 2 3 8" xfId="9644" xr:uid="{00000000-0005-0000-0000-0000F1420000}"/>
    <cellStyle name="Calc Currency (0) 2 3 9" xfId="9645" xr:uid="{00000000-0005-0000-0000-0000F2420000}"/>
    <cellStyle name="Calc Currency (0) 2 4" xfId="9646" xr:uid="{00000000-0005-0000-0000-0000F3420000}"/>
    <cellStyle name="Calc Currency (0) 2 4 2" xfId="9647" xr:uid="{00000000-0005-0000-0000-0000F4420000}"/>
    <cellStyle name="Calc Currency (0) 2 4 3" xfId="9648" xr:uid="{00000000-0005-0000-0000-0000F5420000}"/>
    <cellStyle name="Calc Currency (0) 2 5" xfId="9649" xr:uid="{00000000-0005-0000-0000-0000F6420000}"/>
    <cellStyle name="Calc Currency (0) 2 5 2" xfId="9650" xr:uid="{00000000-0005-0000-0000-0000F7420000}"/>
    <cellStyle name="Calc Currency (0) 2 5 3" xfId="9651" xr:uid="{00000000-0005-0000-0000-0000F8420000}"/>
    <cellStyle name="Calc Currency (0) 2 6" xfId="9652" xr:uid="{00000000-0005-0000-0000-0000F9420000}"/>
    <cellStyle name="Calc Currency (0) 2 6 2" xfId="9653" xr:uid="{00000000-0005-0000-0000-0000FA420000}"/>
    <cellStyle name="Calc Currency (0) 2 6 3" xfId="9654" xr:uid="{00000000-0005-0000-0000-0000FB420000}"/>
    <cellStyle name="Calc Currency (0) 2 7" xfId="9655" xr:uid="{00000000-0005-0000-0000-0000FC420000}"/>
    <cellStyle name="Calc Currency (0) 2 7 2" xfId="9656" xr:uid="{00000000-0005-0000-0000-0000FD420000}"/>
    <cellStyle name="Calc Currency (0) 2 7 3" xfId="9657" xr:uid="{00000000-0005-0000-0000-0000FE420000}"/>
    <cellStyle name="Calc Currency (0) 2 8" xfId="9658" xr:uid="{00000000-0005-0000-0000-0000FF420000}"/>
    <cellStyle name="Calc Currency (0) 2 8 2" xfId="9659" xr:uid="{00000000-0005-0000-0000-000000430000}"/>
    <cellStyle name="Calc Currency (0) 2 8 3" xfId="9660" xr:uid="{00000000-0005-0000-0000-000001430000}"/>
    <cellStyle name="Calc Currency (0) 2 9" xfId="9661" xr:uid="{00000000-0005-0000-0000-000002430000}"/>
    <cellStyle name="Calc Currency (0) 2 9 2" xfId="9662" xr:uid="{00000000-0005-0000-0000-000003430000}"/>
    <cellStyle name="Calc Currency (0) 2 9 3" xfId="9663" xr:uid="{00000000-0005-0000-0000-000004430000}"/>
    <cellStyle name="Calc Currency (0) 2_You Plus DCF Workpapers" xfId="9664" xr:uid="{00000000-0005-0000-0000-000005430000}"/>
    <cellStyle name="Calc Currency (0) 20" xfId="9665" xr:uid="{00000000-0005-0000-0000-000006430000}"/>
    <cellStyle name="Calc Currency (0) 20 2" xfId="9666" xr:uid="{00000000-0005-0000-0000-000007430000}"/>
    <cellStyle name="Calc Currency (0) 20 3" xfId="9667" xr:uid="{00000000-0005-0000-0000-000008430000}"/>
    <cellStyle name="Calc Currency (0) 20 4" xfId="9668" xr:uid="{00000000-0005-0000-0000-000009430000}"/>
    <cellStyle name="Calc Currency (0) 20 5" xfId="9669" xr:uid="{00000000-0005-0000-0000-00000A430000}"/>
    <cellStyle name="Calc Currency (0) 20 6" xfId="9670" xr:uid="{00000000-0005-0000-0000-00000B430000}"/>
    <cellStyle name="Calc Currency (0) 20 7" xfId="9671" xr:uid="{00000000-0005-0000-0000-00000C430000}"/>
    <cellStyle name="Calc Currency (0) 20 8" xfId="9672" xr:uid="{00000000-0005-0000-0000-00000D430000}"/>
    <cellStyle name="Calc Currency (0) 20 9" xfId="9673" xr:uid="{00000000-0005-0000-0000-00000E430000}"/>
    <cellStyle name="Calc Currency (0) 21" xfId="9674" xr:uid="{00000000-0005-0000-0000-00000F430000}"/>
    <cellStyle name="Calc Currency (0) 21 2" xfId="9675" xr:uid="{00000000-0005-0000-0000-000010430000}"/>
    <cellStyle name="Calc Currency (0) 21 3" xfId="9676" xr:uid="{00000000-0005-0000-0000-000011430000}"/>
    <cellStyle name="Calc Currency (0) 21 4" xfId="9677" xr:uid="{00000000-0005-0000-0000-000012430000}"/>
    <cellStyle name="Calc Currency (0) 21 5" xfId="9678" xr:uid="{00000000-0005-0000-0000-000013430000}"/>
    <cellStyle name="Calc Currency (0) 21 6" xfId="9679" xr:uid="{00000000-0005-0000-0000-000014430000}"/>
    <cellStyle name="Calc Currency (0) 21 7" xfId="9680" xr:uid="{00000000-0005-0000-0000-000015430000}"/>
    <cellStyle name="Calc Currency (0) 21 8" xfId="9681" xr:uid="{00000000-0005-0000-0000-000016430000}"/>
    <cellStyle name="Calc Currency (0) 21 9" xfId="9682" xr:uid="{00000000-0005-0000-0000-000017430000}"/>
    <cellStyle name="Calc Currency (0) 22" xfId="9683" xr:uid="{00000000-0005-0000-0000-000018430000}"/>
    <cellStyle name="Calc Currency (0) 22 2" xfId="9684" xr:uid="{00000000-0005-0000-0000-000019430000}"/>
    <cellStyle name="Calc Currency (0) 22 3" xfId="9685" xr:uid="{00000000-0005-0000-0000-00001A430000}"/>
    <cellStyle name="Calc Currency (0) 22 4" xfId="9686" xr:uid="{00000000-0005-0000-0000-00001B430000}"/>
    <cellStyle name="Calc Currency (0) 22 5" xfId="9687" xr:uid="{00000000-0005-0000-0000-00001C430000}"/>
    <cellStyle name="Calc Currency (0) 22 6" xfId="9688" xr:uid="{00000000-0005-0000-0000-00001D430000}"/>
    <cellStyle name="Calc Currency (0) 22 7" xfId="9689" xr:uid="{00000000-0005-0000-0000-00001E430000}"/>
    <cellStyle name="Calc Currency (0) 22 8" xfId="9690" xr:uid="{00000000-0005-0000-0000-00001F430000}"/>
    <cellStyle name="Calc Currency (0) 22 9" xfId="9691" xr:uid="{00000000-0005-0000-0000-000020430000}"/>
    <cellStyle name="Calc Currency (0) 23" xfId="9692" xr:uid="{00000000-0005-0000-0000-000021430000}"/>
    <cellStyle name="Calc Currency (0) 24" xfId="9693" xr:uid="{00000000-0005-0000-0000-000022430000}"/>
    <cellStyle name="Calc Currency (0) 25" xfId="9694" xr:uid="{00000000-0005-0000-0000-000023430000}"/>
    <cellStyle name="Calc Currency (0) 26" xfId="9695" xr:uid="{00000000-0005-0000-0000-000024430000}"/>
    <cellStyle name="Calc Currency (0) 27" xfId="9696" xr:uid="{00000000-0005-0000-0000-000025430000}"/>
    <cellStyle name="Calc Currency (0) 28" xfId="9697" xr:uid="{00000000-0005-0000-0000-000026430000}"/>
    <cellStyle name="Calc Currency (0) 29" xfId="9698" xr:uid="{00000000-0005-0000-0000-000027430000}"/>
    <cellStyle name="Calc Currency (0) 3" xfId="9699" xr:uid="{00000000-0005-0000-0000-000028430000}"/>
    <cellStyle name="Calc Currency (0) 3 10" xfId="9700" xr:uid="{00000000-0005-0000-0000-000029430000}"/>
    <cellStyle name="Calc Currency (0) 3 11" xfId="9701" xr:uid="{00000000-0005-0000-0000-00002A430000}"/>
    <cellStyle name="Calc Currency (0) 3 2" xfId="9702" xr:uid="{00000000-0005-0000-0000-00002B430000}"/>
    <cellStyle name="Calc Currency (0) 3 2 10" xfId="9703" xr:uid="{00000000-0005-0000-0000-00002C430000}"/>
    <cellStyle name="Calc Currency (0) 3 2 11" xfId="9704" xr:uid="{00000000-0005-0000-0000-00002D430000}"/>
    <cellStyle name="Calc Currency (0) 3 2 12" xfId="9705" xr:uid="{00000000-0005-0000-0000-00002E430000}"/>
    <cellStyle name="Calc Currency (0) 3 2 13" xfId="9706" xr:uid="{00000000-0005-0000-0000-00002F430000}"/>
    <cellStyle name="Calc Currency (0) 3 2 14" xfId="9707" xr:uid="{00000000-0005-0000-0000-000030430000}"/>
    <cellStyle name="Calc Currency (0) 3 2 15" xfId="9708" xr:uid="{00000000-0005-0000-0000-000031430000}"/>
    <cellStyle name="Calc Currency (0) 3 2 16" xfId="9709" xr:uid="{00000000-0005-0000-0000-000032430000}"/>
    <cellStyle name="Calc Currency (0) 3 2 2" xfId="9710" xr:uid="{00000000-0005-0000-0000-000033430000}"/>
    <cellStyle name="Calc Currency (0) 3 2 2 2" xfId="9711" xr:uid="{00000000-0005-0000-0000-000034430000}"/>
    <cellStyle name="Calc Currency (0) 3 2 2 3" xfId="9712" xr:uid="{00000000-0005-0000-0000-000035430000}"/>
    <cellStyle name="Calc Currency (0) 3 2 3" xfId="9713" xr:uid="{00000000-0005-0000-0000-000036430000}"/>
    <cellStyle name="Calc Currency (0) 3 2 3 2" xfId="9714" xr:uid="{00000000-0005-0000-0000-000037430000}"/>
    <cellStyle name="Calc Currency (0) 3 2 3 3" xfId="9715" xr:uid="{00000000-0005-0000-0000-000038430000}"/>
    <cellStyle name="Calc Currency (0) 3 2 3 4" xfId="9716" xr:uid="{00000000-0005-0000-0000-000039430000}"/>
    <cellStyle name="Calc Currency (0) 3 2 3 5" xfId="9717" xr:uid="{00000000-0005-0000-0000-00003A430000}"/>
    <cellStyle name="Calc Currency (0) 3 2 3 6" xfId="9718" xr:uid="{00000000-0005-0000-0000-00003B430000}"/>
    <cellStyle name="Calc Currency (0) 3 2 3 7" xfId="9719" xr:uid="{00000000-0005-0000-0000-00003C430000}"/>
    <cellStyle name="Calc Currency (0) 3 2 3 8" xfId="9720" xr:uid="{00000000-0005-0000-0000-00003D430000}"/>
    <cellStyle name="Calc Currency (0) 3 2 4" xfId="9721" xr:uid="{00000000-0005-0000-0000-00003E430000}"/>
    <cellStyle name="Calc Currency (0) 3 2 5" xfId="9722" xr:uid="{00000000-0005-0000-0000-00003F430000}"/>
    <cellStyle name="Calc Currency (0) 3 2 6" xfId="9723" xr:uid="{00000000-0005-0000-0000-000040430000}"/>
    <cellStyle name="Calc Currency (0) 3 2 7" xfId="9724" xr:uid="{00000000-0005-0000-0000-000041430000}"/>
    <cellStyle name="Calc Currency (0) 3 2 8" xfId="9725" xr:uid="{00000000-0005-0000-0000-000042430000}"/>
    <cellStyle name="Calc Currency (0) 3 2 9" xfId="9726" xr:uid="{00000000-0005-0000-0000-000043430000}"/>
    <cellStyle name="Calc Currency (0) 3 3" xfId="9727" xr:uid="{00000000-0005-0000-0000-000044430000}"/>
    <cellStyle name="Calc Currency (0) 3 3 2" xfId="9728" xr:uid="{00000000-0005-0000-0000-000045430000}"/>
    <cellStyle name="Calc Currency (0) 3 3 2 2" xfId="9729" xr:uid="{00000000-0005-0000-0000-000046430000}"/>
    <cellStyle name="Calc Currency (0) 3 3 2 2 2" xfId="9730" xr:uid="{00000000-0005-0000-0000-000047430000}"/>
    <cellStyle name="Calc Currency (0) 3 3 2 2 2 2" xfId="9731" xr:uid="{00000000-0005-0000-0000-000048430000}"/>
    <cellStyle name="Calc Currency (0) 3 3 2 2 2 3" xfId="9732" xr:uid="{00000000-0005-0000-0000-000049430000}"/>
    <cellStyle name="Calc Currency (0) 3 3 2 2 2 4" xfId="9733" xr:uid="{00000000-0005-0000-0000-00004A430000}"/>
    <cellStyle name="Calc Currency (0) 3 3 2 2 2 5" xfId="9734" xr:uid="{00000000-0005-0000-0000-00004B430000}"/>
    <cellStyle name="Calc Currency (0) 3 3 2 2 2 6" xfId="9735" xr:uid="{00000000-0005-0000-0000-00004C430000}"/>
    <cellStyle name="Calc Currency (0) 3 3 2 2 2 7" xfId="9736" xr:uid="{00000000-0005-0000-0000-00004D430000}"/>
    <cellStyle name="Calc Currency (0) 3 3 2 2 2 8" xfId="9737" xr:uid="{00000000-0005-0000-0000-00004E430000}"/>
    <cellStyle name="Calc Currency (0) 3 3 2 2 3" xfId="9738" xr:uid="{00000000-0005-0000-0000-00004F430000}"/>
    <cellStyle name="Calc Currency (0) 3 3 2 2 4" xfId="9739" xr:uid="{00000000-0005-0000-0000-000050430000}"/>
    <cellStyle name="Calc Currency (0) 3 3 2 2 5" xfId="9740" xr:uid="{00000000-0005-0000-0000-000051430000}"/>
    <cellStyle name="Calc Currency (0) 3 3 2 2 6" xfId="9741" xr:uid="{00000000-0005-0000-0000-000052430000}"/>
    <cellStyle name="Calc Currency (0) 3 3 2 2 7" xfId="9742" xr:uid="{00000000-0005-0000-0000-000053430000}"/>
    <cellStyle name="Calc Currency (0) 3 3 2 2 8" xfId="9743" xr:uid="{00000000-0005-0000-0000-000054430000}"/>
    <cellStyle name="Calc Currency (0) 3 3 2 2 9" xfId="9744" xr:uid="{00000000-0005-0000-0000-000055430000}"/>
    <cellStyle name="Calc Currency (0) 3 3 2 3" xfId="9745" xr:uid="{00000000-0005-0000-0000-000056430000}"/>
    <cellStyle name="Calc Currency (0) 3 3 2 4" xfId="9746" xr:uid="{00000000-0005-0000-0000-000057430000}"/>
    <cellStyle name="Calc Currency (0) 3 3 2 5" xfId="9747" xr:uid="{00000000-0005-0000-0000-000058430000}"/>
    <cellStyle name="Calc Currency (0) 3 3 2 6" xfId="9748" xr:uid="{00000000-0005-0000-0000-000059430000}"/>
    <cellStyle name="Calc Currency (0) 3 3 2 7" xfId="9749" xr:uid="{00000000-0005-0000-0000-00005A430000}"/>
    <cellStyle name="Calc Currency (0) 3 3 2 8" xfId="9750" xr:uid="{00000000-0005-0000-0000-00005B430000}"/>
    <cellStyle name="Calc Currency (0) 3 3 2 9" xfId="9751" xr:uid="{00000000-0005-0000-0000-00005C430000}"/>
    <cellStyle name="Calc Currency (0) 3 3 3" xfId="9752" xr:uid="{00000000-0005-0000-0000-00005D430000}"/>
    <cellStyle name="Calc Currency (0) 3 3 3 2" xfId="9753" xr:uid="{00000000-0005-0000-0000-00005E430000}"/>
    <cellStyle name="Calc Currency (0) 3 3 3 3" xfId="9754" xr:uid="{00000000-0005-0000-0000-00005F430000}"/>
    <cellStyle name="Calc Currency (0) 3 3 3 4" xfId="9755" xr:uid="{00000000-0005-0000-0000-000060430000}"/>
    <cellStyle name="Calc Currency (0) 3 3 3 5" xfId="9756" xr:uid="{00000000-0005-0000-0000-000061430000}"/>
    <cellStyle name="Calc Currency (0) 3 3 3 6" xfId="9757" xr:uid="{00000000-0005-0000-0000-000062430000}"/>
    <cellStyle name="Calc Currency (0) 3 3 3 7" xfId="9758" xr:uid="{00000000-0005-0000-0000-000063430000}"/>
    <cellStyle name="Calc Currency (0) 3 3 3 8" xfId="9759" xr:uid="{00000000-0005-0000-0000-000064430000}"/>
    <cellStyle name="Calc Currency (0) 3 3 4" xfId="9760" xr:uid="{00000000-0005-0000-0000-000065430000}"/>
    <cellStyle name="Calc Currency (0) 3 3 5" xfId="9761" xr:uid="{00000000-0005-0000-0000-000066430000}"/>
    <cellStyle name="Calc Currency (0) 3 3 6" xfId="9762" xr:uid="{00000000-0005-0000-0000-000067430000}"/>
    <cellStyle name="Calc Currency (0) 3 3 7" xfId="9763" xr:uid="{00000000-0005-0000-0000-000068430000}"/>
    <cellStyle name="Calc Currency (0) 3 3 8" xfId="9764" xr:uid="{00000000-0005-0000-0000-000069430000}"/>
    <cellStyle name="Calc Currency (0) 3 3 9" xfId="9765" xr:uid="{00000000-0005-0000-0000-00006A430000}"/>
    <cellStyle name="Calc Currency (0) 3 4" xfId="9766" xr:uid="{00000000-0005-0000-0000-00006B430000}"/>
    <cellStyle name="Calc Currency (0) 3 4 2" xfId="9767" xr:uid="{00000000-0005-0000-0000-00006C430000}"/>
    <cellStyle name="Calc Currency (0) 3 4 3" xfId="9768" xr:uid="{00000000-0005-0000-0000-00006D430000}"/>
    <cellStyle name="Calc Currency (0) 3 4 4" xfId="9769" xr:uid="{00000000-0005-0000-0000-00006E430000}"/>
    <cellStyle name="Calc Currency (0) 3 4 5" xfId="9770" xr:uid="{00000000-0005-0000-0000-00006F430000}"/>
    <cellStyle name="Calc Currency (0) 3 4 6" xfId="9771" xr:uid="{00000000-0005-0000-0000-000070430000}"/>
    <cellStyle name="Calc Currency (0) 3 4 7" xfId="9772" xr:uid="{00000000-0005-0000-0000-000071430000}"/>
    <cellStyle name="Calc Currency (0) 3 4 8" xfId="9773" xr:uid="{00000000-0005-0000-0000-000072430000}"/>
    <cellStyle name="Calc Currency (0) 3 5" xfId="9774" xr:uid="{00000000-0005-0000-0000-000073430000}"/>
    <cellStyle name="Calc Currency (0) 3 6" xfId="9775" xr:uid="{00000000-0005-0000-0000-000074430000}"/>
    <cellStyle name="Calc Currency (0) 3 7" xfId="9776" xr:uid="{00000000-0005-0000-0000-000075430000}"/>
    <cellStyle name="Calc Currency (0) 3 8" xfId="9777" xr:uid="{00000000-0005-0000-0000-000076430000}"/>
    <cellStyle name="Calc Currency (0) 3 9" xfId="9778" xr:uid="{00000000-0005-0000-0000-000077430000}"/>
    <cellStyle name="Calc Currency (0) 30" xfId="9779" xr:uid="{00000000-0005-0000-0000-000078430000}"/>
    <cellStyle name="Calc Currency (0) 31" xfId="9780" xr:uid="{00000000-0005-0000-0000-000079430000}"/>
    <cellStyle name="Calc Currency (0) 32" xfId="9781" xr:uid="{00000000-0005-0000-0000-00007A430000}"/>
    <cellStyle name="Calc Currency (0) 33" xfId="9782" xr:uid="{00000000-0005-0000-0000-00007B430000}"/>
    <cellStyle name="Calc Currency (0) 34" xfId="9783" xr:uid="{00000000-0005-0000-0000-00007C430000}"/>
    <cellStyle name="Calc Currency (0) 35" xfId="9784" xr:uid="{00000000-0005-0000-0000-00007D430000}"/>
    <cellStyle name="Calc Currency (0) 36" xfId="9785" xr:uid="{00000000-0005-0000-0000-00007E430000}"/>
    <cellStyle name="Calc Currency (0) 4" xfId="9786" xr:uid="{00000000-0005-0000-0000-00007F430000}"/>
    <cellStyle name="Calc Currency (0) 4 10" xfId="9787" xr:uid="{00000000-0005-0000-0000-000080430000}"/>
    <cellStyle name="Calc Currency (0) 4 11" xfId="9788" xr:uid="{00000000-0005-0000-0000-000081430000}"/>
    <cellStyle name="Calc Currency (0) 4 2" xfId="9789" xr:uid="{00000000-0005-0000-0000-000082430000}"/>
    <cellStyle name="Calc Currency (0) 4 2 2" xfId="9790" xr:uid="{00000000-0005-0000-0000-000083430000}"/>
    <cellStyle name="Calc Currency (0) 4 2 3" xfId="9791" xr:uid="{00000000-0005-0000-0000-000084430000}"/>
    <cellStyle name="Calc Currency (0) 4 2 4" xfId="9792" xr:uid="{00000000-0005-0000-0000-000085430000}"/>
    <cellStyle name="Calc Currency (0) 4 2 5" xfId="9793" xr:uid="{00000000-0005-0000-0000-000086430000}"/>
    <cellStyle name="Calc Currency (0) 4 2 6" xfId="9794" xr:uid="{00000000-0005-0000-0000-000087430000}"/>
    <cellStyle name="Calc Currency (0) 4 2 7" xfId="9795" xr:uid="{00000000-0005-0000-0000-000088430000}"/>
    <cellStyle name="Calc Currency (0) 4 2 8" xfId="9796" xr:uid="{00000000-0005-0000-0000-000089430000}"/>
    <cellStyle name="Calc Currency (0) 4 2 9" xfId="9797" xr:uid="{00000000-0005-0000-0000-00008A430000}"/>
    <cellStyle name="Calc Currency (0) 4 3" xfId="9798" xr:uid="{00000000-0005-0000-0000-00008B430000}"/>
    <cellStyle name="Calc Currency (0) 4 3 2" xfId="9799" xr:uid="{00000000-0005-0000-0000-00008C430000}"/>
    <cellStyle name="Calc Currency (0) 4 3 3" xfId="9800" xr:uid="{00000000-0005-0000-0000-00008D430000}"/>
    <cellStyle name="Calc Currency (0) 4 3 4" xfId="9801" xr:uid="{00000000-0005-0000-0000-00008E430000}"/>
    <cellStyle name="Calc Currency (0) 4 3 5" xfId="9802" xr:uid="{00000000-0005-0000-0000-00008F430000}"/>
    <cellStyle name="Calc Currency (0) 4 3 6" xfId="9803" xr:uid="{00000000-0005-0000-0000-000090430000}"/>
    <cellStyle name="Calc Currency (0) 4 3 7" xfId="9804" xr:uid="{00000000-0005-0000-0000-000091430000}"/>
    <cellStyle name="Calc Currency (0) 4 3 8" xfId="9805" xr:uid="{00000000-0005-0000-0000-000092430000}"/>
    <cellStyle name="Calc Currency (0) 4 3 9" xfId="9806" xr:uid="{00000000-0005-0000-0000-000093430000}"/>
    <cellStyle name="Calc Currency (0) 4 4" xfId="9807" xr:uid="{00000000-0005-0000-0000-000094430000}"/>
    <cellStyle name="Calc Currency (0) 4 5" xfId="9808" xr:uid="{00000000-0005-0000-0000-000095430000}"/>
    <cellStyle name="Calc Currency (0) 4 6" xfId="9809" xr:uid="{00000000-0005-0000-0000-000096430000}"/>
    <cellStyle name="Calc Currency (0) 4 7" xfId="9810" xr:uid="{00000000-0005-0000-0000-000097430000}"/>
    <cellStyle name="Calc Currency (0) 4 8" xfId="9811" xr:uid="{00000000-0005-0000-0000-000098430000}"/>
    <cellStyle name="Calc Currency (0) 4 9" xfId="9812" xr:uid="{00000000-0005-0000-0000-000099430000}"/>
    <cellStyle name="Calc Currency (0) 5" xfId="9813" xr:uid="{00000000-0005-0000-0000-00009A430000}"/>
    <cellStyle name="Calc Currency (0) 5 10" xfId="9814" xr:uid="{00000000-0005-0000-0000-00009B430000}"/>
    <cellStyle name="Calc Currency (0) 5 11" xfId="9815" xr:uid="{00000000-0005-0000-0000-00009C430000}"/>
    <cellStyle name="Calc Currency (0) 5 2" xfId="9816" xr:uid="{00000000-0005-0000-0000-00009D430000}"/>
    <cellStyle name="Calc Currency (0) 5 2 10" xfId="9817" xr:uid="{00000000-0005-0000-0000-00009E430000}"/>
    <cellStyle name="Calc Currency (0) 5 2 11" xfId="9818" xr:uid="{00000000-0005-0000-0000-00009F430000}"/>
    <cellStyle name="Calc Currency (0) 5 2 12" xfId="9819" xr:uid="{00000000-0005-0000-0000-0000A0430000}"/>
    <cellStyle name="Calc Currency (0) 5 2 13" xfId="9820" xr:uid="{00000000-0005-0000-0000-0000A1430000}"/>
    <cellStyle name="Calc Currency (0) 5 2 14" xfId="9821" xr:uid="{00000000-0005-0000-0000-0000A2430000}"/>
    <cellStyle name="Calc Currency (0) 5 2 15" xfId="9822" xr:uid="{00000000-0005-0000-0000-0000A3430000}"/>
    <cellStyle name="Calc Currency (0) 5 2 16" xfId="9823" xr:uid="{00000000-0005-0000-0000-0000A4430000}"/>
    <cellStyle name="Calc Currency (0) 5 2 2" xfId="9824" xr:uid="{00000000-0005-0000-0000-0000A5430000}"/>
    <cellStyle name="Calc Currency (0) 5 2 2 2" xfId="9825" xr:uid="{00000000-0005-0000-0000-0000A6430000}"/>
    <cellStyle name="Calc Currency (0) 5 2 2 2 2" xfId="9826" xr:uid="{00000000-0005-0000-0000-0000A7430000}"/>
    <cellStyle name="Calc Currency (0) 5 2 2 2 3" xfId="9827" xr:uid="{00000000-0005-0000-0000-0000A8430000}"/>
    <cellStyle name="Calc Currency (0) 5 2 2 3" xfId="9828" xr:uid="{00000000-0005-0000-0000-0000A9430000}"/>
    <cellStyle name="Calc Currency (0) 5 2 3" xfId="9829" xr:uid="{00000000-0005-0000-0000-0000AA430000}"/>
    <cellStyle name="Calc Currency (0) 5 2 4" xfId="9830" xr:uid="{00000000-0005-0000-0000-0000AB430000}"/>
    <cellStyle name="Calc Currency (0) 5 2 5" xfId="9831" xr:uid="{00000000-0005-0000-0000-0000AC430000}"/>
    <cellStyle name="Calc Currency (0) 5 2 6" xfId="9832" xr:uid="{00000000-0005-0000-0000-0000AD430000}"/>
    <cellStyle name="Calc Currency (0) 5 2 7" xfId="9833" xr:uid="{00000000-0005-0000-0000-0000AE430000}"/>
    <cellStyle name="Calc Currency (0) 5 2 8" xfId="9834" xr:uid="{00000000-0005-0000-0000-0000AF430000}"/>
    <cellStyle name="Calc Currency (0) 5 2 9" xfId="9835" xr:uid="{00000000-0005-0000-0000-0000B0430000}"/>
    <cellStyle name="Calc Currency (0) 5 3" xfId="9836" xr:uid="{00000000-0005-0000-0000-0000B1430000}"/>
    <cellStyle name="Calc Currency (0) 5 3 2" xfId="9837" xr:uid="{00000000-0005-0000-0000-0000B2430000}"/>
    <cellStyle name="Calc Currency (0) 5 3 3" xfId="9838" xr:uid="{00000000-0005-0000-0000-0000B3430000}"/>
    <cellStyle name="Calc Currency (0) 5 3 4" xfId="9839" xr:uid="{00000000-0005-0000-0000-0000B4430000}"/>
    <cellStyle name="Calc Currency (0) 5 3 5" xfId="9840" xr:uid="{00000000-0005-0000-0000-0000B5430000}"/>
    <cellStyle name="Calc Currency (0) 5 3 6" xfId="9841" xr:uid="{00000000-0005-0000-0000-0000B6430000}"/>
    <cellStyle name="Calc Currency (0) 5 3 7" xfId="9842" xr:uid="{00000000-0005-0000-0000-0000B7430000}"/>
    <cellStyle name="Calc Currency (0) 5 3 8" xfId="9843" xr:uid="{00000000-0005-0000-0000-0000B8430000}"/>
    <cellStyle name="Calc Currency (0) 5 3 9" xfId="9844" xr:uid="{00000000-0005-0000-0000-0000B9430000}"/>
    <cellStyle name="Calc Currency (0) 5 4" xfId="9845" xr:uid="{00000000-0005-0000-0000-0000BA430000}"/>
    <cellStyle name="Calc Currency (0) 5 5" xfId="9846" xr:uid="{00000000-0005-0000-0000-0000BB430000}"/>
    <cellStyle name="Calc Currency (0) 5 6" xfId="9847" xr:uid="{00000000-0005-0000-0000-0000BC430000}"/>
    <cellStyle name="Calc Currency (0) 5 6 2" xfId="9848" xr:uid="{00000000-0005-0000-0000-0000BD430000}"/>
    <cellStyle name="Calc Currency (0) 5 6 3" xfId="9849" xr:uid="{00000000-0005-0000-0000-0000BE430000}"/>
    <cellStyle name="Calc Currency (0) 5 6 4" xfId="9850" xr:uid="{00000000-0005-0000-0000-0000BF430000}"/>
    <cellStyle name="Calc Currency (0) 5 6 5" xfId="9851" xr:uid="{00000000-0005-0000-0000-0000C0430000}"/>
    <cellStyle name="Calc Currency (0) 5 6 6" xfId="9852" xr:uid="{00000000-0005-0000-0000-0000C1430000}"/>
    <cellStyle name="Calc Currency (0) 5 6 7" xfId="9853" xr:uid="{00000000-0005-0000-0000-0000C2430000}"/>
    <cellStyle name="Calc Currency (0) 5 6 8" xfId="9854" xr:uid="{00000000-0005-0000-0000-0000C3430000}"/>
    <cellStyle name="Calc Currency (0) 5 7" xfId="9855" xr:uid="{00000000-0005-0000-0000-0000C4430000}"/>
    <cellStyle name="Calc Currency (0) 5 8" xfId="9856" xr:uid="{00000000-0005-0000-0000-0000C5430000}"/>
    <cellStyle name="Calc Currency (0) 5 9" xfId="9857" xr:uid="{00000000-0005-0000-0000-0000C6430000}"/>
    <cellStyle name="Calc Currency (0) 6" xfId="9858" xr:uid="{00000000-0005-0000-0000-0000C7430000}"/>
    <cellStyle name="Calc Currency (0) 6 10" xfId="9859" xr:uid="{00000000-0005-0000-0000-0000C8430000}"/>
    <cellStyle name="Calc Currency (0) 6 11" xfId="9860" xr:uid="{00000000-0005-0000-0000-0000C9430000}"/>
    <cellStyle name="Calc Currency (0) 6 2" xfId="9861" xr:uid="{00000000-0005-0000-0000-0000CA430000}"/>
    <cellStyle name="Calc Currency (0) 6 2 2" xfId="9862" xr:uid="{00000000-0005-0000-0000-0000CB430000}"/>
    <cellStyle name="Calc Currency (0) 6 2 3" xfId="9863" xr:uid="{00000000-0005-0000-0000-0000CC430000}"/>
    <cellStyle name="Calc Currency (0) 6 2 4" xfId="9864" xr:uid="{00000000-0005-0000-0000-0000CD430000}"/>
    <cellStyle name="Calc Currency (0) 6 2 5" xfId="9865" xr:uid="{00000000-0005-0000-0000-0000CE430000}"/>
    <cellStyle name="Calc Currency (0) 6 2 6" xfId="9866" xr:uid="{00000000-0005-0000-0000-0000CF430000}"/>
    <cellStyle name="Calc Currency (0) 6 2 7" xfId="9867" xr:uid="{00000000-0005-0000-0000-0000D0430000}"/>
    <cellStyle name="Calc Currency (0) 6 2 8" xfId="9868" xr:uid="{00000000-0005-0000-0000-0000D1430000}"/>
    <cellStyle name="Calc Currency (0) 6 2 9" xfId="9869" xr:uid="{00000000-0005-0000-0000-0000D2430000}"/>
    <cellStyle name="Calc Currency (0) 6 3" xfId="9870" xr:uid="{00000000-0005-0000-0000-0000D3430000}"/>
    <cellStyle name="Calc Currency (0) 6 3 2" xfId="9871" xr:uid="{00000000-0005-0000-0000-0000D4430000}"/>
    <cellStyle name="Calc Currency (0) 6 3 3" xfId="9872" xr:uid="{00000000-0005-0000-0000-0000D5430000}"/>
    <cellStyle name="Calc Currency (0) 6 3 4" xfId="9873" xr:uid="{00000000-0005-0000-0000-0000D6430000}"/>
    <cellStyle name="Calc Currency (0) 6 3 5" xfId="9874" xr:uid="{00000000-0005-0000-0000-0000D7430000}"/>
    <cellStyle name="Calc Currency (0) 6 3 6" xfId="9875" xr:uid="{00000000-0005-0000-0000-0000D8430000}"/>
    <cellStyle name="Calc Currency (0) 6 3 7" xfId="9876" xr:uid="{00000000-0005-0000-0000-0000D9430000}"/>
    <cellStyle name="Calc Currency (0) 6 3 8" xfId="9877" xr:uid="{00000000-0005-0000-0000-0000DA430000}"/>
    <cellStyle name="Calc Currency (0) 6 3 9" xfId="9878" xr:uid="{00000000-0005-0000-0000-0000DB430000}"/>
    <cellStyle name="Calc Currency (0) 6 4" xfId="9879" xr:uid="{00000000-0005-0000-0000-0000DC430000}"/>
    <cellStyle name="Calc Currency (0) 6 5" xfId="9880" xr:uid="{00000000-0005-0000-0000-0000DD430000}"/>
    <cellStyle name="Calc Currency (0) 6 6" xfId="9881" xr:uid="{00000000-0005-0000-0000-0000DE430000}"/>
    <cellStyle name="Calc Currency (0) 6 7" xfId="9882" xr:uid="{00000000-0005-0000-0000-0000DF430000}"/>
    <cellStyle name="Calc Currency (0) 6 8" xfId="9883" xr:uid="{00000000-0005-0000-0000-0000E0430000}"/>
    <cellStyle name="Calc Currency (0) 6 9" xfId="9884" xr:uid="{00000000-0005-0000-0000-0000E1430000}"/>
    <cellStyle name="Calc Currency (0) 7" xfId="9885" xr:uid="{00000000-0005-0000-0000-0000E2430000}"/>
    <cellStyle name="Calc Currency (0) 7 10" xfId="9886" xr:uid="{00000000-0005-0000-0000-0000E3430000}"/>
    <cellStyle name="Calc Currency (0) 7 11" xfId="9887" xr:uid="{00000000-0005-0000-0000-0000E4430000}"/>
    <cellStyle name="Calc Currency (0) 7 2" xfId="9888" xr:uid="{00000000-0005-0000-0000-0000E5430000}"/>
    <cellStyle name="Calc Currency (0) 7 2 2" xfId="9889" xr:uid="{00000000-0005-0000-0000-0000E6430000}"/>
    <cellStyle name="Calc Currency (0) 7 2 3" xfId="9890" xr:uid="{00000000-0005-0000-0000-0000E7430000}"/>
    <cellStyle name="Calc Currency (0) 7 2 4" xfId="9891" xr:uid="{00000000-0005-0000-0000-0000E8430000}"/>
    <cellStyle name="Calc Currency (0) 7 2 5" xfId="9892" xr:uid="{00000000-0005-0000-0000-0000E9430000}"/>
    <cellStyle name="Calc Currency (0) 7 2 6" xfId="9893" xr:uid="{00000000-0005-0000-0000-0000EA430000}"/>
    <cellStyle name="Calc Currency (0) 7 2 7" xfId="9894" xr:uid="{00000000-0005-0000-0000-0000EB430000}"/>
    <cellStyle name="Calc Currency (0) 7 2 8" xfId="9895" xr:uid="{00000000-0005-0000-0000-0000EC430000}"/>
    <cellStyle name="Calc Currency (0) 7 2 9" xfId="9896" xr:uid="{00000000-0005-0000-0000-0000ED430000}"/>
    <cellStyle name="Calc Currency (0) 7 3" xfId="9897" xr:uid="{00000000-0005-0000-0000-0000EE430000}"/>
    <cellStyle name="Calc Currency (0) 7 3 2" xfId="9898" xr:uid="{00000000-0005-0000-0000-0000EF430000}"/>
    <cellStyle name="Calc Currency (0) 7 3 3" xfId="9899" xr:uid="{00000000-0005-0000-0000-0000F0430000}"/>
    <cellStyle name="Calc Currency (0) 7 3 4" xfId="9900" xr:uid="{00000000-0005-0000-0000-0000F1430000}"/>
    <cellStyle name="Calc Currency (0) 7 3 5" xfId="9901" xr:uid="{00000000-0005-0000-0000-0000F2430000}"/>
    <cellStyle name="Calc Currency (0) 7 3 6" xfId="9902" xr:uid="{00000000-0005-0000-0000-0000F3430000}"/>
    <cellStyle name="Calc Currency (0) 7 3 7" xfId="9903" xr:uid="{00000000-0005-0000-0000-0000F4430000}"/>
    <cellStyle name="Calc Currency (0) 7 3 8" xfId="9904" xr:uid="{00000000-0005-0000-0000-0000F5430000}"/>
    <cellStyle name="Calc Currency (0) 7 3 9" xfId="9905" xr:uid="{00000000-0005-0000-0000-0000F6430000}"/>
    <cellStyle name="Calc Currency (0) 7 4" xfId="9906" xr:uid="{00000000-0005-0000-0000-0000F7430000}"/>
    <cellStyle name="Calc Currency (0) 7 5" xfId="9907" xr:uid="{00000000-0005-0000-0000-0000F8430000}"/>
    <cellStyle name="Calc Currency (0) 7 6" xfId="9908" xr:uid="{00000000-0005-0000-0000-0000F9430000}"/>
    <cellStyle name="Calc Currency (0) 7 7" xfId="9909" xr:uid="{00000000-0005-0000-0000-0000FA430000}"/>
    <cellStyle name="Calc Currency (0) 7 8" xfId="9910" xr:uid="{00000000-0005-0000-0000-0000FB430000}"/>
    <cellStyle name="Calc Currency (0) 7 9" xfId="9911" xr:uid="{00000000-0005-0000-0000-0000FC430000}"/>
    <cellStyle name="Calc Currency (0) 8" xfId="9912" xr:uid="{00000000-0005-0000-0000-0000FD430000}"/>
    <cellStyle name="Calc Currency (0) 8 10" xfId="9913" xr:uid="{00000000-0005-0000-0000-0000FE430000}"/>
    <cellStyle name="Calc Currency (0) 8 11" xfId="9914" xr:uid="{00000000-0005-0000-0000-0000FF430000}"/>
    <cellStyle name="Calc Currency (0) 8 2" xfId="9915" xr:uid="{00000000-0005-0000-0000-000000440000}"/>
    <cellStyle name="Calc Currency (0) 8 2 2" xfId="9916" xr:uid="{00000000-0005-0000-0000-000001440000}"/>
    <cellStyle name="Calc Currency (0) 8 2 3" xfId="9917" xr:uid="{00000000-0005-0000-0000-000002440000}"/>
    <cellStyle name="Calc Currency (0) 8 2 4" xfId="9918" xr:uid="{00000000-0005-0000-0000-000003440000}"/>
    <cellStyle name="Calc Currency (0) 8 2 5" xfId="9919" xr:uid="{00000000-0005-0000-0000-000004440000}"/>
    <cellStyle name="Calc Currency (0) 8 2 6" xfId="9920" xr:uid="{00000000-0005-0000-0000-000005440000}"/>
    <cellStyle name="Calc Currency (0) 8 2 7" xfId="9921" xr:uid="{00000000-0005-0000-0000-000006440000}"/>
    <cellStyle name="Calc Currency (0) 8 2 8" xfId="9922" xr:uid="{00000000-0005-0000-0000-000007440000}"/>
    <cellStyle name="Calc Currency (0) 8 2 9" xfId="9923" xr:uid="{00000000-0005-0000-0000-000008440000}"/>
    <cellStyle name="Calc Currency (0) 8 3" xfId="9924" xr:uid="{00000000-0005-0000-0000-000009440000}"/>
    <cellStyle name="Calc Currency (0) 8 3 2" xfId="9925" xr:uid="{00000000-0005-0000-0000-00000A440000}"/>
    <cellStyle name="Calc Currency (0) 8 3 3" xfId="9926" xr:uid="{00000000-0005-0000-0000-00000B440000}"/>
    <cellStyle name="Calc Currency (0) 8 3 4" xfId="9927" xr:uid="{00000000-0005-0000-0000-00000C440000}"/>
    <cellStyle name="Calc Currency (0) 8 3 5" xfId="9928" xr:uid="{00000000-0005-0000-0000-00000D440000}"/>
    <cellStyle name="Calc Currency (0) 8 3 6" xfId="9929" xr:uid="{00000000-0005-0000-0000-00000E440000}"/>
    <cellStyle name="Calc Currency (0) 8 3 7" xfId="9930" xr:uid="{00000000-0005-0000-0000-00000F440000}"/>
    <cellStyle name="Calc Currency (0) 8 3 8" xfId="9931" xr:uid="{00000000-0005-0000-0000-000010440000}"/>
    <cellStyle name="Calc Currency (0) 8 3 9" xfId="9932" xr:uid="{00000000-0005-0000-0000-000011440000}"/>
    <cellStyle name="Calc Currency (0) 8 4" xfId="9933" xr:uid="{00000000-0005-0000-0000-000012440000}"/>
    <cellStyle name="Calc Currency (0) 8 5" xfId="9934" xr:uid="{00000000-0005-0000-0000-000013440000}"/>
    <cellStyle name="Calc Currency (0) 8 6" xfId="9935" xr:uid="{00000000-0005-0000-0000-000014440000}"/>
    <cellStyle name="Calc Currency (0) 8 7" xfId="9936" xr:uid="{00000000-0005-0000-0000-000015440000}"/>
    <cellStyle name="Calc Currency (0) 8 8" xfId="9937" xr:uid="{00000000-0005-0000-0000-000016440000}"/>
    <cellStyle name="Calc Currency (0) 8 9" xfId="9938" xr:uid="{00000000-0005-0000-0000-000017440000}"/>
    <cellStyle name="Calc Currency (0) 9" xfId="9939" xr:uid="{00000000-0005-0000-0000-000018440000}"/>
    <cellStyle name="Calc Currency (0) 9 10" xfId="9940" xr:uid="{00000000-0005-0000-0000-000019440000}"/>
    <cellStyle name="Calc Currency (0) 9 11" xfId="9941" xr:uid="{00000000-0005-0000-0000-00001A440000}"/>
    <cellStyle name="Calc Currency (0) 9 2" xfId="9942" xr:uid="{00000000-0005-0000-0000-00001B440000}"/>
    <cellStyle name="Calc Currency (0) 9 2 10" xfId="9943" xr:uid="{00000000-0005-0000-0000-00001C440000}"/>
    <cellStyle name="Calc Currency (0) 9 2 11" xfId="9944" xr:uid="{00000000-0005-0000-0000-00001D440000}"/>
    <cellStyle name="Calc Currency (0) 9 2 12" xfId="9945" xr:uid="{00000000-0005-0000-0000-00001E440000}"/>
    <cellStyle name="Calc Currency (0) 9 2 13" xfId="9946" xr:uid="{00000000-0005-0000-0000-00001F440000}"/>
    <cellStyle name="Calc Currency (0) 9 2 14" xfId="9947" xr:uid="{00000000-0005-0000-0000-000020440000}"/>
    <cellStyle name="Calc Currency (0) 9 2 15" xfId="9948" xr:uid="{00000000-0005-0000-0000-000021440000}"/>
    <cellStyle name="Calc Currency (0) 9 2 16" xfId="9949" xr:uid="{00000000-0005-0000-0000-000022440000}"/>
    <cellStyle name="Calc Currency (0) 9 2 2" xfId="9950" xr:uid="{00000000-0005-0000-0000-000023440000}"/>
    <cellStyle name="Calc Currency (0) 9 2 3" xfId="9951" xr:uid="{00000000-0005-0000-0000-000024440000}"/>
    <cellStyle name="Calc Currency (0) 9 2 4" xfId="9952" xr:uid="{00000000-0005-0000-0000-000025440000}"/>
    <cellStyle name="Calc Currency (0) 9 2 5" xfId="9953" xr:uid="{00000000-0005-0000-0000-000026440000}"/>
    <cellStyle name="Calc Currency (0) 9 2 6" xfId="9954" xr:uid="{00000000-0005-0000-0000-000027440000}"/>
    <cellStyle name="Calc Currency (0) 9 2 7" xfId="9955" xr:uid="{00000000-0005-0000-0000-000028440000}"/>
    <cellStyle name="Calc Currency (0) 9 2 8" xfId="9956" xr:uid="{00000000-0005-0000-0000-000029440000}"/>
    <cellStyle name="Calc Currency (0) 9 2 9" xfId="9957" xr:uid="{00000000-0005-0000-0000-00002A440000}"/>
    <cellStyle name="Calc Currency (0) 9 3" xfId="9958" xr:uid="{00000000-0005-0000-0000-00002B440000}"/>
    <cellStyle name="Calc Currency (0) 9 3 2" xfId="9959" xr:uid="{00000000-0005-0000-0000-00002C440000}"/>
    <cellStyle name="Calc Currency (0) 9 3 3" xfId="9960" xr:uid="{00000000-0005-0000-0000-00002D440000}"/>
    <cellStyle name="Calc Currency (0) 9 3 4" xfId="9961" xr:uid="{00000000-0005-0000-0000-00002E440000}"/>
    <cellStyle name="Calc Currency (0) 9 3 5" xfId="9962" xr:uid="{00000000-0005-0000-0000-00002F440000}"/>
    <cellStyle name="Calc Currency (0) 9 3 6" xfId="9963" xr:uid="{00000000-0005-0000-0000-000030440000}"/>
    <cellStyle name="Calc Currency (0) 9 3 7" xfId="9964" xr:uid="{00000000-0005-0000-0000-000031440000}"/>
    <cellStyle name="Calc Currency (0) 9 3 8" xfId="9965" xr:uid="{00000000-0005-0000-0000-000032440000}"/>
    <cellStyle name="Calc Currency (0) 9 3 9" xfId="9966" xr:uid="{00000000-0005-0000-0000-000033440000}"/>
    <cellStyle name="Calc Currency (0) 9 4" xfId="9967" xr:uid="{00000000-0005-0000-0000-000034440000}"/>
    <cellStyle name="Calc Currency (0) 9 4 2" xfId="9968" xr:uid="{00000000-0005-0000-0000-000035440000}"/>
    <cellStyle name="Calc Currency (0) 9 4 3" xfId="9969" xr:uid="{00000000-0005-0000-0000-000036440000}"/>
    <cellStyle name="Calc Currency (0) 9 4 4" xfId="9970" xr:uid="{00000000-0005-0000-0000-000037440000}"/>
    <cellStyle name="Calc Currency (0) 9 4 5" xfId="9971" xr:uid="{00000000-0005-0000-0000-000038440000}"/>
    <cellStyle name="Calc Currency (0) 9 4 6" xfId="9972" xr:uid="{00000000-0005-0000-0000-000039440000}"/>
    <cellStyle name="Calc Currency (0) 9 4 7" xfId="9973" xr:uid="{00000000-0005-0000-0000-00003A440000}"/>
    <cellStyle name="Calc Currency (0) 9 4 8" xfId="9974" xr:uid="{00000000-0005-0000-0000-00003B440000}"/>
    <cellStyle name="Calc Currency (0) 9 5" xfId="9975" xr:uid="{00000000-0005-0000-0000-00003C440000}"/>
    <cellStyle name="Calc Currency (0) 9 6" xfId="9976" xr:uid="{00000000-0005-0000-0000-00003D440000}"/>
    <cellStyle name="Calc Currency (0) 9 7" xfId="9977" xr:uid="{00000000-0005-0000-0000-00003E440000}"/>
    <cellStyle name="Calc Currency (0) 9 8" xfId="9978" xr:uid="{00000000-0005-0000-0000-00003F440000}"/>
    <cellStyle name="Calc Currency (0) 9 9" xfId="9979" xr:uid="{00000000-0005-0000-0000-000040440000}"/>
    <cellStyle name="Calc Currency (2)" xfId="9980" xr:uid="{00000000-0005-0000-0000-000041440000}"/>
    <cellStyle name="Calc Currency (2) 10" xfId="9981" xr:uid="{00000000-0005-0000-0000-000042440000}"/>
    <cellStyle name="Calc Currency (2) 11" xfId="9982" xr:uid="{00000000-0005-0000-0000-000043440000}"/>
    <cellStyle name="Calc Currency (2) 11 2" xfId="9983" xr:uid="{00000000-0005-0000-0000-000044440000}"/>
    <cellStyle name="Calc Currency (2) 11 2 2" xfId="9984" xr:uid="{00000000-0005-0000-0000-000045440000}"/>
    <cellStyle name="Calc Currency (2) 11 2 3" xfId="9985" xr:uid="{00000000-0005-0000-0000-000046440000}"/>
    <cellStyle name="Calc Currency (2) 11 2 4" xfId="9986" xr:uid="{00000000-0005-0000-0000-000047440000}"/>
    <cellStyle name="Calc Currency (2) 11 2 5" xfId="9987" xr:uid="{00000000-0005-0000-0000-000048440000}"/>
    <cellStyle name="Calc Currency (2) 11 2 6" xfId="9988" xr:uid="{00000000-0005-0000-0000-000049440000}"/>
    <cellStyle name="Calc Currency (2) 11 2 7" xfId="9989" xr:uid="{00000000-0005-0000-0000-00004A440000}"/>
    <cellStyle name="Calc Currency (2) 11 2 8" xfId="9990" xr:uid="{00000000-0005-0000-0000-00004B440000}"/>
    <cellStyle name="Calc Currency (2) 11 3" xfId="9991" xr:uid="{00000000-0005-0000-0000-00004C440000}"/>
    <cellStyle name="Calc Currency (2) 11 4" xfId="9992" xr:uid="{00000000-0005-0000-0000-00004D440000}"/>
    <cellStyle name="Calc Currency (2) 11 5" xfId="9993" xr:uid="{00000000-0005-0000-0000-00004E440000}"/>
    <cellStyle name="Calc Currency (2) 11 6" xfId="9994" xr:uid="{00000000-0005-0000-0000-00004F440000}"/>
    <cellStyle name="Calc Currency (2) 11 7" xfId="9995" xr:uid="{00000000-0005-0000-0000-000050440000}"/>
    <cellStyle name="Calc Currency (2) 11 8" xfId="9996" xr:uid="{00000000-0005-0000-0000-000051440000}"/>
    <cellStyle name="Calc Currency (2) 12" xfId="9997" xr:uid="{00000000-0005-0000-0000-000052440000}"/>
    <cellStyle name="Calc Currency (2) 12 2" xfId="9998" xr:uid="{00000000-0005-0000-0000-000053440000}"/>
    <cellStyle name="Calc Currency (2) 12 3" xfId="9999" xr:uid="{00000000-0005-0000-0000-000054440000}"/>
    <cellStyle name="Calc Currency (2) 12 4" xfId="10000" xr:uid="{00000000-0005-0000-0000-000055440000}"/>
    <cellStyle name="Calc Currency (2) 12 5" xfId="10001" xr:uid="{00000000-0005-0000-0000-000056440000}"/>
    <cellStyle name="Calc Currency (2) 12 6" xfId="10002" xr:uid="{00000000-0005-0000-0000-000057440000}"/>
    <cellStyle name="Calc Currency (2) 12 7" xfId="10003" xr:uid="{00000000-0005-0000-0000-000058440000}"/>
    <cellStyle name="Calc Currency (2) 12 8" xfId="10004" xr:uid="{00000000-0005-0000-0000-000059440000}"/>
    <cellStyle name="Calc Currency (2) 13" xfId="10005" xr:uid="{00000000-0005-0000-0000-00005A440000}"/>
    <cellStyle name="Calc Currency (2) 14" xfId="10006" xr:uid="{00000000-0005-0000-0000-00005B440000}"/>
    <cellStyle name="Calc Currency (2) 15" xfId="10007" xr:uid="{00000000-0005-0000-0000-00005C440000}"/>
    <cellStyle name="Calc Currency (2) 16" xfId="10008" xr:uid="{00000000-0005-0000-0000-00005D440000}"/>
    <cellStyle name="Calc Currency (2) 17" xfId="10009" xr:uid="{00000000-0005-0000-0000-00005E440000}"/>
    <cellStyle name="Calc Currency (2) 18" xfId="10010" xr:uid="{00000000-0005-0000-0000-00005F440000}"/>
    <cellStyle name="Calc Currency (2) 19" xfId="10011" xr:uid="{00000000-0005-0000-0000-000060440000}"/>
    <cellStyle name="Calc Currency (2) 2" xfId="10012" xr:uid="{00000000-0005-0000-0000-000061440000}"/>
    <cellStyle name="Calc Currency (2) 2 10" xfId="10013" xr:uid="{00000000-0005-0000-0000-000062440000}"/>
    <cellStyle name="Calc Currency (2) 2 10 2" xfId="10014" xr:uid="{00000000-0005-0000-0000-000063440000}"/>
    <cellStyle name="Calc Currency (2) 2 10 3" xfId="10015" xr:uid="{00000000-0005-0000-0000-000064440000}"/>
    <cellStyle name="Calc Currency (2) 2 10 4" xfId="10016" xr:uid="{00000000-0005-0000-0000-000065440000}"/>
    <cellStyle name="Calc Currency (2) 2 10 5" xfId="10017" xr:uid="{00000000-0005-0000-0000-000066440000}"/>
    <cellStyle name="Calc Currency (2) 2 10 6" xfId="10018" xr:uid="{00000000-0005-0000-0000-000067440000}"/>
    <cellStyle name="Calc Currency (2) 2 10 7" xfId="10019" xr:uid="{00000000-0005-0000-0000-000068440000}"/>
    <cellStyle name="Calc Currency (2) 2 10 8" xfId="10020" xr:uid="{00000000-0005-0000-0000-000069440000}"/>
    <cellStyle name="Calc Currency (2) 2 10 9" xfId="10021" xr:uid="{00000000-0005-0000-0000-00006A440000}"/>
    <cellStyle name="Calc Currency (2) 2 11" xfId="10022" xr:uid="{00000000-0005-0000-0000-00006B440000}"/>
    <cellStyle name="Calc Currency (2) 2 11 2" xfId="10023" xr:uid="{00000000-0005-0000-0000-00006C440000}"/>
    <cellStyle name="Calc Currency (2) 2 11 2 2" xfId="10024" xr:uid="{00000000-0005-0000-0000-00006D440000}"/>
    <cellStyle name="Calc Currency (2) 2 11 2 3" xfId="10025" xr:uid="{00000000-0005-0000-0000-00006E440000}"/>
    <cellStyle name="Calc Currency (2) 2 11 2 4" xfId="10026" xr:uid="{00000000-0005-0000-0000-00006F440000}"/>
    <cellStyle name="Calc Currency (2) 2 11 2 5" xfId="10027" xr:uid="{00000000-0005-0000-0000-000070440000}"/>
    <cellStyle name="Calc Currency (2) 2 11 2 6" xfId="10028" xr:uid="{00000000-0005-0000-0000-000071440000}"/>
    <cellStyle name="Calc Currency (2) 2 11 2 7" xfId="10029" xr:uid="{00000000-0005-0000-0000-000072440000}"/>
    <cellStyle name="Calc Currency (2) 2 11 2 8" xfId="10030" xr:uid="{00000000-0005-0000-0000-000073440000}"/>
    <cellStyle name="Calc Currency (2) 2 11 3" xfId="10031" xr:uid="{00000000-0005-0000-0000-000074440000}"/>
    <cellStyle name="Calc Currency (2) 2 11 4" xfId="10032" xr:uid="{00000000-0005-0000-0000-000075440000}"/>
    <cellStyle name="Calc Currency (2) 2 11 5" xfId="10033" xr:uid="{00000000-0005-0000-0000-000076440000}"/>
    <cellStyle name="Calc Currency (2) 2 11 6" xfId="10034" xr:uid="{00000000-0005-0000-0000-000077440000}"/>
    <cellStyle name="Calc Currency (2) 2 11 7" xfId="10035" xr:uid="{00000000-0005-0000-0000-000078440000}"/>
    <cellStyle name="Calc Currency (2) 2 11 8" xfId="10036" xr:uid="{00000000-0005-0000-0000-000079440000}"/>
    <cellStyle name="Calc Currency (2) 2 11 9" xfId="10037" xr:uid="{00000000-0005-0000-0000-00007A440000}"/>
    <cellStyle name="Calc Currency (2) 2 12" xfId="10038" xr:uid="{00000000-0005-0000-0000-00007B440000}"/>
    <cellStyle name="Calc Currency (2) 2 13" xfId="10039" xr:uid="{00000000-0005-0000-0000-00007C440000}"/>
    <cellStyle name="Calc Currency (2) 2 14" xfId="10040" xr:uid="{00000000-0005-0000-0000-00007D440000}"/>
    <cellStyle name="Calc Currency (2) 2 15" xfId="10041" xr:uid="{00000000-0005-0000-0000-00007E440000}"/>
    <cellStyle name="Calc Currency (2) 2 16" xfId="10042" xr:uid="{00000000-0005-0000-0000-00007F440000}"/>
    <cellStyle name="Calc Currency (2) 2 17" xfId="10043" xr:uid="{00000000-0005-0000-0000-000080440000}"/>
    <cellStyle name="Calc Currency (2) 2 18" xfId="10044" xr:uid="{00000000-0005-0000-0000-000081440000}"/>
    <cellStyle name="Calc Currency (2) 2 19" xfId="10045" xr:uid="{00000000-0005-0000-0000-000082440000}"/>
    <cellStyle name="Calc Currency (2) 2 2" xfId="10046" xr:uid="{00000000-0005-0000-0000-000083440000}"/>
    <cellStyle name="Calc Currency (2) 2 2 10" xfId="10047" xr:uid="{00000000-0005-0000-0000-000084440000}"/>
    <cellStyle name="Calc Currency (2) 2 2 11" xfId="10048" xr:uid="{00000000-0005-0000-0000-000085440000}"/>
    <cellStyle name="Calc Currency (2) 2 2 12" xfId="10049" xr:uid="{00000000-0005-0000-0000-000086440000}"/>
    <cellStyle name="Calc Currency (2) 2 2 13" xfId="10050" xr:uid="{00000000-0005-0000-0000-000087440000}"/>
    <cellStyle name="Calc Currency (2) 2 2 14" xfId="10051" xr:uid="{00000000-0005-0000-0000-000088440000}"/>
    <cellStyle name="Calc Currency (2) 2 2 15" xfId="10052" xr:uid="{00000000-0005-0000-0000-000089440000}"/>
    <cellStyle name="Calc Currency (2) 2 2 16" xfId="10053" xr:uid="{00000000-0005-0000-0000-00008A440000}"/>
    <cellStyle name="Calc Currency (2) 2 2 17" xfId="10054" xr:uid="{00000000-0005-0000-0000-00008B440000}"/>
    <cellStyle name="Calc Currency (2) 2 2 2" xfId="10055" xr:uid="{00000000-0005-0000-0000-00008C440000}"/>
    <cellStyle name="Calc Currency (2) 2 2 2 10" xfId="10056" xr:uid="{00000000-0005-0000-0000-00008D440000}"/>
    <cellStyle name="Calc Currency (2) 2 2 2 11" xfId="10057" xr:uid="{00000000-0005-0000-0000-00008E440000}"/>
    <cellStyle name="Calc Currency (2) 2 2 2 12" xfId="10058" xr:uid="{00000000-0005-0000-0000-00008F440000}"/>
    <cellStyle name="Calc Currency (2) 2 2 2 13" xfId="10059" xr:uid="{00000000-0005-0000-0000-000090440000}"/>
    <cellStyle name="Calc Currency (2) 2 2 2 14" xfId="10060" xr:uid="{00000000-0005-0000-0000-000091440000}"/>
    <cellStyle name="Calc Currency (2) 2 2 2 15" xfId="10061" xr:uid="{00000000-0005-0000-0000-000092440000}"/>
    <cellStyle name="Calc Currency (2) 2 2 2 2" xfId="10062" xr:uid="{00000000-0005-0000-0000-000093440000}"/>
    <cellStyle name="Calc Currency (2) 2 2 2 2 2" xfId="10063" xr:uid="{00000000-0005-0000-0000-000094440000}"/>
    <cellStyle name="Calc Currency (2) 2 2 2 2 3" xfId="10064" xr:uid="{00000000-0005-0000-0000-000095440000}"/>
    <cellStyle name="Calc Currency (2) 2 2 2 2 4" xfId="10065" xr:uid="{00000000-0005-0000-0000-000096440000}"/>
    <cellStyle name="Calc Currency (2) 2 2 2 2 5" xfId="10066" xr:uid="{00000000-0005-0000-0000-000097440000}"/>
    <cellStyle name="Calc Currency (2) 2 2 2 2 6" xfId="10067" xr:uid="{00000000-0005-0000-0000-000098440000}"/>
    <cellStyle name="Calc Currency (2) 2 2 2 2 7" xfId="10068" xr:uid="{00000000-0005-0000-0000-000099440000}"/>
    <cellStyle name="Calc Currency (2) 2 2 2 2 8" xfId="10069" xr:uid="{00000000-0005-0000-0000-00009A440000}"/>
    <cellStyle name="Calc Currency (2) 2 2 2 3" xfId="10070" xr:uid="{00000000-0005-0000-0000-00009B440000}"/>
    <cellStyle name="Calc Currency (2) 2 2 2 4" xfId="10071" xr:uid="{00000000-0005-0000-0000-00009C440000}"/>
    <cellStyle name="Calc Currency (2) 2 2 2 5" xfId="10072" xr:uid="{00000000-0005-0000-0000-00009D440000}"/>
    <cellStyle name="Calc Currency (2) 2 2 2 6" xfId="10073" xr:uid="{00000000-0005-0000-0000-00009E440000}"/>
    <cellStyle name="Calc Currency (2) 2 2 2 7" xfId="10074" xr:uid="{00000000-0005-0000-0000-00009F440000}"/>
    <cellStyle name="Calc Currency (2) 2 2 2 8" xfId="10075" xr:uid="{00000000-0005-0000-0000-0000A0440000}"/>
    <cellStyle name="Calc Currency (2) 2 2 2 9" xfId="10076" xr:uid="{00000000-0005-0000-0000-0000A1440000}"/>
    <cellStyle name="Calc Currency (2) 2 2 3" xfId="10077" xr:uid="{00000000-0005-0000-0000-0000A2440000}"/>
    <cellStyle name="Calc Currency (2) 2 2 3 2" xfId="10078" xr:uid="{00000000-0005-0000-0000-0000A3440000}"/>
    <cellStyle name="Calc Currency (2) 2 2 3 3" xfId="10079" xr:uid="{00000000-0005-0000-0000-0000A4440000}"/>
    <cellStyle name="Calc Currency (2) 2 2 3 4" xfId="10080" xr:uid="{00000000-0005-0000-0000-0000A5440000}"/>
    <cellStyle name="Calc Currency (2) 2 2 3 5" xfId="10081" xr:uid="{00000000-0005-0000-0000-0000A6440000}"/>
    <cellStyle name="Calc Currency (2) 2 2 3 6" xfId="10082" xr:uid="{00000000-0005-0000-0000-0000A7440000}"/>
    <cellStyle name="Calc Currency (2) 2 2 3 7" xfId="10083" xr:uid="{00000000-0005-0000-0000-0000A8440000}"/>
    <cellStyle name="Calc Currency (2) 2 2 3 8" xfId="10084" xr:uid="{00000000-0005-0000-0000-0000A9440000}"/>
    <cellStyle name="Calc Currency (2) 2 2 4" xfId="10085" xr:uid="{00000000-0005-0000-0000-0000AA440000}"/>
    <cellStyle name="Calc Currency (2) 2 2 5" xfId="10086" xr:uid="{00000000-0005-0000-0000-0000AB440000}"/>
    <cellStyle name="Calc Currency (2) 2 2 6" xfId="10087" xr:uid="{00000000-0005-0000-0000-0000AC440000}"/>
    <cellStyle name="Calc Currency (2) 2 2 7" xfId="10088" xr:uid="{00000000-0005-0000-0000-0000AD440000}"/>
    <cellStyle name="Calc Currency (2) 2 2 8" xfId="10089" xr:uid="{00000000-0005-0000-0000-0000AE440000}"/>
    <cellStyle name="Calc Currency (2) 2 2 9" xfId="10090" xr:uid="{00000000-0005-0000-0000-0000AF440000}"/>
    <cellStyle name="Calc Currency (2) 2 3" xfId="10091" xr:uid="{00000000-0005-0000-0000-0000B0440000}"/>
    <cellStyle name="Calc Currency (2) 2 3 2" xfId="10092" xr:uid="{00000000-0005-0000-0000-0000B1440000}"/>
    <cellStyle name="Calc Currency (2) 2 3 3" xfId="10093" xr:uid="{00000000-0005-0000-0000-0000B2440000}"/>
    <cellStyle name="Calc Currency (2) 2 3 4" xfId="10094" xr:uid="{00000000-0005-0000-0000-0000B3440000}"/>
    <cellStyle name="Calc Currency (2) 2 3 5" xfId="10095" xr:uid="{00000000-0005-0000-0000-0000B4440000}"/>
    <cellStyle name="Calc Currency (2) 2 3 6" xfId="10096" xr:uid="{00000000-0005-0000-0000-0000B5440000}"/>
    <cellStyle name="Calc Currency (2) 2 3 7" xfId="10097" xr:uid="{00000000-0005-0000-0000-0000B6440000}"/>
    <cellStyle name="Calc Currency (2) 2 3 8" xfId="10098" xr:uid="{00000000-0005-0000-0000-0000B7440000}"/>
    <cellStyle name="Calc Currency (2) 2 4" xfId="10099" xr:uid="{00000000-0005-0000-0000-0000B8440000}"/>
    <cellStyle name="Calc Currency (2) 2 4 2" xfId="10100" xr:uid="{00000000-0005-0000-0000-0000B9440000}"/>
    <cellStyle name="Calc Currency (2) 2 4 3" xfId="10101" xr:uid="{00000000-0005-0000-0000-0000BA440000}"/>
    <cellStyle name="Calc Currency (2) 2 4 4" xfId="10102" xr:uid="{00000000-0005-0000-0000-0000BB440000}"/>
    <cellStyle name="Calc Currency (2) 2 4 5" xfId="10103" xr:uid="{00000000-0005-0000-0000-0000BC440000}"/>
    <cellStyle name="Calc Currency (2) 2 4 6" xfId="10104" xr:uid="{00000000-0005-0000-0000-0000BD440000}"/>
    <cellStyle name="Calc Currency (2) 2 4 7" xfId="10105" xr:uid="{00000000-0005-0000-0000-0000BE440000}"/>
    <cellStyle name="Calc Currency (2) 2 4 8" xfId="10106" xr:uid="{00000000-0005-0000-0000-0000BF440000}"/>
    <cellStyle name="Calc Currency (2) 2 5" xfId="10107" xr:uid="{00000000-0005-0000-0000-0000C0440000}"/>
    <cellStyle name="Calc Currency (2) 2 5 2" xfId="10108" xr:uid="{00000000-0005-0000-0000-0000C1440000}"/>
    <cellStyle name="Calc Currency (2) 2 5 3" xfId="10109" xr:uid="{00000000-0005-0000-0000-0000C2440000}"/>
    <cellStyle name="Calc Currency (2) 2 5 4" xfId="10110" xr:uid="{00000000-0005-0000-0000-0000C3440000}"/>
    <cellStyle name="Calc Currency (2) 2 5 5" xfId="10111" xr:uid="{00000000-0005-0000-0000-0000C4440000}"/>
    <cellStyle name="Calc Currency (2) 2 5 6" xfId="10112" xr:uid="{00000000-0005-0000-0000-0000C5440000}"/>
    <cellStyle name="Calc Currency (2) 2 5 7" xfId="10113" xr:uid="{00000000-0005-0000-0000-0000C6440000}"/>
    <cellStyle name="Calc Currency (2) 2 5 8" xfId="10114" xr:uid="{00000000-0005-0000-0000-0000C7440000}"/>
    <cellStyle name="Calc Currency (2) 2 6" xfId="10115" xr:uid="{00000000-0005-0000-0000-0000C8440000}"/>
    <cellStyle name="Calc Currency (2) 2 6 2" xfId="10116" xr:uid="{00000000-0005-0000-0000-0000C9440000}"/>
    <cellStyle name="Calc Currency (2) 2 6 3" xfId="10117" xr:uid="{00000000-0005-0000-0000-0000CA440000}"/>
    <cellStyle name="Calc Currency (2) 2 6 4" xfId="10118" xr:uid="{00000000-0005-0000-0000-0000CB440000}"/>
    <cellStyle name="Calc Currency (2) 2 6 5" xfId="10119" xr:uid="{00000000-0005-0000-0000-0000CC440000}"/>
    <cellStyle name="Calc Currency (2) 2 6 6" xfId="10120" xr:uid="{00000000-0005-0000-0000-0000CD440000}"/>
    <cellStyle name="Calc Currency (2) 2 6 7" xfId="10121" xr:uid="{00000000-0005-0000-0000-0000CE440000}"/>
    <cellStyle name="Calc Currency (2) 2 6 8" xfId="10122" xr:uid="{00000000-0005-0000-0000-0000CF440000}"/>
    <cellStyle name="Calc Currency (2) 2 7" xfId="10123" xr:uid="{00000000-0005-0000-0000-0000D0440000}"/>
    <cellStyle name="Calc Currency (2) 2 7 2" xfId="10124" xr:uid="{00000000-0005-0000-0000-0000D1440000}"/>
    <cellStyle name="Calc Currency (2) 2 7 3" xfId="10125" xr:uid="{00000000-0005-0000-0000-0000D2440000}"/>
    <cellStyle name="Calc Currency (2) 2 7 4" xfId="10126" xr:uid="{00000000-0005-0000-0000-0000D3440000}"/>
    <cellStyle name="Calc Currency (2) 2 7 5" xfId="10127" xr:uid="{00000000-0005-0000-0000-0000D4440000}"/>
    <cellStyle name="Calc Currency (2) 2 7 6" xfId="10128" xr:uid="{00000000-0005-0000-0000-0000D5440000}"/>
    <cellStyle name="Calc Currency (2) 2 7 7" xfId="10129" xr:uid="{00000000-0005-0000-0000-0000D6440000}"/>
    <cellStyle name="Calc Currency (2) 2 7 8" xfId="10130" xr:uid="{00000000-0005-0000-0000-0000D7440000}"/>
    <cellStyle name="Calc Currency (2) 2 8" xfId="10131" xr:uid="{00000000-0005-0000-0000-0000D8440000}"/>
    <cellStyle name="Calc Currency (2) 2 8 2" xfId="10132" xr:uid="{00000000-0005-0000-0000-0000D9440000}"/>
    <cellStyle name="Calc Currency (2) 2 8 3" xfId="10133" xr:uid="{00000000-0005-0000-0000-0000DA440000}"/>
    <cellStyle name="Calc Currency (2) 2 8 4" xfId="10134" xr:uid="{00000000-0005-0000-0000-0000DB440000}"/>
    <cellStyle name="Calc Currency (2) 2 8 5" xfId="10135" xr:uid="{00000000-0005-0000-0000-0000DC440000}"/>
    <cellStyle name="Calc Currency (2) 2 8 6" xfId="10136" xr:uid="{00000000-0005-0000-0000-0000DD440000}"/>
    <cellStyle name="Calc Currency (2) 2 8 7" xfId="10137" xr:uid="{00000000-0005-0000-0000-0000DE440000}"/>
    <cellStyle name="Calc Currency (2) 2 8 8" xfId="10138" xr:uid="{00000000-0005-0000-0000-0000DF440000}"/>
    <cellStyle name="Calc Currency (2) 2 9" xfId="10139" xr:uid="{00000000-0005-0000-0000-0000E0440000}"/>
    <cellStyle name="Calc Currency (2) 2 9 2" xfId="10140" xr:uid="{00000000-0005-0000-0000-0000E1440000}"/>
    <cellStyle name="Calc Currency (2) 2 9 3" xfId="10141" xr:uid="{00000000-0005-0000-0000-0000E2440000}"/>
    <cellStyle name="Calc Currency (2) 2 9 4" xfId="10142" xr:uid="{00000000-0005-0000-0000-0000E3440000}"/>
    <cellStyle name="Calc Currency (2) 2 9 5" xfId="10143" xr:uid="{00000000-0005-0000-0000-0000E4440000}"/>
    <cellStyle name="Calc Currency (2) 2 9 6" xfId="10144" xr:uid="{00000000-0005-0000-0000-0000E5440000}"/>
    <cellStyle name="Calc Currency (2) 2 9 7" xfId="10145" xr:uid="{00000000-0005-0000-0000-0000E6440000}"/>
    <cellStyle name="Calc Currency (2) 2 9 8" xfId="10146" xr:uid="{00000000-0005-0000-0000-0000E7440000}"/>
    <cellStyle name="Calc Currency (2) 2 9 9" xfId="10147" xr:uid="{00000000-0005-0000-0000-0000E8440000}"/>
    <cellStyle name="Calc Currency (2) 20" xfId="10148" xr:uid="{00000000-0005-0000-0000-0000E9440000}"/>
    <cellStyle name="Calc Currency (2) 21" xfId="10149" xr:uid="{00000000-0005-0000-0000-0000EA440000}"/>
    <cellStyle name="Calc Currency (2) 22" xfId="10150" xr:uid="{00000000-0005-0000-0000-0000EB440000}"/>
    <cellStyle name="Calc Currency (2) 23" xfId="10151" xr:uid="{00000000-0005-0000-0000-0000EC440000}"/>
    <cellStyle name="Calc Currency (2) 24" xfId="10152" xr:uid="{00000000-0005-0000-0000-0000ED440000}"/>
    <cellStyle name="Calc Currency (2) 25" xfId="10153" xr:uid="{00000000-0005-0000-0000-0000EE440000}"/>
    <cellStyle name="Calc Currency (2) 26" xfId="10154" xr:uid="{00000000-0005-0000-0000-0000EF440000}"/>
    <cellStyle name="Calc Currency (2) 27" xfId="10155" xr:uid="{00000000-0005-0000-0000-0000F0440000}"/>
    <cellStyle name="Calc Currency (2) 28" xfId="10156" xr:uid="{00000000-0005-0000-0000-0000F1440000}"/>
    <cellStyle name="Calc Currency (2) 29" xfId="10157" xr:uid="{00000000-0005-0000-0000-0000F2440000}"/>
    <cellStyle name="Calc Currency (2) 3" xfId="10158" xr:uid="{00000000-0005-0000-0000-0000F3440000}"/>
    <cellStyle name="Calc Currency (2) 30" xfId="10159" xr:uid="{00000000-0005-0000-0000-0000F4440000}"/>
    <cellStyle name="Calc Currency (2) 31" xfId="10160" xr:uid="{00000000-0005-0000-0000-0000F5440000}"/>
    <cellStyle name="Calc Currency (2) 32" xfId="10161" xr:uid="{00000000-0005-0000-0000-0000F6440000}"/>
    <cellStyle name="Calc Currency (2) 33" xfId="10162" xr:uid="{00000000-0005-0000-0000-0000F7440000}"/>
    <cellStyle name="Calc Currency (2) 34" xfId="10163" xr:uid="{00000000-0005-0000-0000-0000F8440000}"/>
    <cellStyle name="Calc Currency (2) 35" xfId="10164" xr:uid="{00000000-0005-0000-0000-0000F9440000}"/>
    <cellStyle name="Calc Currency (2) 36" xfId="10165" xr:uid="{00000000-0005-0000-0000-0000FA440000}"/>
    <cellStyle name="Calc Currency (2) 4" xfId="10166" xr:uid="{00000000-0005-0000-0000-0000FB440000}"/>
    <cellStyle name="Calc Currency (2) 5" xfId="10167" xr:uid="{00000000-0005-0000-0000-0000FC440000}"/>
    <cellStyle name="Calc Currency (2) 6" xfId="10168" xr:uid="{00000000-0005-0000-0000-0000FD440000}"/>
    <cellStyle name="Calc Currency (2) 7" xfId="10169" xr:uid="{00000000-0005-0000-0000-0000FE440000}"/>
    <cellStyle name="Calc Currency (2) 8" xfId="10170" xr:uid="{00000000-0005-0000-0000-0000FF440000}"/>
    <cellStyle name="Calc Currency (2) 8 2" xfId="10171" xr:uid="{00000000-0005-0000-0000-000000450000}"/>
    <cellStyle name="Calc Currency (2) 8 3" xfId="10172" xr:uid="{00000000-0005-0000-0000-000001450000}"/>
    <cellStyle name="Calc Currency (2) 8 4" xfId="10173" xr:uid="{00000000-0005-0000-0000-000002450000}"/>
    <cellStyle name="Calc Currency (2) 8 5" xfId="10174" xr:uid="{00000000-0005-0000-0000-000003450000}"/>
    <cellStyle name="Calc Currency (2) 8 6" xfId="10175" xr:uid="{00000000-0005-0000-0000-000004450000}"/>
    <cellStyle name="Calc Currency (2) 8 7" xfId="10176" xr:uid="{00000000-0005-0000-0000-000005450000}"/>
    <cellStyle name="Calc Currency (2) 8 8" xfId="10177" xr:uid="{00000000-0005-0000-0000-000006450000}"/>
    <cellStyle name="Calc Currency (2) 9" xfId="10178" xr:uid="{00000000-0005-0000-0000-000007450000}"/>
    <cellStyle name="Calc Percent (0)" xfId="10179" xr:uid="{00000000-0005-0000-0000-000008450000}"/>
    <cellStyle name="Calc Percent (0) 10" xfId="10180" xr:uid="{00000000-0005-0000-0000-000009450000}"/>
    <cellStyle name="Calc Percent (0) 11" xfId="10181" xr:uid="{00000000-0005-0000-0000-00000A450000}"/>
    <cellStyle name="Calc Percent (0) 11 2" xfId="10182" xr:uid="{00000000-0005-0000-0000-00000B450000}"/>
    <cellStyle name="Calc Percent (0) 11 2 2" xfId="10183" xr:uid="{00000000-0005-0000-0000-00000C450000}"/>
    <cellStyle name="Calc Percent (0) 11 2 3" xfId="10184" xr:uid="{00000000-0005-0000-0000-00000D450000}"/>
    <cellStyle name="Calc Percent (0) 11 2 4" xfId="10185" xr:uid="{00000000-0005-0000-0000-00000E450000}"/>
    <cellStyle name="Calc Percent (0) 11 2 5" xfId="10186" xr:uid="{00000000-0005-0000-0000-00000F450000}"/>
    <cellStyle name="Calc Percent (0) 11 2 6" xfId="10187" xr:uid="{00000000-0005-0000-0000-000010450000}"/>
    <cellStyle name="Calc Percent (0) 11 2 7" xfId="10188" xr:uid="{00000000-0005-0000-0000-000011450000}"/>
    <cellStyle name="Calc Percent (0) 11 2 8" xfId="10189" xr:uid="{00000000-0005-0000-0000-000012450000}"/>
    <cellStyle name="Calc Percent (0) 11 3" xfId="10190" xr:uid="{00000000-0005-0000-0000-000013450000}"/>
    <cellStyle name="Calc Percent (0) 11 4" xfId="10191" xr:uid="{00000000-0005-0000-0000-000014450000}"/>
    <cellStyle name="Calc Percent (0) 11 5" xfId="10192" xr:uid="{00000000-0005-0000-0000-000015450000}"/>
    <cellStyle name="Calc Percent (0) 11 6" xfId="10193" xr:uid="{00000000-0005-0000-0000-000016450000}"/>
    <cellStyle name="Calc Percent (0) 11 7" xfId="10194" xr:uid="{00000000-0005-0000-0000-000017450000}"/>
    <cellStyle name="Calc Percent (0) 11 8" xfId="10195" xr:uid="{00000000-0005-0000-0000-000018450000}"/>
    <cellStyle name="Calc Percent (0) 12" xfId="10196" xr:uid="{00000000-0005-0000-0000-000019450000}"/>
    <cellStyle name="Calc Percent (0) 12 2" xfId="10197" xr:uid="{00000000-0005-0000-0000-00001A450000}"/>
    <cellStyle name="Calc Percent (0) 12 3" xfId="10198" xr:uid="{00000000-0005-0000-0000-00001B450000}"/>
    <cellStyle name="Calc Percent (0) 12 4" xfId="10199" xr:uid="{00000000-0005-0000-0000-00001C450000}"/>
    <cellStyle name="Calc Percent (0) 12 5" xfId="10200" xr:uid="{00000000-0005-0000-0000-00001D450000}"/>
    <cellStyle name="Calc Percent (0) 12 6" xfId="10201" xr:uid="{00000000-0005-0000-0000-00001E450000}"/>
    <cellStyle name="Calc Percent (0) 12 7" xfId="10202" xr:uid="{00000000-0005-0000-0000-00001F450000}"/>
    <cellStyle name="Calc Percent (0) 12 8" xfId="10203" xr:uid="{00000000-0005-0000-0000-000020450000}"/>
    <cellStyle name="Calc Percent (0) 13" xfId="10204" xr:uid="{00000000-0005-0000-0000-000021450000}"/>
    <cellStyle name="Calc Percent (0) 14" xfId="10205" xr:uid="{00000000-0005-0000-0000-000022450000}"/>
    <cellStyle name="Calc Percent (0) 15" xfId="10206" xr:uid="{00000000-0005-0000-0000-000023450000}"/>
    <cellStyle name="Calc Percent (0) 16" xfId="10207" xr:uid="{00000000-0005-0000-0000-000024450000}"/>
    <cellStyle name="Calc Percent (0) 17" xfId="10208" xr:uid="{00000000-0005-0000-0000-000025450000}"/>
    <cellStyle name="Calc Percent (0) 18" xfId="10209" xr:uid="{00000000-0005-0000-0000-000026450000}"/>
    <cellStyle name="Calc Percent (0) 19" xfId="10210" xr:uid="{00000000-0005-0000-0000-000027450000}"/>
    <cellStyle name="Calc Percent (0) 2" xfId="10211" xr:uid="{00000000-0005-0000-0000-000028450000}"/>
    <cellStyle name="Calc Percent (0) 2 10" xfId="10212" xr:uid="{00000000-0005-0000-0000-000029450000}"/>
    <cellStyle name="Calc Percent (0) 2 10 2" xfId="10213" xr:uid="{00000000-0005-0000-0000-00002A450000}"/>
    <cellStyle name="Calc Percent (0) 2 10 3" xfId="10214" xr:uid="{00000000-0005-0000-0000-00002B450000}"/>
    <cellStyle name="Calc Percent (0) 2 10 4" xfId="10215" xr:uid="{00000000-0005-0000-0000-00002C450000}"/>
    <cellStyle name="Calc Percent (0) 2 10 5" xfId="10216" xr:uid="{00000000-0005-0000-0000-00002D450000}"/>
    <cellStyle name="Calc Percent (0) 2 10 6" xfId="10217" xr:uid="{00000000-0005-0000-0000-00002E450000}"/>
    <cellStyle name="Calc Percent (0) 2 10 7" xfId="10218" xr:uid="{00000000-0005-0000-0000-00002F450000}"/>
    <cellStyle name="Calc Percent (0) 2 10 8" xfId="10219" xr:uid="{00000000-0005-0000-0000-000030450000}"/>
    <cellStyle name="Calc Percent (0) 2 10 9" xfId="10220" xr:uid="{00000000-0005-0000-0000-000031450000}"/>
    <cellStyle name="Calc Percent (0) 2 11" xfId="10221" xr:uid="{00000000-0005-0000-0000-000032450000}"/>
    <cellStyle name="Calc Percent (0) 2 11 2" xfId="10222" xr:uid="{00000000-0005-0000-0000-000033450000}"/>
    <cellStyle name="Calc Percent (0) 2 11 2 2" xfId="10223" xr:uid="{00000000-0005-0000-0000-000034450000}"/>
    <cellStyle name="Calc Percent (0) 2 11 2 3" xfId="10224" xr:uid="{00000000-0005-0000-0000-000035450000}"/>
    <cellStyle name="Calc Percent (0) 2 11 2 4" xfId="10225" xr:uid="{00000000-0005-0000-0000-000036450000}"/>
    <cellStyle name="Calc Percent (0) 2 11 2 5" xfId="10226" xr:uid="{00000000-0005-0000-0000-000037450000}"/>
    <cellStyle name="Calc Percent (0) 2 11 2 6" xfId="10227" xr:uid="{00000000-0005-0000-0000-000038450000}"/>
    <cellStyle name="Calc Percent (0) 2 11 2 7" xfId="10228" xr:uid="{00000000-0005-0000-0000-000039450000}"/>
    <cellStyle name="Calc Percent (0) 2 11 2 8" xfId="10229" xr:uid="{00000000-0005-0000-0000-00003A450000}"/>
    <cellStyle name="Calc Percent (0) 2 11 3" xfId="10230" xr:uid="{00000000-0005-0000-0000-00003B450000}"/>
    <cellStyle name="Calc Percent (0) 2 11 4" xfId="10231" xr:uid="{00000000-0005-0000-0000-00003C450000}"/>
    <cellStyle name="Calc Percent (0) 2 11 5" xfId="10232" xr:uid="{00000000-0005-0000-0000-00003D450000}"/>
    <cellStyle name="Calc Percent (0) 2 11 6" xfId="10233" xr:uid="{00000000-0005-0000-0000-00003E450000}"/>
    <cellStyle name="Calc Percent (0) 2 11 7" xfId="10234" xr:uid="{00000000-0005-0000-0000-00003F450000}"/>
    <cellStyle name="Calc Percent (0) 2 11 8" xfId="10235" xr:uid="{00000000-0005-0000-0000-000040450000}"/>
    <cellStyle name="Calc Percent (0) 2 11 9" xfId="10236" xr:uid="{00000000-0005-0000-0000-000041450000}"/>
    <cellStyle name="Calc Percent (0) 2 12" xfId="10237" xr:uid="{00000000-0005-0000-0000-000042450000}"/>
    <cellStyle name="Calc Percent (0) 2 13" xfId="10238" xr:uid="{00000000-0005-0000-0000-000043450000}"/>
    <cellStyle name="Calc Percent (0) 2 14" xfId="10239" xr:uid="{00000000-0005-0000-0000-000044450000}"/>
    <cellStyle name="Calc Percent (0) 2 15" xfId="10240" xr:uid="{00000000-0005-0000-0000-000045450000}"/>
    <cellStyle name="Calc Percent (0) 2 16" xfId="10241" xr:uid="{00000000-0005-0000-0000-000046450000}"/>
    <cellStyle name="Calc Percent (0) 2 17" xfId="10242" xr:uid="{00000000-0005-0000-0000-000047450000}"/>
    <cellStyle name="Calc Percent (0) 2 18" xfId="10243" xr:uid="{00000000-0005-0000-0000-000048450000}"/>
    <cellStyle name="Calc Percent (0) 2 19" xfId="10244" xr:uid="{00000000-0005-0000-0000-000049450000}"/>
    <cellStyle name="Calc Percent (0) 2 2" xfId="10245" xr:uid="{00000000-0005-0000-0000-00004A450000}"/>
    <cellStyle name="Calc Percent (0) 2 2 10" xfId="10246" xr:uid="{00000000-0005-0000-0000-00004B450000}"/>
    <cellStyle name="Calc Percent (0) 2 2 11" xfId="10247" xr:uid="{00000000-0005-0000-0000-00004C450000}"/>
    <cellStyle name="Calc Percent (0) 2 2 12" xfId="10248" xr:uid="{00000000-0005-0000-0000-00004D450000}"/>
    <cellStyle name="Calc Percent (0) 2 2 13" xfId="10249" xr:uid="{00000000-0005-0000-0000-00004E450000}"/>
    <cellStyle name="Calc Percent (0) 2 2 14" xfId="10250" xr:uid="{00000000-0005-0000-0000-00004F450000}"/>
    <cellStyle name="Calc Percent (0) 2 2 15" xfId="10251" xr:uid="{00000000-0005-0000-0000-000050450000}"/>
    <cellStyle name="Calc Percent (0) 2 2 16" xfId="10252" xr:uid="{00000000-0005-0000-0000-000051450000}"/>
    <cellStyle name="Calc Percent (0) 2 2 17" xfId="10253" xr:uid="{00000000-0005-0000-0000-000052450000}"/>
    <cellStyle name="Calc Percent (0) 2 2 2" xfId="10254" xr:uid="{00000000-0005-0000-0000-000053450000}"/>
    <cellStyle name="Calc Percent (0) 2 2 2 10" xfId="10255" xr:uid="{00000000-0005-0000-0000-000054450000}"/>
    <cellStyle name="Calc Percent (0) 2 2 2 11" xfId="10256" xr:uid="{00000000-0005-0000-0000-000055450000}"/>
    <cellStyle name="Calc Percent (0) 2 2 2 12" xfId="10257" xr:uid="{00000000-0005-0000-0000-000056450000}"/>
    <cellStyle name="Calc Percent (0) 2 2 2 13" xfId="10258" xr:uid="{00000000-0005-0000-0000-000057450000}"/>
    <cellStyle name="Calc Percent (0) 2 2 2 14" xfId="10259" xr:uid="{00000000-0005-0000-0000-000058450000}"/>
    <cellStyle name="Calc Percent (0) 2 2 2 15" xfId="10260" xr:uid="{00000000-0005-0000-0000-000059450000}"/>
    <cellStyle name="Calc Percent (0) 2 2 2 2" xfId="10261" xr:uid="{00000000-0005-0000-0000-00005A450000}"/>
    <cellStyle name="Calc Percent (0) 2 2 2 2 2" xfId="10262" xr:uid="{00000000-0005-0000-0000-00005B450000}"/>
    <cellStyle name="Calc Percent (0) 2 2 2 2 3" xfId="10263" xr:uid="{00000000-0005-0000-0000-00005C450000}"/>
    <cellStyle name="Calc Percent (0) 2 2 2 2 4" xfId="10264" xr:uid="{00000000-0005-0000-0000-00005D450000}"/>
    <cellStyle name="Calc Percent (0) 2 2 2 2 5" xfId="10265" xr:uid="{00000000-0005-0000-0000-00005E450000}"/>
    <cellStyle name="Calc Percent (0) 2 2 2 2 6" xfId="10266" xr:uid="{00000000-0005-0000-0000-00005F450000}"/>
    <cellStyle name="Calc Percent (0) 2 2 2 2 7" xfId="10267" xr:uid="{00000000-0005-0000-0000-000060450000}"/>
    <cellStyle name="Calc Percent (0) 2 2 2 2 8" xfId="10268" xr:uid="{00000000-0005-0000-0000-000061450000}"/>
    <cellStyle name="Calc Percent (0) 2 2 2 3" xfId="10269" xr:uid="{00000000-0005-0000-0000-000062450000}"/>
    <cellStyle name="Calc Percent (0) 2 2 2 4" xfId="10270" xr:uid="{00000000-0005-0000-0000-000063450000}"/>
    <cellStyle name="Calc Percent (0) 2 2 2 5" xfId="10271" xr:uid="{00000000-0005-0000-0000-000064450000}"/>
    <cellStyle name="Calc Percent (0) 2 2 2 6" xfId="10272" xr:uid="{00000000-0005-0000-0000-000065450000}"/>
    <cellStyle name="Calc Percent (0) 2 2 2 7" xfId="10273" xr:uid="{00000000-0005-0000-0000-000066450000}"/>
    <cellStyle name="Calc Percent (0) 2 2 2 8" xfId="10274" xr:uid="{00000000-0005-0000-0000-000067450000}"/>
    <cellStyle name="Calc Percent (0) 2 2 2 9" xfId="10275" xr:uid="{00000000-0005-0000-0000-000068450000}"/>
    <cellStyle name="Calc Percent (0) 2 2 3" xfId="10276" xr:uid="{00000000-0005-0000-0000-000069450000}"/>
    <cellStyle name="Calc Percent (0) 2 2 3 2" xfId="10277" xr:uid="{00000000-0005-0000-0000-00006A450000}"/>
    <cellStyle name="Calc Percent (0) 2 2 3 3" xfId="10278" xr:uid="{00000000-0005-0000-0000-00006B450000}"/>
    <cellStyle name="Calc Percent (0) 2 2 3 4" xfId="10279" xr:uid="{00000000-0005-0000-0000-00006C450000}"/>
    <cellStyle name="Calc Percent (0) 2 2 3 5" xfId="10280" xr:uid="{00000000-0005-0000-0000-00006D450000}"/>
    <cellStyle name="Calc Percent (0) 2 2 3 6" xfId="10281" xr:uid="{00000000-0005-0000-0000-00006E450000}"/>
    <cellStyle name="Calc Percent (0) 2 2 3 7" xfId="10282" xr:uid="{00000000-0005-0000-0000-00006F450000}"/>
    <cellStyle name="Calc Percent (0) 2 2 3 8" xfId="10283" xr:uid="{00000000-0005-0000-0000-000070450000}"/>
    <cellStyle name="Calc Percent (0) 2 2 4" xfId="10284" xr:uid="{00000000-0005-0000-0000-000071450000}"/>
    <cellStyle name="Calc Percent (0) 2 2 5" xfId="10285" xr:uid="{00000000-0005-0000-0000-000072450000}"/>
    <cellStyle name="Calc Percent (0) 2 2 6" xfId="10286" xr:uid="{00000000-0005-0000-0000-000073450000}"/>
    <cellStyle name="Calc Percent (0) 2 2 7" xfId="10287" xr:uid="{00000000-0005-0000-0000-000074450000}"/>
    <cellStyle name="Calc Percent (0) 2 2 8" xfId="10288" xr:uid="{00000000-0005-0000-0000-000075450000}"/>
    <cellStyle name="Calc Percent (0) 2 2 9" xfId="10289" xr:uid="{00000000-0005-0000-0000-000076450000}"/>
    <cellStyle name="Calc Percent (0) 2 3" xfId="10290" xr:uid="{00000000-0005-0000-0000-000077450000}"/>
    <cellStyle name="Calc Percent (0) 2 3 2" xfId="10291" xr:uid="{00000000-0005-0000-0000-000078450000}"/>
    <cellStyle name="Calc Percent (0) 2 3 3" xfId="10292" xr:uid="{00000000-0005-0000-0000-000079450000}"/>
    <cellStyle name="Calc Percent (0) 2 3 4" xfId="10293" xr:uid="{00000000-0005-0000-0000-00007A450000}"/>
    <cellStyle name="Calc Percent (0) 2 3 5" xfId="10294" xr:uid="{00000000-0005-0000-0000-00007B450000}"/>
    <cellStyle name="Calc Percent (0) 2 3 6" xfId="10295" xr:uid="{00000000-0005-0000-0000-00007C450000}"/>
    <cellStyle name="Calc Percent (0) 2 3 7" xfId="10296" xr:uid="{00000000-0005-0000-0000-00007D450000}"/>
    <cellStyle name="Calc Percent (0) 2 3 8" xfId="10297" xr:uid="{00000000-0005-0000-0000-00007E450000}"/>
    <cellStyle name="Calc Percent (0) 2 4" xfId="10298" xr:uid="{00000000-0005-0000-0000-00007F450000}"/>
    <cellStyle name="Calc Percent (0) 2 4 2" xfId="10299" xr:uid="{00000000-0005-0000-0000-000080450000}"/>
    <cellStyle name="Calc Percent (0) 2 4 3" xfId="10300" xr:uid="{00000000-0005-0000-0000-000081450000}"/>
    <cellStyle name="Calc Percent (0) 2 4 4" xfId="10301" xr:uid="{00000000-0005-0000-0000-000082450000}"/>
    <cellStyle name="Calc Percent (0) 2 4 5" xfId="10302" xr:uid="{00000000-0005-0000-0000-000083450000}"/>
    <cellStyle name="Calc Percent (0) 2 4 6" xfId="10303" xr:uid="{00000000-0005-0000-0000-000084450000}"/>
    <cellStyle name="Calc Percent (0) 2 4 7" xfId="10304" xr:uid="{00000000-0005-0000-0000-000085450000}"/>
    <cellStyle name="Calc Percent (0) 2 4 8" xfId="10305" xr:uid="{00000000-0005-0000-0000-000086450000}"/>
    <cellStyle name="Calc Percent (0) 2 5" xfId="10306" xr:uid="{00000000-0005-0000-0000-000087450000}"/>
    <cellStyle name="Calc Percent (0) 2 5 2" xfId="10307" xr:uid="{00000000-0005-0000-0000-000088450000}"/>
    <cellStyle name="Calc Percent (0) 2 5 3" xfId="10308" xr:uid="{00000000-0005-0000-0000-000089450000}"/>
    <cellStyle name="Calc Percent (0) 2 5 4" xfId="10309" xr:uid="{00000000-0005-0000-0000-00008A450000}"/>
    <cellStyle name="Calc Percent (0) 2 5 5" xfId="10310" xr:uid="{00000000-0005-0000-0000-00008B450000}"/>
    <cellStyle name="Calc Percent (0) 2 5 6" xfId="10311" xr:uid="{00000000-0005-0000-0000-00008C450000}"/>
    <cellStyle name="Calc Percent (0) 2 5 7" xfId="10312" xr:uid="{00000000-0005-0000-0000-00008D450000}"/>
    <cellStyle name="Calc Percent (0) 2 5 8" xfId="10313" xr:uid="{00000000-0005-0000-0000-00008E450000}"/>
    <cellStyle name="Calc Percent (0) 2 6" xfId="10314" xr:uid="{00000000-0005-0000-0000-00008F450000}"/>
    <cellStyle name="Calc Percent (0) 2 6 2" xfId="10315" xr:uid="{00000000-0005-0000-0000-000090450000}"/>
    <cellStyle name="Calc Percent (0) 2 6 3" xfId="10316" xr:uid="{00000000-0005-0000-0000-000091450000}"/>
    <cellStyle name="Calc Percent (0) 2 6 4" xfId="10317" xr:uid="{00000000-0005-0000-0000-000092450000}"/>
    <cellStyle name="Calc Percent (0) 2 6 5" xfId="10318" xr:uid="{00000000-0005-0000-0000-000093450000}"/>
    <cellStyle name="Calc Percent (0) 2 6 6" xfId="10319" xr:uid="{00000000-0005-0000-0000-000094450000}"/>
    <cellStyle name="Calc Percent (0) 2 6 7" xfId="10320" xr:uid="{00000000-0005-0000-0000-000095450000}"/>
    <cellStyle name="Calc Percent (0) 2 6 8" xfId="10321" xr:uid="{00000000-0005-0000-0000-000096450000}"/>
    <cellStyle name="Calc Percent (0) 2 7" xfId="10322" xr:uid="{00000000-0005-0000-0000-000097450000}"/>
    <cellStyle name="Calc Percent (0) 2 7 2" xfId="10323" xr:uid="{00000000-0005-0000-0000-000098450000}"/>
    <cellStyle name="Calc Percent (0) 2 7 3" xfId="10324" xr:uid="{00000000-0005-0000-0000-000099450000}"/>
    <cellStyle name="Calc Percent (0) 2 7 4" xfId="10325" xr:uid="{00000000-0005-0000-0000-00009A450000}"/>
    <cellStyle name="Calc Percent (0) 2 7 5" xfId="10326" xr:uid="{00000000-0005-0000-0000-00009B450000}"/>
    <cellStyle name="Calc Percent (0) 2 7 6" xfId="10327" xr:uid="{00000000-0005-0000-0000-00009C450000}"/>
    <cellStyle name="Calc Percent (0) 2 7 7" xfId="10328" xr:uid="{00000000-0005-0000-0000-00009D450000}"/>
    <cellStyle name="Calc Percent (0) 2 7 8" xfId="10329" xr:uid="{00000000-0005-0000-0000-00009E450000}"/>
    <cellStyle name="Calc Percent (0) 2 8" xfId="10330" xr:uid="{00000000-0005-0000-0000-00009F450000}"/>
    <cellStyle name="Calc Percent (0) 2 8 2" xfId="10331" xr:uid="{00000000-0005-0000-0000-0000A0450000}"/>
    <cellStyle name="Calc Percent (0) 2 8 3" xfId="10332" xr:uid="{00000000-0005-0000-0000-0000A1450000}"/>
    <cellStyle name="Calc Percent (0) 2 8 4" xfId="10333" xr:uid="{00000000-0005-0000-0000-0000A2450000}"/>
    <cellStyle name="Calc Percent (0) 2 8 5" xfId="10334" xr:uid="{00000000-0005-0000-0000-0000A3450000}"/>
    <cellStyle name="Calc Percent (0) 2 8 6" xfId="10335" xr:uid="{00000000-0005-0000-0000-0000A4450000}"/>
    <cellStyle name="Calc Percent (0) 2 8 7" xfId="10336" xr:uid="{00000000-0005-0000-0000-0000A5450000}"/>
    <cellStyle name="Calc Percent (0) 2 8 8" xfId="10337" xr:uid="{00000000-0005-0000-0000-0000A6450000}"/>
    <cellStyle name="Calc Percent (0) 2 9" xfId="10338" xr:uid="{00000000-0005-0000-0000-0000A7450000}"/>
    <cellStyle name="Calc Percent (0) 2 9 2" xfId="10339" xr:uid="{00000000-0005-0000-0000-0000A8450000}"/>
    <cellStyle name="Calc Percent (0) 2 9 3" xfId="10340" xr:uid="{00000000-0005-0000-0000-0000A9450000}"/>
    <cellStyle name="Calc Percent (0) 2 9 4" xfId="10341" xr:uid="{00000000-0005-0000-0000-0000AA450000}"/>
    <cellStyle name="Calc Percent (0) 2 9 5" xfId="10342" xr:uid="{00000000-0005-0000-0000-0000AB450000}"/>
    <cellStyle name="Calc Percent (0) 2 9 6" xfId="10343" xr:uid="{00000000-0005-0000-0000-0000AC450000}"/>
    <cellStyle name="Calc Percent (0) 2 9 7" xfId="10344" xr:uid="{00000000-0005-0000-0000-0000AD450000}"/>
    <cellStyle name="Calc Percent (0) 2 9 8" xfId="10345" xr:uid="{00000000-0005-0000-0000-0000AE450000}"/>
    <cellStyle name="Calc Percent (0) 2 9 9" xfId="10346" xr:uid="{00000000-0005-0000-0000-0000AF450000}"/>
    <cellStyle name="Calc Percent (0) 20" xfId="10347" xr:uid="{00000000-0005-0000-0000-0000B0450000}"/>
    <cellStyle name="Calc Percent (0) 21" xfId="10348" xr:uid="{00000000-0005-0000-0000-0000B1450000}"/>
    <cellStyle name="Calc Percent (0) 22" xfId="10349" xr:uid="{00000000-0005-0000-0000-0000B2450000}"/>
    <cellStyle name="Calc Percent (0) 23" xfId="10350" xr:uid="{00000000-0005-0000-0000-0000B3450000}"/>
    <cellStyle name="Calc Percent (0) 24" xfId="10351" xr:uid="{00000000-0005-0000-0000-0000B4450000}"/>
    <cellStyle name="Calc Percent (0) 25" xfId="10352" xr:uid="{00000000-0005-0000-0000-0000B5450000}"/>
    <cellStyle name="Calc Percent (0) 26" xfId="10353" xr:uid="{00000000-0005-0000-0000-0000B6450000}"/>
    <cellStyle name="Calc Percent (0) 27" xfId="10354" xr:uid="{00000000-0005-0000-0000-0000B7450000}"/>
    <cellStyle name="Calc Percent (0) 28" xfId="10355" xr:uid="{00000000-0005-0000-0000-0000B8450000}"/>
    <cellStyle name="Calc Percent (0) 29" xfId="10356" xr:uid="{00000000-0005-0000-0000-0000B9450000}"/>
    <cellStyle name="Calc Percent (0) 3" xfId="10357" xr:uid="{00000000-0005-0000-0000-0000BA450000}"/>
    <cellStyle name="Calc Percent (0) 30" xfId="10358" xr:uid="{00000000-0005-0000-0000-0000BB450000}"/>
    <cellStyle name="Calc Percent (0) 31" xfId="10359" xr:uid="{00000000-0005-0000-0000-0000BC450000}"/>
    <cellStyle name="Calc Percent (0) 32" xfId="10360" xr:uid="{00000000-0005-0000-0000-0000BD450000}"/>
    <cellStyle name="Calc Percent (0) 33" xfId="10361" xr:uid="{00000000-0005-0000-0000-0000BE450000}"/>
    <cellStyle name="Calc Percent (0) 34" xfId="10362" xr:uid="{00000000-0005-0000-0000-0000BF450000}"/>
    <cellStyle name="Calc Percent (0) 35" xfId="10363" xr:uid="{00000000-0005-0000-0000-0000C0450000}"/>
    <cellStyle name="Calc Percent (0) 36" xfId="10364" xr:uid="{00000000-0005-0000-0000-0000C1450000}"/>
    <cellStyle name="Calc Percent (0) 4" xfId="10365" xr:uid="{00000000-0005-0000-0000-0000C2450000}"/>
    <cellStyle name="Calc Percent (0) 5" xfId="10366" xr:uid="{00000000-0005-0000-0000-0000C3450000}"/>
    <cellStyle name="Calc Percent (0) 6" xfId="10367" xr:uid="{00000000-0005-0000-0000-0000C4450000}"/>
    <cellStyle name="Calc Percent (0) 7" xfId="10368" xr:uid="{00000000-0005-0000-0000-0000C5450000}"/>
    <cellStyle name="Calc Percent (0) 8" xfId="10369" xr:uid="{00000000-0005-0000-0000-0000C6450000}"/>
    <cellStyle name="Calc Percent (0) 8 2" xfId="10370" xr:uid="{00000000-0005-0000-0000-0000C7450000}"/>
    <cellStyle name="Calc Percent (0) 8 3" xfId="10371" xr:uid="{00000000-0005-0000-0000-0000C8450000}"/>
    <cellStyle name="Calc Percent (0) 8 4" xfId="10372" xr:uid="{00000000-0005-0000-0000-0000C9450000}"/>
    <cellStyle name="Calc Percent (0) 8 5" xfId="10373" xr:uid="{00000000-0005-0000-0000-0000CA450000}"/>
    <cellStyle name="Calc Percent (0) 8 6" xfId="10374" xr:uid="{00000000-0005-0000-0000-0000CB450000}"/>
    <cellStyle name="Calc Percent (0) 8 7" xfId="10375" xr:uid="{00000000-0005-0000-0000-0000CC450000}"/>
    <cellStyle name="Calc Percent (0) 8 8" xfId="10376" xr:uid="{00000000-0005-0000-0000-0000CD450000}"/>
    <cellStyle name="Calc Percent (0) 9" xfId="10377" xr:uid="{00000000-0005-0000-0000-0000CE450000}"/>
    <cellStyle name="Calc Percent (1)" xfId="10378" xr:uid="{00000000-0005-0000-0000-0000CF450000}"/>
    <cellStyle name="Calc Percent (1) 10" xfId="10379" xr:uid="{00000000-0005-0000-0000-0000D0450000}"/>
    <cellStyle name="Calc Percent (1) 10 10" xfId="10380" xr:uid="{00000000-0005-0000-0000-0000D1450000}"/>
    <cellStyle name="Calc Percent (1) 10 11" xfId="10381" xr:uid="{00000000-0005-0000-0000-0000D2450000}"/>
    <cellStyle name="Calc Percent (1) 10 2" xfId="10382" xr:uid="{00000000-0005-0000-0000-0000D3450000}"/>
    <cellStyle name="Calc Percent (1) 10 2 2" xfId="10383" xr:uid="{00000000-0005-0000-0000-0000D4450000}"/>
    <cellStyle name="Calc Percent (1) 10 2 3" xfId="10384" xr:uid="{00000000-0005-0000-0000-0000D5450000}"/>
    <cellStyle name="Calc Percent (1) 10 2 4" xfId="10385" xr:uid="{00000000-0005-0000-0000-0000D6450000}"/>
    <cellStyle name="Calc Percent (1) 10 2 5" xfId="10386" xr:uid="{00000000-0005-0000-0000-0000D7450000}"/>
    <cellStyle name="Calc Percent (1) 10 2 6" xfId="10387" xr:uid="{00000000-0005-0000-0000-0000D8450000}"/>
    <cellStyle name="Calc Percent (1) 10 2 7" xfId="10388" xr:uid="{00000000-0005-0000-0000-0000D9450000}"/>
    <cellStyle name="Calc Percent (1) 10 2 8" xfId="10389" xr:uid="{00000000-0005-0000-0000-0000DA450000}"/>
    <cellStyle name="Calc Percent (1) 10 2 9" xfId="10390" xr:uid="{00000000-0005-0000-0000-0000DB450000}"/>
    <cellStyle name="Calc Percent (1) 10 3" xfId="10391" xr:uid="{00000000-0005-0000-0000-0000DC450000}"/>
    <cellStyle name="Calc Percent (1) 10 3 2" xfId="10392" xr:uid="{00000000-0005-0000-0000-0000DD450000}"/>
    <cellStyle name="Calc Percent (1) 10 3 3" xfId="10393" xr:uid="{00000000-0005-0000-0000-0000DE450000}"/>
    <cellStyle name="Calc Percent (1) 10 3 4" xfId="10394" xr:uid="{00000000-0005-0000-0000-0000DF450000}"/>
    <cellStyle name="Calc Percent (1) 10 3 5" xfId="10395" xr:uid="{00000000-0005-0000-0000-0000E0450000}"/>
    <cellStyle name="Calc Percent (1) 10 3 6" xfId="10396" xr:uid="{00000000-0005-0000-0000-0000E1450000}"/>
    <cellStyle name="Calc Percent (1) 10 3 7" xfId="10397" xr:uid="{00000000-0005-0000-0000-0000E2450000}"/>
    <cellStyle name="Calc Percent (1) 10 3 8" xfId="10398" xr:uid="{00000000-0005-0000-0000-0000E3450000}"/>
    <cellStyle name="Calc Percent (1) 10 3 9" xfId="10399" xr:uid="{00000000-0005-0000-0000-0000E4450000}"/>
    <cellStyle name="Calc Percent (1) 10 4" xfId="10400" xr:uid="{00000000-0005-0000-0000-0000E5450000}"/>
    <cellStyle name="Calc Percent (1) 10 5" xfId="10401" xr:uid="{00000000-0005-0000-0000-0000E6450000}"/>
    <cellStyle name="Calc Percent (1) 10 6" xfId="10402" xr:uid="{00000000-0005-0000-0000-0000E7450000}"/>
    <cellStyle name="Calc Percent (1) 10 7" xfId="10403" xr:uid="{00000000-0005-0000-0000-0000E8450000}"/>
    <cellStyle name="Calc Percent (1) 10 8" xfId="10404" xr:uid="{00000000-0005-0000-0000-0000E9450000}"/>
    <cellStyle name="Calc Percent (1) 10 9" xfId="10405" xr:uid="{00000000-0005-0000-0000-0000EA450000}"/>
    <cellStyle name="Calc Percent (1) 11" xfId="10406" xr:uid="{00000000-0005-0000-0000-0000EB450000}"/>
    <cellStyle name="Calc Percent (1) 11 2" xfId="10407" xr:uid="{00000000-0005-0000-0000-0000EC450000}"/>
    <cellStyle name="Calc Percent (1) 11 3" xfId="10408" xr:uid="{00000000-0005-0000-0000-0000ED450000}"/>
    <cellStyle name="Calc Percent (1) 11 4" xfId="10409" xr:uid="{00000000-0005-0000-0000-0000EE450000}"/>
    <cellStyle name="Calc Percent (1) 11 5" xfId="10410" xr:uid="{00000000-0005-0000-0000-0000EF450000}"/>
    <cellStyle name="Calc Percent (1) 11 6" xfId="10411" xr:uid="{00000000-0005-0000-0000-0000F0450000}"/>
    <cellStyle name="Calc Percent (1) 11 7" xfId="10412" xr:uid="{00000000-0005-0000-0000-0000F1450000}"/>
    <cellStyle name="Calc Percent (1) 11 8" xfId="10413" xr:uid="{00000000-0005-0000-0000-0000F2450000}"/>
    <cellStyle name="Calc Percent (1) 11 9" xfId="10414" xr:uid="{00000000-0005-0000-0000-0000F3450000}"/>
    <cellStyle name="Calc Percent (1) 12" xfId="10415" xr:uid="{00000000-0005-0000-0000-0000F4450000}"/>
    <cellStyle name="Calc Percent (1) 12 2" xfId="10416" xr:uid="{00000000-0005-0000-0000-0000F5450000}"/>
    <cellStyle name="Calc Percent (1) 12 3" xfId="10417" xr:uid="{00000000-0005-0000-0000-0000F6450000}"/>
    <cellStyle name="Calc Percent (1) 12 4" xfId="10418" xr:uid="{00000000-0005-0000-0000-0000F7450000}"/>
    <cellStyle name="Calc Percent (1) 12 5" xfId="10419" xr:uid="{00000000-0005-0000-0000-0000F8450000}"/>
    <cellStyle name="Calc Percent (1) 12 6" xfId="10420" xr:uid="{00000000-0005-0000-0000-0000F9450000}"/>
    <cellStyle name="Calc Percent (1) 12 7" xfId="10421" xr:uid="{00000000-0005-0000-0000-0000FA450000}"/>
    <cellStyle name="Calc Percent (1) 12 8" xfId="10422" xr:uid="{00000000-0005-0000-0000-0000FB450000}"/>
    <cellStyle name="Calc Percent (1) 12 9" xfId="10423" xr:uid="{00000000-0005-0000-0000-0000FC450000}"/>
    <cellStyle name="Calc Percent (1) 13" xfId="10424" xr:uid="{00000000-0005-0000-0000-0000FD450000}"/>
    <cellStyle name="Calc Percent (1) 13 10" xfId="10425" xr:uid="{00000000-0005-0000-0000-0000FE450000}"/>
    <cellStyle name="Calc Percent (1) 13 11" xfId="10426" xr:uid="{00000000-0005-0000-0000-0000FF450000}"/>
    <cellStyle name="Calc Percent (1) 13 12" xfId="10427" xr:uid="{00000000-0005-0000-0000-000000460000}"/>
    <cellStyle name="Calc Percent (1) 13 13" xfId="10428" xr:uid="{00000000-0005-0000-0000-000001460000}"/>
    <cellStyle name="Calc Percent (1) 13 14" xfId="10429" xr:uid="{00000000-0005-0000-0000-000002460000}"/>
    <cellStyle name="Calc Percent (1) 13 15" xfId="10430" xr:uid="{00000000-0005-0000-0000-000003460000}"/>
    <cellStyle name="Calc Percent (1) 13 16" xfId="10431" xr:uid="{00000000-0005-0000-0000-000004460000}"/>
    <cellStyle name="Calc Percent (1) 13 2" xfId="10432" xr:uid="{00000000-0005-0000-0000-000005460000}"/>
    <cellStyle name="Calc Percent (1) 13 3" xfId="10433" xr:uid="{00000000-0005-0000-0000-000006460000}"/>
    <cellStyle name="Calc Percent (1) 13 4" xfId="10434" xr:uid="{00000000-0005-0000-0000-000007460000}"/>
    <cellStyle name="Calc Percent (1) 13 5" xfId="10435" xr:uid="{00000000-0005-0000-0000-000008460000}"/>
    <cellStyle name="Calc Percent (1) 13 6" xfId="10436" xr:uid="{00000000-0005-0000-0000-000009460000}"/>
    <cellStyle name="Calc Percent (1) 13 7" xfId="10437" xr:uid="{00000000-0005-0000-0000-00000A460000}"/>
    <cellStyle name="Calc Percent (1) 13 8" xfId="10438" xr:uid="{00000000-0005-0000-0000-00000B460000}"/>
    <cellStyle name="Calc Percent (1) 13 9" xfId="10439" xr:uid="{00000000-0005-0000-0000-00000C460000}"/>
    <cellStyle name="Calc Percent (1) 14" xfId="10440" xr:uid="{00000000-0005-0000-0000-00000D460000}"/>
    <cellStyle name="Calc Percent (1) 14 10" xfId="10441" xr:uid="{00000000-0005-0000-0000-00000E460000}"/>
    <cellStyle name="Calc Percent (1) 14 11" xfId="10442" xr:uid="{00000000-0005-0000-0000-00000F460000}"/>
    <cellStyle name="Calc Percent (1) 14 12" xfId="10443" xr:uid="{00000000-0005-0000-0000-000010460000}"/>
    <cellStyle name="Calc Percent (1) 14 13" xfId="10444" xr:uid="{00000000-0005-0000-0000-000011460000}"/>
    <cellStyle name="Calc Percent (1) 14 14" xfId="10445" xr:uid="{00000000-0005-0000-0000-000012460000}"/>
    <cellStyle name="Calc Percent (1) 14 15" xfId="10446" xr:uid="{00000000-0005-0000-0000-000013460000}"/>
    <cellStyle name="Calc Percent (1) 14 16" xfId="10447" xr:uid="{00000000-0005-0000-0000-000014460000}"/>
    <cellStyle name="Calc Percent (1) 14 2" xfId="10448" xr:uid="{00000000-0005-0000-0000-000015460000}"/>
    <cellStyle name="Calc Percent (1) 14 3" xfId="10449" xr:uid="{00000000-0005-0000-0000-000016460000}"/>
    <cellStyle name="Calc Percent (1) 14 4" xfId="10450" xr:uid="{00000000-0005-0000-0000-000017460000}"/>
    <cellStyle name="Calc Percent (1) 14 5" xfId="10451" xr:uid="{00000000-0005-0000-0000-000018460000}"/>
    <cellStyle name="Calc Percent (1) 14 6" xfId="10452" xr:uid="{00000000-0005-0000-0000-000019460000}"/>
    <cellStyle name="Calc Percent (1) 14 7" xfId="10453" xr:uid="{00000000-0005-0000-0000-00001A460000}"/>
    <cellStyle name="Calc Percent (1) 14 8" xfId="10454" xr:uid="{00000000-0005-0000-0000-00001B460000}"/>
    <cellStyle name="Calc Percent (1) 14 9" xfId="10455" xr:uid="{00000000-0005-0000-0000-00001C460000}"/>
    <cellStyle name="Calc Percent (1) 15" xfId="10456" xr:uid="{00000000-0005-0000-0000-00001D460000}"/>
    <cellStyle name="Calc Percent (1) 15 10" xfId="10457" xr:uid="{00000000-0005-0000-0000-00001E460000}"/>
    <cellStyle name="Calc Percent (1) 15 11" xfId="10458" xr:uid="{00000000-0005-0000-0000-00001F460000}"/>
    <cellStyle name="Calc Percent (1) 15 12" xfId="10459" xr:uid="{00000000-0005-0000-0000-000020460000}"/>
    <cellStyle name="Calc Percent (1) 15 13" xfId="10460" xr:uid="{00000000-0005-0000-0000-000021460000}"/>
    <cellStyle name="Calc Percent (1) 15 14" xfId="10461" xr:uid="{00000000-0005-0000-0000-000022460000}"/>
    <cellStyle name="Calc Percent (1) 15 15" xfId="10462" xr:uid="{00000000-0005-0000-0000-000023460000}"/>
    <cellStyle name="Calc Percent (1) 15 16" xfId="10463" xr:uid="{00000000-0005-0000-0000-000024460000}"/>
    <cellStyle name="Calc Percent (1) 15 2" xfId="10464" xr:uid="{00000000-0005-0000-0000-000025460000}"/>
    <cellStyle name="Calc Percent (1) 15 3" xfId="10465" xr:uid="{00000000-0005-0000-0000-000026460000}"/>
    <cellStyle name="Calc Percent (1) 15 4" xfId="10466" xr:uid="{00000000-0005-0000-0000-000027460000}"/>
    <cellStyle name="Calc Percent (1) 15 5" xfId="10467" xr:uid="{00000000-0005-0000-0000-000028460000}"/>
    <cellStyle name="Calc Percent (1) 15 6" xfId="10468" xr:uid="{00000000-0005-0000-0000-000029460000}"/>
    <cellStyle name="Calc Percent (1) 15 7" xfId="10469" xr:uid="{00000000-0005-0000-0000-00002A460000}"/>
    <cellStyle name="Calc Percent (1) 15 8" xfId="10470" xr:uid="{00000000-0005-0000-0000-00002B460000}"/>
    <cellStyle name="Calc Percent (1) 15 9" xfId="10471" xr:uid="{00000000-0005-0000-0000-00002C460000}"/>
    <cellStyle name="Calc Percent (1) 16" xfId="10472" xr:uid="{00000000-0005-0000-0000-00002D460000}"/>
    <cellStyle name="Calc Percent (1) 16 2" xfId="10473" xr:uid="{00000000-0005-0000-0000-00002E460000}"/>
    <cellStyle name="Calc Percent (1) 16 3" xfId="10474" xr:uid="{00000000-0005-0000-0000-00002F460000}"/>
    <cellStyle name="Calc Percent (1) 16 4" xfId="10475" xr:uid="{00000000-0005-0000-0000-000030460000}"/>
    <cellStyle name="Calc Percent (1) 16 5" xfId="10476" xr:uid="{00000000-0005-0000-0000-000031460000}"/>
    <cellStyle name="Calc Percent (1) 16 6" xfId="10477" xr:uid="{00000000-0005-0000-0000-000032460000}"/>
    <cellStyle name="Calc Percent (1) 16 7" xfId="10478" xr:uid="{00000000-0005-0000-0000-000033460000}"/>
    <cellStyle name="Calc Percent (1) 16 8" xfId="10479" xr:uid="{00000000-0005-0000-0000-000034460000}"/>
    <cellStyle name="Calc Percent (1) 16 9" xfId="10480" xr:uid="{00000000-0005-0000-0000-000035460000}"/>
    <cellStyle name="Calc Percent (1) 17" xfId="10481" xr:uid="{00000000-0005-0000-0000-000036460000}"/>
    <cellStyle name="Calc Percent (1) 17 2" xfId="10482" xr:uid="{00000000-0005-0000-0000-000037460000}"/>
    <cellStyle name="Calc Percent (1) 17 3" xfId="10483" xr:uid="{00000000-0005-0000-0000-000038460000}"/>
    <cellStyle name="Calc Percent (1) 17 4" xfId="10484" xr:uid="{00000000-0005-0000-0000-000039460000}"/>
    <cellStyle name="Calc Percent (1) 17 5" xfId="10485" xr:uid="{00000000-0005-0000-0000-00003A460000}"/>
    <cellStyle name="Calc Percent (1) 17 6" xfId="10486" xr:uid="{00000000-0005-0000-0000-00003B460000}"/>
    <cellStyle name="Calc Percent (1) 17 7" xfId="10487" xr:uid="{00000000-0005-0000-0000-00003C460000}"/>
    <cellStyle name="Calc Percent (1) 17 8" xfId="10488" xr:uid="{00000000-0005-0000-0000-00003D460000}"/>
    <cellStyle name="Calc Percent (1) 17 9" xfId="10489" xr:uid="{00000000-0005-0000-0000-00003E460000}"/>
    <cellStyle name="Calc Percent (1) 18" xfId="10490" xr:uid="{00000000-0005-0000-0000-00003F460000}"/>
    <cellStyle name="Calc Percent (1) 18 2" xfId="10491" xr:uid="{00000000-0005-0000-0000-000040460000}"/>
    <cellStyle name="Calc Percent (1) 18 3" xfId="10492" xr:uid="{00000000-0005-0000-0000-000041460000}"/>
    <cellStyle name="Calc Percent (1) 18 4" xfId="10493" xr:uid="{00000000-0005-0000-0000-000042460000}"/>
    <cellStyle name="Calc Percent (1) 18 5" xfId="10494" xr:uid="{00000000-0005-0000-0000-000043460000}"/>
    <cellStyle name="Calc Percent (1) 18 6" xfId="10495" xr:uid="{00000000-0005-0000-0000-000044460000}"/>
    <cellStyle name="Calc Percent (1) 18 7" xfId="10496" xr:uid="{00000000-0005-0000-0000-000045460000}"/>
    <cellStyle name="Calc Percent (1) 18 8" xfId="10497" xr:uid="{00000000-0005-0000-0000-000046460000}"/>
    <cellStyle name="Calc Percent (1) 18 9" xfId="10498" xr:uid="{00000000-0005-0000-0000-000047460000}"/>
    <cellStyle name="Calc Percent (1) 19" xfId="10499" xr:uid="{00000000-0005-0000-0000-000048460000}"/>
    <cellStyle name="Calc Percent (1) 19 2" xfId="10500" xr:uid="{00000000-0005-0000-0000-000049460000}"/>
    <cellStyle name="Calc Percent (1) 19 3" xfId="10501" xr:uid="{00000000-0005-0000-0000-00004A460000}"/>
    <cellStyle name="Calc Percent (1) 19 4" xfId="10502" xr:uid="{00000000-0005-0000-0000-00004B460000}"/>
    <cellStyle name="Calc Percent (1) 19 5" xfId="10503" xr:uid="{00000000-0005-0000-0000-00004C460000}"/>
    <cellStyle name="Calc Percent (1) 19 6" xfId="10504" xr:uid="{00000000-0005-0000-0000-00004D460000}"/>
    <cellStyle name="Calc Percent (1) 19 7" xfId="10505" xr:uid="{00000000-0005-0000-0000-00004E460000}"/>
    <cellStyle name="Calc Percent (1) 19 8" xfId="10506" xr:uid="{00000000-0005-0000-0000-00004F460000}"/>
    <cellStyle name="Calc Percent (1) 19 9" xfId="10507" xr:uid="{00000000-0005-0000-0000-000050460000}"/>
    <cellStyle name="Calc Percent (1) 2" xfId="10508" xr:uid="{00000000-0005-0000-0000-000051460000}"/>
    <cellStyle name="Calc Percent (1) 2 10" xfId="10509" xr:uid="{00000000-0005-0000-0000-000052460000}"/>
    <cellStyle name="Calc Percent (1) 2 10 2" xfId="10510" xr:uid="{00000000-0005-0000-0000-000053460000}"/>
    <cellStyle name="Calc Percent (1) 2 10 3" xfId="10511" xr:uid="{00000000-0005-0000-0000-000054460000}"/>
    <cellStyle name="Calc Percent (1) 2 11" xfId="10512" xr:uid="{00000000-0005-0000-0000-000055460000}"/>
    <cellStyle name="Calc Percent (1) 2 11 2" xfId="10513" xr:uid="{00000000-0005-0000-0000-000056460000}"/>
    <cellStyle name="Calc Percent (1) 2 11 2 2" xfId="10514" xr:uid="{00000000-0005-0000-0000-000057460000}"/>
    <cellStyle name="Calc Percent (1) 2 11 2 3" xfId="10515" xr:uid="{00000000-0005-0000-0000-000058460000}"/>
    <cellStyle name="Calc Percent (1) 2 11 3" xfId="10516" xr:uid="{00000000-0005-0000-0000-000059460000}"/>
    <cellStyle name="Calc Percent (1) 2 12" xfId="10517" xr:uid="{00000000-0005-0000-0000-00005A460000}"/>
    <cellStyle name="Calc Percent (1) 2 13" xfId="10518" xr:uid="{00000000-0005-0000-0000-00005B460000}"/>
    <cellStyle name="Calc Percent (1) 2 14" xfId="10519" xr:uid="{00000000-0005-0000-0000-00005C460000}"/>
    <cellStyle name="Calc Percent (1) 2 2" xfId="10520" xr:uid="{00000000-0005-0000-0000-00005D460000}"/>
    <cellStyle name="Calc Percent (1) 2 2 10" xfId="10521" xr:uid="{00000000-0005-0000-0000-00005E460000}"/>
    <cellStyle name="Calc Percent (1) 2 2 11" xfId="10522" xr:uid="{00000000-0005-0000-0000-00005F460000}"/>
    <cellStyle name="Calc Percent (1) 2 2 12" xfId="10523" xr:uid="{00000000-0005-0000-0000-000060460000}"/>
    <cellStyle name="Calc Percent (1) 2 2 13" xfId="10524" xr:uid="{00000000-0005-0000-0000-000061460000}"/>
    <cellStyle name="Calc Percent (1) 2 2 14" xfId="10525" xr:uid="{00000000-0005-0000-0000-000062460000}"/>
    <cellStyle name="Calc Percent (1) 2 2 15" xfId="10526" xr:uid="{00000000-0005-0000-0000-000063460000}"/>
    <cellStyle name="Calc Percent (1) 2 2 16" xfId="10527" xr:uid="{00000000-0005-0000-0000-000064460000}"/>
    <cellStyle name="Calc Percent (1) 2 2 17" xfId="10528" xr:uid="{00000000-0005-0000-0000-000065460000}"/>
    <cellStyle name="Calc Percent (1) 2 2 18" xfId="10529" xr:uid="{00000000-0005-0000-0000-000066460000}"/>
    <cellStyle name="Calc Percent (1) 2 2 2" xfId="10530" xr:uid="{00000000-0005-0000-0000-000067460000}"/>
    <cellStyle name="Calc Percent (1) 2 2 2 2" xfId="10531" xr:uid="{00000000-0005-0000-0000-000068460000}"/>
    <cellStyle name="Calc Percent (1) 2 2 2 2 2" xfId="10532" xr:uid="{00000000-0005-0000-0000-000069460000}"/>
    <cellStyle name="Calc Percent (1) 2 2 2 2 3" xfId="10533" xr:uid="{00000000-0005-0000-0000-00006A460000}"/>
    <cellStyle name="Calc Percent (1) 2 2 2 2 4" xfId="10534" xr:uid="{00000000-0005-0000-0000-00006B460000}"/>
    <cellStyle name="Calc Percent (1) 2 2 2 2 5" xfId="10535" xr:uid="{00000000-0005-0000-0000-00006C460000}"/>
    <cellStyle name="Calc Percent (1) 2 2 2 2 6" xfId="10536" xr:uid="{00000000-0005-0000-0000-00006D460000}"/>
    <cellStyle name="Calc Percent (1) 2 2 2 2 7" xfId="10537" xr:uid="{00000000-0005-0000-0000-00006E460000}"/>
    <cellStyle name="Calc Percent (1) 2 2 2 2 8" xfId="10538" xr:uid="{00000000-0005-0000-0000-00006F460000}"/>
    <cellStyle name="Calc Percent (1) 2 2 2 3" xfId="10539" xr:uid="{00000000-0005-0000-0000-000070460000}"/>
    <cellStyle name="Calc Percent (1) 2 2 2 4" xfId="10540" xr:uid="{00000000-0005-0000-0000-000071460000}"/>
    <cellStyle name="Calc Percent (1) 2 2 2 5" xfId="10541" xr:uid="{00000000-0005-0000-0000-000072460000}"/>
    <cellStyle name="Calc Percent (1) 2 2 2 6" xfId="10542" xr:uid="{00000000-0005-0000-0000-000073460000}"/>
    <cellStyle name="Calc Percent (1) 2 2 2 7" xfId="10543" xr:uid="{00000000-0005-0000-0000-000074460000}"/>
    <cellStyle name="Calc Percent (1) 2 2 2 8" xfId="10544" xr:uid="{00000000-0005-0000-0000-000075460000}"/>
    <cellStyle name="Calc Percent (1) 2 2 2 9" xfId="10545" xr:uid="{00000000-0005-0000-0000-000076460000}"/>
    <cellStyle name="Calc Percent (1) 2 2 3" xfId="10546" xr:uid="{00000000-0005-0000-0000-000077460000}"/>
    <cellStyle name="Calc Percent (1) 2 2 3 2" xfId="10547" xr:uid="{00000000-0005-0000-0000-000078460000}"/>
    <cellStyle name="Calc Percent (1) 2 2 3 3" xfId="10548" xr:uid="{00000000-0005-0000-0000-000079460000}"/>
    <cellStyle name="Calc Percent (1) 2 2 3 4" xfId="10549" xr:uid="{00000000-0005-0000-0000-00007A460000}"/>
    <cellStyle name="Calc Percent (1) 2 2 3 5" xfId="10550" xr:uid="{00000000-0005-0000-0000-00007B460000}"/>
    <cellStyle name="Calc Percent (1) 2 2 3 6" xfId="10551" xr:uid="{00000000-0005-0000-0000-00007C460000}"/>
    <cellStyle name="Calc Percent (1) 2 2 3 7" xfId="10552" xr:uid="{00000000-0005-0000-0000-00007D460000}"/>
    <cellStyle name="Calc Percent (1) 2 2 3 8" xfId="10553" xr:uid="{00000000-0005-0000-0000-00007E460000}"/>
    <cellStyle name="Calc Percent (1) 2 2 3 9" xfId="10554" xr:uid="{00000000-0005-0000-0000-00007F460000}"/>
    <cellStyle name="Calc Percent (1) 2 2 4" xfId="10555" xr:uid="{00000000-0005-0000-0000-000080460000}"/>
    <cellStyle name="Calc Percent (1) 2 2 5" xfId="10556" xr:uid="{00000000-0005-0000-0000-000081460000}"/>
    <cellStyle name="Calc Percent (1) 2 2 6" xfId="10557" xr:uid="{00000000-0005-0000-0000-000082460000}"/>
    <cellStyle name="Calc Percent (1) 2 2 7" xfId="10558" xr:uid="{00000000-0005-0000-0000-000083460000}"/>
    <cellStyle name="Calc Percent (1) 2 2 8" xfId="10559" xr:uid="{00000000-0005-0000-0000-000084460000}"/>
    <cellStyle name="Calc Percent (1) 2 2 9" xfId="10560" xr:uid="{00000000-0005-0000-0000-000085460000}"/>
    <cellStyle name="Calc Percent (1) 2 3" xfId="10561" xr:uid="{00000000-0005-0000-0000-000086460000}"/>
    <cellStyle name="Calc Percent (1) 2 3 10" xfId="10562" xr:uid="{00000000-0005-0000-0000-000087460000}"/>
    <cellStyle name="Calc Percent (1) 2 3 11" xfId="10563" xr:uid="{00000000-0005-0000-0000-000088460000}"/>
    <cellStyle name="Calc Percent (1) 2 3 12" xfId="10564" xr:uid="{00000000-0005-0000-0000-000089460000}"/>
    <cellStyle name="Calc Percent (1) 2 3 13" xfId="10565" xr:uid="{00000000-0005-0000-0000-00008A460000}"/>
    <cellStyle name="Calc Percent (1) 2 3 14" xfId="10566" xr:uid="{00000000-0005-0000-0000-00008B460000}"/>
    <cellStyle name="Calc Percent (1) 2 3 15" xfId="10567" xr:uid="{00000000-0005-0000-0000-00008C460000}"/>
    <cellStyle name="Calc Percent (1) 2 3 16" xfId="10568" xr:uid="{00000000-0005-0000-0000-00008D460000}"/>
    <cellStyle name="Calc Percent (1) 2 3 2" xfId="10569" xr:uid="{00000000-0005-0000-0000-00008E460000}"/>
    <cellStyle name="Calc Percent (1) 2 3 2 2" xfId="10570" xr:uid="{00000000-0005-0000-0000-00008F460000}"/>
    <cellStyle name="Calc Percent (1) 2 3 2 2 2" xfId="10571" xr:uid="{00000000-0005-0000-0000-000090460000}"/>
    <cellStyle name="Calc Percent (1) 2 3 2 2 2 2" xfId="10572" xr:uid="{00000000-0005-0000-0000-000091460000}"/>
    <cellStyle name="Calc Percent (1) 2 3 2 2 2 2 2" xfId="10573" xr:uid="{00000000-0005-0000-0000-000092460000}"/>
    <cellStyle name="Calc Percent (1) 2 3 2 2 2 2 3" xfId="10574" xr:uid="{00000000-0005-0000-0000-000093460000}"/>
    <cellStyle name="Calc Percent (1) 2 3 2 2 2 2 4" xfId="10575" xr:uid="{00000000-0005-0000-0000-000094460000}"/>
    <cellStyle name="Calc Percent (1) 2 3 2 2 2 2 5" xfId="10576" xr:uid="{00000000-0005-0000-0000-000095460000}"/>
    <cellStyle name="Calc Percent (1) 2 3 2 2 2 2 6" xfId="10577" xr:uid="{00000000-0005-0000-0000-000096460000}"/>
    <cellStyle name="Calc Percent (1) 2 3 2 2 2 2 7" xfId="10578" xr:uid="{00000000-0005-0000-0000-000097460000}"/>
    <cellStyle name="Calc Percent (1) 2 3 2 2 2 2 8" xfId="10579" xr:uid="{00000000-0005-0000-0000-000098460000}"/>
    <cellStyle name="Calc Percent (1) 2 3 2 2 2 3" xfId="10580" xr:uid="{00000000-0005-0000-0000-000099460000}"/>
    <cellStyle name="Calc Percent (1) 2 3 2 2 2 4" xfId="10581" xr:uid="{00000000-0005-0000-0000-00009A460000}"/>
    <cellStyle name="Calc Percent (1) 2 3 2 2 2 5" xfId="10582" xr:uid="{00000000-0005-0000-0000-00009B460000}"/>
    <cellStyle name="Calc Percent (1) 2 3 2 2 2 6" xfId="10583" xr:uid="{00000000-0005-0000-0000-00009C460000}"/>
    <cellStyle name="Calc Percent (1) 2 3 2 2 2 7" xfId="10584" xr:uid="{00000000-0005-0000-0000-00009D460000}"/>
    <cellStyle name="Calc Percent (1) 2 3 2 2 2 8" xfId="10585" xr:uid="{00000000-0005-0000-0000-00009E460000}"/>
    <cellStyle name="Calc Percent (1) 2 3 2 2 2 9" xfId="10586" xr:uid="{00000000-0005-0000-0000-00009F460000}"/>
    <cellStyle name="Calc Percent (1) 2 3 2 2 3" xfId="10587" xr:uid="{00000000-0005-0000-0000-0000A0460000}"/>
    <cellStyle name="Calc Percent (1) 2 3 2 2 4" xfId="10588" xr:uid="{00000000-0005-0000-0000-0000A1460000}"/>
    <cellStyle name="Calc Percent (1) 2 3 2 2 5" xfId="10589" xr:uid="{00000000-0005-0000-0000-0000A2460000}"/>
    <cellStyle name="Calc Percent (1) 2 3 2 2 6" xfId="10590" xr:uid="{00000000-0005-0000-0000-0000A3460000}"/>
    <cellStyle name="Calc Percent (1) 2 3 2 2 7" xfId="10591" xr:uid="{00000000-0005-0000-0000-0000A4460000}"/>
    <cellStyle name="Calc Percent (1) 2 3 2 2 8" xfId="10592" xr:uid="{00000000-0005-0000-0000-0000A5460000}"/>
    <cellStyle name="Calc Percent (1) 2 3 2 2 9" xfId="10593" xr:uid="{00000000-0005-0000-0000-0000A6460000}"/>
    <cellStyle name="Calc Percent (1) 2 3 2 3" xfId="10594" xr:uid="{00000000-0005-0000-0000-0000A7460000}"/>
    <cellStyle name="Calc Percent (1) 2 3 2 4" xfId="10595" xr:uid="{00000000-0005-0000-0000-0000A8460000}"/>
    <cellStyle name="Calc Percent (1) 2 3 2 5" xfId="10596" xr:uid="{00000000-0005-0000-0000-0000A9460000}"/>
    <cellStyle name="Calc Percent (1) 2 3 2 6" xfId="10597" xr:uid="{00000000-0005-0000-0000-0000AA460000}"/>
    <cellStyle name="Calc Percent (1) 2 3 2 7" xfId="10598" xr:uid="{00000000-0005-0000-0000-0000AB460000}"/>
    <cellStyle name="Calc Percent (1) 2 3 2 8" xfId="10599" xr:uid="{00000000-0005-0000-0000-0000AC460000}"/>
    <cellStyle name="Calc Percent (1) 2 3 2 9" xfId="10600" xr:uid="{00000000-0005-0000-0000-0000AD460000}"/>
    <cellStyle name="Calc Percent (1) 2 3 3" xfId="10601" xr:uid="{00000000-0005-0000-0000-0000AE460000}"/>
    <cellStyle name="Calc Percent (1) 2 3 3 2" xfId="10602" xr:uid="{00000000-0005-0000-0000-0000AF460000}"/>
    <cellStyle name="Calc Percent (1) 2 3 3 3" xfId="10603" xr:uid="{00000000-0005-0000-0000-0000B0460000}"/>
    <cellStyle name="Calc Percent (1) 2 3 3 4" xfId="10604" xr:uid="{00000000-0005-0000-0000-0000B1460000}"/>
    <cellStyle name="Calc Percent (1) 2 3 3 5" xfId="10605" xr:uid="{00000000-0005-0000-0000-0000B2460000}"/>
    <cellStyle name="Calc Percent (1) 2 3 3 6" xfId="10606" xr:uid="{00000000-0005-0000-0000-0000B3460000}"/>
    <cellStyle name="Calc Percent (1) 2 3 3 7" xfId="10607" xr:uid="{00000000-0005-0000-0000-0000B4460000}"/>
    <cellStyle name="Calc Percent (1) 2 3 3 8" xfId="10608" xr:uid="{00000000-0005-0000-0000-0000B5460000}"/>
    <cellStyle name="Calc Percent (1) 2 3 4" xfId="10609" xr:uid="{00000000-0005-0000-0000-0000B6460000}"/>
    <cellStyle name="Calc Percent (1) 2 3 4 2" xfId="10610" xr:uid="{00000000-0005-0000-0000-0000B7460000}"/>
    <cellStyle name="Calc Percent (1) 2 3 4 3" xfId="10611" xr:uid="{00000000-0005-0000-0000-0000B8460000}"/>
    <cellStyle name="Calc Percent (1) 2 3 4 4" xfId="10612" xr:uid="{00000000-0005-0000-0000-0000B9460000}"/>
    <cellStyle name="Calc Percent (1) 2 3 4 5" xfId="10613" xr:uid="{00000000-0005-0000-0000-0000BA460000}"/>
    <cellStyle name="Calc Percent (1) 2 3 4 6" xfId="10614" xr:uid="{00000000-0005-0000-0000-0000BB460000}"/>
    <cellStyle name="Calc Percent (1) 2 3 4 7" xfId="10615" xr:uid="{00000000-0005-0000-0000-0000BC460000}"/>
    <cellStyle name="Calc Percent (1) 2 3 4 8" xfId="10616" xr:uid="{00000000-0005-0000-0000-0000BD460000}"/>
    <cellStyle name="Calc Percent (1) 2 3 5" xfId="10617" xr:uid="{00000000-0005-0000-0000-0000BE460000}"/>
    <cellStyle name="Calc Percent (1) 2 3 5 2" xfId="10618" xr:uid="{00000000-0005-0000-0000-0000BF460000}"/>
    <cellStyle name="Calc Percent (1) 2 3 5 3" xfId="10619" xr:uid="{00000000-0005-0000-0000-0000C0460000}"/>
    <cellStyle name="Calc Percent (1) 2 3 5 4" xfId="10620" xr:uid="{00000000-0005-0000-0000-0000C1460000}"/>
    <cellStyle name="Calc Percent (1) 2 3 5 5" xfId="10621" xr:uid="{00000000-0005-0000-0000-0000C2460000}"/>
    <cellStyle name="Calc Percent (1) 2 3 5 6" xfId="10622" xr:uid="{00000000-0005-0000-0000-0000C3460000}"/>
    <cellStyle name="Calc Percent (1) 2 3 5 7" xfId="10623" xr:uid="{00000000-0005-0000-0000-0000C4460000}"/>
    <cellStyle name="Calc Percent (1) 2 3 5 8" xfId="10624" xr:uid="{00000000-0005-0000-0000-0000C5460000}"/>
    <cellStyle name="Calc Percent (1) 2 3 6" xfId="10625" xr:uid="{00000000-0005-0000-0000-0000C6460000}"/>
    <cellStyle name="Calc Percent (1) 2 3 6 2" xfId="10626" xr:uid="{00000000-0005-0000-0000-0000C7460000}"/>
    <cellStyle name="Calc Percent (1) 2 3 6 3" xfId="10627" xr:uid="{00000000-0005-0000-0000-0000C8460000}"/>
    <cellStyle name="Calc Percent (1) 2 3 6 4" xfId="10628" xr:uid="{00000000-0005-0000-0000-0000C9460000}"/>
    <cellStyle name="Calc Percent (1) 2 3 6 5" xfId="10629" xr:uid="{00000000-0005-0000-0000-0000CA460000}"/>
    <cellStyle name="Calc Percent (1) 2 3 6 6" xfId="10630" xr:uid="{00000000-0005-0000-0000-0000CB460000}"/>
    <cellStyle name="Calc Percent (1) 2 3 6 7" xfId="10631" xr:uid="{00000000-0005-0000-0000-0000CC460000}"/>
    <cellStyle name="Calc Percent (1) 2 3 6 8" xfId="10632" xr:uid="{00000000-0005-0000-0000-0000CD460000}"/>
    <cellStyle name="Calc Percent (1) 2 3 7" xfId="10633" xr:uid="{00000000-0005-0000-0000-0000CE460000}"/>
    <cellStyle name="Calc Percent (1) 2 3 8" xfId="10634" xr:uid="{00000000-0005-0000-0000-0000CF460000}"/>
    <cellStyle name="Calc Percent (1) 2 3 9" xfId="10635" xr:uid="{00000000-0005-0000-0000-0000D0460000}"/>
    <cellStyle name="Calc Percent (1) 2 4" xfId="10636" xr:uid="{00000000-0005-0000-0000-0000D1460000}"/>
    <cellStyle name="Calc Percent (1) 2 4 2" xfId="10637" xr:uid="{00000000-0005-0000-0000-0000D2460000}"/>
    <cellStyle name="Calc Percent (1) 2 4 3" xfId="10638" xr:uid="{00000000-0005-0000-0000-0000D3460000}"/>
    <cellStyle name="Calc Percent (1) 2 5" xfId="10639" xr:uid="{00000000-0005-0000-0000-0000D4460000}"/>
    <cellStyle name="Calc Percent (1) 2 5 2" xfId="10640" xr:uid="{00000000-0005-0000-0000-0000D5460000}"/>
    <cellStyle name="Calc Percent (1) 2 5 3" xfId="10641" xr:uid="{00000000-0005-0000-0000-0000D6460000}"/>
    <cellStyle name="Calc Percent (1) 2 6" xfId="10642" xr:uid="{00000000-0005-0000-0000-0000D7460000}"/>
    <cellStyle name="Calc Percent (1) 2 6 2" xfId="10643" xr:uid="{00000000-0005-0000-0000-0000D8460000}"/>
    <cellStyle name="Calc Percent (1) 2 6 3" xfId="10644" xr:uid="{00000000-0005-0000-0000-0000D9460000}"/>
    <cellStyle name="Calc Percent (1) 2 7" xfId="10645" xr:uid="{00000000-0005-0000-0000-0000DA460000}"/>
    <cellStyle name="Calc Percent (1) 2 7 2" xfId="10646" xr:uid="{00000000-0005-0000-0000-0000DB460000}"/>
    <cellStyle name="Calc Percent (1) 2 7 3" xfId="10647" xr:uid="{00000000-0005-0000-0000-0000DC460000}"/>
    <cellStyle name="Calc Percent (1) 2 8" xfId="10648" xr:uid="{00000000-0005-0000-0000-0000DD460000}"/>
    <cellStyle name="Calc Percent (1) 2 8 2" xfId="10649" xr:uid="{00000000-0005-0000-0000-0000DE460000}"/>
    <cellStyle name="Calc Percent (1) 2 8 3" xfId="10650" xr:uid="{00000000-0005-0000-0000-0000DF460000}"/>
    <cellStyle name="Calc Percent (1) 2 9" xfId="10651" xr:uid="{00000000-0005-0000-0000-0000E0460000}"/>
    <cellStyle name="Calc Percent (1) 2 9 2" xfId="10652" xr:uid="{00000000-0005-0000-0000-0000E1460000}"/>
    <cellStyle name="Calc Percent (1) 2 9 3" xfId="10653" xr:uid="{00000000-0005-0000-0000-0000E2460000}"/>
    <cellStyle name="Calc Percent (1) 2_You Plus DCF Workpapers" xfId="10654" xr:uid="{00000000-0005-0000-0000-0000E3460000}"/>
    <cellStyle name="Calc Percent (1) 20" xfId="10655" xr:uid="{00000000-0005-0000-0000-0000E4460000}"/>
    <cellStyle name="Calc Percent (1) 20 2" xfId="10656" xr:uid="{00000000-0005-0000-0000-0000E5460000}"/>
    <cellStyle name="Calc Percent (1) 20 3" xfId="10657" xr:uid="{00000000-0005-0000-0000-0000E6460000}"/>
    <cellStyle name="Calc Percent (1) 20 4" xfId="10658" xr:uid="{00000000-0005-0000-0000-0000E7460000}"/>
    <cellStyle name="Calc Percent (1) 20 5" xfId="10659" xr:uid="{00000000-0005-0000-0000-0000E8460000}"/>
    <cellStyle name="Calc Percent (1) 20 6" xfId="10660" xr:uid="{00000000-0005-0000-0000-0000E9460000}"/>
    <cellStyle name="Calc Percent (1) 20 7" xfId="10661" xr:uid="{00000000-0005-0000-0000-0000EA460000}"/>
    <cellStyle name="Calc Percent (1) 20 8" xfId="10662" xr:uid="{00000000-0005-0000-0000-0000EB460000}"/>
    <cellStyle name="Calc Percent (1) 20 9" xfId="10663" xr:uid="{00000000-0005-0000-0000-0000EC460000}"/>
    <cellStyle name="Calc Percent (1) 21" xfId="10664" xr:uid="{00000000-0005-0000-0000-0000ED460000}"/>
    <cellStyle name="Calc Percent (1) 21 2" xfId="10665" xr:uid="{00000000-0005-0000-0000-0000EE460000}"/>
    <cellStyle name="Calc Percent (1) 21 3" xfId="10666" xr:uid="{00000000-0005-0000-0000-0000EF460000}"/>
    <cellStyle name="Calc Percent (1) 21 4" xfId="10667" xr:uid="{00000000-0005-0000-0000-0000F0460000}"/>
    <cellStyle name="Calc Percent (1) 21 5" xfId="10668" xr:uid="{00000000-0005-0000-0000-0000F1460000}"/>
    <cellStyle name="Calc Percent (1) 21 6" xfId="10669" xr:uid="{00000000-0005-0000-0000-0000F2460000}"/>
    <cellStyle name="Calc Percent (1) 21 7" xfId="10670" xr:uid="{00000000-0005-0000-0000-0000F3460000}"/>
    <cellStyle name="Calc Percent (1) 21 8" xfId="10671" xr:uid="{00000000-0005-0000-0000-0000F4460000}"/>
    <cellStyle name="Calc Percent (1) 21 9" xfId="10672" xr:uid="{00000000-0005-0000-0000-0000F5460000}"/>
    <cellStyle name="Calc Percent (1) 22" xfId="10673" xr:uid="{00000000-0005-0000-0000-0000F6460000}"/>
    <cellStyle name="Calc Percent (1) 22 2" xfId="10674" xr:uid="{00000000-0005-0000-0000-0000F7460000}"/>
    <cellStyle name="Calc Percent (1) 22 3" xfId="10675" xr:uid="{00000000-0005-0000-0000-0000F8460000}"/>
    <cellStyle name="Calc Percent (1) 22 4" xfId="10676" xr:uid="{00000000-0005-0000-0000-0000F9460000}"/>
    <cellStyle name="Calc Percent (1) 22 5" xfId="10677" xr:uid="{00000000-0005-0000-0000-0000FA460000}"/>
    <cellStyle name="Calc Percent (1) 22 6" xfId="10678" xr:uid="{00000000-0005-0000-0000-0000FB460000}"/>
    <cellStyle name="Calc Percent (1) 22 7" xfId="10679" xr:uid="{00000000-0005-0000-0000-0000FC460000}"/>
    <cellStyle name="Calc Percent (1) 22 8" xfId="10680" xr:uid="{00000000-0005-0000-0000-0000FD460000}"/>
    <cellStyle name="Calc Percent (1) 22 9" xfId="10681" xr:uid="{00000000-0005-0000-0000-0000FE460000}"/>
    <cellStyle name="Calc Percent (1) 23" xfId="10682" xr:uid="{00000000-0005-0000-0000-0000FF460000}"/>
    <cellStyle name="Calc Percent (1) 24" xfId="10683" xr:uid="{00000000-0005-0000-0000-000000470000}"/>
    <cellStyle name="Calc Percent (1) 25" xfId="10684" xr:uid="{00000000-0005-0000-0000-000001470000}"/>
    <cellStyle name="Calc Percent (1) 26" xfId="10685" xr:uid="{00000000-0005-0000-0000-000002470000}"/>
    <cellStyle name="Calc Percent (1) 27" xfId="10686" xr:uid="{00000000-0005-0000-0000-000003470000}"/>
    <cellStyle name="Calc Percent (1) 28" xfId="10687" xr:uid="{00000000-0005-0000-0000-000004470000}"/>
    <cellStyle name="Calc Percent (1) 29" xfId="10688" xr:uid="{00000000-0005-0000-0000-000005470000}"/>
    <cellStyle name="Calc Percent (1) 3" xfId="10689" xr:uid="{00000000-0005-0000-0000-000006470000}"/>
    <cellStyle name="Calc Percent (1) 3 10" xfId="10690" xr:uid="{00000000-0005-0000-0000-000007470000}"/>
    <cellStyle name="Calc Percent (1) 3 11" xfId="10691" xr:uid="{00000000-0005-0000-0000-000008470000}"/>
    <cellStyle name="Calc Percent (1) 3 2" xfId="10692" xr:uid="{00000000-0005-0000-0000-000009470000}"/>
    <cellStyle name="Calc Percent (1) 3 2 10" xfId="10693" xr:uid="{00000000-0005-0000-0000-00000A470000}"/>
    <cellStyle name="Calc Percent (1) 3 2 11" xfId="10694" xr:uid="{00000000-0005-0000-0000-00000B470000}"/>
    <cellStyle name="Calc Percent (1) 3 2 12" xfId="10695" xr:uid="{00000000-0005-0000-0000-00000C470000}"/>
    <cellStyle name="Calc Percent (1) 3 2 13" xfId="10696" xr:uid="{00000000-0005-0000-0000-00000D470000}"/>
    <cellStyle name="Calc Percent (1) 3 2 14" xfId="10697" xr:uid="{00000000-0005-0000-0000-00000E470000}"/>
    <cellStyle name="Calc Percent (1) 3 2 15" xfId="10698" xr:uid="{00000000-0005-0000-0000-00000F470000}"/>
    <cellStyle name="Calc Percent (1) 3 2 16" xfId="10699" xr:uid="{00000000-0005-0000-0000-000010470000}"/>
    <cellStyle name="Calc Percent (1) 3 2 2" xfId="10700" xr:uid="{00000000-0005-0000-0000-000011470000}"/>
    <cellStyle name="Calc Percent (1) 3 2 2 2" xfId="10701" xr:uid="{00000000-0005-0000-0000-000012470000}"/>
    <cellStyle name="Calc Percent (1) 3 2 2 3" xfId="10702" xr:uid="{00000000-0005-0000-0000-000013470000}"/>
    <cellStyle name="Calc Percent (1) 3 2 3" xfId="10703" xr:uid="{00000000-0005-0000-0000-000014470000}"/>
    <cellStyle name="Calc Percent (1) 3 2 3 2" xfId="10704" xr:uid="{00000000-0005-0000-0000-000015470000}"/>
    <cellStyle name="Calc Percent (1) 3 2 3 3" xfId="10705" xr:uid="{00000000-0005-0000-0000-000016470000}"/>
    <cellStyle name="Calc Percent (1) 3 2 3 4" xfId="10706" xr:uid="{00000000-0005-0000-0000-000017470000}"/>
    <cellStyle name="Calc Percent (1) 3 2 3 5" xfId="10707" xr:uid="{00000000-0005-0000-0000-000018470000}"/>
    <cellStyle name="Calc Percent (1) 3 2 3 6" xfId="10708" xr:uid="{00000000-0005-0000-0000-000019470000}"/>
    <cellStyle name="Calc Percent (1) 3 2 3 7" xfId="10709" xr:uid="{00000000-0005-0000-0000-00001A470000}"/>
    <cellStyle name="Calc Percent (1) 3 2 3 8" xfId="10710" xr:uid="{00000000-0005-0000-0000-00001B470000}"/>
    <cellStyle name="Calc Percent (1) 3 2 4" xfId="10711" xr:uid="{00000000-0005-0000-0000-00001C470000}"/>
    <cellStyle name="Calc Percent (1) 3 2 5" xfId="10712" xr:uid="{00000000-0005-0000-0000-00001D470000}"/>
    <cellStyle name="Calc Percent (1) 3 2 6" xfId="10713" xr:uid="{00000000-0005-0000-0000-00001E470000}"/>
    <cellStyle name="Calc Percent (1) 3 2 7" xfId="10714" xr:uid="{00000000-0005-0000-0000-00001F470000}"/>
    <cellStyle name="Calc Percent (1) 3 2 8" xfId="10715" xr:uid="{00000000-0005-0000-0000-000020470000}"/>
    <cellStyle name="Calc Percent (1) 3 2 9" xfId="10716" xr:uid="{00000000-0005-0000-0000-000021470000}"/>
    <cellStyle name="Calc Percent (1) 3 3" xfId="10717" xr:uid="{00000000-0005-0000-0000-000022470000}"/>
    <cellStyle name="Calc Percent (1) 3 3 2" xfId="10718" xr:uid="{00000000-0005-0000-0000-000023470000}"/>
    <cellStyle name="Calc Percent (1) 3 3 2 2" xfId="10719" xr:uid="{00000000-0005-0000-0000-000024470000}"/>
    <cellStyle name="Calc Percent (1) 3 3 2 2 2" xfId="10720" xr:uid="{00000000-0005-0000-0000-000025470000}"/>
    <cellStyle name="Calc Percent (1) 3 3 2 2 2 2" xfId="10721" xr:uid="{00000000-0005-0000-0000-000026470000}"/>
    <cellStyle name="Calc Percent (1) 3 3 2 2 2 3" xfId="10722" xr:uid="{00000000-0005-0000-0000-000027470000}"/>
    <cellStyle name="Calc Percent (1) 3 3 2 2 2 4" xfId="10723" xr:uid="{00000000-0005-0000-0000-000028470000}"/>
    <cellStyle name="Calc Percent (1) 3 3 2 2 2 5" xfId="10724" xr:uid="{00000000-0005-0000-0000-000029470000}"/>
    <cellStyle name="Calc Percent (1) 3 3 2 2 2 6" xfId="10725" xr:uid="{00000000-0005-0000-0000-00002A470000}"/>
    <cellStyle name="Calc Percent (1) 3 3 2 2 2 7" xfId="10726" xr:uid="{00000000-0005-0000-0000-00002B470000}"/>
    <cellStyle name="Calc Percent (1) 3 3 2 2 2 8" xfId="10727" xr:uid="{00000000-0005-0000-0000-00002C470000}"/>
    <cellStyle name="Calc Percent (1) 3 3 2 2 3" xfId="10728" xr:uid="{00000000-0005-0000-0000-00002D470000}"/>
    <cellStyle name="Calc Percent (1) 3 3 2 2 4" xfId="10729" xr:uid="{00000000-0005-0000-0000-00002E470000}"/>
    <cellStyle name="Calc Percent (1) 3 3 2 2 5" xfId="10730" xr:uid="{00000000-0005-0000-0000-00002F470000}"/>
    <cellStyle name="Calc Percent (1) 3 3 2 2 6" xfId="10731" xr:uid="{00000000-0005-0000-0000-000030470000}"/>
    <cellStyle name="Calc Percent (1) 3 3 2 2 7" xfId="10732" xr:uid="{00000000-0005-0000-0000-000031470000}"/>
    <cellStyle name="Calc Percent (1) 3 3 2 2 8" xfId="10733" xr:uid="{00000000-0005-0000-0000-000032470000}"/>
    <cellStyle name="Calc Percent (1) 3 3 2 2 9" xfId="10734" xr:uid="{00000000-0005-0000-0000-000033470000}"/>
    <cellStyle name="Calc Percent (1) 3 3 2 3" xfId="10735" xr:uid="{00000000-0005-0000-0000-000034470000}"/>
    <cellStyle name="Calc Percent (1) 3 3 2 4" xfId="10736" xr:uid="{00000000-0005-0000-0000-000035470000}"/>
    <cellStyle name="Calc Percent (1) 3 3 2 5" xfId="10737" xr:uid="{00000000-0005-0000-0000-000036470000}"/>
    <cellStyle name="Calc Percent (1) 3 3 2 6" xfId="10738" xr:uid="{00000000-0005-0000-0000-000037470000}"/>
    <cellStyle name="Calc Percent (1) 3 3 2 7" xfId="10739" xr:uid="{00000000-0005-0000-0000-000038470000}"/>
    <cellStyle name="Calc Percent (1) 3 3 2 8" xfId="10740" xr:uid="{00000000-0005-0000-0000-000039470000}"/>
    <cellStyle name="Calc Percent (1) 3 3 2 9" xfId="10741" xr:uid="{00000000-0005-0000-0000-00003A470000}"/>
    <cellStyle name="Calc Percent (1) 3 3 3" xfId="10742" xr:uid="{00000000-0005-0000-0000-00003B470000}"/>
    <cellStyle name="Calc Percent (1) 3 3 3 2" xfId="10743" xr:uid="{00000000-0005-0000-0000-00003C470000}"/>
    <cellStyle name="Calc Percent (1) 3 3 3 3" xfId="10744" xr:uid="{00000000-0005-0000-0000-00003D470000}"/>
    <cellStyle name="Calc Percent (1) 3 3 3 4" xfId="10745" xr:uid="{00000000-0005-0000-0000-00003E470000}"/>
    <cellStyle name="Calc Percent (1) 3 3 3 5" xfId="10746" xr:uid="{00000000-0005-0000-0000-00003F470000}"/>
    <cellStyle name="Calc Percent (1) 3 3 3 6" xfId="10747" xr:uid="{00000000-0005-0000-0000-000040470000}"/>
    <cellStyle name="Calc Percent (1) 3 3 3 7" xfId="10748" xr:uid="{00000000-0005-0000-0000-000041470000}"/>
    <cellStyle name="Calc Percent (1) 3 3 3 8" xfId="10749" xr:uid="{00000000-0005-0000-0000-000042470000}"/>
    <cellStyle name="Calc Percent (1) 3 3 4" xfId="10750" xr:uid="{00000000-0005-0000-0000-000043470000}"/>
    <cellStyle name="Calc Percent (1) 3 3 5" xfId="10751" xr:uid="{00000000-0005-0000-0000-000044470000}"/>
    <cellStyle name="Calc Percent (1) 3 3 6" xfId="10752" xr:uid="{00000000-0005-0000-0000-000045470000}"/>
    <cellStyle name="Calc Percent (1) 3 3 7" xfId="10753" xr:uid="{00000000-0005-0000-0000-000046470000}"/>
    <cellStyle name="Calc Percent (1) 3 3 8" xfId="10754" xr:uid="{00000000-0005-0000-0000-000047470000}"/>
    <cellStyle name="Calc Percent (1) 3 3 9" xfId="10755" xr:uid="{00000000-0005-0000-0000-000048470000}"/>
    <cellStyle name="Calc Percent (1) 3 4" xfId="10756" xr:uid="{00000000-0005-0000-0000-000049470000}"/>
    <cellStyle name="Calc Percent (1) 3 4 2" xfId="10757" xr:uid="{00000000-0005-0000-0000-00004A470000}"/>
    <cellStyle name="Calc Percent (1) 3 4 3" xfId="10758" xr:uid="{00000000-0005-0000-0000-00004B470000}"/>
    <cellStyle name="Calc Percent (1) 3 4 4" xfId="10759" xr:uid="{00000000-0005-0000-0000-00004C470000}"/>
    <cellStyle name="Calc Percent (1) 3 4 5" xfId="10760" xr:uid="{00000000-0005-0000-0000-00004D470000}"/>
    <cellStyle name="Calc Percent (1) 3 4 6" xfId="10761" xr:uid="{00000000-0005-0000-0000-00004E470000}"/>
    <cellStyle name="Calc Percent (1) 3 4 7" xfId="10762" xr:uid="{00000000-0005-0000-0000-00004F470000}"/>
    <cellStyle name="Calc Percent (1) 3 4 8" xfId="10763" xr:uid="{00000000-0005-0000-0000-000050470000}"/>
    <cellStyle name="Calc Percent (1) 3 5" xfId="10764" xr:uid="{00000000-0005-0000-0000-000051470000}"/>
    <cellStyle name="Calc Percent (1) 3 6" xfId="10765" xr:uid="{00000000-0005-0000-0000-000052470000}"/>
    <cellStyle name="Calc Percent (1) 3 7" xfId="10766" xr:uid="{00000000-0005-0000-0000-000053470000}"/>
    <cellStyle name="Calc Percent (1) 3 8" xfId="10767" xr:uid="{00000000-0005-0000-0000-000054470000}"/>
    <cellStyle name="Calc Percent (1) 3 9" xfId="10768" xr:uid="{00000000-0005-0000-0000-000055470000}"/>
    <cellStyle name="Calc Percent (1) 30" xfId="10769" xr:uid="{00000000-0005-0000-0000-000056470000}"/>
    <cellStyle name="Calc Percent (1) 31" xfId="10770" xr:uid="{00000000-0005-0000-0000-000057470000}"/>
    <cellStyle name="Calc Percent (1) 32" xfId="10771" xr:uid="{00000000-0005-0000-0000-000058470000}"/>
    <cellStyle name="Calc Percent (1) 33" xfId="10772" xr:uid="{00000000-0005-0000-0000-000059470000}"/>
    <cellStyle name="Calc Percent (1) 34" xfId="10773" xr:uid="{00000000-0005-0000-0000-00005A470000}"/>
    <cellStyle name="Calc Percent (1) 35" xfId="10774" xr:uid="{00000000-0005-0000-0000-00005B470000}"/>
    <cellStyle name="Calc Percent (1) 36" xfId="10775" xr:uid="{00000000-0005-0000-0000-00005C470000}"/>
    <cellStyle name="Calc Percent (1) 4" xfId="10776" xr:uid="{00000000-0005-0000-0000-00005D470000}"/>
    <cellStyle name="Calc Percent (1) 4 10" xfId="10777" xr:uid="{00000000-0005-0000-0000-00005E470000}"/>
    <cellStyle name="Calc Percent (1) 4 11" xfId="10778" xr:uid="{00000000-0005-0000-0000-00005F470000}"/>
    <cellStyle name="Calc Percent (1) 4 2" xfId="10779" xr:uid="{00000000-0005-0000-0000-000060470000}"/>
    <cellStyle name="Calc Percent (1) 4 2 2" xfId="10780" xr:uid="{00000000-0005-0000-0000-000061470000}"/>
    <cellStyle name="Calc Percent (1) 4 2 3" xfId="10781" xr:uid="{00000000-0005-0000-0000-000062470000}"/>
    <cellStyle name="Calc Percent (1) 4 2 4" xfId="10782" xr:uid="{00000000-0005-0000-0000-000063470000}"/>
    <cellStyle name="Calc Percent (1) 4 2 5" xfId="10783" xr:uid="{00000000-0005-0000-0000-000064470000}"/>
    <cellStyle name="Calc Percent (1) 4 2 6" xfId="10784" xr:uid="{00000000-0005-0000-0000-000065470000}"/>
    <cellStyle name="Calc Percent (1) 4 2 7" xfId="10785" xr:uid="{00000000-0005-0000-0000-000066470000}"/>
    <cellStyle name="Calc Percent (1) 4 2 8" xfId="10786" xr:uid="{00000000-0005-0000-0000-000067470000}"/>
    <cellStyle name="Calc Percent (1) 4 2 9" xfId="10787" xr:uid="{00000000-0005-0000-0000-000068470000}"/>
    <cellStyle name="Calc Percent (1) 4 3" xfId="10788" xr:uid="{00000000-0005-0000-0000-000069470000}"/>
    <cellStyle name="Calc Percent (1) 4 3 2" xfId="10789" xr:uid="{00000000-0005-0000-0000-00006A470000}"/>
    <cellStyle name="Calc Percent (1) 4 3 3" xfId="10790" xr:uid="{00000000-0005-0000-0000-00006B470000}"/>
    <cellStyle name="Calc Percent (1) 4 3 4" xfId="10791" xr:uid="{00000000-0005-0000-0000-00006C470000}"/>
    <cellStyle name="Calc Percent (1) 4 3 5" xfId="10792" xr:uid="{00000000-0005-0000-0000-00006D470000}"/>
    <cellStyle name="Calc Percent (1) 4 3 6" xfId="10793" xr:uid="{00000000-0005-0000-0000-00006E470000}"/>
    <cellStyle name="Calc Percent (1) 4 3 7" xfId="10794" xr:uid="{00000000-0005-0000-0000-00006F470000}"/>
    <cellStyle name="Calc Percent (1) 4 3 8" xfId="10795" xr:uid="{00000000-0005-0000-0000-000070470000}"/>
    <cellStyle name="Calc Percent (1) 4 3 9" xfId="10796" xr:uid="{00000000-0005-0000-0000-000071470000}"/>
    <cellStyle name="Calc Percent (1) 4 4" xfId="10797" xr:uid="{00000000-0005-0000-0000-000072470000}"/>
    <cellStyle name="Calc Percent (1) 4 5" xfId="10798" xr:uid="{00000000-0005-0000-0000-000073470000}"/>
    <cellStyle name="Calc Percent (1) 4 6" xfId="10799" xr:uid="{00000000-0005-0000-0000-000074470000}"/>
    <cellStyle name="Calc Percent (1) 4 7" xfId="10800" xr:uid="{00000000-0005-0000-0000-000075470000}"/>
    <cellStyle name="Calc Percent (1) 4 8" xfId="10801" xr:uid="{00000000-0005-0000-0000-000076470000}"/>
    <cellStyle name="Calc Percent (1) 4 9" xfId="10802" xr:uid="{00000000-0005-0000-0000-000077470000}"/>
    <cellStyle name="Calc Percent (1) 5" xfId="10803" xr:uid="{00000000-0005-0000-0000-000078470000}"/>
    <cellStyle name="Calc Percent (1) 5 10" xfId="10804" xr:uid="{00000000-0005-0000-0000-000079470000}"/>
    <cellStyle name="Calc Percent (1) 5 11" xfId="10805" xr:uid="{00000000-0005-0000-0000-00007A470000}"/>
    <cellStyle name="Calc Percent (1) 5 2" xfId="10806" xr:uid="{00000000-0005-0000-0000-00007B470000}"/>
    <cellStyle name="Calc Percent (1) 5 2 10" xfId="10807" xr:uid="{00000000-0005-0000-0000-00007C470000}"/>
    <cellStyle name="Calc Percent (1) 5 2 11" xfId="10808" xr:uid="{00000000-0005-0000-0000-00007D470000}"/>
    <cellStyle name="Calc Percent (1) 5 2 12" xfId="10809" xr:uid="{00000000-0005-0000-0000-00007E470000}"/>
    <cellStyle name="Calc Percent (1) 5 2 13" xfId="10810" xr:uid="{00000000-0005-0000-0000-00007F470000}"/>
    <cellStyle name="Calc Percent (1) 5 2 14" xfId="10811" xr:uid="{00000000-0005-0000-0000-000080470000}"/>
    <cellStyle name="Calc Percent (1) 5 2 15" xfId="10812" xr:uid="{00000000-0005-0000-0000-000081470000}"/>
    <cellStyle name="Calc Percent (1) 5 2 16" xfId="10813" xr:uid="{00000000-0005-0000-0000-000082470000}"/>
    <cellStyle name="Calc Percent (1) 5 2 2" xfId="10814" xr:uid="{00000000-0005-0000-0000-000083470000}"/>
    <cellStyle name="Calc Percent (1) 5 2 2 2" xfId="10815" xr:uid="{00000000-0005-0000-0000-000084470000}"/>
    <cellStyle name="Calc Percent (1) 5 2 2 2 2" xfId="10816" xr:uid="{00000000-0005-0000-0000-000085470000}"/>
    <cellStyle name="Calc Percent (1) 5 2 2 2 3" xfId="10817" xr:uid="{00000000-0005-0000-0000-000086470000}"/>
    <cellStyle name="Calc Percent (1) 5 2 2 3" xfId="10818" xr:uid="{00000000-0005-0000-0000-000087470000}"/>
    <cellStyle name="Calc Percent (1) 5 2 3" xfId="10819" xr:uid="{00000000-0005-0000-0000-000088470000}"/>
    <cellStyle name="Calc Percent (1) 5 2 4" xfId="10820" xr:uid="{00000000-0005-0000-0000-000089470000}"/>
    <cellStyle name="Calc Percent (1) 5 2 5" xfId="10821" xr:uid="{00000000-0005-0000-0000-00008A470000}"/>
    <cellStyle name="Calc Percent (1) 5 2 6" xfId="10822" xr:uid="{00000000-0005-0000-0000-00008B470000}"/>
    <cellStyle name="Calc Percent (1) 5 2 7" xfId="10823" xr:uid="{00000000-0005-0000-0000-00008C470000}"/>
    <cellStyle name="Calc Percent (1) 5 2 8" xfId="10824" xr:uid="{00000000-0005-0000-0000-00008D470000}"/>
    <cellStyle name="Calc Percent (1) 5 2 9" xfId="10825" xr:uid="{00000000-0005-0000-0000-00008E470000}"/>
    <cellStyle name="Calc Percent (1) 5 3" xfId="10826" xr:uid="{00000000-0005-0000-0000-00008F470000}"/>
    <cellStyle name="Calc Percent (1) 5 3 2" xfId="10827" xr:uid="{00000000-0005-0000-0000-000090470000}"/>
    <cellStyle name="Calc Percent (1) 5 3 3" xfId="10828" xr:uid="{00000000-0005-0000-0000-000091470000}"/>
    <cellStyle name="Calc Percent (1) 5 3 4" xfId="10829" xr:uid="{00000000-0005-0000-0000-000092470000}"/>
    <cellStyle name="Calc Percent (1) 5 3 5" xfId="10830" xr:uid="{00000000-0005-0000-0000-000093470000}"/>
    <cellStyle name="Calc Percent (1) 5 3 6" xfId="10831" xr:uid="{00000000-0005-0000-0000-000094470000}"/>
    <cellStyle name="Calc Percent (1) 5 3 7" xfId="10832" xr:uid="{00000000-0005-0000-0000-000095470000}"/>
    <cellStyle name="Calc Percent (1) 5 3 8" xfId="10833" xr:uid="{00000000-0005-0000-0000-000096470000}"/>
    <cellStyle name="Calc Percent (1) 5 3 9" xfId="10834" xr:uid="{00000000-0005-0000-0000-000097470000}"/>
    <cellStyle name="Calc Percent (1) 5 4" xfId="10835" xr:uid="{00000000-0005-0000-0000-000098470000}"/>
    <cellStyle name="Calc Percent (1) 5 5" xfId="10836" xr:uid="{00000000-0005-0000-0000-000099470000}"/>
    <cellStyle name="Calc Percent (1) 5 6" xfId="10837" xr:uid="{00000000-0005-0000-0000-00009A470000}"/>
    <cellStyle name="Calc Percent (1) 5 6 2" xfId="10838" xr:uid="{00000000-0005-0000-0000-00009B470000}"/>
    <cellStyle name="Calc Percent (1) 5 6 3" xfId="10839" xr:uid="{00000000-0005-0000-0000-00009C470000}"/>
    <cellStyle name="Calc Percent (1) 5 6 4" xfId="10840" xr:uid="{00000000-0005-0000-0000-00009D470000}"/>
    <cellStyle name="Calc Percent (1) 5 6 5" xfId="10841" xr:uid="{00000000-0005-0000-0000-00009E470000}"/>
    <cellStyle name="Calc Percent (1) 5 6 6" xfId="10842" xr:uid="{00000000-0005-0000-0000-00009F470000}"/>
    <cellStyle name="Calc Percent (1) 5 6 7" xfId="10843" xr:uid="{00000000-0005-0000-0000-0000A0470000}"/>
    <cellStyle name="Calc Percent (1) 5 6 8" xfId="10844" xr:uid="{00000000-0005-0000-0000-0000A1470000}"/>
    <cellStyle name="Calc Percent (1) 5 7" xfId="10845" xr:uid="{00000000-0005-0000-0000-0000A2470000}"/>
    <cellStyle name="Calc Percent (1) 5 8" xfId="10846" xr:uid="{00000000-0005-0000-0000-0000A3470000}"/>
    <cellStyle name="Calc Percent (1) 5 9" xfId="10847" xr:uid="{00000000-0005-0000-0000-0000A4470000}"/>
    <cellStyle name="Calc Percent (1) 6" xfId="10848" xr:uid="{00000000-0005-0000-0000-0000A5470000}"/>
    <cellStyle name="Calc Percent (1) 6 10" xfId="10849" xr:uid="{00000000-0005-0000-0000-0000A6470000}"/>
    <cellStyle name="Calc Percent (1) 6 11" xfId="10850" xr:uid="{00000000-0005-0000-0000-0000A7470000}"/>
    <cellStyle name="Calc Percent (1) 6 2" xfId="10851" xr:uid="{00000000-0005-0000-0000-0000A8470000}"/>
    <cellStyle name="Calc Percent (1) 6 2 2" xfId="10852" xr:uid="{00000000-0005-0000-0000-0000A9470000}"/>
    <cellStyle name="Calc Percent (1) 6 2 3" xfId="10853" xr:uid="{00000000-0005-0000-0000-0000AA470000}"/>
    <cellStyle name="Calc Percent (1) 6 2 4" xfId="10854" xr:uid="{00000000-0005-0000-0000-0000AB470000}"/>
    <cellStyle name="Calc Percent (1) 6 2 5" xfId="10855" xr:uid="{00000000-0005-0000-0000-0000AC470000}"/>
    <cellStyle name="Calc Percent (1) 6 2 6" xfId="10856" xr:uid="{00000000-0005-0000-0000-0000AD470000}"/>
    <cellStyle name="Calc Percent (1) 6 2 7" xfId="10857" xr:uid="{00000000-0005-0000-0000-0000AE470000}"/>
    <cellStyle name="Calc Percent (1) 6 2 8" xfId="10858" xr:uid="{00000000-0005-0000-0000-0000AF470000}"/>
    <cellStyle name="Calc Percent (1) 6 2 9" xfId="10859" xr:uid="{00000000-0005-0000-0000-0000B0470000}"/>
    <cellStyle name="Calc Percent (1) 6 3" xfId="10860" xr:uid="{00000000-0005-0000-0000-0000B1470000}"/>
    <cellStyle name="Calc Percent (1) 6 3 2" xfId="10861" xr:uid="{00000000-0005-0000-0000-0000B2470000}"/>
    <cellStyle name="Calc Percent (1) 6 3 3" xfId="10862" xr:uid="{00000000-0005-0000-0000-0000B3470000}"/>
    <cellStyle name="Calc Percent (1) 6 3 4" xfId="10863" xr:uid="{00000000-0005-0000-0000-0000B4470000}"/>
    <cellStyle name="Calc Percent (1) 6 3 5" xfId="10864" xr:uid="{00000000-0005-0000-0000-0000B5470000}"/>
    <cellStyle name="Calc Percent (1) 6 3 6" xfId="10865" xr:uid="{00000000-0005-0000-0000-0000B6470000}"/>
    <cellStyle name="Calc Percent (1) 6 3 7" xfId="10866" xr:uid="{00000000-0005-0000-0000-0000B7470000}"/>
    <cellStyle name="Calc Percent (1) 6 3 8" xfId="10867" xr:uid="{00000000-0005-0000-0000-0000B8470000}"/>
    <cellStyle name="Calc Percent (1) 6 3 9" xfId="10868" xr:uid="{00000000-0005-0000-0000-0000B9470000}"/>
    <cellStyle name="Calc Percent (1) 6 4" xfId="10869" xr:uid="{00000000-0005-0000-0000-0000BA470000}"/>
    <cellStyle name="Calc Percent (1) 6 5" xfId="10870" xr:uid="{00000000-0005-0000-0000-0000BB470000}"/>
    <cellStyle name="Calc Percent (1) 6 6" xfId="10871" xr:uid="{00000000-0005-0000-0000-0000BC470000}"/>
    <cellStyle name="Calc Percent (1) 6 7" xfId="10872" xr:uid="{00000000-0005-0000-0000-0000BD470000}"/>
    <cellStyle name="Calc Percent (1) 6 8" xfId="10873" xr:uid="{00000000-0005-0000-0000-0000BE470000}"/>
    <cellStyle name="Calc Percent (1) 6 9" xfId="10874" xr:uid="{00000000-0005-0000-0000-0000BF470000}"/>
    <cellStyle name="Calc Percent (1) 7" xfId="10875" xr:uid="{00000000-0005-0000-0000-0000C0470000}"/>
    <cellStyle name="Calc Percent (1) 7 10" xfId="10876" xr:uid="{00000000-0005-0000-0000-0000C1470000}"/>
    <cellStyle name="Calc Percent (1) 7 11" xfId="10877" xr:uid="{00000000-0005-0000-0000-0000C2470000}"/>
    <cellStyle name="Calc Percent (1) 7 2" xfId="10878" xr:uid="{00000000-0005-0000-0000-0000C3470000}"/>
    <cellStyle name="Calc Percent (1) 7 2 2" xfId="10879" xr:uid="{00000000-0005-0000-0000-0000C4470000}"/>
    <cellStyle name="Calc Percent (1) 7 2 3" xfId="10880" xr:uid="{00000000-0005-0000-0000-0000C5470000}"/>
    <cellStyle name="Calc Percent (1) 7 2 4" xfId="10881" xr:uid="{00000000-0005-0000-0000-0000C6470000}"/>
    <cellStyle name="Calc Percent (1) 7 2 5" xfId="10882" xr:uid="{00000000-0005-0000-0000-0000C7470000}"/>
    <cellStyle name="Calc Percent (1) 7 2 6" xfId="10883" xr:uid="{00000000-0005-0000-0000-0000C8470000}"/>
    <cellStyle name="Calc Percent (1) 7 2 7" xfId="10884" xr:uid="{00000000-0005-0000-0000-0000C9470000}"/>
    <cellStyle name="Calc Percent (1) 7 2 8" xfId="10885" xr:uid="{00000000-0005-0000-0000-0000CA470000}"/>
    <cellStyle name="Calc Percent (1) 7 2 9" xfId="10886" xr:uid="{00000000-0005-0000-0000-0000CB470000}"/>
    <cellStyle name="Calc Percent (1) 7 3" xfId="10887" xr:uid="{00000000-0005-0000-0000-0000CC470000}"/>
    <cellStyle name="Calc Percent (1) 7 3 2" xfId="10888" xr:uid="{00000000-0005-0000-0000-0000CD470000}"/>
    <cellStyle name="Calc Percent (1) 7 3 3" xfId="10889" xr:uid="{00000000-0005-0000-0000-0000CE470000}"/>
    <cellStyle name="Calc Percent (1) 7 3 4" xfId="10890" xr:uid="{00000000-0005-0000-0000-0000CF470000}"/>
    <cellStyle name="Calc Percent (1) 7 3 5" xfId="10891" xr:uid="{00000000-0005-0000-0000-0000D0470000}"/>
    <cellStyle name="Calc Percent (1) 7 3 6" xfId="10892" xr:uid="{00000000-0005-0000-0000-0000D1470000}"/>
    <cellStyle name="Calc Percent (1) 7 3 7" xfId="10893" xr:uid="{00000000-0005-0000-0000-0000D2470000}"/>
    <cellStyle name="Calc Percent (1) 7 3 8" xfId="10894" xr:uid="{00000000-0005-0000-0000-0000D3470000}"/>
    <cellStyle name="Calc Percent (1) 7 3 9" xfId="10895" xr:uid="{00000000-0005-0000-0000-0000D4470000}"/>
    <cellStyle name="Calc Percent (1) 7 4" xfId="10896" xr:uid="{00000000-0005-0000-0000-0000D5470000}"/>
    <cellStyle name="Calc Percent (1) 7 5" xfId="10897" xr:uid="{00000000-0005-0000-0000-0000D6470000}"/>
    <cellStyle name="Calc Percent (1) 7 6" xfId="10898" xr:uid="{00000000-0005-0000-0000-0000D7470000}"/>
    <cellStyle name="Calc Percent (1) 7 7" xfId="10899" xr:uid="{00000000-0005-0000-0000-0000D8470000}"/>
    <cellStyle name="Calc Percent (1) 7 8" xfId="10900" xr:uid="{00000000-0005-0000-0000-0000D9470000}"/>
    <cellStyle name="Calc Percent (1) 7 9" xfId="10901" xr:uid="{00000000-0005-0000-0000-0000DA470000}"/>
    <cellStyle name="Calc Percent (1) 8" xfId="10902" xr:uid="{00000000-0005-0000-0000-0000DB470000}"/>
    <cellStyle name="Calc Percent (1) 8 10" xfId="10903" xr:uid="{00000000-0005-0000-0000-0000DC470000}"/>
    <cellStyle name="Calc Percent (1) 8 11" xfId="10904" xr:uid="{00000000-0005-0000-0000-0000DD470000}"/>
    <cellStyle name="Calc Percent (1) 8 2" xfId="10905" xr:uid="{00000000-0005-0000-0000-0000DE470000}"/>
    <cellStyle name="Calc Percent (1) 8 2 2" xfId="10906" xr:uid="{00000000-0005-0000-0000-0000DF470000}"/>
    <cellStyle name="Calc Percent (1) 8 2 3" xfId="10907" xr:uid="{00000000-0005-0000-0000-0000E0470000}"/>
    <cellStyle name="Calc Percent (1) 8 2 4" xfId="10908" xr:uid="{00000000-0005-0000-0000-0000E1470000}"/>
    <cellStyle name="Calc Percent (1) 8 2 5" xfId="10909" xr:uid="{00000000-0005-0000-0000-0000E2470000}"/>
    <cellStyle name="Calc Percent (1) 8 2 6" xfId="10910" xr:uid="{00000000-0005-0000-0000-0000E3470000}"/>
    <cellStyle name="Calc Percent (1) 8 2 7" xfId="10911" xr:uid="{00000000-0005-0000-0000-0000E4470000}"/>
    <cellStyle name="Calc Percent (1) 8 2 8" xfId="10912" xr:uid="{00000000-0005-0000-0000-0000E5470000}"/>
    <cellStyle name="Calc Percent (1) 8 2 9" xfId="10913" xr:uid="{00000000-0005-0000-0000-0000E6470000}"/>
    <cellStyle name="Calc Percent (1) 8 3" xfId="10914" xr:uid="{00000000-0005-0000-0000-0000E7470000}"/>
    <cellStyle name="Calc Percent (1) 8 3 2" xfId="10915" xr:uid="{00000000-0005-0000-0000-0000E8470000}"/>
    <cellStyle name="Calc Percent (1) 8 3 3" xfId="10916" xr:uid="{00000000-0005-0000-0000-0000E9470000}"/>
    <cellStyle name="Calc Percent (1) 8 3 4" xfId="10917" xr:uid="{00000000-0005-0000-0000-0000EA470000}"/>
    <cellStyle name="Calc Percent (1) 8 3 5" xfId="10918" xr:uid="{00000000-0005-0000-0000-0000EB470000}"/>
    <cellStyle name="Calc Percent (1) 8 3 6" xfId="10919" xr:uid="{00000000-0005-0000-0000-0000EC470000}"/>
    <cellStyle name="Calc Percent (1) 8 3 7" xfId="10920" xr:uid="{00000000-0005-0000-0000-0000ED470000}"/>
    <cellStyle name="Calc Percent (1) 8 3 8" xfId="10921" xr:uid="{00000000-0005-0000-0000-0000EE470000}"/>
    <cellStyle name="Calc Percent (1) 8 3 9" xfId="10922" xr:uid="{00000000-0005-0000-0000-0000EF470000}"/>
    <cellStyle name="Calc Percent (1) 8 4" xfId="10923" xr:uid="{00000000-0005-0000-0000-0000F0470000}"/>
    <cellStyle name="Calc Percent (1) 8 5" xfId="10924" xr:uid="{00000000-0005-0000-0000-0000F1470000}"/>
    <cellStyle name="Calc Percent (1) 8 6" xfId="10925" xr:uid="{00000000-0005-0000-0000-0000F2470000}"/>
    <cellStyle name="Calc Percent (1) 8 7" xfId="10926" xr:uid="{00000000-0005-0000-0000-0000F3470000}"/>
    <cellStyle name="Calc Percent (1) 8 8" xfId="10927" xr:uid="{00000000-0005-0000-0000-0000F4470000}"/>
    <cellStyle name="Calc Percent (1) 8 9" xfId="10928" xr:uid="{00000000-0005-0000-0000-0000F5470000}"/>
    <cellStyle name="Calc Percent (1) 9" xfId="10929" xr:uid="{00000000-0005-0000-0000-0000F6470000}"/>
    <cellStyle name="Calc Percent (1) 9 10" xfId="10930" xr:uid="{00000000-0005-0000-0000-0000F7470000}"/>
    <cellStyle name="Calc Percent (1) 9 11" xfId="10931" xr:uid="{00000000-0005-0000-0000-0000F8470000}"/>
    <cellStyle name="Calc Percent (1) 9 2" xfId="10932" xr:uid="{00000000-0005-0000-0000-0000F9470000}"/>
    <cellStyle name="Calc Percent (1) 9 2 10" xfId="10933" xr:uid="{00000000-0005-0000-0000-0000FA470000}"/>
    <cellStyle name="Calc Percent (1) 9 2 11" xfId="10934" xr:uid="{00000000-0005-0000-0000-0000FB470000}"/>
    <cellStyle name="Calc Percent (1) 9 2 12" xfId="10935" xr:uid="{00000000-0005-0000-0000-0000FC470000}"/>
    <cellStyle name="Calc Percent (1) 9 2 13" xfId="10936" xr:uid="{00000000-0005-0000-0000-0000FD470000}"/>
    <cellStyle name="Calc Percent (1) 9 2 14" xfId="10937" xr:uid="{00000000-0005-0000-0000-0000FE470000}"/>
    <cellStyle name="Calc Percent (1) 9 2 15" xfId="10938" xr:uid="{00000000-0005-0000-0000-0000FF470000}"/>
    <cellStyle name="Calc Percent (1) 9 2 16" xfId="10939" xr:uid="{00000000-0005-0000-0000-000000480000}"/>
    <cellStyle name="Calc Percent (1) 9 2 2" xfId="10940" xr:uid="{00000000-0005-0000-0000-000001480000}"/>
    <cellStyle name="Calc Percent (1) 9 2 3" xfId="10941" xr:uid="{00000000-0005-0000-0000-000002480000}"/>
    <cellStyle name="Calc Percent (1) 9 2 4" xfId="10942" xr:uid="{00000000-0005-0000-0000-000003480000}"/>
    <cellStyle name="Calc Percent (1) 9 2 5" xfId="10943" xr:uid="{00000000-0005-0000-0000-000004480000}"/>
    <cellStyle name="Calc Percent (1) 9 2 6" xfId="10944" xr:uid="{00000000-0005-0000-0000-000005480000}"/>
    <cellStyle name="Calc Percent (1) 9 2 7" xfId="10945" xr:uid="{00000000-0005-0000-0000-000006480000}"/>
    <cellStyle name="Calc Percent (1) 9 2 8" xfId="10946" xr:uid="{00000000-0005-0000-0000-000007480000}"/>
    <cellStyle name="Calc Percent (1) 9 2 9" xfId="10947" xr:uid="{00000000-0005-0000-0000-000008480000}"/>
    <cellStyle name="Calc Percent (1) 9 3" xfId="10948" xr:uid="{00000000-0005-0000-0000-000009480000}"/>
    <cellStyle name="Calc Percent (1) 9 3 2" xfId="10949" xr:uid="{00000000-0005-0000-0000-00000A480000}"/>
    <cellStyle name="Calc Percent (1) 9 3 3" xfId="10950" xr:uid="{00000000-0005-0000-0000-00000B480000}"/>
    <cellStyle name="Calc Percent (1) 9 3 4" xfId="10951" xr:uid="{00000000-0005-0000-0000-00000C480000}"/>
    <cellStyle name="Calc Percent (1) 9 3 5" xfId="10952" xr:uid="{00000000-0005-0000-0000-00000D480000}"/>
    <cellStyle name="Calc Percent (1) 9 3 6" xfId="10953" xr:uid="{00000000-0005-0000-0000-00000E480000}"/>
    <cellStyle name="Calc Percent (1) 9 3 7" xfId="10954" xr:uid="{00000000-0005-0000-0000-00000F480000}"/>
    <cellStyle name="Calc Percent (1) 9 3 8" xfId="10955" xr:uid="{00000000-0005-0000-0000-000010480000}"/>
    <cellStyle name="Calc Percent (1) 9 3 9" xfId="10956" xr:uid="{00000000-0005-0000-0000-000011480000}"/>
    <cellStyle name="Calc Percent (1) 9 4" xfId="10957" xr:uid="{00000000-0005-0000-0000-000012480000}"/>
    <cellStyle name="Calc Percent (1) 9 4 2" xfId="10958" xr:uid="{00000000-0005-0000-0000-000013480000}"/>
    <cellStyle name="Calc Percent (1) 9 4 3" xfId="10959" xr:uid="{00000000-0005-0000-0000-000014480000}"/>
    <cellStyle name="Calc Percent (1) 9 4 4" xfId="10960" xr:uid="{00000000-0005-0000-0000-000015480000}"/>
    <cellStyle name="Calc Percent (1) 9 4 5" xfId="10961" xr:uid="{00000000-0005-0000-0000-000016480000}"/>
    <cellStyle name="Calc Percent (1) 9 4 6" xfId="10962" xr:uid="{00000000-0005-0000-0000-000017480000}"/>
    <cellStyle name="Calc Percent (1) 9 4 7" xfId="10963" xr:uid="{00000000-0005-0000-0000-000018480000}"/>
    <cellStyle name="Calc Percent (1) 9 4 8" xfId="10964" xr:uid="{00000000-0005-0000-0000-000019480000}"/>
    <cellStyle name="Calc Percent (1) 9 5" xfId="10965" xr:uid="{00000000-0005-0000-0000-00001A480000}"/>
    <cellStyle name="Calc Percent (1) 9 6" xfId="10966" xr:uid="{00000000-0005-0000-0000-00001B480000}"/>
    <cellStyle name="Calc Percent (1) 9 7" xfId="10967" xr:uid="{00000000-0005-0000-0000-00001C480000}"/>
    <cellStyle name="Calc Percent (1) 9 8" xfId="10968" xr:uid="{00000000-0005-0000-0000-00001D480000}"/>
    <cellStyle name="Calc Percent (1) 9 9" xfId="10969" xr:uid="{00000000-0005-0000-0000-00001E480000}"/>
    <cellStyle name="Calc Percent (2)" xfId="10970" xr:uid="{00000000-0005-0000-0000-00001F480000}"/>
    <cellStyle name="Calc Units (0)" xfId="10971" xr:uid="{00000000-0005-0000-0000-000020480000}"/>
    <cellStyle name="Calc Units (1)" xfId="10972" xr:uid="{00000000-0005-0000-0000-000021480000}"/>
    <cellStyle name="Calc Units (2)" xfId="10973" xr:uid="{00000000-0005-0000-0000-000022480000}"/>
    <cellStyle name="Calc x [1]" xfId="10974" xr:uid="{00000000-0005-0000-0000-000023480000}"/>
    <cellStyle name="Calc$" xfId="10975" xr:uid="{00000000-0005-0000-0000-000024480000}"/>
    <cellStyle name="Calc$ 2" xfId="10976" xr:uid="{00000000-0005-0000-0000-000025480000}"/>
    <cellStyle name="Calc%" xfId="10977" xr:uid="{00000000-0005-0000-0000-000026480000}"/>
    <cellStyle name="Calc% 2" xfId="10978" xr:uid="{00000000-0005-0000-0000-000027480000}"/>
    <cellStyle name="Calculation 10" xfId="10979" xr:uid="{00000000-0005-0000-0000-000028480000}"/>
    <cellStyle name="Calculation 11" xfId="10980" xr:uid="{00000000-0005-0000-0000-000029480000}"/>
    <cellStyle name="Calculation 12" xfId="10981" xr:uid="{00000000-0005-0000-0000-00002A480000}"/>
    <cellStyle name="Calculation 13" xfId="10982" xr:uid="{00000000-0005-0000-0000-00002B480000}"/>
    <cellStyle name="Calculation 14" xfId="10983" xr:uid="{00000000-0005-0000-0000-00002C480000}"/>
    <cellStyle name="Calculation 2" xfId="10984" xr:uid="{00000000-0005-0000-0000-00002D480000}"/>
    <cellStyle name="Calculation 2 2" xfId="10985" xr:uid="{00000000-0005-0000-0000-00002E480000}"/>
    <cellStyle name="Calculation 2 2 2" xfId="10986" xr:uid="{00000000-0005-0000-0000-00002F480000}"/>
    <cellStyle name="Calculation 2 2 2 2" xfId="20066" xr:uid="{00000000-0005-0000-0000-000030480000}"/>
    <cellStyle name="Calculation 2 2 3" xfId="20065" xr:uid="{00000000-0005-0000-0000-000031480000}"/>
    <cellStyle name="Calculation 3" xfId="10987" xr:uid="{00000000-0005-0000-0000-000032480000}"/>
    <cellStyle name="Calculation 3 2" xfId="10988" xr:uid="{00000000-0005-0000-0000-000033480000}"/>
    <cellStyle name="Calculation 3 2 2" xfId="10989" xr:uid="{00000000-0005-0000-0000-000034480000}"/>
    <cellStyle name="Calculation 3 2 2 2" xfId="20068" xr:uid="{00000000-0005-0000-0000-000035480000}"/>
    <cellStyle name="Calculation 3 2 3" xfId="20067" xr:uid="{00000000-0005-0000-0000-000036480000}"/>
    <cellStyle name="Calculation 4" xfId="10990" xr:uid="{00000000-0005-0000-0000-000037480000}"/>
    <cellStyle name="Calculation 5" xfId="10991" xr:uid="{00000000-0005-0000-0000-000038480000}"/>
    <cellStyle name="Calculation 6" xfId="10992" xr:uid="{00000000-0005-0000-0000-000039480000}"/>
    <cellStyle name="Calculation 7" xfId="10993" xr:uid="{00000000-0005-0000-0000-00003A480000}"/>
    <cellStyle name="Calculation 8" xfId="10994" xr:uid="{00000000-0005-0000-0000-00003B480000}"/>
    <cellStyle name="Calculation 9" xfId="10995" xr:uid="{00000000-0005-0000-0000-00003C480000}"/>
    <cellStyle name="Cálculo" xfId="10996" xr:uid="{00000000-0005-0000-0000-00003D480000}"/>
    <cellStyle name="Cancel" xfId="10997" xr:uid="{00000000-0005-0000-0000-00003E480000}"/>
    <cellStyle name="Caption" xfId="10998" xr:uid="{00000000-0005-0000-0000-00003F480000}"/>
    <cellStyle name="Case" xfId="10999" xr:uid="{00000000-0005-0000-0000-000040480000}"/>
    <cellStyle name="Case %" xfId="11000" xr:uid="{00000000-0005-0000-0000-000041480000}"/>
    <cellStyle name="Case 2" xfId="11001" xr:uid="{00000000-0005-0000-0000-000042480000}"/>
    <cellStyle name="Cash Flow Statement" xfId="11002" xr:uid="{00000000-0005-0000-0000-000043480000}"/>
    <cellStyle name="Cash Flow Statement 2" xfId="11003" xr:uid="{00000000-0005-0000-0000-000044480000}"/>
    <cellStyle name="Cash Flow Statement 2 2" xfId="11004" xr:uid="{00000000-0005-0000-0000-000045480000}"/>
    <cellStyle name="Cash Flow Statement 3" xfId="11005" xr:uid="{00000000-0005-0000-0000-000046480000}"/>
    <cellStyle name="Cash Flow Statement 4" xfId="11006" xr:uid="{00000000-0005-0000-0000-000047480000}"/>
    <cellStyle name="Cash Flow Statement 5" xfId="11007" xr:uid="{00000000-0005-0000-0000-000048480000}"/>
    <cellStyle name="category" xfId="11008" xr:uid="{00000000-0005-0000-0000-000049480000}"/>
    <cellStyle name="Category Name" xfId="11009" xr:uid="{00000000-0005-0000-0000-00004A480000}"/>
    <cellStyle name="Category Name 2" xfId="11010" xr:uid="{00000000-0005-0000-0000-00004B480000}"/>
    <cellStyle name="Category Name 2 2" xfId="11011" xr:uid="{00000000-0005-0000-0000-00004C480000}"/>
    <cellStyle name="Category Name 2 2 2" xfId="11012" xr:uid="{00000000-0005-0000-0000-00004D480000}"/>
    <cellStyle name="Category Name 2 2 2 2" xfId="11013" xr:uid="{00000000-0005-0000-0000-00004E480000}"/>
    <cellStyle name="Category Name 2 2 2 2 2" xfId="16074" xr:uid="{00000000-0005-0000-0000-00004F480000}"/>
    <cellStyle name="Category Name 2 2 2 2 3" xfId="20073" xr:uid="{00000000-0005-0000-0000-000050480000}"/>
    <cellStyle name="Category Name 2 2 2 3" xfId="16073" xr:uid="{00000000-0005-0000-0000-000051480000}"/>
    <cellStyle name="Category Name 2 2 2 4" xfId="20072" xr:uid="{00000000-0005-0000-0000-000052480000}"/>
    <cellStyle name="Category Name 2 2 3" xfId="11014" xr:uid="{00000000-0005-0000-0000-000053480000}"/>
    <cellStyle name="Category Name 2 2 3 2" xfId="16075" xr:uid="{00000000-0005-0000-0000-000054480000}"/>
    <cellStyle name="Category Name 2 2 3 3" xfId="20074" xr:uid="{00000000-0005-0000-0000-000055480000}"/>
    <cellStyle name="Category Name 2 2 4" xfId="16072" xr:uid="{00000000-0005-0000-0000-000056480000}"/>
    <cellStyle name="Category Name 2 2 5" xfId="20071" xr:uid="{00000000-0005-0000-0000-000057480000}"/>
    <cellStyle name="Category Name 2 3" xfId="11015" xr:uid="{00000000-0005-0000-0000-000058480000}"/>
    <cellStyle name="Category Name 2 3 2" xfId="11016" xr:uid="{00000000-0005-0000-0000-000059480000}"/>
    <cellStyle name="Category Name 2 3 2 2" xfId="11017" xr:uid="{00000000-0005-0000-0000-00005A480000}"/>
    <cellStyle name="Category Name 2 3 2 2 2" xfId="16078" xr:uid="{00000000-0005-0000-0000-00005B480000}"/>
    <cellStyle name="Category Name 2 3 2 2 3" xfId="20077" xr:uid="{00000000-0005-0000-0000-00005C480000}"/>
    <cellStyle name="Category Name 2 3 2 3" xfId="16077" xr:uid="{00000000-0005-0000-0000-00005D480000}"/>
    <cellStyle name="Category Name 2 3 2 4" xfId="20076" xr:uid="{00000000-0005-0000-0000-00005E480000}"/>
    <cellStyle name="Category Name 2 3 3" xfId="11018" xr:uid="{00000000-0005-0000-0000-00005F480000}"/>
    <cellStyle name="Category Name 2 3 3 2" xfId="16079" xr:uid="{00000000-0005-0000-0000-000060480000}"/>
    <cellStyle name="Category Name 2 3 3 3" xfId="20078" xr:uid="{00000000-0005-0000-0000-000061480000}"/>
    <cellStyle name="Category Name 2 3 4" xfId="16076" xr:uid="{00000000-0005-0000-0000-000062480000}"/>
    <cellStyle name="Category Name 2 3 5" xfId="20075" xr:uid="{00000000-0005-0000-0000-000063480000}"/>
    <cellStyle name="Category Name 2 4" xfId="11019" xr:uid="{00000000-0005-0000-0000-000064480000}"/>
    <cellStyle name="Category Name 2 4 2" xfId="11020" xr:uid="{00000000-0005-0000-0000-000065480000}"/>
    <cellStyle name="Category Name 2 4 2 2" xfId="11021" xr:uid="{00000000-0005-0000-0000-000066480000}"/>
    <cellStyle name="Category Name 2 4 2 2 2" xfId="16082" xr:uid="{00000000-0005-0000-0000-000067480000}"/>
    <cellStyle name="Category Name 2 4 2 2 3" xfId="20081" xr:uid="{00000000-0005-0000-0000-000068480000}"/>
    <cellStyle name="Category Name 2 4 2 3" xfId="16081" xr:uid="{00000000-0005-0000-0000-000069480000}"/>
    <cellStyle name="Category Name 2 4 2 4" xfId="20080" xr:uid="{00000000-0005-0000-0000-00006A480000}"/>
    <cellStyle name="Category Name 2 4 3" xfId="11022" xr:uid="{00000000-0005-0000-0000-00006B480000}"/>
    <cellStyle name="Category Name 2 4 3 2" xfId="16083" xr:uid="{00000000-0005-0000-0000-00006C480000}"/>
    <cellStyle name="Category Name 2 4 3 3" xfId="20082" xr:uid="{00000000-0005-0000-0000-00006D480000}"/>
    <cellStyle name="Category Name 2 4 4" xfId="16080" xr:uid="{00000000-0005-0000-0000-00006E480000}"/>
    <cellStyle name="Category Name 2 4 5" xfId="20079" xr:uid="{00000000-0005-0000-0000-00006F480000}"/>
    <cellStyle name="Category Name 2 5" xfId="11023" xr:uid="{00000000-0005-0000-0000-000070480000}"/>
    <cellStyle name="Category Name 2 5 2" xfId="16084" xr:uid="{00000000-0005-0000-0000-000071480000}"/>
    <cellStyle name="Category Name 2 5 3" xfId="20083" xr:uid="{00000000-0005-0000-0000-000072480000}"/>
    <cellStyle name="Category Name 2 6" xfId="16071" xr:uid="{00000000-0005-0000-0000-000073480000}"/>
    <cellStyle name="Category Name 2 7" xfId="20070" xr:uid="{00000000-0005-0000-0000-000074480000}"/>
    <cellStyle name="Category Name 3" xfId="11024" xr:uid="{00000000-0005-0000-0000-000075480000}"/>
    <cellStyle name="Category Name 3 2" xfId="11025" xr:uid="{00000000-0005-0000-0000-000076480000}"/>
    <cellStyle name="Category Name 3 2 2" xfId="11026" xr:uid="{00000000-0005-0000-0000-000077480000}"/>
    <cellStyle name="Category Name 3 2 2 2" xfId="16087" xr:uid="{00000000-0005-0000-0000-000078480000}"/>
    <cellStyle name="Category Name 3 2 2 3" xfId="20086" xr:uid="{00000000-0005-0000-0000-000079480000}"/>
    <cellStyle name="Category Name 3 2 3" xfId="16086" xr:uid="{00000000-0005-0000-0000-00007A480000}"/>
    <cellStyle name="Category Name 3 2 4" xfId="20085" xr:uid="{00000000-0005-0000-0000-00007B480000}"/>
    <cellStyle name="Category Name 3 3" xfId="11027" xr:uid="{00000000-0005-0000-0000-00007C480000}"/>
    <cellStyle name="Category Name 3 3 2" xfId="11028" xr:uid="{00000000-0005-0000-0000-00007D480000}"/>
    <cellStyle name="Category Name 3 3 2 2" xfId="16089" xr:uid="{00000000-0005-0000-0000-00007E480000}"/>
    <cellStyle name="Category Name 3 3 2 3" xfId="20088" xr:uid="{00000000-0005-0000-0000-00007F480000}"/>
    <cellStyle name="Category Name 3 3 3" xfId="16088" xr:uid="{00000000-0005-0000-0000-000080480000}"/>
    <cellStyle name="Category Name 3 3 4" xfId="20087" xr:uid="{00000000-0005-0000-0000-000081480000}"/>
    <cellStyle name="Category Name 3 4" xfId="11029" xr:uid="{00000000-0005-0000-0000-000082480000}"/>
    <cellStyle name="Category Name 3 4 2" xfId="16090" xr:uid="{00000000-0005-0000-0000-000083480000}"/>
    <cellStyle name="Category Name 3 4 3" xfId="20089" xr:uid="{00000000-0005-0000-0000-000084480000}"/>
    <cellStyle name="Category Name 3 5" xfId="16085" xr:uid="{00000000-0005-0000-0000-000085480000}"/>
    <cellStyle name="Category Name 3 6" xfId="20084" xr:uid="{00000000-0005-0000-0000-000086480000}"/>
    <cellStyle name="Category Name 4" xfId="11030" xr:uid="{00000000-0005-0000-0000-000087480000}"/>
    <cellStyle name="Category Name 4 2" xfId="11031" xr:uid="{00000000-0005-0000-0000-000088480000}"/>
    <cellStyle name="Category Name 4 2 2" xfId="11032" xr:uid="{00000000-0005-0000-0000-000089480000}"/>
    <cellStyle name="Category Name 4 2 2 2" xfId="16093" xr:uid="{00000000-0005-0000-0000-00008A480000}"/>
    <cellStyle name="Category Name 4 2 2 3" xfId="20092" xr:uid="{00000000-0005-0000-0000-00008B480000}"/>
    <cellStyle name="Category Name 4 2 3" xfId="16092" xr:uid="{00000000-0005-0000-0000-00008C480000}"/>
    <cellStyle name="Category Name 4 2 4" xfId="20091" xr:uid="{00000000-0005-0000-0000-00008D480000}"/>
    <cellStyle name="Category Name 4 3" xfId="11033" xr:uid="{00000000-0005-0000-0000-00008E480000}"/>
    <cellStyle name="Category Name 4 3 2" xfId="16094" xr:uid="{00000000-0005-0000-0000-00008F480000}"/>
    <cellStyle name="Category Name 4 3 3" xfId="20093" xr:uid="{00000000-0005-0000-0000-000090480000}"/>
    <cellStyle name="Category Name 4 4" xfId="16091" xr:uid="{00000000-0005-0000-0000-000091480000}"/>
    <cellStyle name="Category Name 4 5" xfId="20090" xr:uid="{00000000-0005-0000-0000-000092480000}"/>
    <cellStyle name="Category Name 5" xfId="11034" xr:uid="{00000000-0005-0000-0000-000093480000}"/>
    <cellStyle name="Category Name 5 2" xfId="11035" xr:uid="{00000000-0005-0000-0000-000094480000}"/>
    <cellStyle name="Category Name 5 2 2" xfId="11036" xr:uid="{00000000-0005-0000-0000-000095480000}"/>
    <cellStyle name="Category Name 5 2 2 2" xfId="16097" xr:uid="{00000000-0005-0000-0000-000096480000}"/>
    <cellStyle name="Category Name 5 2 2 3" xfId="20096" xr:uid="{00000000-0005-0000-0000-000097480000}"/>
    <cellStyle name="Category Name 5 2 3" xfId="16096" xr:uid="{00000000-0005-0000-0000-000098480000}"/>
    <cellStyle name="Category Name 5 2 4" xfId="20095" xr:uid="{00000000-0005-0000-0000-000099480000}"/>
    <cellStyle name="Category Name 5 3" xfId="11037" xr:uid="{00000000-0005-0000-0000-00009A480000}"/>
    <cellStyle name="Category Name 5 3 2" xfId="16098" xr:uid="{00000000-0005-0000-0000-00009B480000}"/>
    <cellStyle name="Category Name 5 3 3" xfId="20097" xr:uid="{00000000-0005-0000-0000-00009C480000}"/>
    <cellStyle name="Category Name 5 4" xfId="16095" xr:uid="{00000000-0005-0000-0000-00009D480000}"/>
    <cellStyle name="Category Name 5 5" xfId="20094" xr:uid="{00000000-0005-0000-0000-00009E480000}"/>
    <cellStyle name="Category Name 6" xfId="11038" xr:uid="{00000000-0005-0000-0000-00009F480000}"/>
    <cellStyle name="Category Name 6 2" xfId="16099" xr:uid="{00000000-0005-0000-0000-0000A0480000}"/>
    <cellStyle name="Category Name 6 3" xfId="20098" xr:uid="{00000000-0005-0000-0000-0000A1480000}"/>
    <cellStyle name="Category Name 7" xfId="16070" xr:uid="{00000000-0005-0000-0000-0000A2480000}"/>
    <cellStyle name="Category Name 8" xfId="20069" xr:uid="{00000000-0005-0000-0000-0000A3480000}"/>
    <cellStyle name="Celda de comprobación" xfId="11039" xr:uid="{00000000-0005-0000-0000-0000A4480000}"/>
    <cellStyle name="Celda vinculada" xfId="11040" xr:uid="{00000000-0005-0000-0000-0000A5480000}"/>
    <cellStyle name="Célula de Verificação" xfId="11041" xr:uid="{00000000-0005-0000-0000-0000A6480000}"/>
    <cellStyle name="Célula Vinculada" xfId="11042" xr:uid="{00000000-0005-0000-0000-0000A7480000}"/>
    <cellStyle name="Center" xfId="11043" xr:uid="{00000000-0005-0000-0000-0000A8480000}"/>
    <cellStyle name="Center 2" xfId="11044" xr:uid="{00000000-0005-0000-0000-0000A9480000}"/>
    <cellStyle name="Center 2 2" xfId="20263" xr:uid="{00000000-0005-0000-0000-0000AA480000}"/>
    <cellStyle name="Center 3" xfId="11045" xr:uid="{00000000-0005-0000-0000-0000AB480000}"/>
    <cellStyle name="Center 3 2" xfId="20264" xr:uid="{00000000-0005-0000-0000-0000AC480000}"/>
    <cellStyle name="Center 4" xfId="20265" xr:uid="{00000000-0005-0000-0000-0000AD480000}"/>
    <cellStyle name="CenterBold" xfId="11046" xr:uid="{00000000-0005-0000-0000-0000AE480000}"/>
    <cellStyle name="Centered Heading" xfId="11047" xr:uid="{00000000-0005-0000-0000-0000AF480000}"/>
    <cellStyle name="Centered Heading 2" xfId="11048" xr:uid="{00000000-0005-0000-0000-0000B0480000}"/>
    <cellStyle name="CenterItalic" xfId="11049" xr:uid="{00000000-0005-0000-0000-0000B1480000}"/>
    <cellStyle name="Cents" xfId="11050" xr:uid="{00000000-0005-0000-0000-0000B2480000}"/>
    <cellStyle name="Cents 2" xfId="11051" xr:uid="{00000000-0005-0000-0000-0000B3480000}"/>
    <cellStyle name="Changeable" xfId="11052" xr:uid="{00000000-0005-0000-0000-0000B4480000}"/>
    <cellStyle name="ChartingText" xfId="11053" xr:uid="{00000000-0005-0000-0000-0000B5480000}"/>
    <cellStyle name="ChartingText 2" xfId="11054" xr:uid="{00000000-0005-0000-0000-0000B6480000}"/>
    <cellStyle name="ChartingText 3" xfId="11055" xr:uid="{00000000-0005-0000-0000-0000B7480000}"/>
    <cellStyle name="ChartingText 4" xfId="11056" xr:uid="{00000000-0005-0000-0000-0000B8480000}"/>
    <cellStyle name="Check Cell 10" xfId="11057" xr:uid="{00000000-0005-0000-0000-0000B9480000}"/>
    <cellStyle name="Check Cell 11" xfId="11058" xr:uid="{00000000-0005-0000-0000-0000BA480000}"/>
    <cellStyle name="Check Cell 12" xfId="11059" xr:uid="{00000000-0005-0000-0000-0000BB480000}"/>
    <cellStyle name="Check Cell 13" xfId="11060" xr:uid="{00000000-0005-0000-0000-0000BC480000}"/>
    <cellStyle name="Check Cell 2" xfId="11061" xr:uid="{00000000-0005-0000-0000-0000BD480000}"/>
    <cellStyle name="Check Cell 3" xfId="11062" xr:uid="{00000000-0005-0000-0000-0000BE480000}"/>
    <cellStyle name="Check Cell 4" xfId="11063" xr:uid="{00000000-0005-0000-0000-0000BF480000}"/>
    <cellStyle name="Check Cell 5" xfId="11064" xr:uid="{00000000-0005-0000-0000-0000C0480000}"/>
    <cellStyle name="Check Cell 6" xfId="11065" xr:uid="{00000000-0005-0000-0000-0000C1480000}"/>
    <cellStyle name="Check Cell 7" xfId="11066" xr:uid="{00000000-0005-0000-0000-0000C2480000}"/>
    <cellStyle name="Check Cell 8" xfId="11067" xr:uid="{00000000-0005-0000-0000-0000C3480000}"/>
    <cellStyle name="Check Cell 9" xfId="11068" xr:uid="{00000000-0005-0000-0000-0000C4480000}"/>
    <cellStyle name="CHPTop" xfId="11069" xr:uid="{00000000-0005-0000-0000-0000C5480000}"/>
    <cellStyle name="Co. Names" xfId="11070" xr:uid="{00000000-0005-0000-0000-0000C6480000}"/>
    <cellStyle name="Code" xfId="11071" xr:uid="{00000000-0005-0000-0000-0000C7480000}"/>
    <cellStyle name="Code 2" xfId="11072" xr:uid="{00000000-0005-0000-0000-0000C8480000}"/>
    <cellStyle name="Colhead_left" xfId="11073" xr:uid="{00000000-0005-0000-0000-0000C9480000}"/>
    <cellStyle name="ColHeading" xfId="11074" xr:uid="{00000000-0005-0000-0000-0000CA480000}"/>
    <cellStyle name="colheadleft" xfId="11075" xr:uid="{00000000-0005-0000-0000-0000CB480000}"/>
    <cellStyle name="colheadright" xfId="11076" xr:uid="{00000000-0005-0000-0000-0000CC480000}"/>
    <cellStyle name="Color" xfId="11077" xr:uid="{00000000-0005-0000-0000-0000CD480000}"/>
    <cellStyle name="Color 2" xfId="11078" xr:uid="{00000000-0005-0000-0000-0000CE480000}"/>
    <cellStyle name="Column Header" xfId="11079" xr:uid="{00000000-0005-0000-0000-0000CF480000}"/>
    <cellStyle name="Column Header 2" xfId="11080" xr:uid="{00000000-0005-0000-0000-0000D0480000}"/>
    <cellStyle name="Column Headings" xfId="11081" xr:uid="{00000000-0005-0000-0000-0000D1480000}"/>
    <cellStyle name="Column_Title" xfId="11082" xr:uid="{00000000-0005-0000-0000-0000D2480000}"/>
    <cellStyle name="column1" xfId="11083" xr:uid="{00000000-0005-0000-0000-0000D3480000}"/>
    <cellStyle name="column1 2" xfId="11084" xr:uid="{00000000-0005-0000-0000-0000D4480000}"/>
    <cellStyle name="column1BigNoWrap" xfId="11085" xr:uid="{00000000-0005-0000-0000-0000D5480000}"/>
    <cellStyle name="column1BigNoWrap 2" xfId="11086" xr:uid="{00000000-0005-0000-0000-0000D6480000}"/>
    <cellStyle name="column1Date" xfId="11087" xr:uid="{00000000-0005-0000-0000-0000D7480000}"/>
    <cellStyle name="column1Date 2" xfId="11088" xr:uid="{00000000-0005-0000-0000-0000D8480000}"/>
    <cellStyle name="column1Date 2 2" xfId="11089" xr:uid="{00000000-0005-0000-0000-0000D9480000}"/>
    <cellStyle name="column1Date 3" xfId="11090" xr:uid="{00000000-0005-0000-0000-0000DA480000}"/>
    <cellStyle name="column1Date 4" xfId="11091" xr:uid="{00000000-0005-0000-0000-0000DB480000}"/>
    <cellStyle name="column1Date 5" xfId="11092" xr:uid="{00000000-0005-0000-0000-0000DC480000}"/>
    <cellStyle name="column2Date" xfId="11093" xr:uid="{00000000-0005-0000-0000-0000DD480000}"/>
    <cellStyle name="column2Date 2" xfId="11094" xr:uid="{00000000-0005-0000-0000-0000DE480000}"/>
    <cellStyle name="column2Date 3" xfId="11095" xr:uid="{00000000-0005-0000-0000-0000DF480000}"/>
    <cellStyle name="column2Date 3 2" xfId="20266" xr:uid="{00000000-0005-0000-0000-0000E0480000}"/>
    <cellStyle name="column3Date" xfId="11096" xr:uid="{00000000-0005-0000-0000-0000E1480000}"/>
    <cellStyle name="column3Date 2" xfId="11097" xr:uid="{00000000-0005-0000-0000-0000E2480000}"/>
    <cellStyle name="column3Date 3" xfId="11098" xr:uid="{00000000-0005-0000-0000-0000E3480000}"/>
    <cellStyle name="column3Date 3 2" xfId="20267" xr:uid="{00000000-0005-0000-0000-0000E4480000}"/>
    <cellStyle name="ColumnHeaderNormal" xfId="11099" xr:uid="{00000000-0005-0000-0000-0000E5480000}"/>
    <cellStyle name="ColumnHeaderNormal 2" xfId="11100" xr:uid="{00000000-0005-0000-0000-0000E6480000}"/>
    <cellStyle name="ColumnHeaderNormal 3" xfId="11101" xr:uid="{00000000-0005-0000-0000-0000E7480000}"/>
    <cellStyle name="ColumnHeaderNormal 4" xfId="11102" xr:uid="{00000000-0005-0000-0000-0000E8480000}"/>
    <cellStyle name="Comma" xfId="12427" builtinId="3"/>
    <cellStyle name="Comma  - Style1" xfId="11103" xr:uid="{00000000-0005-0000-0000-0000EA480000}"/>
    <cellStyle name="Comma  - Style2" xfId="11104" xr:uid="{00000000-0005-0000-0000-0000EB480000}"/>
    <cellStyle name="Comma  - Style3" xfId="11105" xr:uid="{00000000-0005-0000-0000-0000EC480000}"/>
    <cellStyle name="Comma  - Style4" xfId="11106" xr:uid="{00000000-0005-0000-0000-0000ED480000}"/>
    <cellStyle name="Comma  - Style5" xfId="11107" xr:uid="{00000000-0005-0000-0000-0000EE480000}"/>
    <cellStyle name="Comma  - Style6" xfId="11108" xr:uid="{00000000-0005-0000-0000-0000EF480000}"/>
    <cellStyle name="Comma  - Style7" xfId="11109" xr:uid="{00000000-0005-0000-0000-0000F0480000}"/>
    <cellStyle name="Comma  - Style8" xfId="11110" xr:uid="{00000000-0005-0000-0000-0000F1480000}"/>
    <cellStyle name="Comma %" xfId="11111" xr:uid="{00000000-0005-0000-0000-0000F2480000}"/>
    <cellStyle name="Comma (1)" xfId="11112" xr:uid="{00000000-0005-0000-0000-0000F3480000}"/>
    <cellStyle name="Comma (1) 2" xfId="11113" xr:uid="{00000000-0005-0000-0000-0000F4480000}"/>
    <cellStyle name="Comma (1) 2 2" xfId="11114" xr:uid="{00000000-0005-0000-0000-0000F5480000}"/>
    <cellStyle name="Comma (1) 3" xfId="11115" xr:uid="{00000000-0005-0000-0000-0000F6480000}"/>
    <cellStyle name="Comma (1) 4" xfId="11116" xr:uid="{00000000-0005-0000-0000-0000F7480000}"/>
    <cellStyle name="Comma (1) 5" xfId="11117" xr:uid="{00000000-0005-0000-0000-0000F8480000}"/>
    <cellStyle name="Comma ," xfId="11118" xr:uid="{00000000-0005-0000-0000-0000F9480000}"/>
    <cellStyle name="Comma [0] 2" xfId="11119" xr:uid="{00000000-0005-0000-0000-0000FA480000}"/>
    <cellStyle name="Comma [0] 2 2" xfId="11120" xr:uid="{00000000-0005-0000-0000-0000FB480000}"/>
    <cellStyle name="Comma [0] 3" xfId="11121" xr:uid="{00000000-0005-0000-0000-0000FC480000}"/>
    <cellStyle name="Comma [0] 3 2" xfId="11122" xr:uid="{00000000-0005-0000-0000-0000FD480000}"/>
    <cellStyle name="Comma [0] 4" xfId="11123" xr:uid="{00000000-0005-0000-0000-0000FE480000}"/>
    <cellStyle name="Comma [0] 5" xfId="11124" xr:uid="{00000000-0005-0000-0000-0000FF480000}"/>
    <cellStyle name="Comma [00]" xfId="11125" xr:uid="{00000000-0005-0000-0000-000000490000}"/>
    <cellStyle name="Comma [1]" xfId="11126" xr:uid="{00000000-0005-0000-0000-000001490000}"/>
    <cellStyle name="Comma [1] 2" xfId="11127" xr:uid="{00000000-0005-0000-0000-000002490000}"/>
    <cellStyle name="Comma [2]" xfId="11128" xr:uid="{00000000-0005-0000-0000-000003490000}"/>
    <cellStyle name="Comma [2] 2" xfId="11129" xr:uid="{00000000-0005-0000-0000-000004490000}"/>
    <cellStyle name="Comma [3]" xfId="11130" xr:uid="{00000000-0005-0000-0000-000005490000}"/>
    <cellStyle name="Comma [3] 2" xfId="11131" xr:uid="{00000000-0005-0000-0000-000006490000}"/>
    <cellStyle name="Comma [4]" xfId="11132" xr:uid="{00000000-0005-0000-0000-000007490000}"/>
    <cellStyle name="Comma 0" xfId="11133" xr:uid="{00000000-0005-0000-0000-000008490000}"/>
    <cellStyle name="Comma 0*" xfId="11134" xr:uid="{00000000-0005-0000-0000-000009490000}"/>
    <cellStyle name="Comma 0* 2" xfId="11135" xr:uid="{00000000-0005-0000-0000-00000A490000}"/>
    <cellStyle name="Comma 0.0" xfId="11136" xr:uid="{00000000-0005-0000-0000-00000B490000}"/>
    <cellStyle name="Comma 0.0 2" xfId="11137" xr:uid="{00000000-0005-0000-0000-00000C490000}"/>
    <cellStyle name="Comma 0.0%" xfId="11138" xr:uid="{00000000-0005-0000-0000-00000D490000}"/>
    <cellStyle name="Comma 0.0% 2" xfId="11139" xr:uid="{00000000-0005-0000-0000-00000E490000}"/>
    <cellStyle name="Comma 0.00" xfId="11140" xr:uid="{00000000-0005-0000-0000-00000F490000}"/>
    <cellStyle name="Comma 0.00 2" xfId="11141" xr:uid="{00000000-0005-0000-0000-000010490000}"/>
    <cellStyle name="Comma 0.00%" xfId="11142" xr:uid="{00000000-0005-0000-0000-000011490000}"/>
    <cellStyle name="Comma 0.00% 2" xfId="11143" xr:uid="{00000000-0005-0000-0000-000012490000}"/>
    <cellStyle name="Comma 0.00_Aprio - Public Comps1" xfId="11144" xr:uid="{00000000-0005-0000-0000-000013490000}"/>
    <cellStyle name="Comma 0.000" xfId="11145" xr:uid="{00000000-0005-0000-0000-000014490000}"/>
    <cellStyle name="Comma 0.000 2" xfId="11146" xr:uid="{00000000-0005-0000-0000-000015490000}"/>
    <cellStyle name="Comma 0.000%" xfId="11147" xr:uid="{00000000-0005-0000-0000-000016490000}"/>
    <cellStyle name="Comma 0.000% 2" xfId="11148" xr:uid="{00000000-0005-0000-0000-000017490000}"/>
    <cellStyle name="Comma 0.000_Aprio - Public Comps1" xfId="11149" xr:uid="{00000000-0005-0000-0000-000018490000}"/>
    <cellStyle name="Comma 0_comps" xfId="11150" xr:uid="{00000000-0005-0000-0000-000019490000}"/>
    <cellStyle name="Comma 10" xfId="11151" xr:uid="{00000000-0005-0000-0000-00001A490000}"/>
    <cellStyle name="Comma 10 2" xfId="20393" xr:uid="{00000000-0005-0000-0000-00001B490000}"/>
    <cellStyle name="Comma 11" xfId="11152" xr:uid="{00000000-0005-0000-0000-00001C490000}"/>
    <cellStyle name="Comma 12" xfId="11153" xr:uid="{00000000-0005-0000-0000-00001D490000}"/>
    <cellStyle name="Comma 13" xfId="1" xr:uid="{00000000-0005-0000-0000-00001E490000}"/>
    <cellStyle name="Comma 13 2" xfId="12428" xr:uid="{00000000-0005-0000-0000-00001F490000}"/>
    <cellStyle name="Comma 13 3" xfId="16384" xr:uid="{00000000-0005-0000-0000-000020490000}"/>
    <cellStyle name="Comma 14" xfId="11154" xr:uid="{00000000-0005-0000-0000-000021490000}"/>
    <cellStyle name="Comma 15" xfId="16217" xr:uid="{00000000-0005-0000-0000-000022490000}"/>
    <cellStyle name="Comma 15 2" xfId="20392" xr:uid="{00000000-0005-0000-0000-000023490000}"/>
    <cellStyle name="Comma 16" xfId="20268" xr:uid="{00000000-0005-0000-0000-000024490000}"/>
    <cellStyle name="Comma 16 2 3 2" xfId="20387" xr:uid="{00000000-0005-0000-0000-000025490000}"/>
    <cellStyle name="Comma 16 2 3 2 2" xfId="20396" xr:uid="{00000000-0005-0000-0000-000026490000}"/>
    <cellStyle name="Comma 16 2 3 2 2 2" xfId="20403" xr:uid="{00000000-0005-0000-0000-000027490000}"/>
    <cellStyle name="Comma 16 3" xfId="20398" xr:uid="{00000000-0005-0000-0000-000028490000}"/>
    <cellStyle name="Comma 2" xfId="11155" xr:uid="{00000000-0005-0000-0000-000029490000}"/>
    <cellStyle name="Comma 2 2" xfId="11156" xr:uid="{00000000-0005-0000-0000-00002A490000}"/>
    <cellStyle name="Comma 2 2 2" xfId="11157" xr:uid="{00000000-0005-0000-0000-00002B490000}"/>
    <cellStyle name="Comma 2 3" xfId="11158" xr:uid="{00000000-0005-0000-0000-00002C490000}"/>
    <cellStyle name="Comma 2 3 2" xfId="11159" xr:uid="{00000000-0005-0000-0000-00002D490000}"/>
    <cellStyle name="Comma 2 3 3" xfId="11160" xr:uid="{00000000-0005-0000-0000-00002E490000}"/>
    <cellStyle name="Comma 2 3 3 2" xfId="16100" xr:uid="{00000000-0005-0000-0000-00002F490000}"/>
    <cellStyle name="Comma 2 3 3 3" xfId="20099" xr:uid="{00000000-0005-0000-0000-000030490000}"/>
    <cellStyle name="Comma 2 4" xfId="11161" xr:uid="{00000000-0005-0000-0000-000031490000}"/>
    <cellStyle name="Comma 2 4 2" xfId="11162" xr:uid="{00000000-0005-0000-0000-000032490000}"/>
    <cellStyle name="Comma 2 5" xfId="11163" xr:uid="{00000000-0005-0000-0000-000033490000}"/>
    <cellStyle name="Comma 2 5 2" xfId="11164" xr:uid="{00000000-0005-0000-0000-000034490000}"/>
    <cellStyle name="Comma 2 6" xfId="11165" xr:uid="{00000000-0005-0000-0000-000035490000}"/>
    <cellStyle name="Comma 2*" xfId="11166" xr:uid="{00000000-0005-0000-0000-000036490000}"/>
    <cellStyle name="Comma 2* 2" xfId="11167" xr:uid="{00000000-0005-0000-0000-000037490000}"/>
    <cellStyle name="Comma 2_2008 SVB Financial Information v.2" xfId="11168" xr:uid="{00000000-0005-0000-0000-000038490000}"/>
    <cellStyle name="Comma 24 2" xfId="20269" xr:uid="{00000000-0005-0000-0000-000039490000}"/>
    <cellStyle name="Comma 24 2 2" xfId="20270" xr:uid="{00000000-0005-0000-0000-00003A490000}"/>
    <cellStyle name="Comma 3" xfId="11169" xr:uid="{00000000-0005-0000-0000-00003B490000}"/>
    <cellStyle name="Comma 3 2" xfId="11170" xr:uid="{00000000-0005-0000-0000-00003C490000}"/>
    <cellStyle name="Comma 3 2 2" xfId="11171" xr:uid="{00000000-0005-0000-0000-00003D490000}"/>
    <cellStyle name="Comma 3 2 3" xfId="20271" xr:uid="{00000000-0005-0000-0000-00003E490000}"/>
    <cellStyle name="Comma 3 3" xfId="11172" xr:uid="{00000000-0005-0000-0000-00003F490000}"/>
    <cellStyle name="Comma 3 3 2" xfId="11173" xr:uid="{00000000-0005-0000-0000-000040490000}"/>
    <cellStyle name="Comma 3 4" xfId="11174" xr:uid="{00000000-0005-0000-0000-000041490000}"/>
    <cellStyle name="Comma 3 5" xfId="11175" xr:uid="{00000000-0005-0000-0000-000042490000}"/>
    <cellStyle name="Comma 3 6" xfId="16101" xr:uid="{00000000-0005-0000-0000-000043490000}"/>
    <cellStyle name="Comma 3 7" xfId="20100" xr:uid="{00000000-0005-0000-0000-000044490000}"/>
    <cellStyle name="Comma 3*" xfId="11176" xr:uid="{00000000-0005-0000-0000-000045490000}"/>
    <cellStyle name="Comma 39" xfId="12426" xr:uid="{00000000-0005-0000-0000-000046490000}"/>
    <cellStyle name="Comma 4" xfId="11177" xr:uid="{00000000-0005-0000-0000-000047490000}"/>
    <cellStyle name="Comma 4 2" xfId="11178" xr:uid="{00000000-0005-0000-0000-000048490000}"/>
    <cellStyle name="Comma 4 5" xfId="12425" xr:uid="{00000000-0005-0000-0000-000049490000}"/>
    <cellStyle name="Comma 5" xfId="11179" xr:uid="{00000000-0005-0000-0000-00004A490000}"/>
    <cellStyle name="Comma 5 2" xfId="11180" xr:uid="{00000000-0005-0000-0000-00004B490000}"/>
    <cellStyle name="Comma 6" xfId="11181" xr:uid="{00000000-0005-0000-0000-00004C490000}"/>
    <cellStyle name="Comma 6 2" xfId="11182" xr:uid="{00000000-0005-0000-0000-00004D490000}"/>
    <cellStyle name="Comma 6 2 2" xfId="16102" xr:uid="{00000000-0005-0000-0000-00004E490000}"/>
    <cellStyle name="Comma 6 2 3" xfId="20101" xr:uid="{00000000-0005-0000-0000-00004F490000}"/>
    <cellStyle name="Comma 6 3" xfId="11183" xr:uid="{00000000-0005-0000-0000-000050490000}"/>
    <cellStyle name="Comma 7" xfId="11184" xr:uid="{00000000-0005-0000-0000-000051490000}"/>
    <cellStyle name="Comma 7 2" xfId="11185" xr:uid="{00000000-0005-0000-0000-000052490000}"/>
    <cellStyle name="Comma 7 2 2" xfId="16103" xr:uid="{00000000-0005-0000-0000-000053490000}"/>
    <cellStyle name="Comma 7 2 3" xfId="20102" xr:uid="{00000000-0005-0000-0000-000054490000}"/>
    <cellStyle name="Comma 7 3" xfId="11186" xr:uid="{00000000-0005-0000-0000-000055490000}"/>
    <cellStyle name="Comma 7 3 2" xfId="16104" xr:uid="{00000000-0005-0000-0000-000056490000}"/>
    <cellStyle name="Comma 7 3 3" xfId="20103" xr:uid="{00000000-0005-0000-0000-000057490000}"/>
    <cellStyle name="Comma 8" xfId="11187" xr:uid="{00000000-0005-0000-0000-000058490000}"/>
    <cellStyle name="Comma 9" xfId="11188" xr:uid="{00000000-0005-0000-0000-000059490000}"/>
    <cellStyle name="Comma Input" xfId="11189" xr:uid="{00000000-0005-0000-0000-00005A490000}"/>
    <cellStyle name="Comma Input 2" xfId="11190" xr:uid="{00000000-0005-0000-0000-00005B490000}"/>
    <cellStyle name="Comma Input 2 2" xfId="11191" xr:uid="{00000000-0005-0000-0000-00005C490000}"/>
    <cellStyle name="Comma Input 3" xfId="11192" xr:uid="{00000000-0005-0000-0000-00005D490000}"/>
    <cellStyle name="Comma Input 4" xfId="11193" xr:uid="{00000000-0005-0000-0000-00005E490000}"/>
    <cellStyle name="Comma Input 5" xfId="11194" xr:uid="{00000000-0005-0000-0000-00005F490000}"/>
    <cellStyle name="comma zerodec" xfId="11195" xr:uid="{00000000-0005-0000-0000-000060490000}"/>
    <cellStyle name="Comma*" xfId="11196" xr:uid="{00000000-0005-0000-0000-000061490000}"/>
    <cellStyle name="Comma0" xfId="11197" xr:uid="{00000000-0005-0000-0000-000062490000}"/>
    <cellStyle name="Comma0 - Modelo1" xfId="11198" xr:uid="{00000000-0005-0000-0000-000063490000}"/>
    <cellStyle name="Comma0 - Modelo1 2" xfId="11199" xr:uid="{00000000-0005-0000-0000-000064490000}"/>
    <cellStyle name="Comma0 - Style1" xfId="11200" xr:uid="{00000000-0005-0000-0000-000065490000}"/>
    <cellStyle name="Comma0 - Style1 2" xfId="11201" xr:uid="{00000000-0005-0000-0000-000066490000}"/>
    <cellStyle name="Comma0 - Style2" xfId="11202" xr:uid="{00000000-0005-0000-0000-000067490000}"/>
    <cellStyle name="Comma0 - Style3" xfId="11203" xr:uid="{00000000-0005-0000-0000-000068490000}"/>
    <cellStyle name="Comma0 - Style4" xfId="11204" xr:uid="{00000000-0005-0000-0000-000069490000}"/>
    <cellStyle name="Comma0 2" xfId="11205" xr:uid="{00000000-0005-0000-0000-00006A490000}"/>
    <cellStyle name="Comma0_~8944579" xfId="11206" xr:uid="{00000000-0005-0000-0000-00006B490000}"/>
    <cellStyle name="Comma1" xfId="11207" xr:uid="{00000000-0005-0000-0000-00006C490000}"/>
    <cellStyle name="Comma1 - Modelo2" xfId="11208" xr:uid="{00000000-0005-0000-0000-00006D490000}"/>
    <cellStyle name="Comma1 - Modelo2 2" xfId="11209" xr:uid="{00000000-0005-0000-0000-00006E490000}"/>
    <cellStyle name="Comma1 - Style2" xfId="11210" xr:uid="{00000000-0005-0000-0000-00006F490000}"/>
    <cellStyle name="Comma1 - Style2 2" xfId="11211" xr:uid="{00000000-0005-0000-0000-000070490000}"/>
    <cellStyle name="Comma1 2" xfId="11212" xr:uid="{00000000-0005-0000-0000-000071490000}"/>
    <cellStyle name="Comma2" xfId="11213" xr:uid="{00000000-0005-0000-0000-000072490000}"/>
    <cellStyle name="Comma2 2" xfId="11214" xr:uid="{00000000-0005-0000-0000-000073490000}"/>
    <cellStyle name="Comments" xfId="11215" xr:uid="{00000000-0005-0000-0000-000074490000}"/>
    <cellStyle name="Company" xfId="11216" xr:uid="{00000000-0005-0000-0000-000075490000}"/>
    <cellStyle name="Company 2" xfId="11217" xr:uid="{00000000-0005-0000-0000-000076490000}"/>
    <cellStyle name="Company Name" xfId="11218" xr:uid="{00000000-0005-0000-0000-000077490000}"/>
    <cellStyle name="Company Name 2" xfId="11219" xr:uid="{00000000-0005-0000-0000-000078490000}"/>
    <cellStyle name="Company_Boston Power VD 01 31 2008 Model 02 26 2008" xfId="11220" xr:uid="{00000000-0005-0000-0000-000079490000}"/>
    <cellStyle name="CompanyName" xfId="11221" xr:uid="{00000000-0005-0000-0000-00007A490000}"/>
    <cellStyle name="CompanyName 2" xfId="11222" xr:uid="{00000000-0005-0000-0000-00007B490000}"/>
    <cellStyle name="Compressed" xfId="11223" xr:uid="{00000000-0005-0000-0000-00007C490000}"/>
    <cellStyle name="Copied" xfId="11224" xr:uid="{00000000-0005-0000-0000-00007D490000}"/>
    <cellStyle name="Copied 2" xfId="11225" xr:uid="{00000000-0005-0000-0000-00007E490000}"/>
    <cellStyle name="COST1" xfId="11226" xr:uid="{00000000-0005-0000-0000-00007F490000}"/>
    <cellStyle name="Coverage" xfId="11227" xr:uid="{00000000-0005-0000-0000-000080490000}"/>
    <cellStyle name="CR Comma" xfId="11228" xr:uid="{00000000-0005-0000-0000-000081490000}"/>
    <cellStyle name="CR Comma 2" xfId="11229" xr:uid="{00000000-0005-0000-0000-000082490000}"/>
    <cellStyle name="CR Currency" xfId="11230" xr:uid="{00000000-0005-0000-0000-000083490000}"/>
    <cellStyle name="CR Currency 2" xfId="11231" xr:uid="{00000000-0005-0000-0000-000084490000}"/>
    <cellStyle name="Curr $ [0]" xfId="11232" xr:uid="{00000000-0005-0000-0000-000085490000}"/>
    <cellStyle name="Curr $ [0] 2" xfId="11233" xr:uid="{00000000-0005-0000-0000-000086490000}"/>
    <cellStyle name="Curr $ [0] 3" xfId="11234" xr:uid="{00000000-0005-0000-0000-000087490000}"/>
    <cellStyle name="Curr $ [2]" xfId="11235" xr:uid="{00000000-0005-0000-0000-000088490000}"/>
    <cellStyle name="Curr $ [2] 2" xfId="11236" xr:uid="{00000000-0005-0000-0000-000089490000}"/>
    <cellStyle name="Curr $ [2] 3" xfId="11237" xr:uid="{00000000-0005-0000-0000-00008A490000}"/>
    <cellStyle name="Curr $k [0]" xfId="11238" xr:uid="{00000000-0005-0000-0000-00008B490000}"/>
    <cellStyle name="Curr $k [0] 2" xfId="11239" xr:uid="{00000000-0005-0000-0000-00008C490000}"/>
    <cellStyle name="Curr $k [0] 3" xfId="11240" xr:uid="{00000000-0005-0000-0000-00008D490000}"/>
    <cellStyle name="Curr £ [0]" xfId="11241" xr:uid="{00000000-0005-0000-0000-00008E490000}"/>
    <cellStyle name="Curr £ [0] 2" xfId="11242" xr:uid="{00000000-0005-0000-0000-00008F490000}"/>
    <cellStyle name="Curr £ [0] 3" xfId="11243" xr:uid="{00000000-0005-0000-0000-000090490000}"/>
    <cellStyle name="Curr £ [2]" xfId="11244" xr:uid="{00000000-0005-0000-0000-000091490000}"/>
    <cellStyle name="Curr £ [2] 2" xfId="11245" xr:uid="{00000000-0005-0000-0000-000092490000}"/>
    <cellStyle name="Curr £ [2] 3" xfId="11246" xr:uid="{00000000-0005-0000-0000-000093490000}"/>
    <cellStyle name="CurRatio" xfId="11247" xr:uid="{00000000-0005-0000-0000-000094490000}"/>
    <cellStyle name="Curren - Style2" xfId="11248" xr:uid="{00000000-0005-0000-0000-000095490000}"/>
    <cellStyle name="Curren - Style2 2" xfId="11249" xr:uid="{00000000-0005-0000-0000-000096490000}"/>
    <cellStyle name="Curren - Style4" xfId="11250" xr:uid="{00000000-0005-0000-0000-000097490000}"/>
    <cellStyle name="Currency" xfId="20305" builtinId="4"/>
    <cellStyle name="Currency %" xfId="11251" xr:uid="{00000000-0005-0000-0000-000099490000}"/>
    <cellStyle name="Currency % 2" xfId="11252" xr:uid="{00000000-0005-0000-0000-00009A490000}"/>
    <cellStyle name="Currency ($)" xfId="11253" xr:uid="{00000000-0005-0000-0000-00009B490000}"/>
    <cellStyle name="Currency (£)" xfId="11254" xr:uid="{00000000-0005-0000-0000-00009C490000}"/>
    <cellStyle name="Currency (0.00)" xfId="11255" xr:uid="{00000000-0005-0000-0000-00009D490000}"/>
    <cellStyle name="Currency (0.00) 2" xfId="11256" xr:uid="{00000000-0005-0000-0000-00009E490000}"/>
    <cellStyle name="Currency (0.00) 2 2" xfId="11257" xr:uid="{00000000-0005-0000-0000-00009F490000}"/>
    <cellStyle name="Currency (0.00) 2 2 2" xfId="11258" xr:uid="{00000000-0005-0000-0000-0000A0490000}"/>
    <cellStyle name="Currency (0.00) 2 2 2 2" xfId="11259" xr:uid="{00000000-0005-0000-0000-0000A1490000}"/>
    <cellStyle name="Currency (0.00) 2 2 2 2 2" xfId="16109" xr:uid="{00000000-0005-0000-0000-0000A2490000}"/>
    <cellStyle name="Currency (0.00) 2 2 2 2 3" xfId="20108" xr:uid="{00000000-0005-0000-0000-0000A3490000}"/>
    <cellStyle name="Currency (0.00) 2 2 2 3" xfId="16108" xr:uid="{00000000-0005-0000-0000-0000A4490000}"/>
    <cellStyle name="Currency (0.00) 2 2 2 4" xfId="20107" xr:uid="{00000000-0005-0000-0000-0000A5490000}"/>
    <cellStyle name="Currency (0.00) 2 2 3" xfId="11260" xr:uid="{00000000-0005-0000-0000-0000A6490000}"/>
    <cellStyle name="Currency (0.00) 2 2 3 2" xfId="16110" xr:uid="{00000000-0005-0000-0000-0000A7490000}"/>
    <cellStyle name="Currency (0.00) 2 2 3 3" xfId="20109" xr:uid="{00000000-0005-0000-0000-0000A8490000}"/>
    <cellStyle name="Currency (0.00) 2 2 4" xfId="16107" xr:uid="{00000000-0005-0000-0000-0000A9490000}"/>
    <cellStyle name="Currency (0.00) 2 2 5" xfId="20106" xr:uid="{00000000-0005-0000-0000-0000AA490000}"/>
    <cellStyle name="Currency (0.00) 2 3" xfId="11261" xr:uid="{00000000-0005-0000-0000-0000AB490000}"/>
    <cellStyle name="Currency (0.00) 2 3 2" xfId="11262" xr:uid="{00000000-0005-0000-0000-0000AC490000}"/>
    <cellStyle name="Currency (0.00) 2 3 2 2" xfId="11263" xr:uid="{00000000-0005-0000-0000-0000AD490000}"/>
    <cellStyle name="Currency (0.00) 2 3 2 2 2" xfId="16113" xr:uid="{00000000-0005-0000-0000-0000AE490000}"/>
    <cellStyle name="Currency (0.00) 2 3 2 2 3" xfId="20112" xr:uid="{00000000-0005-0000-0000-0000AF490000}"/>
    <cellStyle name="Currency (0.00) 2 3 2 3" xfId="16112" xr:uid="{00000000-0005-0000-0000-0000B0490000}"/>
    <cellStyle name="Currency (0.00) 2 3 2 4" xfId="20111" xr:uid="{00000000-0005-0000-0000-0000B1490000}"/>
    <cellStyle name="Currency (0.00) 2 3 3" xfId="11264" xr:uid="{00000000-0005-0000-0000-0000B2490000}"/>
    <cellStyle name="Currency (0.00) 2 3 3 2" xfId="16114" xr:uid="{00000000-0005-0000-0000-0000B3490000}"/>
    <cellStyle name="Currency (0.00) 2 3 3 3" xfId="20113" xr:uid="{00000000-0005-0000-0000-0000B4490000}"/>
    <cellStyle name="Currency (0.00) 2 3 4" xfId="16111" xr:uid="{00000000-0005-0000-0000-0000B5490000}"/>
    <cellStyle name="Currency (0.00) 2 3 5" xfId="20110" xr:uid="{00000000-0005-0000-0000-0000B6490000}"/>
    <cellStyle name="Currency (0.00) 2 4" xfId="11265" xr:uid="{00000000-0005-0000-0000-0000B7490000}"/>
    <cellStyle name="Currency (0.00) 2 4 2" xfId="11266" xr:uid="{00000000-0005-0000-0000-0000B8490000}"/>
    <cellStyle name="Currency (0.00) 2 4 2 2" xfId="11267" xr:uid="{00000000-0005-0000-0000-0000B9490000}"/>
    <cellStyle name="Currency (0.00) 2 4 2 2 2" xfId="16117" xr:uid="{00000000-0005-0000-0000-0000BA490000}"/>
    <cellStyle name="Currency (0.00) 2 4 2 2 3" xfId="20116" xr:uid="{00000000-0005-0000-0000-0000BB490000}"/>
    <cellStyle name="Currency (0.00) 2 4 2 3" xfId="16116" xr:uid="{00000000-0005-0000-0000-0000BC490000}"/>
    <cellStyle name="Currency (0.00) 2 4 2 4" xfId="20115" xr:uid="{00000000-0005-0000-0000-0000BD490000}"/>
    <cellStyle name="Currency (0.00) 2 4 3" xfId="11268" xr:uid="{00000000-0005-0000-0000-0000BE490000}"/>
    <cellStyle name="Currency (0.00) 2 4 3 2" xfId="16118" xr:uid="{00000000-0005-0000-0000-0000BF490000}"/>
    <cellStyle name="Currency (0.00) 2 4 3 3" xfId="20117" xr:uid="{00000000-0005-0000-0000-0000C0490000}"/>
    <cellStyle name="Currency (0.00) 2 4 4" xfId="16115" xr:uid="{00000000-0005-0000-0000-0000C1490000}"/>
    <cellStyle name="Currency (0.00) 2 4 5" xfId="20114" xr:uid="{00000000-0005-0000-0000-0000C2490000}"/>
    <cellStyle name="Currency (0.00) 2 5" xfId="11269" xr:uid="{00000000-0005-0000-0000-0000C3490000}"/>
    <cellStyle name="Currency (0.00) 2 5 2" xfId="16119" xr:uid="{00000000-0005-0000-0000-0000C4490000}"/>
    <cellStyle name="Currency (0.00) 2 5 3" xfId="20118" xr:uid="{00000000-0005-0000-0000-0000C5490000}"/>
    <cellStyle name="Currency (0.00) 2 6" xfId="16106" xr:uid="{00000000-0005-0000-0000-0000C6490000}"/>
    <cellStyle name="Currency (0.00) 2 7" xfId="20105" xr:uid="{00000000-0005-0000-0000-0000C7490000}"/>
    <cellStyle name="Currency (0.00) 3" xfId="11270" xr:uid="{00000000-0005-0000-0000-0000C8490000}"/>
    <cellStyle name="Currency (0.00) 3 2" xfId="11271" xr:uid="{00000000-0005-0000-0000-0000C9490000}"/>
    <cellStyle name="Currency (0.00) 3 2 2" xfId="11272" xr:uid="{00000000-0005-0000-0000-0000CA490000}"/>
    <cellStyle name="Currency (0.00) 3 2 2 2" xfId="16122" xr:uid="{00000000-0005-0000-0000-0000CB490000}"/>
    <cellStyle name="Currency (0.00) 3 2 2 3" xfId="20121" xr:uid="{00000000-0005-0000-0000-0000CC490000}"/>
    <cellStyle name="Currency (0.00) 3 2 3" xfId="16121" xr:uid="{00000000-0005-0000-0000-0000CD490000}"/>
    <cellStyle name="Currency (0.00) 3 2 4" xfId="20120" xr:uid="{00000000-0005-0000-0000-0000CE490000}"/>
    <cellStyle name="Currency (0.00) 3 3" xfId="11273" xr:uid="{00000000-0005-0000-0000-0000CF490000}"/>
    <cellStyle name="Currency (0.00) 3 3 2" xfId="11274" xr:uid="{00000000-0005-0000-0000-0000D0490000}"/>
    <cellStyle name="Currency (0.00) 3 3 2 2" xfId="16124" xr:uid="{00000000-0005-0000-0000-0000D1490000}"/>
    <cellStyle name="Currency (0.00) 3 3 2 3" xfId="20123" xr:uid="{00000000-0005-0000-0000-0000D2490000}"/>
    <cellStyle name="Currency (0.00) 3 3 3" xfId="16123" xr:uid="{00000000-0005-0000-0000-0000D3490000}"/>
    <cellStyle name="Currency (0.00) 3 3 4" xfId="20122" xr:uid="{00000000-0005-0000-0000-0000D4490000}"/>
    <cellStyle name="Currency (0.00) 3 4" xfId="11275" xr:uid="{00000000-0005-0000-0000-0000D5490000}"/>
    <cellStyle name="Currency (0.00) 3 4 2" xfId="16125" xr:uid="{00000000-0005-0000-0000-0000D6490000}"/>
    <cellStyle name="Currency (0.00) 3 4 3" xfId="20124" xr:uid="{00000000-0005-0000-0000-0000D7490000}"/>
    <cellStyle name="Currency (0.00) 3 5" xfId="16120" xr:uid="{00000000-0005-0000-0000-0000D8490000}"/>
    <cellStyle name="Currency (0.00) 3 6" xfId="20119" xr:uid="{00000000-0005-0000-0000-0000D9490000}"/>
    <cellStyle name="Currency (0.00) 4" xfId="11276" xr:uid="{00000000-0005-0000-0000-0000DA490000}"/>
    <cellStyle name="Currency (0.00) 4 2" xfId="11277" xr:uid="{00000000-0005-0000-0000-0000DB490000}"/>
    <cellStyle name="Currency (0.00) 4 2 2" xfId="11278" xr:uid="{00000000-0005-0000-0000-0000DC490000}"/>
    <cellStyle name="Currency (0.00) 4 2 2 2" xfId="16128" xr:uid="{00000000-0005-0000-0000-0000DD490000}"/>
    <cellStyle name="Currency (0.00) 4 2 2 3" xfId="20127" xr:uid="{00000000-0005-0000-0000-0000DE490000}"/>
    <cellStyle name="Currency (0.00) 4 2 3" xfId="16127" xr:uid="{00000000-0005-0000-0000-0000DF490000}"/>
    <cellStyle name="Currency (0.00) 4 2 4" xfId="20126" xr:uid="{00000000-0005-0000-0000-0000E0490000}"/>
    <cellStyle name="Currency (0.00) 4 3" xfId="11279" xr:uid="{00000000-0005-0000-0000-0000E1490000}"/>
    <cellStyle name="Currency (0.00) 4 3 2" xfId="16129" xr:uid="{00000000-0005-0000-0000-0000E2490000}"/>
    <cellStyle name="Currency (0.00) 4 3 3" xfId="20128" xr:uid="{00000000-0005-0000-0000-0000E3490000}"/>
    <cellStyle name="Currency (0.00) 4 4" xfId="16126" xr:uid="{00000000-0005-0000-0000-0000E4490000}"/>
    <cellStyle name="Currency (0.00) 4 5" xfId="20125" xr:uid="{00000000-0005-0000-0000-0000E5490000}"/>
    <cellStyle name="Currency (0.00) 5" xfId="11280" xr:uid="{00000000-0005-0000-0000-0000E6490000}"/>
    <cellStyle name="Currency (0.00) 5 2" xfId="11281" xr:uid="{00000000-0005-0000-0000-0000E7490000}"/>
    <cellStyle name="Currency (0.00) 5 2 2" xfId="11282" xr:uid="{00000000-0005-0000-0000-0000E8490000}"/>
    <cellStyle name="Currency (0.00) 5 2 2 2" xfId="16132" xr:uid="{00000000-0005-0000-0000-0000E9490000}"/>
    <cellStyle name="Currency (0.00) 5 2 2 3" xfId="20131" xr:uid="{00000000-0005-0000-0000-0000EA490000}"/>
    <cellStyle name="Currency (0.00) 5 2 3" xfId="16131" xr:uid="{00000000-0005-0000-0000-0000EB490000}"/>
    <cellStyle name="Currency (0.00) 5 2 4" xfId="20130" xr:uid="{00000000-0005-0000-0000-0000EC490000}"/>
    <cellStyle name="Currency (0.00) 5 3" xfId="11283" xr:uid="{00000000-0005-0000-0000-0000ED490000}"/>
    <cellStyle name="Currency (0.00) 5 3 2" xfId="16133" xr:uid="{00000000-0005-0000-0000-0000EE490000}"/>
    <cellStyle name="Currency (0.00) 5 3 3" xfId="20132" xr:uid="{00000000-0005-0000-0000-0000EF490000}"/>
    <cellStyle name="Currency (0.00) 5 4" xfId="16130" xr:uid="{00000000-0005-0000-0000-0000F0490000}"/>
    <cellStyle name="Currency (0.00) 5 5" xfId="20129" xr:uid="{00000000-0005-0000-0000-0000F1490000}"/>
    <cellStyle name="Currency (0.00) 6" xfId="11284" xr:uid="{00000000-0005-0000-0000-0000F2490000}"/>
    <cellStyle name="Currency (0.00) 6 2" xfId="16134" xr:uid="{00000000-0005-0000-0000-0000F3490000}"/>
    <cellStyle name="Currency (0.00) 6 3" xfId="20133" xr:uid="{00000000-0005-0000-0000-0000F4490000}"/>
    <cellStyle name="Currency (0.00) 7" xfId="16105" xr:uid="{00000000-0005-0000-0000-0000F5490000}"/>
    <cellStyle name="Currency (0.00) 8" xfId="20104" xr:uid="{00000000-0005-0000-0000-0000F6490000}"/>
    <cellStyle name="Currency [0] 2" xfId="11285" xr:uid="{00000000-0005-0000-0000-0000F7490000}"/>
    <cellStyle name="Currency [0] 2 2" xfId="11286" xr:uid="{00000000-0005-0000-0000-0000F8490000}"/>
    <cellStyle name="Currency [00]" xfId="11287" xr:uid="{00000000-0005-0000-0000-0000F9490000}"/>
    <cellStyle name="Currency [1]" xfId="11288" xr:uid="{00000000-0005-0000-0000-0000FA490000}"/>
    <cellStyle name="Currency [1] 2" xfId="11289" xr:uid="{00000000-0005-0000-0000-0000FB490000}"/>
    <cellStyle name="Currency [1] 2 2" xfId="11290" xr:uid="{00000000-0005-0000-0000-0000FC490000}"/>
    <cellStyle name="Currency [1] 3" xfId="11291" xr:uid="{00000000-0005-0000-0000-0000FD490000}"/>
    <cellStyle name="Currency [1] 4" xfId="11292" xr:uid="{00000000-0005-0000-0000-0000FE490000}"/>
    <cellStyle name="Currency [1] 5" xfId="11293" xr:uid="{00000000-0005-0000-0000-0000FF490000}"/>
    <cellStyle name="Currency [2]" xfId="11294" xr:uid="{00000000-0005-0000-0000-0000004A0000}"/>
    <cellStyle name="Currency [3]" xfId="11295" xr:uid="{00000000-0005-0000-0000-0000014A0000}"/>
    <cellStyle name="Currency [3] 2" xfId="11296" xr:uid="{00000000-0005-0000-0000-0000024A0000}"/>
    <cellStyle name="Currency [4]" xfId="11297" xr:uid="{00000000-0005-0000-0000-0000034A0000}"/>
    <cellStyle name="Currency 0" xfId="11298" xr:uid="{00000000-0005-0000-0000-0000044A0000}"/>
    <cellStyle name="Currency 0 2" xfId="11299" xr:uid="{00000000-0005-0000-0000-0000054A0000}"/>
    <cellStyle name="Currency 0.0" xfId="11300" xr:uid="{00000000-0005-0000-0000-0000064A0000}"/>
    <cellStyle name="Currency 0.0%" xfId="11301" xr:uid="{00000000-0005-0000-0000-0000074A0000}"/>
    <cellStyle name="Currency 0.0% 2" xfId="11302" xr:uid="{00000000-0005-0000-0000-0000084A0000}"/>
    <cellStyle name="Currency 0.00" xfId="11303" xr:uid="{00000000-0005-0000-0000-0000094A0000}"/>
    <cellStyle name="Currency 0.00%" xfId="11304" xr:uid="{00000000-0005-0000-0000-00000A4A0000}"/>
    <cellStyle name="Currency 0.00% 2" xfId="11305" xr:uid="{00000000-0005-0000-0000-00000B4A0000}"/>
    <cellStyle name="Currency 0.000" xfId="11306" xr:uid="{00000000-0005-0000-0000-00000C4A0000}"/>
    <cellStyle name="Currency 0.000%" xfId="11307" xr:uid="{00000000-0005-0000-0000-00000D4A0000}"/>
    <cellStyle name="Currency 0.000% 2" xfId="11308" xr:uid="{00000000-0005-0000-0000-00000E4A0000}"/>
    <cellStyle name="Currency 14" xfId="20311" xr:uid="{00000000-0005-0000-0000-00000F4A0000}"/>
    <cellStyle name="Currency 2" xfId="3" xr:uid="{00000000-0005-0000-0000-0000104A0000}"/>
    <cellStyle name="Currency 2 2" xfId="11309" xr:uid="{00000000-0005-0000-0000-0000114A0000}"/>
    <cellStyle name="Currency 2 2 2" xfId="11310" xr:uid="{00000000-0005-0000-0000-0000124A0000}"/>
    <cellStyle name="Currency 2 2 2 2" xfId="11311" xr:uid="{00000000-0005-0000-0000-0000134A0000}"/>
    <cellStyle name="Currency 2 2 2 2 2" xfId="16135" xr:uid="{00000000-0005-0000-0000-0000144A0000}"/>
    <cellStyle name="Currency 2 2 2 2 3" xfId="20134" xr:uid="{00000000-0005-0000-0000-0000154A0000}"/>
    <cellStyle name="Currency 2 2 3" xfId="11312" xr:uid="{00000000-0005-0000-0000-0000164A0000}"/>
    <cellStyle name="Currency 2 2 3 2" xfId="16136" xr:uid="{00000000-0005-0000-0000-0000174A0000}"/>
    <cellStyle name="Currency 2 2 3 3" xfId="20135" xr:uid="{00000000-0005-0000-0000-0000184A0000}"/>
    <cellStyle name="Currency 2 3" xfId="11313" xr:uid="{00000000-0005-0000-0000-0000194A0000}"/>
    <cellStyle name="Currency 2 3 2" xfId="11314" xr:uid="{00000000-0005-0000-0000-00001A4A0000}"/>
    <cellStyle name="Currency 2 4" xfId="11315" xr:uid="{00000000-0005-0000-0000-00001B4A0000}"/>
    <cellStyle name="Currency 2 4 2" xfId="11316" xr:uid="{00000000-0005-0000-0000-00001C4A0000}"/>
    <cellStyle name="Currency 2 5" xfId="11317" xr:uid="{00000000-0005-0000-0000-00001D4A0000}"/>
    <cellStyle name="Currency 2 5 2" xfId="11318" xr:uid="{00000000-0005-0000-0000-00001E4A0000}"/>
    <cellStyle name="Currency 2 6" xfId="11319" xr:uid="{00000000-0005-0000-0000-00001F4A0000}"/>
    <cellStyle name="Currency 2 7" xfId="12430" xr:uid="{00000000-0005-0000-0000-0000204A0000}"/>
    <cellStyle name="Currency 2 8" xfId="16386" xr:uid="{00000000-0005-0000-0000-0000214A0000}"/>
    <cellStyle name="Currency 2*" xfId="11320" xr:uid="{00000000-0005-0000-0000-0000224A0000}"/>
    <cellStyle name="Currency 2_ Budgeted Income Statement for Y2008 (071508)" xfId="11321" xr:uid="{00000000-0005-0000-0000-0000234A0000}"/>
    <cellStyle name="Currency 3" xfId="11322" xr:uid="{00000000-0005-0000-0000-0000244A0000}"/>
    <cellStyle name="Currency 3 2" xfId="11323" xr:uid="{00000000-0005-0000-0000-0000254A0000}"/>
    <cellStyle name="Currency 3*" xfId="11324" xr:uid="{00000000-0005-0000-0000-0000264A0000}"/>
    <cellStyle name="Currency 3_ Budgeted Income Statement for Y2009 (071508)" xfId="11325" xr:uid="{00000000-0005-0000-0000-0000274A0000}"/>
    <cellStyle name="Currency 39" xfId="20394" xr:uid="{00000000-0005-0000-0000-0000284A0000}"/>
    <cellStyle name="Currency 4" xfId="11326" xr:uid="{00000000-0005-0000-0000-0000294A0000}"/>
    <cellStyle name="Currency 4 2" xfId="11327" xr:uid="{00000000-0005-0000-0000-00002A4A0000}"/>
    <cellStyle name="Currency 4 2 2" xfId="11328" xr:uid="{00000000-0005-0000-0000-00002B4A0000}"/>
    <cellStyle name="Currency 4 2 2 2" xfId="16137" xr:uid="{00000000-0005-0000-0000-00002C4A0000}"/>
    <cellStyle name="Currency 4 2 2 3" xfId="20136" xr:uid="{00000000-0005-0000-0000-00002D4A0000}"/>
    <cellStyle name="Currency 4 3" xfId="11329" xr:uid="{00000000-0005-0000-0000-00002E4A0000}"/>
    <cellStyle name="Currency 4 3 2" xfId="16138" xr:uid="{00000000-0005-0000-0000-00002F4A0000}"/>
    <cellStyle name="Currency 4 3 3" xfId="20137" xr:uid="{00000000-0005-0000-0000-0000304A0000}"/>
    <cellStyle name="Currency 5" xfId="11330" xr:uid="{00000000-0005-0000-0000-0000314A0000}"/>
    <cellStyle name="Currency 5 4" xfId="12423" xr:uid="{00000000-0005-0000-0000-0000324A0000}"/>
    <cellStyle name="Currency 6" xfId="11331" xr:uid="{00000000-0005-0000-0000-0000334A0000}"/>
    <cellStyle name="Currency 6 2" xfId="16139" xr:uid="{00000000-0005-0000-0000-0000344A0000}"/>
    <cellStyle name="Currency 6 3" xfId="20138" xr:uid="{00000000-0005-0000-0000-0000354A0000}"/>
    <cellStyle name="Currency 7" xfId="16218" xr:uid="{00000000-0005-0000-0000-0000364A0000}"/>
    <cellStyle name="Currency 7 2" xfId="20399" xr:uid="{00000000-0005-0000-0000-0000374A0000}"/>
    <cellStyle name="Currency 7 2 2" xfId="20272" xr:uid="{00000000-0005-0000-0000-0000384A0000}"/>
    <cellStyle name="Currency 9 3" xfId="20273" xr:uid="{00000000-0005-0000-0000-0000394A0000}"/>
    <cellStyle name="Currency 9 3 2" xfId="20274" xr:uid="{00000000-0005-0000-0000-00003A4A0000}"/>
    <cellStyle name="Currency Input" xfId="11332" xr:uid="{00000000-0005-0000-0000-00003B4A0000}"/>
    <cellStyle name="Currency Input 2" xfId="11333" xr:uid="{00000000-0005-0000-0000-00003C4A0000}"/>
    <cellStyle name="Currency*" xfId="11334" xr:uid="{00000000-0005-0000-0000-00003D4A0000}"/>
    <cellStyle name="Currency0" xfId="11335" xr:uid="{00000000-0005-0000-0000-00003E4A0000}"/>
    <cellStyle name="Currency0 2" xfId="11336" xr:uid="{00000000-0005-0000-0000-00003F4A0000}"/>
    <cellStyle name="Currency1" xfId="11337" xr:uid="{00000000-0005-0000-0000-0000404A0000}"/>
    <cellStyle name="Currency2" xfId="11338" xr:uid="{00000000-0005-0000-0000-0000414A0000}"/>
    <cellStyle name="Currsmall" xfId="11339" xr:uid="{00000000-0005-0000-0000-0000424A0000}"/>
    <cellStyle name="custom" xfId="11340" xr:uid="{00000000-0005-0000-0000-0000434A0000}"/>
    <cellStyle name="d" xfId="11341" xr:uid="{00000000-0005-0000-0000-0000444A0000}"/>
    <cellStyle name="d/m/yr" xfId="11342" xr:uid="{00000000-0005-0000-0000-0000454A0000}"/>
    <cellStyle name="DARK" xfId="11343" xr:uid="{00000000-0005-0000-0000-0000464A0000}"/>
    <cellStyle name="darren" xfId="11344" xr:uid="{00000000-0005-0000-0000-0000474A0000}"/>
    <cellStyle name="Dash" xfId="11345" xr:uid="{00000000-0005-0000-0000-0000484A0000}"/>
    <cellStyle name="Data entry" xfId="11346" xr:uid="{00000000-0005-0000-0000-0000494A0000}"/>
    <cellStyle name="Data Link" xfId="11347" xr:uid="{00000000-0005-0000-0000-00004A4A0000}"/>
    <cellStyle name="DataBases" xfId="11348" xr:uid="{00000000-0005-0000-0000-00004B4A0000}"/>
    <cellStyle name="DATASTYLE" xfId="11349" xr:uid="{00000000-0005-0000-0000-00004C4A0000}"/>
    <cellStyle name="DataToHide" xfId="11350" xr:uid="{00000000-0005-0000-0000-00004D4A0000}"/>
    <cellStyle name="Date" xfId="11351" xr:uid="{00000000-0005-0000-0000-00004E4A0000}"/>
    <cellStyle name="Date - Style1" xfId="11352" xr:uid="{00000000-0005-0000-0000-00004F4A0000}"/>
    <cellStyle name="Date - Style3" xfId="11353" xr:uid="{00000000-0005-0000-0000-0000504A0000}"/>
    <cellStyle name="Date [d-mmm-yy]" xfId="11354" xr:uid="{00000000-0005-0000-0000-0000514A0000}"/>
    <cellStyle name="Date [d-mmm-yy] 2" xfId="20312" xr:uid="{00000000-0005-0000-0000-0000524A0000}"/>
    <cellStyle name="Date [mm-d-yy]" xfId="11355" xr:uid="{00000000-0005-0000-0000-0000534A0000}"/>
    <cellStyle name="Date [mm-d-yy] 2" xfId="20313" xr:uid="{00000000-0005-0000-0000-0000544A0000}"/>
    <cellStyle name="Date [mm-d-yyyy]" xfId="11356" xr:uid="{00000000-0005-0000-0000-0000554A0000}"/>
    <cellStyle name="Date [mm-d-yyyy] 2" xfId="11357" xr:uid="{00000000-0005-0000-0000-0000564A0000}"/>
    <cellStyle name="Date [mmm-d-yyyy]" xfId="11358" xr:uid="{00000000-0005-0000-0000-0000574A0000}"/>
    <cellStyle name="Date [mmm-yy]" xfId="11359" xr:uid="{00000000-0005-0000-0000-0000584A0000}"/>
    <cellStyle name="Date [mmm-yy] 2" xfId="20314" xr:uid="{00000000-0005-0000-0000-0000594A0000}"/>
    <cellStyle name="Date 2" xfId="11360" xr:uid="{00000000-0005-0000-0000-00005A4A0000}"/>
    <cellStyle name="Date Aligned" xfId="11361" xr:uid="{00000000-0005-0000-0000-00005B4A0000}"/>
    <cellStyle name="Date Aligned*" xfId="11362" xr:uid="{00000000-0005-0000-0000-00005C4A0000}"/>
    <cellStyle name="Date Aligned_comps" xfId="11363" xr:uid="{00000000-0005-0000-0000-00005D4A0000}"/>
    <cellStyle name="Date Short" xfId="11364" xr:uid="{00000000-0005-0000-0000-00005E4A0000}"/>
    <cellStyle name="Date Short 2" xfId="20315" xr:uid="{00000000-0005-0000-0000-00005F4A0000}"/>
    <cellStyle name="Date Year" xfId="11365" xr:uid="{00000000-0005-0000-0000-0000604A0000}"/>
    <cellStyle name="Date_ACC_DIL Template" xfId="11366" xr:uid="{00000000-0005-0000-0000-0000614A0000}"/>
    <cellStyle name="Date1" xfId="11367" xr:uid="{00000000-0005-0000-0000-0000624A0000}"/>
    <cellStyle name="DateL" xfId="11368" xr:uid="{00000000-0005-0000-0000-0000634A0000}"/>
    <cellStyle name="DateLong" xfId="11369" xr:uid="{00000000-0005-0000-0000-0000644A0000}"/>
    <cellStyle name="DateLong 2" xfId="11370" xr:uid="{00000000-0005-0000-0000-0000654A0000}"/>
    <cellStyle name="DateLong 3" xfId="11371" xr:uid="{00000000-0005-0000-0000-0000664A0000}"/>
    <cellStyle name="DATES" xfId="11372" xr:uid="{00000000-0005-0000-0000-0000674A0000}"/>
    <cellStyle name="DATES 2" xfId="20316" xr:uid="{00000000-0005-0000-0000-0000684A0000}"/>
    <cellStyle name="DateShort" xfId="11373" xr:uid="{00000000-0005-0000-0000-0000694A0000}"/>
    <cellStyle name="DateShort 2" xfId="11374" xr:uid="{00000000-0005-0000-0000-00006A4A0000}"/>
    <cellStyle name="DateShort 3" xfId="11375" xr:uid="{00000000-0005-0000-0000-00006B4A0000}"/>
    <cellStyle name="DateYear" xfId="11376" xr:uid="{00000000-0005-0000-0000-00006C4A0000}"/>
    <cellStyle name="DateYearEstimate" xfId="11377" xr:uid="{00000000-0005-0000-0000-00006D4A0000}"/>
    <cellStyle name="DateYearEstimate 2" xfId="11378" xr:uid="{00000000-0005-0000-0000-00006E4A0000}"/>
    <cellStyle name="DateYearEstimate 2 2" xfId="11379" xr:uid="{00000000-0005-0000-0000-00006F4A0000}"/>
    <cellStyle name="DateYearEstimate 2 2 2" xfId="16142" xr:uid="{00000000-0005-0000-0000-0000704A0000}"/>
    <cellStyle name="DateYearEstimate 2 2 3" xfId="20141" xr:uid="{00000000-0005-0000-0000-0000714A0000}"/>
    <cellStyle name="DateYearEstimate 2 3" xfId="16141" xr:uid="{00000000-0005-0000-0000-0000724A0000}"/>
    <cellStyle name="DateYearEstimate 2 4" xfId="20140" xr:uid="{00000000-0005-0000-0000-0000734A0000}"/>
    <cellStyle name="DateYearEstimate 3" xfId="11380" xr:uid="{00000000-0005-0000-0000-0000744A0000}"/>
    <cellStyle name="DateYearEstimate 3 2" xfId="11381" xr:uid="{00000000-0005-0000-0000-0000754A0000}"/>
    <cellStyle name="DateYearEstimate 3 2 2" xfId="16144" xr:uid="{00000000-0005-0000-0000-0000764A0000}"/>
    <cellStyle name="DateYearEstimate 3 2 3" xfId="20143" xr:uid="{00000000-0005-0000-0000-0000774A0000}"/>
    <cellStyle name="DateYearEstimate 3 3" xfId="16143" xr:uid="{00000000-0005-0000-0000-0000784A0000}"/>
    <cellStyle name="DateYearEstimate 3 4" xfId="20142" xr:uid="{00000000-0005-0000-0000-0000794A0000}"/>
    <cellStyle name="DateYearEstimate 4" xfId="11382" xr:uid="{00000000-0005-0000-0000-00007A4A0000}"/>
    <cellStyle name="DateYearEstimate 4 2" xfId="16145" xr:uid="{00000000-0005-0000-0000-00007B4A0000}"/>
    <cellStyle name="DateYearEstimate 4 3" xfId="20144" xr:uid="{00000000-0005-0000-0000-00007C4A0000}"/>
    <cellStyle name="DateYearEstimate 5" xfId="16140" xr:uid="{00000000-0005-0000-0000-00007D4A0000}"/>
    <cellStyle name="DateYearEstimate 6" xfId="20139" xr:uid="{00000000-0005-0000-0000-00007E4A0000}"/>
    <cellStyle name="DateYearWholeEstimate" xfId="11383" xr:uid="{00000000-0005-0000-0000-00007F4A0000}"/>
    <cellStyle name="DateYearWholeEstimate 2" xfId="11384" xr:uid="{00000000-0005-0000-0000-0000804A0000}"/>
    <cellStyle name="DateYearWholeEstimate 2 2" xfId="11385" xr:uid="{00000000-0005-0000-0000-0000814A0000}"/>
    <cellStyle name="DateYearWholeEstimate 2 2 2" xfId="16148" xr:uid="{00000000-0005-0000-0000-0000824A0000}"/>
    <cellStyle name="DateYearWholeEstimate 2 2 3" xfId="20147" xr:uid="{00000000-0005-0000-0000-0000834A0000}"/>
    <cellStyle name="DateYearWholeEstimate 2 3" xfId="16147" xr:uid="{00000000-0005-0000-0000-0000844A0000}"/>
    <cellStyle name="DateYearWholeEstimate 2 4" xfId="20146" xr:uid="{00000000-0005-0000-0000-0000854A0000}"/>
    <cellStyle name="DateYearWholeEstimate 3" xfId="11386" xr:uid="{00000000-0005-0000-0000-0000864A0000}"/>
    <cellStyle name="DateYearWholeEstimate 3 2" xfId="11387" xr:uid="{00000000-0005-0000-0000-0000874A0000}"/>
    <cellStyle name="DateYearWholeEstimate 3 2 2" xfId="16150" xr:uid="{00000000-0005-0000-0000-0000884A0000}"/>
    <cellStyle name="DateYearWholeEstimate 3 2 3" xfId="20149" xr:uid="{00000000-0005-0000-0000-0000894A0000}"/>
    <cellStyle name="DateYearWholeEstimate 3 3" xfId="16149" xr:uid="{00000000-0005-0000-0000-00008A4A0000}"/>
    <cellStyle name="DateYearWholeEstimate 3 4" xfId="20148" xr:uid="{00000000-0005-0000-0000-00008B4A0000}"/>
    <cellStyle name="DateYearWholeEstimate 4" xfId="11388" xr:uid="{00000000-0005-0000-0000-00008C4A0000}"/>
    <cellStyle name="DateYearWholeEstimate 4 2" xfId="16151" xr:uid="{00000000-0005-0000-0000-00008D4A0000}"/>
    <cellStyle name="DateYearWholeEstimate 4 3" xfId="20150" xr:uid="{00000000-0005-0000-0000-00008E4A0000}"/>
    <cellStyle name="DateYearWholeEstimate 5" xfId="16146" xr:uid="{00000000-0005-0000-0000-00008F4A0000}"/>
    <cellStyle name="DateYearWholeEstimate 6" xfId="20145" xr:uid="{00000000-0005-0000-0000-0000904A0000}"/>
    <cellStyle name="Daydate" xfId="11389" xr:uid="{00000000-0005-0000-0000-0000914A0000}"/>
    <cellStyle name="Day-Mon-Yr" xfId="11390" xr:uid="{00000000-0005-0000-0000-0000924A0000}"/>
    <cellStyle name="Decimal" xfId="11391" xr:uid="{00000000-0005-0000-0000-0000934A0000}"/>
    <cellStyle name="Decimal Number" xfId="11392" xr:uid="{00000000-0005-0000-0000-0000944A0000}"/>
    <cellStyle name="default" xfId="11393" xr:uid="{00000000-0005-0000-0000-0000954A0000}"/>
    <cellStyle name="Default SS" xfId="11394" xr:uid="{00000000-0005-0000-0000-0000964A0000}"/>
    <cellStyle name="Default TB" xfId="11395" xr:uid="{00000000-0005-0000-0000-0000974A0000}"/>
    <cellStyle name="Default_affinityfin12-11-06" xfId="11396" xr:uid="{00000000-0005-0000-0000-0000984A0000}"/>
    <cellStyle name="DELTA" xfId="11397" xr:uid="{00000000-0005-0000-0000-0000994A0000}"/>
    <cellStyle name="Dezimal [0]_!!!GO" xfId="11398" xr:uid="{00000000-0005-0000-0000-00009A4A0000}"/>
    <cellStyle name="Dezimal_!!!GO" xfId="11399" xr:uid="{00000000-0005-0000-0000-00009B4A0000}"/>
    <cellStyle name="Dollar" xfId="11400" xr:uid="{00000000-0005-0000-0000-00009C4A0000}"/>
    <cellStyle name="Dollar (zero dec)" xfId="11401" xr:uid="{00000000-0005-0000-0000-00009D4A0000}"/>
    <cellStyle name="Dollar 2" xfId="20317" xr:uid="{00000000-0005-0000-0000-00009E4A0000}"/>
    <cellStyle name="Dollar1" xfId="11402" xr:uid="{00000000-0005-0000-0000-00009F4A0000}"/>
    <cellStyle name="Dollar1Blue" xfId="11403" xr:uid="{00000000-0005-0000-0000-0000A04A0000}"/>
    <cellStyle name="Dollar2" xfId="11404" xr:uid="{00000000-0005-0000-0000-0000A14A0000}"/>
    <cellStyle name="DOLLARLIN" xfId="11405" xr:uid="{00000000-0005-0000-0000-0000A24A0000}"/>
    <cellStyle name="dollars" xfId="11406" xr:uid="{00000000-0005-0000-0000-0000A34A0000}"/>
    <cellStyle name="Dollars []" xfId="11407" xr:uid="{00000000-0005-0000-0000-0000A44A0000}"/>
    <cellStyle name="dollars 2" xfId="20318" xr:uid="{00000000-0005-0000-0000-0000A54A0000}"/>
    <cellStyle name="dollars 3" xfId="20319" xr:uid="{00000000-0005-0000-0000-0000A64A0000}"/>
    <cellStyle name="dollars_Book2" xfId="11408" xr:uid="{00000000-0005-0000-0000-0000A74A0000}"/>
    <cellStyle name="DOLLARSIN" xfId="11409" xr:uid="{00000000-0005-0000-0000-0000A84A0000}"/>
    <cellStyle name="DollarWhole" xfId="11410" xr:uid="{00000000-0005-0000-0000-0000A94A0000}"/>
    <cellStyle name="DollarWhole 2" xfId="20320" xr:uid="{00000000-0005-0000-0000-0000AA4A0000}"/>
    <cellStyle name="Dotted Line" xfId="11411" xr:uid="{00000000-0005-0000-0000-0000AB4A0000}"/>
    <cellStyle name="Double Accounting" xfId="11412" xr:uid="{00000000-0005-0000-0000-0000AC4A0000}"/>
    <cellStyle name="Double Underline" xfId="11413" xr:uid="{00000000-0005-0000-0000-0000AD4A0000}"/>
    <cellStyle name="Download" xfId="11414" xr:uid="{00000000-0005-0000-0000-0000AE4A0000}"/>
    <cellStyle name="Download 2" xfId="20321" xr:uid="{00000000-0005-0000-0000-0000AF4A0000}"/>
    <cellStyle name="Enter Currency (0)" xfId="11415" xr:uid="{00000000-0005-0000-0000-0000B04A0000}"/>
    <cellStyle name="Enter Currency (2)" xfId="11416" xr:uid="{00000000-0005-0000-0000-0000B14A0000}"/>
    <cellStyle name="Enter Units (0)" xfId="11417" xr:uid="{00000000-0005-0000-0000-0000B24A0000}"/>
    <cellStyle name="Enter Units (1)" xfId="11418" xr:uid="{00000000-0005-0000-0000-0000B34A0000}"/>
    <cellStyle name="Enter Units (2)" xfId="11419" xr:uid="{00000000-0005-0000-0000-0000B44A0000}"/>
    <cellStyle name="ENTER_DATA" xfId="11420" xr:uid="{00000000-0005-0000-0000-0000B54A0000}"/>
    <cellStyle name="Entered" xfId="11421" xr:uid="{00000000-0005-0000-0000-0000B64A0000}"/>
    <cellStyle name="Entities" xfId="11422" xr:uid="{00000000-0005-0000-0000-0000B74A0000}"/>
    <cellStyle name="Euro" xfId="11423" xr:uid="{00000000-0005-0000-0000-0000B84A0000}"/>
    <cellStyle name="Euro 10" xfId="11424" xr:uid="{00000000-0005-0000-0000-0000B94A0000}"/>
    <cellStyle name="Euro 11" xfId="11425" xr:uid="{00000000-0005-0000-0000-0000BA4A0000}"/>
    <cellStyle name="Euro 2" xfId="11426" xr:uid="{00000000-0005-0000-0000-0000BB4A0000}"/>
    <cellStyle name="Euro 3" xfId="11427" xr:uid="{00000000-0005-0000-0000-0000BC4A0000}"/>
    <cellStyle name="Euro 4" xfId="11428" xr:uid="{00000000-0005-0000-0000-0000BD4A0000}"/>
    <cellStyle name="Euro 5" xfId="11429" xr:uid="{00000000-0005-0000-0000-0000BE4A0000}"/>
    <cellStyle name="Euro 6" xfId="11430" xr:uid="{00000000-0005-0000-0000-0000BF4A0000}"/>
    <cellStyle name="Euro 7" xfId="11431" xr:uid="{00000000-0005-0000-0000-0000C04A0000}"/>
    <cellStyle name="Euro 8" xfId="11432" xr:uid="{00000000-0005-0000-0000-0000C14A0000}"/>
    <cellStyle name="Euro 8 2" xfId="11433" xr:uid="{00000000-0005-0000-0000-0000C24A0000}"/>
    <cellStyle name="Euro 9" xfId="11434" xr:uid="{00000000-0005-0000-0000-0000C34A0000}"/>
    <cellStyle name="Euro 9 2" xfId="11435" xr:uid="{00000000-0005-0000-0000-0000C44A0000}"/>
    <cellStyle name="Excel Built-in Comma" xfId="11436" xr:uid="{00000000-0005-0000-0000-0000C54A0000}"/>
    <cellStyle name="Excel Built-in Normal" xfId="11437" xr:uid="{00000000-0005-0000-0000-0000C64A0000}"/>
    <cellStyle name="Explanatory Text 10" xfId="11438" xr:uid="{00000000-0005-0000-0000-0000C74A0000}"/>
    <cellStyle name="Explanatory Text 11" xfId="11439" xr:uid="{00000000-0005-0000-0000-0000C84A0000}"/>
    <cellStyle name="Explanatory Text 12" xfId="11440" xr:uid="{00000000-0005-0000-0000-0000C94A0000}"/>
    <cellStyle name="Explanatory Text 13" xfId="11441" xr:uid="{00000000-0005-0000-0000-0000CA4A0000}"/>
    <cellStyle name="Explanatory Text 2" xfId="11442" xr:uid="{00000000-0005-0000-0000-0000CB4A0000}"/>
    <cellStyle name="Explanatory Text 3" xfId="11443" xr:uid="{00000000-0005-0000-0000-0000CC4A0000}"/>
    <cellStyle name="Explanatory Text 4" xfId="11444" xr:uid="{00000000-0005-0000-0000-0000CD4A0000}"/>
    <cellStyle name="Explanatory Text 5" xfId="11445" xr:uid="{00000000-0005-0000-0000-0000CE4A0000}"/>
    <cellStyle name="Explanatory Text 6" xfId="11446" xr:uid="{00000000-0005-0000-0000-0000CF4A0000}"/>
    <cellStyle name="Explanatory Text 7" xfId="11447" xr:uid="{00000000-0005-0000-0000-0000D04A0000}"/>
    <cellStyle name="Explanatory Text 8" xfId="11448" xr:uid="{00000000-0005-0000-0000-0000D14A0000}"/>
    <cellStyle name="Explanatory Text 9" xfId="11449" xr:uid="{00000000-0005-0000-0000-0000D24A0000}"/>
    <cellStyle name="F2" xfId="11450" xr:uid="{00000000-0005-0000-0000-0000D34A0000}"/>
    <cellStyle name="F3" xfId="11451" xr:uid="{00000000-0005-0000-0000-0000D44A0000}"/>
    <cellStyle name="F4" xfId="11452" xr:uid="{00000000-0005-0000-0000-0000D54A0000}"/>
    <cellStyle name="F5" xfId="11453" xr:uid="{00000000-0005-0000-0000-0000D64A0000}"/>
    <cellStyle name="F6" xfId="11454" xr:uid="{00000000-0005-0000-0000-0000D74A0000}"/>
    <cellStyle name="F7" xfId="11455" xr:uid="{00000000-0005-0000-0000-0000D84A0000}"/>
    <cellStyle name="F8" xfId="11456" xr:uid="{00000000-0005-0000-0000-0000D94A0000}"/>
    <cellStyle name="factsheet" xfId="11457" xr:uid="{00000000-0005-0000-0000-0000DA4A0000}"/>
    <cellStyle name="Final_Data" xfId="11458" xr:uid="{00000000-0005-0000-0000-0000DB4A0000}"/>
    <cellStyle name="First_nums" xfId="11459" xr:uid="{00000000-0005-0000-0000-0000DC4A0000}"/>
    <cellStyle name="Fixed" xfId="11460" xr:uid="{00000000-0005-0000-0000-0000DD4A0000}"/>
    <cellStyle name="Fixed [0]" xfId="11461" xr:uid="{00000000-0005-0000-0000-0000DE4A0000}"/>
    <cellStyle name="Fixed_Burdick DCF Model -10" xfId="11462" xr:uid="{00000000-0005-0000-0000-0000DF4A0000}"/>
    <cellStyle name="Fixed0" xfId="11463" xr:uid="{00000000-0005-0000-0000-0000E04A0000}"/>
    <cellStyle name="Fixed2 - Style2" xfId="11464" xr:uid="{00000000-0005-0000-0000-0000E14A0000}"/>
    <cellStyle name="Fixlong" xfId="11465" xr:uid="{00000000-0005-0000-0000-0000E24A0000}"/>
    <cellStyle name="Följd hyperlänk_Analysis of building cost to 300904.xls" xfId="11466" xr:uid="{00000000-0005-0000-0000-0000E34A0000}"/>
    <cellStyle name="Följde hyperlänken_2001 EPS SUMMARY" xfId="11467" xr:uid="{00000000-0005-0000-0000-0000E44A0000}"/>
    <cellStyle name="Footer" xfId="11468" xr:uid="{00000000-0005-0000-0000-0000E54A0000}"/>
    <cellStyle name="Footnote" xfId="11469" xr:uid="{00000000-0005-0000-0000-0000E64A0000}"/>
    <cellStyle name="Footnote 2" xfId="20322" xr:uid="{00000000-0005-0000-0000-0000E74A0000}"/>
    <cellStyle name="ForecastInput" xfId="11470" xr:uid="{00000000-0005-0000-0000-0000E84A0000}"/>
    <cellStyle name="Format Number Column" xfId="11471" xr:uid="{00000000-0005-0000-0000-0000E94A0000}"/>
    <cellStyle name="Formula" xfId="11472" xr:uid="{00000000-0005-0000-0000-0000EA4A0000}"/>
    <cellStyle name="FRxAmtStyle" xfId="11473" xr:uid="{00000000-0005-0000-0000-0000EB4A0000}"/>
    <cellStyle name="FRxAmtStyle 2" xfId="11474" xr:uid="{00000000-0005-0000-0000-0000EC4A0000}"/>
    <cellStyle name="FRxCurrStyle" xfId="11475" xr:uid="{00000000-0005-0000-0000-0000ED4A0000}"/>
    <cellStyle name="FRxPcntStyle" xfId="11476" xr:uid="{00000000-0005-0000-0000-0000EE4A0000}"/>
    <cellStyle name="Global" xfId="11477" xr:uid="{00000000-0005-0000-0000-0000EF4A0000}"/>
    <cellStyle name="Global 2" xfId="11478" xr:uid="{00000000-0005-0000-0000-0000F04A0000}"/>
    <cellStyle name="Global 2 2" xfId="11479" xr:uid="{00000000-0005-0000-0000-0000F14A0000}"/>
    <cellStyle name="Global 2 2 2" xfId="16154" xr:uid="{00000000-0005-0000-0000-0000F24A0000}"/>
    <cellStyle name="Global 2 2 3" xfId="20153" xr:uid="{00000000-0005-0000-0000-0000F34A0000}"/>
    <cellStyle name="Global 2 3" xfId="16153" xr:uid="{00000000-0005-0000-0000-0000F44A0000}"/>
    <cellStyle name="Global 2 4" xfId="20152" xr:uid="{00000000-0005-0000-0000-0000F54A0000}"/>
    <cellStyle name="Global 3" xfId="11480" xr:uid="{00000000-0005-0000-0000-0000F64A0000}"/>
    <cellStyle name="Global 3 2" xfId="11481" xr:uid="{00000000-0005-0000-0000-0000F74A0000}"/>
    <cellStyle name="Global 3 2 2" xfId="16156" xr:uid="{00000000-0005-0000-0000-0000F84A0000}"/>
    <cellStyle name="Global 3 2 3" xfId="20155" xr:uid="{00000000-0005-0000-0000-0000F94A0000}"/>
    <cellStyle name="Global 3 3" xfId="16155" xr:uid="{00000000-0005-0000-0000-0000FA4A0000}"/>
    <cellStyle name="Global 3 4" xfId="20154" xr:uid="{00000000-0005-0000-0000-0000FB4A0000}"/>
    <cellStyle name="Global 4" xfId="11482" xr:uid="{00000000-0005-0000-0000-0000FC4A0000}"/>
    <cellStyle name="Global 4 2" xfId="16157" xr:uid="{00000000-0005-0000-0000-0000FD4A0000}"/>
    <cellStyle name="Global 4 3" xfId="20156" xr:uid="{00000000-0005-0000-0000-0000FE4A0000}"/>
    <cellStyle name="Global 5" xfId="16152" xr:uid="{00000000-0005-0000-0000-0000FF4A0000}"/>
    <cellStyle name="Global 6" xfId="20151" xr:uid="{00000000-0005-0000-0000-0000004B0000}"/>
    <cellStyle name="Good 10" xfId="11483" xr:uid="{00000000-0005-0000-0000-0000014B0000}"/>
    <cellStyle name="Good 11" xfId="11484" xr:uid="{00000000-0005-0000-0000-0000024B0000}"/>
    <cellStyle name="Good 12" xfId="11485" xr:uid="{00000000-0005-0000-0000-0000034B0000}"/>
    <cellStyle name="Good 13" xfId="11486" xr:uid="{00000000-0005-0000-0000-0000044B0000}"/>
    <cellStyle name="Good 2" xfId="11487" xr:uid="{00000000-0005-0000-0000-0000054B0000}"/>
    <cellStyle name="Good 3" xfId="11488" xr:uid="{00000000-0005-0000-0000-0000064B0000}"/>
    <cellStyle name="Good 4" xfId="11489" xr:uid="{00000000-0005-0000-0000-0000074B0000}"/>
    <cellStyle name="Good 5" xfId="11490" xr:uid="{00000000-0005-0000-0000-0000084B0000}"/>
    <cellStyle name="Good 6" xfId="11491" xr:uid="{00000000-0005-0000-0000-0000094B0000}"/>
    <cellStyle name="Good 7" xfId="11492" xr:uid="{00000000-0005-0000-0000-00000A4B0000}"/>
    <cellStyle name="Good 8" xfId="11493" xr:uid="{00000000-0005-0000-0000-00000B4B0000}"/>
    <cellStyle name="Good 9" xfId="11494" xr:uid="{00000000-0005-0000-0000-00000C4B0000}"/>
    <cellStyle name="grayText2" xfId="11495" xr:uid="{00000000-0005-0000-0000-00000D4B0000}"/>
    <cellStyle name="grayText2Big" xfId="11496" xr:uid="{00000000-0005-0000-0000-00000E4B0000}"/>
    <cellStyle name="grayText2Big 2" xfId="20323" xr:uid="{00000000-0005-0000-0000-00000F4B0000}"/>
    <cellStyle name="Grey" xfId="11497" xr:uid="{00000000-0005-0000-0000-0000104B0000}"/>
    <cellStyle name="Grey 2" xfId="11498" xr:uid="{00000000-0005-0000-0000-0000114B0000}"/>
    <cellStyle name="Grey 3" xfId="11499" xr:uid="{00000000-0005-0000-0000-0000124B0000}"/>
    <cellStyle name="Grey 4" xfId="11500" xr:uid="{00000000-0005-0000-0000-0000134B0000}"/>
    <cellStyle name="Growth" xfId="11501" xr:uid="{00000000-0005-0000-0000-0000144B0000}"/>
    <cellStyle name="Growth 2" xfId="20324" xr:uid="{00000000-0005-0000-0000-0000154B0000}"/>
    <cellStyle name="GrowthRate" xfId="11502" xr:uid="{00000000-0005-0000-0000-0000164B0000}"/>
    <cellStyle name="GrowthRate 2" xfId="20325" xr:uid="{00000000-0005-0000-0000-0000174B0000}"/>
    <cellStyle name="H 2" xfId="11503" xr:uid="{00000000-0005-0000-0000-0000184B0000}"/>
    <cellStyle name="hard no" xfId="11504" xr:uid="{00000000-0005-0000-0000-0000194B0000}"/>
    <cellStyle name="Hard Percent" xfId="11505" xr:uid="{00000000-0005-0000-0000-00001A4B0000}"/>
    <cellStyle name="hardno" xfId="11506" xr:uid="{00000000-0005-0000-0000-00001B4B0000}"/>
    <cellStyle name="Head" xfId="11507" xr:uid="{00000000-0005-0000-0000-00001C4B0000}"/>
    <cellStyle name="header" xfId="11508" xr:uid="{00000000-0005-0000-0000-00001D4B0000}"/>
    <cellStyle name="header 2" xfId="20326" xr:uid="{00000000-0005-0000-0000-00001E4B0000}"/>
    <cellStyle name="Header Total" xfId="11509" xr:uid="{00000000-0005-0000-0000-00001F4B0000}"/>
    <cellStyle name="Header_affinityfin12-11-06" xfId="11510" xr:uid="{00000000-0005-0000-0000-0000204B0000}"/>
    <cellStyle name="Header1" xfId="11511" xr:uid="{00000000-0005-0000-0000-0000214B0000}"/>
    <cellStyle name="Header1 2" xfId="20327" xr:uid="{00000000-0005-0000-0000-0000224B0000}"/>
    <cellStyle name="Header2" xfId="11512" xr:uid="{00000000-0005-0000-0000-0000234B0000}"/>
    <cellStyle name="Header2 2" xfId="11513" xr:uid="{00000000-0005-0000-0000-0000244B0000}"/>
    <cellStyle name="Header2 2 2" xfId="11514" xr:uid="{00000000-0005-0000-0000-0000254B0000}"/>
    <cellStyle name="Header2 2 2 2" xfId="16159" xr:uid="{00000000-0005-0000-0000-0000264B0000}"/>
    <cellStyle name="Header2 2 2 3" xfId="20158" xr:uid="{00000000-0005-0000-0000-0000274B0000}"/>
    <cellStyle name="Header2 2 3" xfId="16158" xr:uid="{00000000-0005-0000-0000-0000284B0000}"/>
    <cellStyle name="Header2 2 4" xfId="20157" xr:uid="{00000000-0005-0000-0000-0000294B0000}"/>
    <cellStyle name="Header2 3" xfId="11515" xr:uid="{00000000-0005-0000-0000-00002A4B0000}"/>
    <cellStyle name="Header2 3 2" xfId="11516" xr:uid="{00000000-0005-0000-0000-00002B4B0000}"/>
    <cellStyle name="Header2 3 2 2" xfId="16161" xr:uid="{00000000-0005-0000-0000-00002C4B0000}"/>
    <cellStyle name="Header2 3 2 3" xfId="20160" xr:uid="{00000000-0005-0000-0000-00002D4B0000}"/>
    <cellStyle name="Header2 3 3" xfId="16160" xr:uid="{00000000-0005-0000-0000-00002E4B0000}"/>
    <cellStyle name="Header2 3 4" xfId="20159" xr:uid="{00000000-0005-0000-0000-00002F4B0000}"/>
    <cellStyle name="Header3" xfId="11517" xr:uid="{00000000-0005-0000-0000-0000304B0000}"/>
    <cellStyle name="Header4" xfId="11518" xr:uid="{00000000-0005-0000-0000-0000314B0000}"/>
    <cellStyle name="Heading" xfId="11519" xr:uid="{00000000-0005-0000-0000-0000324B0000}"/>
    <cellStyle name="Heading 1 10" xfId="11520" xr:uid="{00000000-0005-0000-0000-0000334B0000}"/>
    <cellStyle name="Heading 1 11" xfId="11521" xr:uid="{00000000-0005-0000-0000-0000344B0000}"/>
    <cellStyle name="Heading 1 12" xfId="11522" xr:uid="{00000000-0005-0000-0000-0000354B0000}"/>
    <cellStyle name="Heading 1 13" xfId="11523" xr:uid="{00000000-0005-0000-0000-0000364B0000}"/>
    <cellStyle name="Heading 1 2" xfId="11524" xr:uid="{00000000-0005-0000-0000-0000374B0000}"/>
    <cellStyle name="Heading 1 3" xfId="11525" xr:uid="{00000000-0005-0000-0000-0000384B0000}"/>
    <cellStyle name="Heading 1 4" xfId="11526" xr:uid="{00000000-0005-0000-0000-0000394B0000}"/>
    <cellStyle name="Heading 1 5" xfId="11527" xr:uid="{00000000-0005-0000-0000-00003A4B0000}"/>
    <cellStyle name="Heading 1 6" xfId="11528" xr:uid="{00000000-0005-0000-0000-00003B4B0000}"/>
    <cellStyle name="Heading 1 7" xfId="11529" xr:uid="{00000000-0005-0000-0000-00003C4B0000}"/>
    <cellStyle name="Heading 1 8" xfId="11530" xr:uid="{00000000-0005-0000-0000-00003D4B0000}"/>
    <cellStyle name="Heading 1 9" xfId="11531" xr:uid="{00000000-0005-0000-0000-00003E4B0000}"/>
    <cellStyle name="Heading 2 10" xfId="11532" xr:uid="{00000000-0005-0000-0000-00003F4B0000}"/>
    <cellStyle name="Heading 2 11" xfId="11533" xr:uid="{00000000-0005-0000-0000-0000404B0000}"/>
    <cellStyle name="Heading 2 12" xfId="11534" xr:uid="{00000000-0005-0000-0000-0000414B0000}"/>
    <cellStyle name="Heading 2 13" xfId="11535" xr:uid="{00000000-0005-0000-0000-0000424B0000}"/>
    <cellStyle name="Heading 2 2" xfId="11536" xr:uid="{00000000-0005-0000-0000-0000434B0000}"/>
    <cellStyle name="Heading 2 3" xfId="11537" xr:uid="{00000000-0005-0000-0000-0000444B0000}"/>
    <cellStyle name="Heading 2 4" xfId="11538" xr:uid="{00000000-0005-0000-0000-0000454B0000}"/>
    <cellStyle name="Heading 2 5" xfId="11539" xr:uid="{00000000-0005-0000-0000-0000464B0000}"/>
    <cellStyle name="Heading 2 6" xfId="11540" xr:uid="{00000000-0005-0000-0000-0000474B0000}"/>
    <cellStyle name="Heading 2 7" xfId="11541" xr:uid="{00000000-0005-0000-0000-0000484B0000}"/>
    <cellStyle name="Heading 2 8" xfId="11542" xr:uid="{00000000-0005-0000-0000-0000494B0000}"/>
    <cellStyle name="Heading 2 9" xfId="11543" xr:uid="{00000000-0005-0000-0000-00004A4B0000}"/>
    <cellStyle name="Heading 3 10" xfId="11544" xr:uid="{00000000-0005-0000-0000-00004B4B0000}"/>
    <cellStyle name="Heading 3 11" xfId="11545" xr:uid="{00000000-0005-0000-0000-00004C4B0000}"/>
    <cellStyle name="Heading 3 12" xfId="11546" xr:uid="{00000000-0005-0000-0000-00004D4B0000}"/>
    <cellStyle name="Heading 3 13" xfId="11547" xr:uid="{00000000-0005-0000-0000-00004E4B0000}"/>
    <cellStyle name="Heading 3 2" xfId="11548" xr:uid="{00000000-0005-0000-0000-00004F4B0000}"/>
    <cellStyle name="Heading 3 3" xfId="11549" xr:uid="{00000000-0005-0000-0000-0000504B0000}"/>
    <cellStyle name="Heading 3 4" xfId="11550" xr:uid="{00000000-0005-0000-0000-0000514B0000}"/>
    <cellStyle name="Heading 3 5" xfId="11551" xr:uid="{00000000-0005-0000-0000-0000524B0000}"/>
    <cellStyle name="Heading 3 6" xfId="11552" xr:uid="{00000000-0005-0000-0000-0000534B0000}"/>
    <cellStyle name="Heading 3 7" xfId="11553" xr:uid="{00000000-0005-0000-0000-0000544B0000}"/>
    <cellStyle name="Heading 3 8" xfId="11554" xr:uid="{00000000-0005-0000-0000-0000554B0000}"/>
    <cellStyle name="Heading 3 9" xfId="11555" xr:uid="{00000000-0005-0000-0000-0000564B0000}"/>
    <cellStyle name="Heading 4 10" xfId="11556" xr:uid="{00000000-0005-0000-0000-0000574B0000}"/>
    <cellStyle name="Heading 4 11" xfId="11557" xr:uid="{00000000-0005-0000-0000-0000584B0000}"/>
    <cellStyle name="Heading 4 12" xfId="11558" xr:uid="{00000000-0005-0000-0000-0000594B0000}"/>
    <cellStyle name="Heading 4 13" xfId="11559" xr:uid="{00000000-0005-0000-0000-00005A4B0000}"/>
    <cellStyle name="Heading 4 2" xfId="11560" xr:uid="{00000000-0005-0000-0000-00005B4B0000}"/>
    <cellStyle name="Heading 4 3" xfId="11561" xr:uid="{00000000-0005-0000-0000-00005C4B0000}"/>
    <cellStyle name="Heading 4 4" xfId="11562" xr:uid="{00000000-0005-0000-0000-00005D4B0000}"/>
    <cellStyle name="Heading 4 5" xfId="11563" xr:uid="{00000000-0005-0000-0000-00005E4B0000}"/>
    <cellStyle name="Heading 4 6" xfId="11564" xr:uid="{00000000-0005-0000-0000-00005F4B0000}"/>
    <cellStyle name="Heading 4 7" xfId="11565" xr:uid="{00000000-0005-0000-0000-0000604B0000}"/>
    <cellStyle name="Heading 4 8" xfId="11566" xr:uid="{00000000-0005-0000-0000-0000614B0000}"/>
    <cellStyle name="Heading 4 9" xfId="11567" xr:uid="{00000000-0005-0000-0000-0000624B0000}"/>
    <cellStyle name="Heading 5" xfId="11568" xr:uid="{00000000-0005-0000-0000-0000634B0000}"/>
    <cellStyle name="Heading No Underline" xfId="11569" xr:uid="{00000000-0005-0000-0000-0000644B0000}"/>
    <cellStyle name="Heading With Underline" xfId="11570" xr:uid="{00000000-0005-0000-0000-0000654B0000}"/>
    <cellStyle name="Heading With Underline 2" xfId="11571" xr:uid="{00000000-0005-0000-0000-0000664B0000}"/>
    <cellStyle name="Heading With Underline 2 2" xfId="20275" xr:uid="{00000000-0005-0000-0000-0000674B0000}"/>
    <cellStyle name="Heading With Underline 3" xfId="11572" xr:uid="{00000000-0005-0000-0000-0000684B0000}"/>
    <cellStyle name="Heading With Underline 3 2" xfId="20276" xr:uid="{00000000-0005-0000-0000-0000694B0000}"/>
    <cellStyle name="Heading With Underline 4" xfId="20277" xr:uid="{00000000-0005-0000-0000-00006A4B0000}"/>
    <cellStyle name="Heading1" xfId="11573" xr:uid="{00000000-0005-0000-0000-00006B4B0000}"/>
    <cellStyle name="Heading2" xfId="11574" xr:uid="{00000000-0005-0000-0000-00006C4B0000}"/>
    <cellStyle name="Heading3" xfId="11575" xr:uid="{00000000-0005-0000-0000-00006D4B0000}"/>
    <cellStyle name="HEADINGS" xfId="11576" xr:uid="{00000000-0005-0000-0000-00006E4B0000}"/>
    <cellStyle name="Headings2" xfId="11577" xr:uid="{00000000-0005-0000-0000-00006F4B0000}"/>
    <cellStyle name="Headings2 2" xfId="11578" xr:uid="{00000000-0005-0000-0000-0000704B0000}"/>
    <cellStyle name="Headings2 2 2" xfId="11579" xr:uid="{00000000-0005-0000-0000-0000714B0000}"/>
    <cellStyle name="Headings2 2 2 2" xfId="20163" xr:uid="{00000000-0005-0000-0000-0000724B0000}"/>
    <cellStyle name="Headings2 2 3" xfId="20162" xr:uid="{00000000-0005-0000-0000-0000734B0000}"/>
    <cellStyle name="Headings2 3" xfId="11580" xr:uid="{00000000-0005-0000-0000-0000744B0000}"/>
    <cellStyle name="Headings2 3 2" xfId="11581" xr:uid="{00000000-0005-0000-0000-0000754B0000}"/>
    <cellStyle name="Headings2 3 2 2" xfId="20165" xr:uid="{00000000-0005-0000-0000-0000764B0000}"/>
    <cellStyle name="Headings2 3 3" xfId="20164" xr:uid="{00000000-0005-0000-0000-0000774B0000}"/>
    <cellStyle name="Headings2 4" xfId="11582" xr:uid="{00000000-0005-0000-0000-0000784B0000}"/>
    <cellStyle name="Headings2 4 2" xfId="20166" xr:uid="{00000000-0005-0000-0000-0000794B0000}"/>
    <cellStyle name="Headings2 5" xfId="20161" xr:uid="{00000000-0005-0000-0000-00007A4B0000}"/>
    <cellStyle name="Headings2b" xfId="11583" xr:uid="{00000000-0005-0000-0000-00007B4B0000}"/>
    <cellStyle name="Headings2b 2" xfId="11584" xr:uid="{00000000-0005-0000-0000-00007C4B0000}"/>
    <cellStyle name="Headings2b 2 2" xfId="11585" xr:uid="{00000000-0005-0000-0000-00007D4B0000}"/>
    <cellStyle name="Headings2b 2 2 2" xfId="20169" xr:uid="{00000000-0005-0000-0000-00007E4B0000}"/>
    <cellStyle name="Headings2b 2 3" xfId="20168" xr:uid="{00000000-0005-0000-0000-00007F4B0000}"/>
    <cellStyle name="Headings2b 3" xfId="11586" xr:uid="{00000000-0005-0000-0000-0000804B0000}"/>
    <cellStyle name="Headings2b 3 2" xfId="11587" xr:uid="{00000000-0005-0000-0000-0000814B0000}"/>
    <cellStyle name="Headings2b 3 2 2" xfId="20171" xr:uid="{00000000-0005-0000-0000-0000824B0000}"/>
    <cellStyle name="Headings2b 3 3" xfId="20170" xr:uid="{00000000-0005-0000-0000-0000834B0000}"/>
    <cellStyle name="Headings2b 4" xfId="11588" xr:uid="{00000000-0005-0000-0000-0000844B0000}"/>
    <cellStyle name="Headings2b 4 2" xfId="20172" xr:uid="{00000000-0005-0000-0000-0000854B0000}"/>
    <cellStyle name="Headings2b 5" xfId="20167" xr:uid="{00000000-0005-0000-0000-0000864B0000}"/>
    <cellStyle name="HEADINGSTOP" xfId="11589" xr:uid="{00000000-0005-0000-0000-0000874B0000}"/>
    <cellStyle name="Hidden" xfId="11590" xr:uid="{00000000-0005-0000-0000-0000884B0000}"/>
    <cellStyle name="HIDDEN 2" xfId="20328" xr:uid="{00000000-0005-0000-0000-0000894B0000}"/>
    <cellStyle name="HIGHLIGHT" xfId="11591" xr:uid="{00000000-0005-0000-0000-00008A4B0000}"/>
    <cellStyle name="Hyperlänk_2000 DVD COSTS.xls" xfId="11592" xr:uid="{00000000-0005-0000-0000-00008B4B0000}"/>
    <cellStyle name="Hyperlink" xfId="20385" builtinId="8"/>
    <cellStyle name="Hyperlink 2" xfId="11593" xr:uid="{00000000-0005-0000-0000-00008D4B0000}"/>
    <cellStyle name="Hyperlink 3" xfId="11594" xr:uid="{00000000-0005-0000-0000-00008E4B0000}"/>
    <cellStyle name="IDEO" xfId="11595" xr:uid="{00000000-0005-0000-0000-00008F4B0000}"/>
    <cellStyle name="iemens" xfId="11596" xr:uid="{00000000-0005-0000-0000-0000904B0000}"/>
    <cellStyle name="IncomeStatement" xfId="11597" xr:uid="{00000000-0005-0000-0000-0000914B0000}"/>
    <cellStyle name="IncomeStatement 2" xfId="20329" xr:uid="{00000000-0005-0000-0000-0000924B0000}"/>
    <cellStyle name="Input [yellow]" xfId="11598" xr:uid="{00000000-0005-0000-0000-0000934B0000}"/>
    <cellStyle name="Input [yellow] 2" xfId="11599" xr:uid="{00000000-0005-0000-0000-0000944B0000}"/>
    <cellStyle name="Input [yellow] 3" xfId="11600" xr:uid="{00000000-0005-0000-0000-0000954B0000}"/>
    <cellStyle name="Input [yellow] 4" xfId="11601" xr:uid="{00000000-0005-0000-0000-0000964B0000}"/>
    <cellStyle name="Input 10" xfId="11602" xr:uid="{00000000-0005-0000-0000-0000974B0000}"/>
    <cellStyle name="Input 11" xfId="11603" xr:uid="{00000000-0005-0000-0000-0000984B0000}"/>
    <cellStyle name="Input 12" xfId="11604" xr:uid="{00000000-0005-0000-0000-0000994B0000}"/>
    <cellStyle name="Input 13" xfId="11605" xr:uid="{00000000-0005-0000-0000-00009A4B0000}"/>
    <cellStyle name="Input 14" xfId="11606" xr:uid="{00000000-0005-0000-0000-00009B4B0000}"/>
    <cellStyle name="Input 15" xfId="11607" xr:uid="{00000000-0005-0000-0000-00009C4B0000}"/>
    <cellStyle name="Input 16" xfId="11608" xr:uid="{00000000-0005-0000-0000-00009D4B0000}"/>
    <cellStyle name="Input 2" xfId="11609" xr:uid="{00000000-0005-0000-0000-00009E4B0000}"/>
    <cellStyle name="Input 3" xfId="11610" xr:uid="{00000000-0005-0000-0000-00009F4B0000}"/>
    <cellStyle name="Input 4" xfId="11611" xr:uid="{00000000-0005-0000-0000-0000A04B0000}"/>
    <cellStyle name="Input 5" xfId="11612" xr:uid="{00000000-0005-0000-0000-0000A14B0000}"/>
    <cellStyle name="Input 6" xfId="11613" xr:uid="{00000000-0005-0000-0000-0000A24B0000}"/>
    <cellStyle name="Input 7" xfId="11614" xr:uid="{00000000-0005-0000-0000-0000A34B0000}"/>
    <cellStyle name="Input 8" xfId="11615" xr:uid="{00000000-0005-0000-0000-0000A44B0000}"/>
    <cellStyle name="Input 9" xfId="11616" xr:uid="{00000000-0005-0000-0000-0000A54B0000}"/>
    <cellStyle name="input cell" xfId="11617" xr:uid="{00000000-0005-0000-0000-0000A64B0000}"/>
    <cellStyle name="Input Cells" xfId="11618" xr:uid="{00000000-0005-0000-0000-0000A74B0000}"/>
    <cellStyle name="Input Currency" xfId="11619" xr:uid="{00000000-0005-0000-0000-0000A84B0000}"/>
    <cellStyle name="Input Currency 2" xfId="20330" xr:uid="{00000000-0005-0000-0000-0000A94B0000}"/>
    <cellStyle name="Input Date" xfId="11620" xr:uid="{00000000-0005-0000-0000-0000AA4B0000}"/>
    <cellStyle name="Input Date 2" xfId="20331" xr:uid="{00000000-0005-0000-0000-0000AB4B0000}"/>
    <cellStyle name="Input Fixed [0]" xfId="11621" xr:uid="{00000000-0005-0000-0000-0000AC4B0000}"/>
    <cellStyle name="Input Fixed [0] 2" xfId="20332" xr:uid="{00000000-0005-0000-0000-0000AD4B0000}"/>
    <cellStyle name="Input Normal" xfId="11622" xr:uid="{00000000-0005-0000-0000-0000AE4B0000}"/>
    <cellStyle name="Input Normal 2" xfId="20333" xr:uid="{00000000-0005-0000-0000-0000AF4B0000}"/>
    <cellStyle name="Input Percent" xfId="11623" xr:uid="{00000000-0005-0000-0000-0000B04B0000}"/>
    <cellStyle name="Input Percent [2]" xfId="11624" xr:uid="{00000000-0005-0000-0000-0000B14B0000}"/>
    <cellStyle name="Input Percent [2] 2" xfId="20334" xr:uid="{00000000-0005-0000-0000-0000B24B0000}"/>
    <cellStyle name="Input Percent 2" xfId="20335" xr:uid="{00000000-0005-0000-0000-0000B34B0000}"/>
    <cellStyle name="Input Percent 3" xfId="20336" xr:uid="{00000000-0005-0000-0000-0000B44B0000}"/>
    <cellStyle name="Input Titles" xfId="11625" xr:uid="{00000000-0005-0000-0000-0000B54B0000}"/>
    <cellStyle name="Input$" xfId="11626" xr:uid="{00000000-0005-0000-0000-0000B64B0000}"/>
    <cellStyle name="Input$ 2" xfId="11627" xr:uid="{00000000-0005-0000-0000-0000B74B0000}"/>
    <cellStyle name="Input$ 3" xfId="11628" xr:uid="{00000000-0005-0000-0000-0000B84B0000}"/>
    <cellStyle name="Input%" xfId="11629" xr:uid="{00000000-0005-0000-0000-0000B94B0000}"/>
    <cellStyle name="Input% 2" xfId="11630" xr:uid="{00000000-0005-0000-0000-0000BA4B0000}"/>
    <cellStyle name="Input% 3" xfId="11631" xr:uid="{00000000-0005-0000-0000-0000BB4B0000}"/>
    <cellStyle name="Input1" xfId="11632" xr:uid="{00000000-0005-0000-0000-0000BC4B0000}"/>
    <cellStyle name="Input2" xfId="11633" xr:uid="{00000000-0005-0000-0000-0000BD4B0000}"/>
    <cellStyle name="InputBlueFont" xfId="11634" xr:uid="{00000000-0005-0000-0000-0000BE4B0000}"/>
    <cellStyle name="InputCell" xfId="11635" xr:uid="{00000000-0005-0000-0000-0000BF4B0000}"/>
    <cellStyle name="InputCell 2" xfId="11636" xr:uid="{00000000-0005-0000-0000-0000C04B0000}"/>
    <cellStyle name="InputCell 2 2" xfId="11637" xr:uid="{00000000-0005-0000-0000-0000C14B0000}"/>
    <cellStyle name="InputCell 2 2 2" xfId="20175" xr:uid="{00000000-0005-0000-0000-0000C24B0000}"/>
    <cellStyle name="InputCell 2 3" xfId="20174" xr:uid="{00000000-0005-0000-0000-0000C34B0000}"/>
    <cellStyle name="InputCell 3" xfId="11638" xr:uid="{00000000-0005-0000-0000-0000C44B0000}"/>
    <cellStyle name="InputCell 3 2" xfId="11639" xr:uid="{00000000-0005-0000-0000-0000C54B0000}"/>
    <cellStyle name="InputCell 3 2 2" xfId="20177" xr:uid="{00000000-0005-0000-0000-0000C64B0000}"/>
    <cellStyle name="InputCell 3 3" xfId="20176" xr:uid="{00000000-0005-0000-0000-0000C74B0000}"/>
    <cellStyle name="InputCell 4" xfId="11640" xr:uid="{00000000-0005-0000-0000-0000C84B0000}"/>
    <cellStyle name="InputCell 4 2" xfId="20178" xr:uid="{00000000-0005-0000-0000-0000C94B0000}"/>
    <cellStyle name="InputCell 5" xfId="20173" xr:uid="{00000000-0005-0000-0000-0000CA4B0000}"/>
    <cellStyle name="InputPop" xfId="11641" xr:uid="{00000000-0005-0000-0000-0000CB4B0000}"/>
    <cellStyle name="InputPop 2" xfId="20337" xr:uid="{00000000-0005-0000-0000-0000CC4B0000}"/>
    <cellStyle name="Inputs" xfId="11642" xr:uid="{00000000-0005-0000-0000-0000CD4B0000}"/>
    <cellStyle name="Input-Text Only" xfId="11643" xr:uid="{00000000-0005-0000-0000-0000CE4B0000}"/>
    <cellStyle name="Integer" xfId="11644" xr:uid="{00000000-0005-0000-0000-0000CF4B0000}"/>
    <cellStyle name="Invisible" xfId="11645" xr:uid="{00000000-0005-0000-0000-0000D04B0000}"/>
    <cellStyle name="Invisible 2" xfId="11646" xr:uid="{00000000-0005-0000-0000-0000D14B0000}"/>
    <cellStyle name="Invisible 3" xfId="11647" xr:uid="{00000000-0005-0000-0000-0000D24B0000}"/>
    <cellStyle name="Item" xfId="11648" xr:uid="{00000000-0005-0000-0000-0000D34B0000}"/>
    <cellStyle name="ItemTypeClass" xfId="11649" xr:uid="{00000000-0005-0000-0000-0000D44B0000}"/>
    <cellStyle name="ItemTypeClass 2" xfId="11650" xr:uid="{00000000-0005-0000-0000-0000D54B0000}"/>
    <cellStyle name="ItemTypeClass 2 2" xfId="11651" xr:uid="{00000000-0005-0000-0000-0000D64B0000}"/>
    <cellStyle name="ItemTypeClass 2 2 2" xfId="20181" xr:uid="{00000000-0005-0000-0000-0000D74B0000}"/>
    <cellStyle name="ItemTypeClass 2 3" xfId="20180" xr:uid="{00000000-0005-0000-0000-0000D84B0000}"/>
    <cellStyle name="ItemTypeClass 3" xfId="11652" xr:uid="{00000000-0005-0000-0000-0000D94B0000}"/>
    <cellStyle name="ItemTypeClass 3 2" xfId="11653" xr:uid="{00000000-0005-0000-0000-0000DA4B0000}"/>
    <cellStyle name="ItemTypeClass 3 2 2" xfId="20183" xr:uid="{00000000-0005-0000-0000-0000DB4B0000}"/>
    <cellStyle name="ItemTypeClass 3 3" xfId="20182" xr:uid="{00000000-0005-0000-0000-0000DC4B0000}"/>
    <cellStyle name="ItemTypeClass 4" xfId="11654" xr:uid="{00000000-0005-0000-0000-0000DD4B0000}"/>
    <cellStyle name="ItemTypeClass 4 2" xfId="20184" xr:uid="{00000000-0005-0000-0000-0000DE4B0000}"/>
    <cellStyle name="ItemTypeClass 5" xfId="20179" xr:uid="{00000000-0005-0000-0000-0000DF4B0000}"/>
    <cellStyle name="Ivan" xfId="11655" xr:uid="{00000000-0005-0000-0000-0000E04B0000}"/>
    <cellStyle name="îÿî_x0002_" xfId="11656" xr:uid="{00000000-0005-0000-0000-0000E14B0000}"/>
    <cellStyle name="îÿî_x0002__x0010_" xfId="11657" xr:uid="{00000000-0005-0000-0000-0000E24B0000}"/>
    <cellStyle name="îÿî_x0002__CardioSolutions 05 31 2007 Final Model 09 27 2007" xfId="11658" xr:uid="{00000000-0005-0000-0000-0000E34B0000}"/>
    <cellStyle name="Jason" xfId="11659" xr:uid="{00000000-0005-0000-0000-0000E44B0000}"/>
    <cellStyle name="JustOneDec" xfId="11660" xr:uid="{00000000-0005-0000-0000-0000E54B0000}"/>
    <cellStyle name="JustOneDec 2" xfId="20338" xr:uid="{00000000-0005-0000-0000-0000E64B0000}"/>
    <cellStyle name="Komma [0]_laroux" xfId="11661" xr:uid="{00000000-0005-0000-0000-0000E74B0000}"/>
    <cellStyle name="Komma_laroux" xfId="11662" xr:uid="{00000000-0005-0000-0000-0000E84B0000}"/>
    <cellStyle name="Kommatecken [0]_2000 DVD COSTS.xls" xfId="11663" xr:uid="{00000000-0005-0000-0000-0000E94B0000}"/>
    <cellStyle name="KPMG Heading 1" xfId="11664" xr:uid="{00000000-0005-0000-0000-0000EA4B0000}"/>
    <cellStyle name="KPMG Heading 2" xfId="11665" xr:uid="{00000000-0005-0000-0000-0000EB4B0000}"/>
    <cellStyle name="KPMG Heading 3" xfId="11666" xr:uid="{00000000-0005-0000-0000-0000EC4B0000}"/>
    <cellStyle name="KPMG Heading 4" xfId="11667" xr:uid="{00000000-0005-0000-0000-0000ED4B0000}"/>
    <cellStyle name="KPMG Normal" xfId="11668" xr:uid="{00000000-0005-0000-0000-0000EE4B0000}"/>
    <cellStyle name="KPMG Normal Text" xfId="11669" xr:uid="{00000000-0005-0000-0000-0000EF4B0000}"/>
    <cellStyle name="KPMG Normal_2006 Model (3-2-06) v1 3" xfId="11670" xr:uid="{00000000-0005-0000-0000-0000F04B0000}"/>
    <cellStyle name="LABEL_NUMBER" xfId="11671" xr:uid="{00000000-0005-0000-0000-0000F14B0000}"/>
    <cellStyle name="Lable8Left" xfId="11672" xr:uid="{00000000-0005-0000-0000-0000F24B0000}"/>
    <cellStyle name="Large Page Heading" xfId="11673" xr:uid="{00000000-0005-0000-0000-0000F34B0000}"/>
    <cellStyle name="Last_nums" xfId="11674" xr:uid="{00000000-0005-0000-0000-0000F44B0000}"/>
    <cellStyle name="left" xfId="11675" xr:uid="{00000000-0005-0000-0000-0000F54B0000}"/>
    <cellStyle name="left 2" xfId="20339" xr:uid="{00000000-0005-0000-0000-0000F64B0000}"/>
    <cellStyle name="Left Heading 1" xfId="11676" xr:uid="{00000000-0005-0000-0000-0000F74B0000}"/>
    <cellStyle name="Left Heading 2" xfId="11677" xr:uid="{00000000-0005-0000-0000-0000F84B0000}"/>
    <cellStyle name="leftStyle" xfId="11678" xr:uid="{00000000-0005-0000-0000-0000F94B0000}"/>
    <cellStyle name="leftStyle2" xfId="11679" xr:uid="{00000000-0005-0000-0000-0000FA4B0000}"/>
    <cellStyle name="Lien hypertexte_NEGS" xfId="11680" xr:uid="{00000000-0005-0000-0000-0000FB4B0000}"/>
    <cellStyle name="LineBottom" xfId="11681" xr:uid="{00000000-0005-0000-0000-0000FC4B0000}"/>
    <cellStyle name="LineBottom 2" xfId="11682" xr:uid="{00000000-0005-0000-0000-0000FD4B0000}"/>
    <cellStyle name="LineBottom 2 2" xfId="20278" xr:uid="{00000000-0005-0000-0000-0000FE4B0000}"/>
    <cellStyle name="LineBottom 3" xfId="11683" xr:uid="{00000000-0005-0000-0000-0000FF4B0000}"/>
    <cellStyle name="LineBottom 3 2" xfId="20279" xr:uid="{00000000-0005-0000-0000-0000004C0000}"/>
    <cellStyle name="LineBottom 4" xfId="20280" xr:uid="{00000000-0005-0000-0000-0000014C0000}"/>
    <cellStyle name="LineItem" xfId="11684" xr:uid="{00000000-0005-0000-0000-0000024C0000}"/>
    <cellStyle name="LineItems" xfId="11685" xr:uid="{00000000-0005-0000-0000-0000034C0000}"/>
    <cellStyle name="LineItems 2" xfId="20340" xr:uid="{00000000-0005-0000-0000-0000044C0000}"/>
    <cellStyle name="LineTop" xfId="11686" xr:uid="{00000000-0005-0000-0000-0000054C0000}"/>
    <cellStyle name="LineTop 2" xfId="11687" xr:uid="{00000000-0005-0000-0000-0000064C0000}"/>
    <cellStyle name="LineTop 2 2" xfId="11688" xr:uid="{00000000-0005-0000-0000-0000074C0000}"/>
    <cellStyle name="LineTop 2 2 2" xfId="16164" xr:uid="{00000000-0005-0000-0000-0000084C0000}"/>
    <cellStyle name="LineTop 2 2 3" xfId="20187" xr:uid="{00000000-0005-0000-0000-0000094C0000}"/>
    <cellStyle name="LineTop 2 3" xfId="16163" xr:uid="{00000000-0005-0000-0000-00000A4C0000}"/>
    <cellStyle name="LineTop 2 4" xfId="20186" xr:uid="{00000000-0005-0000-0000-00000B4C0000}"/>
    <cellStyle name="LineTop 3" xfId="11689" xr:uid="{00000000-0005-0000-0000-00000C4C0000}"/>
    <cellStyle name="LineTop 3 2" xfId="11690" xr:uid="{00000000-0005-0000-0000-00000D4C0000}"/>
    <cellStyle name="LineTop 3 2 2" xfId="16166" xr:uid="{00000000-0005-0000-0000-00000E4C0000}"/>
    <cellStyle name="LineTop 3 2 3" xfId="20189" xr:uid="{00000000-0005-0000-0000-00000F4C0000}"/>
    <cellStyle name="LineTop 3 3" xfId="16165" xr:uid="{00000000-0005-0000-0000-0000104C0000}"/>
    <cellStyle name="LineTop 3 4" xfId="20188" xr:uid="{00000000-0005-0000-0000-0000114C0000}"/>
    <cellStyle name="LineTop 4" xfId="11691" xr:uid="{00000000-0005-0000-0000-0000124C0000}"/>
    <cellStyle name="LineTop 4 2" xfId="16167" xr:uid="{00000000-0005-0000-0000-0000134C0000}"/>
    <cellStyle name="LineTop 4 3" xfId="20190" xr:uid="{00000000-0005-0000-0000-0000144C0000}"/>
    <cellStyle name="LineTop 5" xfId="16162" xr:uid="{00000000-0005-0000-0000-0000154C0000}"/>
    <cellStyle name="LineTop 6" xfId="20185" xr:uid="{00000000-0005-0000-0000-0000164C0000}"/>
    <cellStyle name="Link Currency (0)" xfId="11692" xr:uid="{00000000-0005-0000-0000-0000174C0000}"/>
    <cellStyle name="Link Currency (2)" xfId="11693" xr:uid="{00000000-0005-0000-0000-0000184C0000}"/>
    <cellStyle name="Link Units (0)" xfId="11694" xr:uid="{00000000-0005-0000-0000-0000194C0000}"/>
    <cellStyle name="Link Units (1)" xfId="11695" xr:uid="{00000000-0005-0000-0000-00001A4C0000}"/>
    <cellStyle name="Link Units (2)" xfId="11696" xr:uid="{00000000-0005-0000-0000-00001B4C0000}"/>
    <cellStyle name="Linked Cell 10" xfId="11697" xr:uid="{00000000-0005-0000-0000-00001C4C0000}"/>
    <cellStyle name="Linked Cell 11" xfId="11698" xr:uid="{00000000-0005-0000-0000-00001D4C0000}"/>
    <cellStyle name="Linked Cell 12" xfId="11699" xr:uid="{00000000-0005-0000-0000-00001E4C0000}"/>
    <cellStyle name="Linked Cell 13" xfId="11700" xr:uid="{00000000-0005-0000-0000-00001F4C0000}"/>
    <cellStyle name="Linked Cell 2" xfId="11701" xr:uid="{00000000-0005-0000-0000-0000204C0000}"/>
    <cellStyle name="Linked Cell 3" xfId="11702" xr:uid="{00000000-0005-0000-0000-0000214C0000}"/>
    <cellStyle name="Linked Cell 4" xfId="11703" xr:uid="{00000000-0005-0000-0000-0000224C0000}"/>
    <cellStyle name="Linked Cell 5" xfId="11704" xr:uid="{00000000-0005-0000-0000-0000234C0000}"/>
    <cellStyle name="Linked Cell 6" xfId="11705" xr:uid="{00000000-0005-0000-0000-0000244C0000}"/>
    <cellStyle name="Linked Cell 7" xfId="11706" xr:uid="{00000000-0005-0000-0000-0000254C0000}"/>
    <cellStyle name="Linked Cell 8" xfId="11707" xr:uid="{00000000-0005-0000-0000-0000264C0000}"/>
    <cellStyle name="Linked Cell 9" xfId="11708" xr:uid="{00000000-0005-0000-0000-0000274C0000}"/>
    <cellStyle name="Linked Cells" xfId="11709" xr:uid="{00000000-0005-0000-0000-0000284C0000}"/>
    <cellStyle name="locked" xfId="11710" xr:uid="{00000000-0005-0000-0000-0000294C0000}"/>
    <cellStyle name="LookUpText" xfId="11711" xr:uid="{00000000-0005-0000-0000-00002A4C0000}"/>
    <cellStyle name="lou" xfId="11712" xr:uid="{00000000-0005-0000-0000-00002B4C0000}"/>
    <cellStyle name="m&amp;a" xfId="11713" xr:uid="{00000000-0005-0000-0000-00002C4C0000}"/>
    <cellStyle name="ManualInput" xfId="11714" xr:uid="{00000000-0005-0000-0000-00002D4C0000}"/>
    <cellStyle name="ManualInput 2" xfId="20341" xr:uid="{00000000-0005-0000-0000-00002E4C0000}"/>
    <cellStyle name="Map Labels" xfId="11715" xr:uid="{00000000-0005-0000-0000-00002F4C0000}"/>
    <cellStyle name="Map Legend" xfId="11716" xr:uid="{00000000-0005-0000-0000-0000304C0000}"/>
    <cellStyle name="Map Title" xfId="11717" xr:uid="{00000000-0005-0000-0000-0000314C0000}"/>
    <cellStyle name="Margins" xfId="11718" xr:uid="{00000000-0005-0000-0000-0000324C0000}"/>
    <cellStyle name="Margins 2" xfId="20342" xr:uid="{00000000-0005-0000-0000-0000334C0000}"/>
    <cellStyle name="Migliaia (0)_ACTUAL 31-12-95" xfId="11719" xr:uid="{00000000-0005-0000-0000-0000344C0000}"/>
    <cellStyle name="Migliaia_ACTUAL 30-06-95.XLS" xfId="11720" xr:uid="{00000000-0005-0000-0000-0000354C0000}"/>
    <cellStyle name="mil" xfId="11721" xr:uid="{00000000-0005-0000-0000-0000364C0000}"/>
    <cellStyle name="Miles" xfId="11722" xr:uid="{00000000-0005-0000-0000-0000374C0000}"/>
    <cellStyle name="Millares [0]_laroux" xfId="11723" xr:uid="{00000000-0005-0000-0000-0000384C0000}"/>
    <cellStyle name="Millares_laroux" xfId="11724" xr:uid="{00000000-0005-0000-0000-0000394C0000}"/>
    <cellStyle name="Milliers [0]_!!!GO" xfId="11725" xr:uid="{00000000-0005-0000-0000-00003A4C0000}"/>
    <cellStyle name="Milliers 2" xfId="11726" xr:uid="{00000000-0005-0000-0000-00003B4C0000}"/>
    <cellStyle name="Milliers_!!!GO" xfId="11727" xr:uid="{00000000-0005-0000-0000-00003C4C0000}"/>
    <cellStyle name="Mills" xfId="11728" xr:uid="{00000000-0005-0000-0000-00003D4C0000}"/>
    <cellStyle name="Mills 2" xfId="11729" xr:uid="{00000000-0005-0000-0000-00003E4C0000}"/>
    <cellStyle name="Mills 2 2" xfId="20281" xr:uid="{00000000-0005-0000-0000-00003F4C0000}"/>
    <cellStyle name="Mills 3" xfId="11730" xr:uid="{00000000-0005-0000-0000-0000404C0000}"/>
    <cellStyle name="Mills 3 2" xfId="20282" xr:uid="{00000000-0005-0000-0000-0000414C0000}"/>
    <cellStyle name="Mills 4" xfId="20283" xr:uid="{00000000-0005-0000-0000-0000424C0000}"/>
    <cellStyle name="mm/d/yy" xfId="11731" xr:uid="{00000000-0005-0000-0000-0000434C0000}"/>
    <cellStyle name="mm/dd/yy" xfId="11732" xr:uid="{00000000-0005-0000-0000-0000444C0000}"/>
    <cellStyle name="MMM-YY" xfId="11733" xr:uid="{00000000-0005-0000-0000-0000454C0000}"/>
    <cellStyle name="MMs1Place" xfId="11734" xr:uid="{00000000-0005-0000-0000-0000464C0000}"/>
    <cellStyle name="MMs2Places" xfId="11735" xr:uid="{00000000-0005-0000-0000-0000474C0000}"/>
    <cellStyle name="mo" xfId="11736" xr:uid="{00000000-0005-0000-0000-0000484C0000}"/>
    <cellStyle name="mo end" xfId="11737" xr:uid="{00000000-0005-0000-0000-0000494C0000}"/>
    <cellStyle name="mo_~8080122" xfId="11738" xr:uid="{00000000-0005-0000-0000-00004A4C0000}"/>
    <cellStyle name="Model" xfId="11739" xr:uid="{00000000-0005-0000-0000-00004B4C0000}"/>
    <cellStyle name="Moneda [0]_laroux" xfId="11740" xr:uid="{00000000-0005-0000-0000-00004C4C0000}"/>
    <cellStyle name="Moneda_laroux" xfId="11741" xr:uid="{00000000-0005-0000-0000-00004D4C0000}"/>
    <cellStyle name="Monétaire [0]_!!!GO" xfId="11742" xr:uid="{00000000-0005-0000-0000-00004E4C0000}"/>
    <cellStyle name="Monétaire 2" xfId="11743" xr:uid="{00000000-0005-0000-0000-00004F4C0000}"/>
    <cellStyle name="Monétaire 2 10" xfId="11744" xr:uid="{00000000-0005-0000-0000-0000504C0000}"/>
    <cellStyle name="Monétaire 2 2" xfId="11745" xr:uid="{00000000-0005-0000-0000-0000514C0000}"/>
    <cellStyle name="Monétaire 2 2 2" xfId="11746" xr:uid="{00000000-0005-0000-0000-0000524C0000}"/>
    <cellStyle name="Monétaire 2 2 2 2" xfId="11747" xr:uid="{00000000-0005-0000-0000-0000534C0000}"/>
    <cellStyle name="Monétaire 2 2 2 3" xfId="11748" xr:uid="{00000000-0005-0000-0000-0000544C0000}"/>
    <cellStyle name="Monétaire 2 2 2 4" xfId="11749" xr:uid="{00000000-0005-0000-0000-0000554C0000}"/>
    <cellStyle name="Monétaire 2 2 2 5" xfId="11750" xr:uid="{00000000-0005-0000-0000-0000564C0000}"/>
    <cellStyle name="Monétaire 2 2 3" xfId="11751" xr:uid="{00000000-0005-0000-0000-0000574C0000}"/>
    <cellStyle name="Monétaire 2 2 4" xfId="11752" xr:uid="{00000000-0005-0000-0000-0000584C0000}"/>
    <cellStyle name="Monétaire 2 2 5" xfId="11753" xr:uid="{00000000-0005-0000-0000-0000594C0000}"/>
    <cellStyle name="Monétaire 2 3" xfId="11754" xr:uid="{00000000-0005-0000-0000-00005A4C0000}"/>
    <cellStyle name="Monétaire 2 4" xfId="11755" xr:uid="{00000000-0005-0000-0000-00005B4C0000}"/>
    <cellStyle name="Monétaire 2 5" xfId="11756" xr:uid="{00000000-0005-0000-0000-00005C4C0000}"/>
    <cellStyle name="Monétaire 2 6" xfId="11757" xr:uid="{00000000-0005-0000-0000-00005D4C0000}"/>
    <cellStyle name="Monétaire 2 7" xfId="11758" xr:uid="{00000000-0005-0000-0000-00005E4C0000}"/>
    <cellStyle name="Monétaire 2 8" xfId="11759" xr:uid="{00000000-0005-0000-0000-00005F4C0000}"/>
    <cellStyle name="Monétaire 2 9" xfId="11760" xr:uid="{00000000-0005-0000-0000-0000604C0000}"/>
    <cellStyle name="Monétaire_!!!GO" xfId="11761" xr:uid="{00000000-0005-0000-0000-0000614C0000}"/>
    <cellStyle name="MonthYear" xfId="11762" xr:uid="{00000000-0005-0000-0000-0000624C0000}"/>
    <cellStyle name="Mon-Yr" xfId="11763" xr:uid="{00000000-0005-0000-0000-0000634C0000}"/>
    <cellStyle name="Mult No x" xfId="11764" xr:uid="{00000000-0005-0000-0000-0000644C0000}"/>
    <cellStyle name="Mult No x 2" xfId="11765" xr:uid="{00000000-0005-0000-0000-0000654C0000}"/>
    <cellStyle name="Mult No x 2 2" xfId="20284" xr:uid="{00000000-0005-0000-0000-0000664C0000}"/>
    <cellStyle name="Mult No x 3" xfId="11766" xr:uid="{00000000-0005-0000-0000-0000674C0000}"/>
    <cellStyle name="Mult No x 3 2" xfId="20285" xr:uid="{00000000-0005-0000-0000-0000684C0000}"/>
    <cellStyle name="Mult No x 4" xfId="20286" xr:uid="{00000000-0005-0000-0000-0000694C0000}"/>
    <cellStyle name="Mult With x" xfId="11767" xr:uid="{00000000-0005-0000-0000-00006A4C0000}"/>
    <cellStyle name="Mult With x 2" xfId="11768" xr:uid="{00000000-0005-0000-0000-00006B4C0000}"/>
    <cellStyle name="Mult With x 2 2" xfId="20287" xr:uid="{00000000-0005-0000-0000-00006C4C0000}"/>
    <cellStyle name="Mult With x 3" xfId="11769" xr:uid="{00000000-0005-0000-0000-00006D4C0000}"/>
    <cellStyle name="Mult With x 3 2" xfId="20288" xr:uid="{00000000-0005-0000-0000-00006E4C0000}"/>
    <cellStyle name="Mult With x 4" xfId="20289" xr:uid="{00000000-0005-0000-0000-00006F4C0000}"/>
    <cellStyle name="Multiple" xfId="11770" xr:uid="{00000000-0005-0000-0000-0000704C0000}"/>
    <cellStyle name="Multiple (no x)" xfId="11771" xr:uid="{00000000-0005-0000-0000-0000714C0000}"/>
    <cellStyle name="Multiple (x)" xfId="11772" xr:uid="{00000000-0005-0000-0000-0000724C0000}"/>
    <cellStyle name="Multiple []" xfId="11773" xr:uid="{00000000-0005-0000-0000-0000734C0000}"/>
    <cellStyle name="Multiple [0]" xfId="11774" xr:uid="{00000000-0005-0000-0000-0000744C0000}"/>
    <cellStyle name="Multiple [0] []" xfId="11775" xr:uid="{00000000-0005-0000-0000-0000754C0000}"/>
    <cellStyle name="Multiple [1]" xfId="11776" xr:uid="{00000000-0005-0000-0000-0000764C0000}"/>
    <cellStyle name="Multiple [1] []" xfId="11777" xr:uid="{00000000-0005-0000-0000-0000774C0000}"/>
    <cellStyle name="Multiple[,]" xfId="11778" xr:uid="{00000000-0005-0000-0000-0000784C0000}"/>
    <cellStyle name="Multiple[1]" xfId="11779" xr:uid="{00000000-0005-0000-0000-0000794C0000}"/>
    <cellStyle name="Multiple[2]" xfId="11780" xr:uid="{00000000-0005-0000-0000-00007A4C0000}"/>
    <cellStyle name="Multiple_Abacus1" xfId="11781" xr:uid="{00000000-0005-0000-0000-00007B4C0000}"/>
    <cellStyle name="MultipleBelow" xfId="11782" xr:uid="{00000000-0005-0000-0000-00007C4C0000}"/>
    <cellStyle name="NA is zero" xfId="11783" xr:uid="{00000000-0005-0000-0000-00007D4C0000}"/>
    <cellStyle name="NA is zero 2" xfId="20343" xr:uid="{00000000-0005-0000-0000-00007E4C0000}"/>
    <cellStyle name="Neutral 10" xfId="11784" xr:uid="{00000000-0005-0000-0000-00007F4C0000}"/>
    <cellStyle name="Neutral 11" xfId="11785" xr:uid="{00000000-0005-0000-0000-0000804C0000}"/>
    <cellStyle name="Neutral 12" xfId="11786" xr:uid="{00000000-0005-0000-0000-0000814C0000}"/>
    <cellStyle name="Neutral 13" xfId="11787" xr:uid="{00000000-0005-0000-0000-0000824C0000}"/>
    <cellStyle name="Neutral 2" xfId="11788" xr:uid="{00000000-0005-0000-0000-0000834C0000}"/>
    <cellStyle name="Neutral 3" xfId="11789" xr:uid="{00000000-0005-0000-0000-0000844C0000}"/>
    <cellStyle name="Neutral 4" xfId="11790" xr:uid="{00000000-0005-0000-0000-0000854C0000}"/>
    <cellStyle name="Neutral 5" xfId="11791" xr:uid="{00000000-0005-0000-0000-0000864C0000}"/>
    <cellStyle name="Neutral 6" xfId="11792" xr:uid="{00000000-0005-0000-0000-0000874C0000}"/>
    <cellStyle name="Neutral 7" xfId="11793" xr:uid="{00000000-0005-0000-0000-0000884C0000}"/>
    <cellStyle name="Neutral 8" xfId="11794" xr:uid="{00000000-0005-0000-0000-0000894C0000}"/>
    <cellStyle name="Neutral 9" xfId="11795" xr:uid="{00000000-0005-0000-0000-00008A4C0000}"/>
    <cellStyle name="new" xfId="11796" xr:uid="{00000000-0005-0000-0000-00008B4C0000}"/>
    <cellStyle name="NewColumnHeaderNormal" xfId="11797" xr:uid="{00000000-0005-0000-0000-00008C4C0000}"/>
    <cellStyle name="NewPeso" xfId="11798" xr:uid="{00000000-0005-0000-0000-00008D4C0000}"/>
    <cellStyle name="NewPeso 2" xfId="20344" xr:uid="{00000000-0005-0000-0000-00008E4C0000}"/>
    <cellStyle name="NewSectionHeaderNormal" xfId="11799" xr:uid="{00000000-0005-0000-0000-00008F4C0000}"/>
    <cellStyle name="NewSectionHeaderNormal 2" xfId="20345" xr:uid="{00000000-0005-0000-0000-0000904C0000}"/>
    <cellStyle name="NewTitleNormal" xfId="11800" xr:uid="{00000000-0005-0000-0000-0000914C0000}"/>
    <cellStyle name="No Border" xfId="11801" xr:uid="{00000000-0005-0000-0000-0000924C0000}"/>
    <cellStyle name="No Border 2" xfId="20346" xr:uid="{00000000-0005-0000-0000-0000934C0000}"/>
    <cellStyle name="no dec" xfId="11802" xr:uid="{00000000-0005-0000-0000-0000944C0000}"/>
    <cellStyle name="nobuild" xfId="11803" xr:uid="{00000000-0005-0000-0000-0000954C0000}"/>
    <cellStyle name="nonmultiple" xfId="11804" xr:uid="{00000000-0005-0000-0000-0000964C0000}"/>
    <cellStyle name="NonPrint_Heading" xfId="11805" xr:uid="{00000000-0005-0000-0000-0000974C0000}"/>
    <cellStyle name="Norm੎੎" xfId="11806" xr:uid="{00000000-0005-0000-0000-0000984C0000}"/>
    <cellStyle name="Norm੎੎ 2" xfId="20347" xr:uid="{00000000-0005-0000-0000-0000994C0000}"/>
    <cellStyle name="Normal" xfId="0" builtinId="0"/>
    <cellStyle name="Normal - Style1" xfId="11807" xr:uid="{00000000-0005-0000-0000-00009B4C0000}"/>
    <cellStyle name="Normal - Style2" xfId="11808" xr:uid="{00000000-0005-0000-0000-00009C4C0000}"/>
    <cellStyle name="Normal - Style2 2" xfId="11809" xr:uid="{00000000-0005-0000-0000-00009D4C0000}"/>
    <cellStyle name="Normal - Style3" xfId="11810" xr:uid="{00000000-0005-0000-0000-00009E4C0000}"/>
    <cellStyle name="Normal - Style4" xfId="11811" xr:uid="{00000000-0005-0000-0000-00009F4C0000}"/>
    <cellStyle name="Normal - Style5" xfId="11812" xr:uid="{00000000-0005-0000-0000-0000A04C0000}"/>
    <cellStyle name="Normal - Style6" xfId="11813" xr:uid="{00000000-0005-0000-0000-0000A14C0000}"/>
    <cellStyle name="Normal - Style7" xfId="11814" xr:uid="{00000000-0005-0000-0000-0000A24C0000}"/>
    <cellStyle name="Normal - Style8" xfId="11815" xr:uid="{00000000-0005-0000-0000-0000A34C0000}"/>
    <cellStyle name="Normal - Style8 2" xfId="11816" xr:uid="{00000000-0005-0000-0000-0000A44C0000}"/>
    <cellStyle name="Normal [0]" xfId="11817" xr:uid="{00000000-0005-0000-0000-0000A54C0000}"/>
    <cellStyle name="Normal [0] 2" xfId="20348" xr:uid="{00000000-0005-0000-0000-0000A64C0000}"/>
    <cellStyle name="Normal [1]" xfId="11818" xr:uid="{00000000-0005-0000-0000-0000A74C0000}"/>
    <cellStyle name="Normal [2]" xfId="11819" xr:uid="{00000000-0005-0000-0000-0000A84C0000}"/>
    <cellStyle name="Normal [2] 2" xfId="20349" xr:uid="{00000000-0005-0000-0000-0000A94C0000}"/>
    <cellStyle name="Normal [3]" xfId="11820" xr:uid="{00000000-0005-0000-0000-0000AA4C0000}"/>
    <cellStyle name="Normal [3] 2" xfId="20350" xr:uid="{00000000-0005-0000-0000-0000AB4C0000}"/>
    <cellStyle name="Normal 10" xfId="11821" xr:uid="{00000000-0005-0000-0000-0000AC4C0000}"/>
    <cellStyle name="Normal 10 11 2" xfId="11822" xr:uid="{00000000-0005-0000-0000-0000AD4C0000}"/>
    <cellStyle name="Normal 10 11 2 2" xfId="16168" xr:uid="{00000000-0005-0000-0000-0000AE4C0000}"/>
    <cellStyle name="Normal 10 11 2 2 2" xfId="20310" xr:uid="{00000000-0005-0000-0000-0000AF4C0000}"/>
    <cellStyle name="Normal 10 11 2 2 3" xfId="20381" xr:uid="{00000000-0005-0000-0000-0000B04C0000}"/>
    <cellStyle name="Normal 10 11 2 3" xfId="20191" xr:uid="{00000000-0005-0000-0000-0000B14C0000}"/>
    <cellStyle name="Normal 10 2" xfId="11823" xr:uid="{00000000-0005-0000-0000-0000B24C0000}"/>
    <cellStyle name="Normal 10 2 2" xfId="20351" xr:uid="{00000000-0005-0000-0000-0000B34C0000}"/>
    <cellStyle name="Normal 10 3" xfId="11824" xr:uid="{00000000-0005-0000-0000-0000B44C0000}"/>
    <cellStyle name="Normal 10 4" xfId="11825" xr:uid="{00000000-0005-0000-0000-0000B54C0000}"/>
    <cellStyle name="Normal 11" xfId="11826" xr:uid="{00000000-0005-0000-0000-0000B64C0000}"/>
    <cellStyle name="Normal 11 2" xfId="11827" xr:uid="{00000000-0005-0000-0000-0000B74C0000}"/>
    <cellStyle name="Normal 11 3" xfId="20307" xr:uid="{00000000-0005-0000-0000-0000B84C0000}"/>
    <cellStyle name="Normal 11 4" xfId="20380" xr:uid="{00000000-0005-0000-0000-0000B94C0000}"/>
    <cellStyle name="Normal 12" xfId="11828" xr:uid="{00000000-0005-0000-0000-0000BA4C0000}"/>
    <cellStyle name="Normal 12 2" xfId="11829" xr:uid="{00000000-0005-0000-0000-0000BB4C0000}"/>
    <cellStyle name="Normal 12 2 2" xfId="16169" xr:uid="{00000000-0005-0000-0000-0000BC4C0000}"/>
    <cellStyle name="Normal 12 2 3" xfId="20192" xr:uid="{00000000-0005-0000-0000-0000BD4C0000}"/>
    <cellStyle name="Normal 13" xfId="11830" xr:uid="{00000000-0005-0000-0000-0000BE4C0000}"/>
    <cellStyle name="Normal 13 2" xfId="11831" xr:uid="{00000000-0005-0000-0000-0000BF4C0000}"/>
    <cellStyle name="Normal 14" xfId="11832" xr:uid="{00000000-0005-0000-0000-0000C04C0000}"/>
    <cellStyle name="Normal 14 2" xfId="11833" xr:uid="{00000000-0005-0000-0000-0000C14C0000}"/>
    <cellStyle name="Normal 14 2 2" xfId="16170" xr:uid="{00000000-0005-0000-0000-0000C24C0000}"/>
    <cellStyle name="Normal 14 2 3" xfId="20193" xr:uid="{00000000-0005-0000-0000-0000C34C0000}"/>
    <cellStyle name="Normal 15" xfId="11834" xr:uid="{00000000-0005-0000-0000-0000C44C0000}"/>
    <cellStyle name="Normal 15 2" xfId="11835" xr:uid="{00000000-0005-0000-0000-0000C54C0000}"/>
    <cellStyle name="Normal 15 2 2" xfId="16171" xr:uid="{00000000-0005-0000-0000-0000C64C0000}"/>
    <cellStyle name="Normal 15 2 3" xfId="20194" xr:uid="{00000000-0005-0000-0000-0000C74C0000}"/>
    <cellStyle name="Normal 16" xfId="11836" xr:uid="{00000000-0005-0000-0000-0000C84C0000}"/>
    <cellStyle name="Normal 16 2" xfId="11837" xr:uid="{00000000-0005-0000-0000-0000C94C0000}"/>
    <cellStyle name="Normal 16 2 2" xfId="16172" xr:uid="{00000000-0005-0000-0000-0000CA4C0000}"/>
    <cellStyle name="Normal 16 2 3" xfId="20195" xr:uid="{00000000-0005-0000-0000-0000CB4C0000}"/>
    <cellStyle name="Normal 17" xfId="11838" xr:uid="{00000000-0005-0000-0000-0000CC4C0000}"/>
    <cellStyle name="Normal 17 2" xfId="11839" xr:uid="{00000000-0005-0000-0000-0000CD4C0000}"/>
    <cellStyle name="Normal 17 2 2" xfId="16173" xr:uid="{00000000-0005-0000-0000-0000CE4C0000}"/>
    <cellStyle name="Normal 17 2 3" xfId="20196" xr:uid="{00000000-0005-0000-0000-0000CF4C0000}"/>
    <cellStyle name="Normal 17 3" xfId="11840" xr:uid="{00000000-0005-0000-0000-0000D04C0000}"/>
    <cellStyle name="Normal 18" xfId="11841" xr:uid="{00000000-0005-0000-0000-0000D14C0000}"/>
    <cellStyle name="Normal 18 2" xfId="11842" xr:uid="{00000000-0005-0000-0000-0000D24C0000}"/>
    <cellStyle name="Normal 18 2 2" xfId="16174" xr:uid="{00000000-0005-0000-0000-0000D34C0000}"/>
    <cellStyle name="Normal 18 2 3" xfId="20197" xr:uid="{00000000-0005-0000-0000-0000D44C0000}"/>
    <cellStyle name="Normal 19" xfId="11843" xr:uid="{00000000-0005-0000-0000-0000D54C0000}"/>
    <cellStyle name="Normal 19 2" xfId="11844" xr:uid="{00000000-0005-0000-0000-0000D64C0000}"/>
    <cellStyle name="Normal 19 2 2" xfId="16175" xr:uid="{00000000-0005-0000-0000-0000D74C0000}"/>
    <cellStyle name="Normal 19 2 3" xfId="20198" xr:uid="{00000000-0005-0000-0000-0000D84C0000}"/>
    <cellStyle name="Normal 2" xfId="11845" xr:uid="{00000000-0005-0000-0000-0000D94C0000}"/>
    <cellStyle name="Normal 2 10" xfId="11846" xr:uid="{00000000-0005-0000-0000-0000DA4C0000}"/>
    <cellStyle name="Normal 2 11" xfId="11847" xr:uid="{00000000-0005-0000-0000-0000DB4C0000}"/>
    <cellStyle name="Normal 2 12" xfId="11848" xr:uid="{00000000-0005-0000-0000-0000DC4C0000}"/>
    <cellStyle name="Normal 2 13" xfId="11849" xr:uid="{00000000-0005-0000-0000-0000DD4C0000}"/>
    <cellStyle name="Normal 2 14" xfId="11850" xr:uid="{00000000-0005-0000-0000-0000DE4C0000}"/>
    <cellStyle name="Normal 2 15" xfId="11851" xr:uid="{00000000-0005-0000-0000-0000DF4C0000}"/>
    <cellStyle name="Normal 2 16" xfId="16176" xr:uid="{00000000-0005-0000-0000-0000E04C0000}"/>
    <cellStyle name="Normal 2 17" xfId="20199" xr:uid="{00000000-0005-0000-0000-0000E14C0000}"/>
    <cellStyle name="Normal 2 18" xfId="20382" xr:uid="{00000000-0005-0000-0000-0000E24C0000}"/>
    <cellStyle name="Normal 2 2" xfId="11852" xr:uid="{00000000-0005-0000-0000-0000E34C0000}"/>
    <cellStyle name="Normal 2 2 2" xfId="11853" xr:uid="{00000000-0005-0000-0000-0000E44C0000}"/>
    <cellStyle name="Normal 2 2 3" xfId="11854" xr:uid="{00000000-0005-0000-0000-0000E54C0000}"/>
    <cellStyle name="Normal 2 2 4" xfId="11855" xr:uid="{00000000-0005-0000-0000-0000E64C0000}"/>
    <cellStyle name="Normal 2 2 5" xfId="20290" xr:uid="{00000000-0005-0000-0000-0000E74C0000}"/>
    <cellStyle name="Normal 2 3" xfId="11856" xr:uid="{00000000-0005-0000-0000-0000E84C0000}"/>
    <cellStyle name="Normal 2 3 2" xfId="11857" xr:uid="{00000000-0005-0000-0000-0000E94C0000}"/>
    <cellStyle name="Normal 2 4" xfId="11858" xr:uid="{00000000-0005-0000-0000-0000EA4C0000}"/>
    <cellStyle name="Normal 2 5" xfId="11859" xr:uid="{00000000-0005-0000-0000-0000EB4C0000}"/>
    <cellStyle name="Normal 2 6" xfId="11860" xr:uid="{00000000-0005-0000-0000-0000EC4C0000}"/>
    <cellStyle name="Normal 2 7" xfId="11861" xr:uid="{00000000-0005-0000-0000-0000ED4C0000}"/>
    <cellStyle name="Normal 2 8" xfId="11862" xr:uid="{00000000-0005-0000-0000-0000EE4C0000}"/>
    <cellStyle name="Normal 2 9" xfId="11863" xr:uid="{00000000-0005-0000-0000-0000EF4C0000}"/>
    <cellStyle name="Normal 20" xfId="11864" xr:uid="{00000000-0005-0000-0000-0000F04C0000}"/>
    <cellStyle name="Normal 20 2" xfId="11865" xr:uid="{00000000-0005-0000-0000-0000F14C0000}"/>
    <cellStyle name="Normal 20 2 2" xfId="16177" xr:uid="{00000000-0005-0000-0000-0000F24C0000}"/>
    <cellStyle name="Normal 20 2 3" xfId="20200" xr:uid="{00000000-0005-0000-0000-0000F34C0000}"/>
    <cellStyle name="Normal 21" xfId="11866" xr:uid="{00000000-0005-0000-0000-0000F44C0000}"/>
    <cellStyle name="Normal 21 2" xfId="20291" xr:uid="{00000000-0005-0000-0000-0000F54C0000}"/>
    <cellStyle name="Normal 21 2 2 2" xfId="20388" xr:uid="{00000000-0005-0000-0000-0000F64C0000}"/>
    <cellStyle name="Normal 21 2 2 2 2" xfId="20397" xr:uid="{00000000-0005-0000-0000-0000F74C0000}"/>
    <cellStyle name="Normal 21 2 2 2 2 2" xfId="20402" xr:uid="{00000000-0005-0000-0000-0000F84C0000}"/>
    <cellStyle name="Normal 22" xfId="11867" xr:uid="{00000000-0005-0000-0000-0000F94C0000}"/>
    <cellStyle name="Normal 23" xfId="11868" xr:uid="{00000000-0005-0000-0000-0000FA4C0000}"/>
    <cellStyle name="Normal 24" xfId="11869" xr:uid="{00000000-0005-0000-0000-0000FB4C0000}"/>
    <cellStyle name="Normal 25" xfId="11870" xr:uid="{00000000-0005-0000-0000-0000FC4C0000}"/>
    <cellStyle name="Normal 26" xfId="11871" xr:uid="{00000000-0005-0000-0000-0000FD4C0000}"/>
    <cellStyle name="Normal 27" xfId="11872" xr:uid="{00000000-0005-0000-0000-0000FE4C0000}"/>
    <cellStyle name="Normal 28" xfId="11873" xr:uid="{00000000-0005-0000-0000-0000FF4C0000}"/>
    <cellStyle name="Normal 28 2" xfId="16178" xr:uid="{00000000-0005-0000-0000-0000004D0000}"/>
    <cellStyle name="Normal 28 3" xfId="20201" xr:uid="{00000000-0005-0000-0000-0000014D0000}"/>
    <cellStyle name="Normal 28 4" xfId="20407" xr:uid="{00000000-0005-0000-0000-0000024D0000}"/>
    <cellStyle name="Normal 29" xfId="11874" xr:uid="{00000000-0005-0000-0000-0000034D0000}"/>
    <cellStyle name="Normal 3" xfId="11875" xr:uid="{00000000-0005-0000-0000-0000044D0000}"/>
    <cellStyle name="Normal 3 10" xfId="11876" xr:uid="{00000000-0005-0000-0000-0000054D0000}"/>
    <cellStyle name="Normal 3 2" xfId="11877" xr:uid="{00000000-0005-0000-0000-0000064D0000}"/>
    <cellStyle name="Normal 3 2 2" xfId="11878" xr:uid="{00000000-0005-0000-0000-0000074D0000}"/>
    <cellStyle name="Normal 3 2 3" xfId="11879" xr:uid="{00000000-0005-0000-0000-0000084D0000}"/>
    <cellStyle name="Normal 3 2 4" xfId="11880" xr:uid="{00000000-0005-0000-0000-0000094D0000}"/>
    <cellStyle name="Normal 3 2 5" xfId="11881" xr:uid="{00000000-0005-0000-0000-00000A4D0000}"/>
    <cellStyle name="Normal 3 3" xfId="11882" xr:uid="{00000000-0005-0000-0000-00000B4D0000}"/>
    <cellStyle name="Normal 3 3 2" xfId="11883" xr:uid="{00000000-0005-0000-0000-00000C4D0000}"/>
    <cellStyle name="Normal 3 3 3" xfId="11884" xr:uid="{00000000-0005-0000-0000-00000D4D0000}"/>
    <cellStyle name="Normal 3 3 4" xfId="20292" xr:uid="{00000000-0005-0000-0000-00000E4D0000}"/>
    <cellStyle name="Normal 3 4" xfId="11885" xr:uid="{00000000-0005-0000-0000-00000F4D0000}"/>
    <cellStyle name="Normal 3 4 2" xfId="11886" xr:uid="{00000000-0005-0000-0000-0000104D0000}"/>
    <cellStyle name="Normal 3 5" xfId="11887" xr:uid="{00000000-0005-0000-0000-0000114D0000}"/>
    <cellStyle name="Normal 3 6" xfId="11888" xr:uid="{00000000-0005-0000-0000-0000124D0000}"/>
    <cellStyle name="Normal 3 7" xfId="11889" xr:uid="{00000000-0005-0000-0000-0000134D0000}"/>
    <cellStyle name="Normal 30" xfId="11890" xr:uid="{00000000-0005-0000-0000-0000144D0000}"/>
    <cellStyle name="Normal 30 2" xfId="11891" xr:uid="{00000000-0005-0000-0000-0000154D0000}"/>
    <cellStyle name="Normal 31" xfId="11892" xr:uid="{00000000-0005-0000-0000-0000164D0000}"/>
    <cellStyle name="Normal 32" xfId="11893" xr:uid="{00000000-0005-0000-0000-0000174D0000}"/>
    <cellStyle name="Normal 33" xfId="11894" xr:uid="{00000000-0005-0000-0000-0000184D0000}"/>
    <cellStyle name="Normal 33 2" xfId="11895" xr:uid="{00000000-0005-0000-0000-0000194D0000}"/>
    <cellStyle name="Normal 33 3" xfId="16179" xr:uid="{00000000-0005-0000-0000-00001A4D0000}"/>
    <cellStyle name="Normal 33 4" xfId="20202" xr:uid="{00000000-0005-0000-0000-00001B4D0000}"/>
    <cellStyle name="Normal 34" xfId="11896" xr:uid="{00000000-0005-0000-0000-00001C4D0000}"/>
    <cellStyle name="Normal 35" xfId="11897" xr:uid="{00000000-0005-0000-0000-00001D4D0000}"/>
    <cellStyle name="Normal 36" xfId="16216" xr:uid="{00000000-0005-0000-0000-00001E4D0000}"/>
    <cellStyle name="Normal 36 2" xfId="20293" xr:uid="{00000000-0005-0000-0000-00001F4D0000}"/>
    <cellStyle name="Normal 37" xfId="16219" xr:uid="{00000000-0005-0000-0000-0000204D0000}"/>
    <cellStyle name="Normal 38" xfId="16382" xr:uid="{00000000-0005-0000-0000-0000214D0000}"/>
    <cellStyle name="Normal 39" xfId="16383" xr:uid="{00000000-0005-0000-0000-0000224D0000}"/>
    <cellStyle name="Normal 39 2 2" xfId="20386" xr:uid="{00000000-0005-0000-0000-0000234D0000}"/>
    <cellStyle name="Normal 39 2 2 2" xfId="20395" xr:uid="{00000000-0005-0000-0000-0000244D0000}"/>
    <cellStyle name="Normal 39 2 2 2 2" xfId="20401" xr:uid="{00000000-0005-0000-0000-0000254D0000}"/>
    <cellStyle name="Normal 4" xfId="11898" xr:uid="{00000000-0005-0000-0000-0000264D0000}"/>
    <cellStyle name="Normal 4 2" xfId="11899" xr:uid="{00000000-0005-0000-0000-0000274D0000}"/>
    <cellStyle name="Normal 4 2 2" xfId="11900" xr:uid="{00000000-0005-0000-0000-0000284D0000}"/>
    <cellStyle name="Normal 4 2 3" xfId="20294" xr:uid="{00000000-0005-0000-0000-0000294D0000}"/>
    <cellStyle name="Normal 4 3" xfId="11901" xr:uid="{00000000-0005-0000-0000-00002A4D0000}"/>
    <cellStyle name="Normal 4 3 2" xfId="11902" xr:uid="{00000000-0005-0000-0000-00002B4D0000}"/>
    <cellStyle name="Normal 4 3 3" xfId="20295" xr:uid="{00000000-0005-0000-0000-00002C4D0000}"/>
    <cellStyle name="Normal 4 4" xfId="11903" xr:uid="{00000000-0005-0000-0000-00002D4D0000}"/>
    <cellStyle name="Normal 4 5" xfId="11904" xr:uid="{00000000-0005-0000-0000-00002E4D0000}"/>
    <cellStyle name="Normal 4 6" xfId="11905" xr:uid="{00000000-0005-0000-0000-00002F4D0000}"/>
    <cellStyle name="Normal 40" xfId="20306" xr:uid="{00000000-0005-0000-0000-0000304D0000}"/>
    <cellStyle name="Normal 41" xfId="20391" xr:uid="{00000000-0005-0000-0000-0000314D0000}"/>
    <cellStyle name="Normal 41 2" xfId="20404" xr:uid="{00000000-0005-0000-0000-0000324D0000}"/>
    <cellStyle name="Normal 42" xfId="20405" xr:uid="{00000000-0005-0000-0000-0000334D0000}"/>
    <cellStyle name="Normal 42 2" xfId="20390" xr:uid="{00000000-0005-0000-0000-0000344D0000}"/>
    <cellStyle name="Normal 43 2" xfId="20389" xr:uid="{00000000-0005-0000-0000-0000354D0000}"/>
    <cellStyle name="Normal 5" xfId="11906" xr:uid="{00000000-0005-0000-0000-0000364D0000}"/>
    <cellStyle name="Normal 5 2" xfId="11907" xr:uid="{00000000-0005-0000-0000-0000374D0000}"/>
    <cellStyle name="Normal 5 2 2" xfId="11908" xr:uid="{00000000-0005-0000-0000-0000384D0000}"/>
    <cellStyle name="Normal 5 3" xfId="11909" xr:uid="{00000000-0005-0000-0000-0000394D0000}"/>
    <cellStyle name="Normal 5 4" xfId="11910" xr:uid="{00000000-0005-0000-0000-00003A4D0000}"/>
    <cellStyle name="Normal 6" xfId="11911" xr:uid="{00000000-0005-0000-0000-00003B4D0000}"/>
    <cellStyle name="Normal 6 2" xfId="11912" xr:uid="{00000000-0005-0000-0000-00003C4D0000}"/>
    <cellStyle name="Normal 6 2 2" xfId="11913" xr:uid="{00000000-0005-0000-0000-00003D4D0000}"/>
    <cellStyle name="Normal 6 3" xfId="11914" xr:uid="{00000000-0005-0000-0000-00003E4D0000}"/>
    <cellStyle name="Normal 60" xfId="12421" xr:uid="{00000000-0005-0000-0000-00003F4D0000}"/>
    <cellStyle name="Normal 66" xfId="11915" xr:uid="{00000000-0005-0000-0000-0000404D0000}"/>
    <cellStyle name="Normal 7" xfId="11916" xr:uid="{00000000-0005-0000-0000-0000414D0000}"/>
    <cellStyle name="Normal 7 2" xfId="11917" xr:uid="{00000000-0005-0000-0000-0000424D0000}"/>
    <cellStyle name="Normal 7 3" xfId="11918" xr:uid="{00000000-0005-0000-0000-0000434D0000}"/>
    <cellStyle name="Normal 8" xfId="11919" xr:uid="{00000000-0005-0000-0000-0000444D0000}"/>
    <cellStyle name="Normal 8 2" xfId="11920" xr:uid="{00000000-0005-0000-0000-0000454D0000}"/>
    <cellStyle name="Normal 8 2 2" xfId="16180" xr:uid="{00000000-0005-0000-0000-0000464D0000}"/>
    <cellStyle name="Normal 8 2 3" xfId="20203" xr:uid="{00000000-0005-0000-0000-0000474D0000}"/>
    <cellStyle name="Normal 88" xfId="20400" xr:uid="{00000000-0005-0000-0000-0000484D0000}"/>
    <cellStyle name="Normal 9" xfId="11921" xr:uid="{00000000-0005-0000-0000-0000494D0000}"/>
    <cellStyle name="Normal 9 2" xfId="11922" xr:uid="{00000000-0005-0000-0000-00004A4D0000}"/>
    <cellStyle name="Normal 9 2 2" xfId="16181" xr:uid="{00000000-0005-0000-0000-00004B4D0000}"/>
    <cellStyle name="Normal 9 2 3" xfId="20204" xr:uid="{00000000-0005-0000-0000-00004C4D0000}"/>
    <cellStyle name="Normal Bold" xfId="11923" xr:uid="{00000000-0005-0000-0000-00004D4D0000}"/>
    <cellStyle name="Normal Bold 2" xfId="20352" xr:uid="{00000000-0005-0000-0000-00004E4D0000}"/>
    <cellStyle name="Normal Currency" xfId="11924" xr:uid="{00000000-0005-0000-0000-00004F4D0000}"/>
    <cellStyle name="Normal Dollar" xfId="11925" xr:uid="{00000000-0005-0000-0000-0000504D0000}"/>
    <cellStyle name="Normal- Enter (1)" xfId="11926" xr:uid="{00000000-0005-0000-0000-0000514D0000}"/>
    <cellStyle name="Normal Number" xfId="11927" xr:uid="{00000000-0005-0000-0000-0000524D0000}"/>
    <cellStyle name="Normal Pct" xfId="11928" xr:uid="{00000000-0005-0000-0000-0000534D0000}"/>
    <cellStyle name="Normal Pct 2" xfId="20353" xr:uid="{00000000-0005-0000-0000-0000544D0000}"/>
    <cellStyle name="Normal/DBL" xfId="11929" xr:uid="{00000000-0005-0000-0000-0000554D0000}"/>
    <cellStyle name="Normal_Company ABC_Valuation Model_06_22" xfId="20406" xr:uid="{00000000-0005-0000-0000-0000564D0000}"/>
    <cellStyle name="Normal_Input Sheet" xfId="20308" xr:uid="{00000000-0005-0000-0000-0000574D0000}"/>
    <cellStyle name="Normal_NEW-WACC" xfId="20379" xr:uid="{00000000-0005-0000-0000-0000584D0000}"/>
    <cellStyle name="Normal1" xfId="11930" xr:uid="{00000000-0005-0000-0000-0000594D0000}"/>
    <cellStyle name="Normal1 2" xfId="20354" xr:uid="{00000000-0005-0000-0000-00005A4D0000}"/>
    <cellStyle name="Normal1Places" xfId="11931" xr:uid="{00000000-0005-0000-0000-00005B4D0000}"/>
    <cellStyle name="Normal1Places 2" xfId="20355" xr:uid="{00000000-0005-0000-0000-00005C4D0000}"/>
    <cellStyle name="Normal2" xfId="11932" xr:uid="{00000000-0005-0000-0000-00005D4D0000}"/>
    <cellStyle name="Normal2Places" xfId="11933" xr:uid="{00000000-0005-0000-0000-00005E4D0000}"/>
    <cellStyle name="Normal2Places 2" xfId="20356" xr:uid="{00000000-0005-0000-0000-00005F4D0000}"/>
    <cellStyle name="Normal3Places" xfId="11934" xr:uid="{00000000-0005-0000-0000-0000604D0000}"/>
    <cellStyle name="Normal8" xfId="11935" xr:uid="{00000000-0005-0000-0000-0000614D0000}"/>
    <cellStyle name="NormalBlue" xfId="11936" xr:uid="{00000000-0005-0000-0000-0000624D0000}"/>
    <cellStyle name="NormalBold" xfId="11937" xr:uid="{00000000-0005-0000-0000-0000634D0000}"/>
    <cellStyle name="NormalBold 2" xfId="20357" xr:uid="{00000000-0005-0000-0000-0000644D0000}"/>
    <cellStyle name="Normale_ACTUAL 30-06-95.XLS" xfId="11938" xr:uid="{00000000-0005-0000-0000-0000654D0000}"/>
    <cellStyle name="Normal-Entry" xfId="11939" xr:uid="{00000000-0005-0000-0000-0000664D0000}"/>
    <cellStyle name="NormalEPS" xfId="11940" xr:uid="{00000000-0005-0000-0000-0000674D0000}"/>
    <cellStyle name="NormalGB" xfId="11941" xr:uid="{00000000-0005-0000-0000-0000684D0000}"/>
    <cellStyle name="NormalGB 2" xfId="20358" xr:uid="{00000000-0005-0000-0000-0000694D0000}"/>
    <cellStyle name="NormalHelv" xfId="11942" xr:uid="{00000000-0005-0000-0000-00006A4D0000}"/>
    <cellStyle name="Normal-Input(1)" xfId="11943" xr:uid="{00000000-0005-0000-0000-00006B4D0000}"/>
    <cellStyle name="NormalJEM" xfId="11944" xr:uid="{00000000-0005-0000-0000-00006C4D0000}"/>
    <cellStyle name="normální_M Schedules 2008 v02 - pracovní" xfId="11945" xr:uid="{00000000-0005-0000-0000-00006D4D0000}"/>
    <cellStyle name="NormalPop" xfId="11946" xr:uid="{00000000-0005-0000-0000-00006E4D0000}"/>
    <cellStyle name="NormalPop 2" xfId="20359" xr:uid="{00000000-0005-0000-0000-00006F4D0000}"/>
    <cellStyle name="Note 10" xfId="11947" xr:uid="{00000000-0005-0000-0000-0000704D0000}"/>
    <cellStyle name="Note 10 2" xfId="11948" xr:uid="{00000000-0005-0000-0000-0000714D0000}"/>
    <cellStyle name="Note 10 2 2" xfId="16182" xr:uid="{00000000-0005-0000-0000-0000724D0000}"/>
    <cellStyle name="Note 10 2 3" xfId="20205" xr:uid="{00000000-0005-0000-0000-0000734D0000}"/>
    <cellStyle name="Note 11" xfId="11949" xr:uid="{00000000-0005-0000-0000-0000744D0000}"/>
    <cellStyle name="Note 11 2" xfId="11950" xr:uid="{00000000-0005-0000-0000-0000754D0000}"/>
    <cellStyle name="Note 11 2 2" xfId="16183" xr:uid="{00000000-0005-0000-0000-0000764D0000}"/>
    <cellStyle name="Note 11 2 3" xfId="20206" xr:uid="{00000000-0005-0000-0000-0000774D0000}"/>
    <cellStyle name="Note 12" xfId="11951" xr:uid="{00000000-0005-0000-0000-0000784D0000}"/>
    <cellStyle name="Note 12 2" xfId="11952" xr:uid="{00000000-0005-0000-0000-0000794D0000}"/>
    <cellStyle name="Note 12 2 2" xfId="16184" xr:uid="{00000000-0005-0000-0000-00007A4D0000}"/>
    <cellStyle name="Note 12 2 3" xfId="20207" xr:uid="{00000000-0005-0000-0000-00007B4D0000}"/>
    <cellStyle name="Note 13" xfId="11953" xr:uid="{00000000-0005-0000-0000-00007C4D0000}"/>
    <cellStyle name="Note 13 2" xfId="11954" xr:uid="{00000000-0005-0000-0000-00007D4D0000}"/>
    <cellStyle name="Note 13 2 2" xfId="16185" xr:uid="{00000000-0005-0000-0000-00007E4D0000}"/>
    <cellStyle name="Note 13 2 3" xfId="20208" xr:uid="{00000000-0005-0000-0000-00007F4D0000}"/>
    <cellStyle name="Note 14" xfId="11955" xr:uid="{00000000-0005-0000-0000-0000804D0000}"/>
    <cellStyle name="Note 15" xfId="11956" xr:uid="{00000000-0005-0000-0000-0000814D0000}"/>
    <cellStyle name="Note 2" xfId="11957" xr:uid="{00000000-0005-0000-0000-0000824D0000}"/>
    <cellStyle name="Note 2 2" xfId="11958" xr:uid="{00000000-0005-0000-0000-0000834D0000}"/>
    <cellStyle name="Note 2 2 2" xfId="16186" xr:uid="{00000000-0005-0000-0000-0000844D0000}"/>
    <cellStyle name="Note 2 2 3" xfId="20209" xr:uid="{00000000-0005-0000-0000-0000854D0000}"/>
    <cellStyle name="Note 3" xfId="11959" xr:uid="{00000000-0005-0000-0000-0000864D0000}"/>
    <cellStyle name="Note 3 2" xfId="11960" xr:uid="{00000000-0005-0000-0000-0000874D0000}"/>
    <cellStyle name="Note 3 2 2" xfId="16187" xr:uid="{00000000-0005-0000-0000-0000884D0000}"/>
    <cellStyle name="Note 3 2 3" xfId="20210" xr:uid="{00000000-0005-0000-0000-0000894D0000}"/>
    <cellStyle name="Note 4" xfId="11961" xr:uid="{00000000-0005-0000-0000-00008A4D0000}"/>
    <cellStyle name="Note 4 2" xfId="11962" xr:uid="{00000000-0005-0000-0000-00008B4D0000}"/>
    <cellStyle name="Note 4 2 2" xfId="16188" xr:uid="{00000000-0005-0000-0000-00008C4D0000}"/>
    <cellStyle name="Note 4 2 3" xfId="20211" xr:uid="{00000000-0005-0000-0000-00008D4D0000}"/>
    <cellStyle name="Note 5" xfId="11963" xr:uid="{00000000-0005-0000-0000-00008E4D0000}"/>
    <cellStyle name="Note 5 2" xfId="11964" xr:uid="{00000000-0005-0000-0000-00008F4D0000}"/>
    <cellStyle name="Note 5 2 2" xfId="16189" xr:uid="{00000000-0005-0000-0000-0000904D0000}"/>
    <cellStyle name="Note 5 2 3" xfId="20212" xr:uid="{00000000-0005-0000-0000-0000914D0000}"/>
    <cellStyle name="Note 6" xfId="11965" xr:uid="{00000000-0005-0000-0000-0000924D0000}"/>
    <cellStyle name="Note 6 2" xfId="11966" xr:uid="{00000000-0005-0000-0000-0000934D0000}"/>
    <cellStyle name="Note 6 2 2" xfId="16190" xr:uid="{00000000-0005-0000-0000-0000944D0000}"/>
    <cellStyle name="Note 6 2 3" xfId="20213" xr:uid="{00000000-0005-0000-0000-0000954D0000}"/>
    <cellStyle name="Note 7" xfId="11967" xr:uid="{00000000-0005-0000-0000-0000964D0000}"/>
    <cellStyle name="Note 7 2" xfId="11968" xr:uid="{00000000-0005-0000-0000-0000974D0000}"/>
    <cellStyle name="Note 7 2 2" xfId="16191" xr:uid="{00000000-0005-0000-0000-0000984D0000}"/>
    <cellStyle name="Note 7 2 3" xfId="20214" xr:uid="{00000000-0005-0000-0000-0000994D0000}"/>
    <cellStyle name="Note 8" xfId="11969" xr:uid="{00000000-0005-0000-0000-00009A4D0000}"/>
    <cellStyle name="Note 8 2" xfId="11970" xr:uid="{00000000-0005-0000-0000-00009B4D0000}"/>
    <cellStyle name="Note 8 2 2" xfId="16192" xr:uid="{00000000-0005-0000-0000-00009C4D0000}"/>
    <cellStyle name="Note 8 2 3" xfId="20215" xr:uid="{00000000-0005-0000-0000-00009D4D0000}"/>
    <cellStyle name="Note 9" xfId="11971" xr:uid="{00000000-0005-0000-0000-00009E4D0000}"/>
    <cellStyle name="Note 9 2" xfId="11972" xr:uid="{00000000-0005-0000-0000-00009F4D0000}"/>
    <cellStyle name="Note 9 2 2" xfId="16193" xr:uid="{00000000-0005-0000-0000-0000A04D0000}"/>
    <cellStyle name="Note 9 2 3" xfId="20216" xr:uid="{00000000-0005-0000-0000-0000A14D0000}"/>
    <cellStyle name="NPPESalesPct" xfId="11973" xr:uid="{00000000-0005-0000-0000-0000A24D0000}"/>
    <cellStyle name="NPPESalesPct 2" xfId="20360" xr:uid="{00000000-0005-0000-0000-0000A34D0000}"/>
    <cellStyle name="Num1" xfId="11974" xr:uid="{00000000-0005-0000-0000-0000A44D0000}"/>
    <cellStyle name="Num1Blue" xfId="11975" xr:uid="{00000000-0005-0000-0000-0000A54D0000}"/>
    <cellStyle name="num1Style" xfId="11976" xr:uid="{00000000-0005-0000-0000-0000A64D0000}"/>
    <cellStyle name="num1Styleb" xfId="11977" xr:uid="{00000000-0005-0000-0000-0000A74D0000}"/>
    <cellStyle name="Num2" xfId="11978" xr:uid="{00000000-0005-0000-0000-0000A84D0000}"/>
    <cellStyle name="num4Style" xfId="11979" xr:uid="{00000000-0005-0000-0000-0000A94D0000}"/>
    <cellStyle name="num4Styleb" xfId="11980" xr:uid="{00000000-0005-0000-0000-0000AA4D0000}"/>
    <cellStyle name="Number" xfId="11981" xr:uid="{00000000-0005-0000-0000-0000AB4D0000}"/>
    <cellStyle name="Number 2" xfId="20361" xr:uid="{00000000-0005-0000-0000-0000AC4D0000}"/>
    <cellStyle name="numbers" xfId="11982" xr:uid="{00000000-0005-0000-0000-0000AD4D0000}"/>
    <cellStyle name="numbers 2" xfId="20362" xr:uid="{00000000-0005-0000-0000-0000AE4D0000}"/>
    <cellStyle name="numPStyle" xfId="11983" xr:uid="{00000000-0005-0000-0000-0000AF4D0000}"/>
    <cellStyle name="numPStyleb" xfId="11984" xr:uid="{00000000-0005-0000-0000-0000B04D0000}"/>
    <cellStyle name="numXStyle" xfId="11985" xr:uid="{00000000-0005-0000-0000-0000B14D0000}"/>
    <cellStyle name="numXStyleb" xfId="11986" xr:uid="{00000000-0005-0000-0000-0000B24D0000}"/>
    <cellStyle name="Œ…‹æ_Ø‚è [0.00]_Affiliate Fcst Inputs" xfId="11987" xr:uid="{00000000-0005-0000-0000-0000B34D0000}"/>
    <cellStyle name="Œ…‹æØ‚è [0.00]_!!!GO" xfId="11988" xr:uid="{00000000-0005-0000-0000-0000B44D0000}"/>
    <cellStyle name="Œ…‹æØ‚è_!!!GO" xfId="11989" xr:uid="{00000000-0005-0000-0000-0000B54D0000}"/>
    <cellStyle name="OScommands" xfId="11990" xr:uid="{00000000-0005-0000-0000-0000B64D0000}"/>
    <cellStyle name="OSW_ColumnLabels" xfId="11991" xr:uid="{00000000-0005-0000-0000-0000B74D0000}"/>
    <cellStyle name="Output 10" xfId="11992" xr:uid="{00000000-0005-0000-0000-0000B84D0000}"/>
    <cellStyle name="Output 11" xfId="11993" xr:uid="{00000000-0005-0000-0000-0000B94D0000}"/>
    <cellStyle name="Output 12" xfId="11994" xr:uid="{00000000-0005-0000-0000-0000BA4D0000}"/>
    <cellStyle name="Output 13" xfId="11995" xr:uid="{00000000-0005-0000-0000-0000BB4D0000}"/>
    <cellStyle name="Output 2" xfId="11996" xr:uid="{00000000-0005-0000-0000-0000BC4D0000}"/>
    <cellStyle name="Output 3" xfId="11997" xr:uid="{00000000-0005-0000-0000-0000BD4D0000}"/>
    <cellStyle name="Output 4" xfId="11998" xr:uid="{00000000-0005-0000-0000-0000BE4D0000}"/>
    <cellStyle name="Output 5" xfId="11999" xr:uid="{00000000-0005-0000-0000-0000BF4D0000}"/>
    <cellStyle name="Output 6" xfId="12000" xr:uid="{00000000-0005-0000-0000-0000C04D0000}"/>
    <cellStyle name="Output 7" xfId="12001" xr:uid="{00000000-0005-0000-0000-0000C14D0000}"/>
    <cellStyle name="Output 8" xfId="12002" xr:uid="{00000000-0005-0000-0000-0000C24D0000}"/>
    <cellStyle name="Output 9" xfId="12003" xr:uid="{00000000-0005-0000-0000-0000C34D0000}"/>
    <cellStyle name="Output Amounts" xfId="12004" xr:uid="{00000000-0005-0000-0000-0000C44D0000}"/>
    <cellStyle name="Output Column Headings" xfId="12005" xr:uid="{00000000-0005-0000-0000-0000C54D0000}"/>
    <cellStyle name="Output Line Items" xfId="12006" xr:uid="{00000000-0005-0000-0000-0000C64D0000}"/>
    <cellStyle name="Output Report Heading" xfId="12007" xr:uid="{00000000-0005-0000-0000-0000C74D0000}"/>
    <cellStyle name="Output Report Title" xfId="12008" xr:uid="{00000000-0005-0000-0000-0000C84D0000}"/>
    <cellStyle name="Outputs" xfId="12009" xr:uid="{00000000-0005-0000-0000-0000C94D0000}"/>
    <cellStyle name="Outputs 2" xfId="12010" xr:uid="{00000000-0005-0000-0000-0000CA4D0000}"/>
    <cellStyle name="Outputs 2 2" xfId="20296" xr:uid="{00000000-0005-0000-0000-0000CB4D0000}"/>
    <cellStyle name="Outputs 3" xfId="12011" xr:uid="{00000000-0005-0000-0000-0000CC4D0000}"/>
    <cellStyle name="Outputs 3 2" xfId="20297" xr:uid="{00000000-0005-0000-0000-0000CD4D0000}"/>
    <cellStyle name="Outputs 4" xfId="20298" xr:uid="{00000000-0005-0000-0000-0000CE4D0000}"/>
    <cellStyle name="OVER" xfId="12012" xr:uid="{00000000-0005-0000-0000-0000CF4D0000}"/>
    <cellStyle name="p" xfId="12013" xr:uid="{00000000-0005-0000-0000-0000D04D0000}"/>
    <cellStyle name="P&amp;L Numbers" xfId="12014" xr:uid="{00000000-0005-0000-0000-0000D14D0000}"/>
    <cellStyle name="p_DCF" xfId="12015" xr:uid="{00000000-0005-0000-0000-0000D24D0000}"/>
    <cellStyle name="Page Heading" xfId="12016" xr:uid="{00000000-0005-0000-0000-0000D34D0000}"/>
    <cellStyle name="Page Heading Large" xfId="12017" xr:uid="{00000000-0005-0000-0000-0000D44D0000}"/>
    <cellStyle name="Page Heading Small" xfId="12018" xr:uid="{00000000-0005-0000-0000-0000D54D0000}"/>
    <cellStyle name="Page Number" xfId="12019" xr:uid="{00000000-0005-0000-0000-0000D64D0000}"/>
    <cellStyle name="paint" xfId="12020" xr:uid="{00000000-0005-0000-0000-0000D74D0000}"/>
    <cellStyle name="Palatino" xfId="12021" xr:uid="{00000000-0005-0000-0000-0000D84D0000}"/>
    <cellStyle name="pc1" xfId="12022" xr:uid="{00000000-0005-0000-0000-0000D94D0000}"/>
    <cellStyle name="pc1 2" xfId="20363" xr:uid="{00000000-0005-0000-0000-0000DA4D0000}"/>
    <cellStyle name="pct_sub" xfId="12023" xr:uid="{00000000-0005-0000-0000-0000DB4D0000}"/>
    <cellStyle name="per.style" xfId="12024" xr:uid="{00000000-0005-0000-0000-0000DC4D0000}"/>
    <cellStyle name="per.style 2" xfId="20364" xr:uid="{00000000-0005-0000-0000-0000DD4D0000}"/>
    <cellStyle name="Percen" xfId="12025" xr:uid="{00000000-0005-0000-0000-0000DE4D0000}"/>
    <cellStyle name="Percen - Style1" xfId="12026" xr:uid="{00000000-0005-0000-0000-0000DF4D0000}"/>
    <cellStyle name="Percen - Style5" xfId="12027" xr:uid="{00000000-0005-0000-0000-0000E04D0000}"/>
    <cellStyle name="Percent" xfId="12422" builtinId="5"/>
    <cellStyle name="Percent %" xfId="12028" xr:uid="{00000000-0005-0000-0000-0000E24D0000}"/>
    <cellStyle name="Percent % Long Underline" xfId="12029" xr:uid="{00000000-0005-0000-0000-0000E34D0000}"/>
    <cellStyle name="Percent (0)" xfId="12030" xr:uid="{00000000-0005-0000-0000-0000E44D0000}"/>
    <cellStyle name="Percent (1)" xfId="12031" xr:uid="{00000000-0005-0000-0000-0000E54D0000}"/>
    <cellStyle name="Percent (2)" xfId="12032" xr:uid="{00000000-0005-0000-0000-0000E64D0000}"/>
    <cellStyle name="Percent [0]" xfId="12033" xr:uid="{00000000-0005-0000-0000-0000E74D0000}"/>
    <cellStyle name="Percent [00]" xfId="12034" xr:uid="{00000000-0005-0000-0000-0000E84D0000}"/>
    <cellStyle name="Percent [1]" xfId="12035" xr:uid="{00000000-0005-0000-0000-0000E94D0000}"/>
    <cellStyle name="Percent [1] 2" xfId="20365" xr:uid="{00000000-0005-0000-0000-0000EA4D0000}"/>
    <cellStyle name="Percent [1][]" xfId="12036" xr:uid="{00000000-0005-0000-0000-0000EB4D0000}"/>
    <cellStyle name="Percent [1]_Aprio - Public Comps1" xfId="12037" xr:uid="{00000000-0005-0000-0000-0000EC4D0000}"/>
    <cellStyle name="Percent [2]" xfId="12038" xr:uid="{00000000-0005-0000-0000-0000ED4D0000}"/>
    <cellStyle name="Percent [2] 2" xfId="12039" xr:uid="{00000000-0005-0000-0000-0000EE4D0000}"/>
    <cellStyle name="Percent [2] 3" xfId="12040" xr:uid="{00000000-0005-0000-0000-0000EF4D0000}"/>
    <cellStyle name="Percent 0.0%" xfId="12041" xr:uid="{00000000-0005-0000-0000-0000F04D0000}"/>
    <cellStyle name="Percent 0.0% Long Underline" xfId="12042" xr:uid="{00000000-0005-0000-0000-0000F14D0000}"/>
    <cellStyle name="Percent 0.00%" xfId="12043" xr:uid="{00000000-0005-0000-0000-0000F24D0000}"/>
    <cellStyle name="Percent 0.00% Long Underline" xfId="12044" xr:uid="{00000000-0005-0000-0000-0000F34D0000}"/>
    <cellStyle name="Percent 0.000%" xfId="12045" xr:uid="{00000000-0005-0000-0000-0000F44D0000}"/>
    <cellStyle name="Percent 0.000% Long Underline" xfId="12046" xr:uid="{00000000-0005-0000-0000-0000F54D0000}"/>
    <cellStyle name="Percent 0.000%_Aprio - Public Comps1" xfId="12047" xr:uid="{00000000-0005-0000-0000-0000F64D0000}"/>
    <cellStyle name="Percent 1" xfId="12048" xr:uid="{00000000-0005-0000-0000-0000F74D0000}"/>
    <cellStyle name="Percent 10" xfId="2" xr:uid="{00000000-0005-0000-0000-0000F84D0000}"/>
    <cellStyle name="Percent 10 2" xfId="12429" xr:uid="{00000000-0005-0000-0000-0000F94D0000}"/>
    <cellStyle name="Percent 10 3" xfId="16385" xr:uid="{00000000-0005-0000-0000-0000FA4D0000}"/>
    <cellStyle name="Percent 11" xfId="12049" xr:uid="{00000000-0005-0000-0000-0000FB4D0000}"/>
    <cellStyle name="Percent 12" xfId="12050" xr:uid="{00000000-0005-0000-0000-0000FC4D0000}"/>
    <cellStyle name="Percent 13" xfId="12051" xr:uid="{00000000-0005-0000-0000-0000FD4D0000}"/>
    <cellStyle name="Percent 13 2" xfId="16194" xr:uid="{00000000-0005-0000-0000-0000FE4D0000}"/>
    <cellStyle name="Percent 13 3" xfId="20217" xr:uid="{00000000-0005-0000-0000-0000FF4D0000}"/>
    <cellStyle name="Percent 14" xfId="12052" xr:uid="{00000000-0005-0000-0000-0000004E0000}"/>
    <cellStyle name="Percent 15" xfId="12053" xr:uid="{00000000-0005-0000-0000-0000014E0000}"/>
    <cellStyle name="Percent 16" xfId="20366" xr:uid="{00000000-0005-0000-0000-0000024E0000}"/>
    <cellStyle name="Percent 18" xfId="20384" xr:uid="{00000000-0005-0000-0000-0000034E0000}"/>
    <cellStyle name="Percent 2" xfId="12054" xr:uid="{00000000-0005-0000-0000-0000044E0000}"/>
    <cellStyle name="Percent 2 2" xfId="12055" xr:uid="{00000000-0005-0000-0000-0000054E0000}"/>
    <cellStyle name="Percent 2 2 2" xfId="12056" xr:uid="{00000000-0005-0000-0000-0000064E0000}"/>
    <cellStyle name="Percent 2 3" xfId="12057" xr:uid="{00000000-0005-0000-0000-0000074E0000}"/>
    <cellStyle name="Percent 2 3 2" xfId="12058" xr:uid="{00000000-0005-0000-0000-0000084E0000}"/>
    <cellStyle name="Percent 2 4" xfId="12059" xr:uid="{00000000-0005-0000-0000-0000094E0000}"/>
    <cellStyle name="Percent 2 4 2" xfId="12060" xr:uid="{00000000-0005-0000-0000-00000A4E0000}"/>
    <cellStyle name="Percent 2 5" xfId="12061" xr:uid="{00000000-0005-0000-0000-00000B4E0000}"/>
    <cellStyle name="Percent 2 6" xfId="12062" xr:uid="{00000000-0005-0000-0000-00000C4E0000}"/>
    <cellStyle name="Percent 2 7" xfId="16195" xr:uid="{00000000-0005-0000-0000-00000D4E0000}"/>
    <cellStyle name="Percent 2 8" xfId="20218" xr:uid="{00000000-0005-0000-0000-00000E4E0000}"/>
    <cellStyle name="Percent 2 9" xfId="20383" xr:uid="{00000000-0005-0000-0000-00000F4E0000}"/>
    <cellStyle name="Percent 3" xfId="12063" xr:uid="{00000000-0005-0000-0000-0000104E0000}"/>
    <cellStyle name="Percent 3 2" xfId="12064" xr:uid="{00000000-0005-0000-0000-0000114E0000}"/>
    <cellStyle name="Percent 3 2 2" xfId="12065" xr:uid="{00000000-0005-0000-0000-0000124E0000}"/>
    <cellStyle name="Percent 3 2 3" xfId="20299" xr:uid="{00000000-0005-0000-0000-0000134E0000}"/>
    <cellStyle name="Percent 3 3" xfId="12066" xr:uid="{00000000-0005-0000-0000-0000144E0000}"/>
    <cellStyle name="Percent 3 4" xfId="12067" xr:uid="{00000000-0005-0000-0000-0000154E0000}"/>
    <cellStyle name="Percent 3 5" xfId="12068" xr:uid="{00000000-0005-0000-0000-0000164E0000}"/>
    <cellStyle name="Percent 4" xfId="12069" xr:uid="{00000000-0005-0000-0000-0000174E0000}"/>
    <cellStyle name="Percent 4 2" xfId="12070" xr:uid="{00000000-0005-0000-0000-0000184E0000}"/>
    <cellStyle name="Percent 5" xfId="12071" xr:uid="{00000000-0005-0000-0000-0000194E0000}"/>
    <cellStyle name="Percent 6" xfId="12072" xr:uid="{00000000-0005-0000-0000-00001A4E0000}"/>
    <cellStyle name="Percent 7" xfId="12073" xr:uid="{00000000-0005-0000-0000-00001B4E0000}"/>
    <cellStyle name="Percent 7 3" xfId="12424" xr:uid="{00000000-0005-0000-0000-00001C4E0000}"/>
    <cellStyle name="Percent 8" xfId="12074" xr:uid="{00000000-0005-0000-0000-00001D4E0000}"/>
    <cellStyle name="Percent 8 2" xfId="20309" xr:uid="{00000000-0005-0000-0000-00001E4E0000}"/>
    <cellStyle name="Percent 8 3" xfId="12075" xr:uid="{00000000-0005-0000-0000-00001F4E0000}"/>
    <cellStyle name="Percent 9" xfId="12076" xr:uid="{00000000-0005-0000-0000-0000204E0000}"/>
    <cellStyle name="Percent Decimal" xfId="12077" xr:uid="{00000000-0005-0000-0000-0000214E0000}"/>
    <cellStyle name="Percent Hard" xfId="12078" xr:uid="{00000000-0005-0000-0000-0000224E0000}"/>
    <cellStyle name="Percent Hard 2" xfId="20367" xr:uid="{00000000-0005-0000-0000-0000234E0000}"/>
    <cellStyle name="Percent Input" xfId="12079" xr:uid="{00000000-0005-0000-0000-0000244E0000}"/>
    <cellStyle name="Percent Input 2" xfId="20368" xr:uid="{00000000-0005-0000-0000-0000254E0000}"/>
    <cellStyle name="Percent*" xfId="12080" xr:uid="{00000000-0005-0000-0000-0000264E0000}"/>
    <cellStyle name="Percent1" xfId="12081" xr:uid="{00000000-0005-0000-0000-0000274E0000}"/>
    <cellStyle name="Percent1Blue" xfId="12082" xr:uid="{00000000-0005-0000-0000-0000284E0000}"/>
    <cellStyle name="Percent2" xfId="12083" xr:uid="{00000000-0005-0000-0000-0000294E0000}"/>
    <cellStyle name="Percent2 [0]" xfId="12084" xr:uid="{00000000-0005-0000-0000-00002A4E0000}"/>
    <cellStyle name="Percent2 [1]" xfId="12085" xr:uid="{00000000-0005-0000-0000-00002B4E0000}"/>
    <cellStyle name="Percent2Blue" xfId="12086" xr:uid="{00000000-0005-0000-0000-00002C4E0000}"/>
    <cellStyle name="Percentage" xfId="12087" xr:uid="{00000000-0005-0000-0000-00002D4E0000}"/>
    <cellStyle name="PercentChange" xfId="12088" xr:uid="{00000000-0005-0000-0000-00002E4E0000}"/>
    <cellStyle name="PercentDash0" xfId="12089" xr:uid="{00000000-0005-0000-0000-00002F4E0000}"/>
    <cellStyle name="PercentF [0]" xfId="12090" xr:uid="{00000000-0005-0000-0000-0000304E0000}"/>
    <cellStyle name="PercentF [1]" xfId="12091" xr:uid="{00000000-0005-0000-0000-0000314E0000}"/>
    <cellStyle name="PercentSales" xfId="12092" xr:uid="{00000000-0005-0000-0000-0000324E0000}"/>
    <cellStyle name="PercentSales 2" xfId="20369" xr:uid="{00000000-0005-0000-0000-0000334E0000}"/>
    <cellStyle name="PercentText0" xfId="12093" xr:uid="{00000000-0005-0000-0000-0000344E0000}"/>
    <cellStyle name="Periods" xfId="12094" xr:uid="{00000000-0005-0000-0000-0000354E0000}"/>
    <cellStyle name="Perlong" xfId="12095" xr:uid="{00000000-0005-0000-0000-0000364E0000}"/>
    <cellStyle name="Plain" xfId="12096" xr:uid="{00000000-0005-0000-0000-0000374E0000}"/>
    <cellStyle name="Plan" xfId="12097" xr:uid="{00000000-0005-0000-0000-0000384E0000}"/>
    <cellStyle name="pound" xfId="12098" xr:uid="{00000000-0005-0000-0000-0000394E0000}"/>
    <cellStyle name="pound 2" xfId="20370" xr:uid="{00000000-0005-0000-0000-00003A4E0000}"/>
    <cellStyle name="Pourcentage 2" xfId="12099" xr:uid="{00000000-0005-0000-0000-00003B4E0000}"/>
    <cellStyle name="Pourcentage 3" xfId="12100" xr:uid="{00000000-0005-0000-0000-00003C4E0000}"/>
    <cellStyle name="PrePop Currency (0)" xfId="12101" xr:uid="{00000000-0005-0000-0000-00003D4E0000}"/>
    <cellStyle name="PrePop Currency (2)" xfId="12102" xr:uid="{00000000-0005-0000-0000-00003E4E0000}"/>
    <cellStyle name="PrePop Units (0)" xfId="12103" xr:uid="{00000000-0005-0000-0000-00003F4E0000}"/>
    <cellStyle name="PrePop Units (1)" xfId="12104" xr:uid="{00000000-0005-0000-0000-0000404E0000}"/>
    <cellStyle name="PrePop Units (2)" xfId="12105" xr:uid="{00000000-0005-0000-0000-0000414E0000}"/>
    <cellStyle name="Price" xfId="12106" xr:uid="{00000000-0005-0000-0000-0000424E0000}"/>
    <cellStyle name="pricing" xfId="12107" xr:uid="{00000000-0005-0000-0000-0000434E0000}"/>
    <cellStyle name="Private" xfId="12108" xr:uid="{00000000-0005-0000-0000-0000444E0000}"/>
    <cellStyle name="Private1" xfId="12109" xr:uid="{00000000-0005-0000-0000-0000454E0000}"/>
    <cellStyle name="Product Title" xfId="12110" xr:uid="{00000000-0005-0000-0000-0000464E0000}"/>
    <cellStyle name="PROJECT" xfId="12111" xr:uid="{00000000-0005-0000-0000-0000474E0000}"/>
    <cellStyle name="PROJECT R" xfId="12112" xr:uid="{00000000-0005-0000-0000-0000484E0000}"/>
    <cellStyle name="PROJECT_Boston Power VD 01 31 2008 Model 02 26 2008" xfId="12113" xr:uid="{00000000-0005-0000-0000-0000494E0000}"/>
    <cellStyle name="Protected" xfId="12114" xr:uid="{00000000-0005-0000-0000-00004A4E0000}"/>
    <cellStyle name="Protection" xfId="12115" xr:uid="{00000000-0005-0000-0000-00004B4E0000}"/>
    <cellStyle name="PSChar" xfId="12116" xr:uid="{00000000-0005-0000-0000-00004C4E0000}"/>
    <cellStyle name="PSDate" xfId="12117" xr:uid="{00000000-0005-0000-0000-00004D4E0000}"/>
    <cellStyle name="PSDec" xfId="12118" xr:uid="{00000000-0005-0000-0000-00004E4E0000}"/>
    <cellStyle name="PSHeading" xfId="12119" xr:uid="{00000000-0005-0000-0000-00004F4E0000}"/>
    <cellStyle name="PSHeading 2" xfId="20371" xr:uid="{00000000-0005-0000-0000-0000504E0000}"/>
    <cellStyle name="PSInt" xfId="12120" xr:uid="{00000000-0005-0000-0000-0000514E0000}"/>
    <cellStyle name="PSSpacer" xfId="12121" xr:uid="{00000000-0005-0000-0000-0000524E0000}"/>
    <cellStyle name="question" xfId="12122" xr:uid="{00000000-0005-0000-0000-0000534E0000}"/>
    <cellStyle name="Ratio (1)" xfId="12123" xr:uid="{00000000-0005-0000-0000-0000544E0000}"/>
    <cellStyle name="Ratio (2)" xfId="12124" xr:uid="{00000000-0005-0000-0000-0000554E0000}"/>
    <cellStyle name="Ratio_U (1)" xfId="12125" xr:uid="{00000000-0005-0000-0000-0000564E0000}"/>
    <cellStyle name="RatioX" xfId="12126" xr:uid="{00000000-0005-0000-0000-0000574E0000}"/>
    <cellStyle name="Read" xfId="12127" xr:uid="{00000000-0005-0000-0000-0000584E0000}"/>
    <cellStyle name="Read$" xfId="12128" xr:uid="{00000000-0005-0000-0000-0000594E0000}"/>
    <cellStyle name="Read%" xfId="12129" xr:uid="{00000000-0005-0000-0000-00005A4E0000}"/>
    <cellStyle name="ReadInData" xfId="12130" xr:uid="{00000000-0005-0000-0000-00005B4E0000}"/>
    <cellStyle name="Réalisé" xfId="12131" xr:uid="{00000000-0005-0000-0000-00005C4E0000}"/>
    <cellStyle name="Red font" xfId="12132" xr:uid="{00000000-0005-0000-0000-00005D4E0000}"/>
    <cellStyle name="Red Text" xfId="12133" xr:uid="{00000000-0005-0000-0000-00005E4E0000}"/>
    <cellStyle name="regstoresfromspecstores" xfId="12134" xr:uid="{00000000-0005-0000-0000-00005F4E0000}"/>
    <cellStyle name="Regular" xfId="12135" xr:uid="{00000000-0005-0000-0000-0000604E0000}"/>
    <cellStyle name="ReportNums" xfId="12136" xr:uid="{00000000-0005-0000-0000-0000614E0000}"/>
    <cellStyle name="ReportNums 2" xfId="12137" xr:uid="{00000000-0005-0000-0000-0000624E0000}"/>
    <cellStyle name="ReportNums 2 2" xfId="12138" xr:uid="{00000000-0005-0000-0000-0000634E0000}"/>
    <cellStyle name="ReportNums 2 2 2" xfId="16197" xr:uid="{00000000-0005-0000-0000-0000644E0000}"/>
    <cellStyle name="ReportNums 2 2 3" xfId="20220" xr:uid="{00000000-0005-0000-0000-0000654E0000}"/>
    <cellStyle name="ReportNums 2 3" xfId="16196" xr:uid="{00000000-0005-0000-0000-0000664E0000}"/>
    <cellStyle name="ReportNums 2 4" xfId="20219" xr:uid="{00000000-0005-0000-0000-0000674E0000}"/>
    <cellStyle name="ReportNums 3" xfId="12139" xr:uid="{00000000-0005-0000-0000-0000684E0000}"/>
    <cellStyle name="ReportNums 3 2" xfId="12140" xr:uid="{00000000-0005-0000-0000-0000694E0000}"/>
    <cellStyle name="ReportNums 3 2 2" xfId="16199" xr:uid="{00000000-0005-0000-0000-00006A4E0000}"/>
    <cellStyle name="ReportNums 3 2 3" xfId="20222" xr:uid="{00000000-0005-0000-0000-00006B4E0000}"/>
    <cellStyle name="ReportNums 3 3" xfId="16198" xr:uid="{00000000-0005-0000-0000-00006C4E0000}"/>
    <cellStyle name="ReportNums 3 4" xfId="20221" xr:uid="{00000000-0005-0000-0000-00006D4E0000}"/>
    <cellStyle name="Results % 3 dp" xfId="12141" xr:uid="{00000000-0005-0000-0000-00006E4E0000}"/>
    <cellStyle name="Results 3 dp" xfId="12142" xr:uid="{00000000-0005-0000-0000-00006F4E0000}"/>
    <cellStyle name="RevList" xfId="12143" xr:uid="{00000000-0005-0000-0000-0000704E0000}"/>
    <cellStyle name="Right Heading 1" xfId="12144" xr:uid="{00000000-0005-0000-0000-0000714E0000}"/>
    <cellStyle name="Right Heading 2" xfId="12145" xr:uid="{00000000-0005-0000-0000-0000724E0000}"/>
    <cellStyle name="Row Headings" xfId="12146" xr:uid="{00000000-0005-0000-0000-0000734E0000}"/>
    <cellStyle name="Row Lvl 1" xfId="12147" xr:uid="{00000000-0005-0000-0000-0000744E0000}"/>
    <cellStyle name="Row Lvl 2" xfId="12148" xr:uid="{00000000-0005-0000-0000-0000754E0000}"/>
    <cellStyle name="s]_x000d__x000a_load=nwpopup.exe_x000d__x000a_run=_x000d__x000a_Beep=yes_x000d__x000a_NullPort=None_x000d__x000a_BorderWidth=3_x000d__x000a_CursorBlinkRate=530_x000d__x000a_DoubleClickSpeed=452_x000d__x000a_Programs" xfId="12149" xr:uid="{00000000-0005-0000-0000-0000764E0000}"/>
    <cellStyle name="Salomon Logo" xfId="12150" xr:uid="{00000000-0005-0000-0000-0000774E0000}"/>
    <cellStyle name="SAPBEXaggData" xfId="12151" xr:uid="{00000000-0005-0000-0000-0000784E0000}"/>
    <cellStyle name="SAPBEXaggDataEmph" xfId="12152" xr:uid="{00000000-0005-0000-0000-0000794E0000}"/>
    <cellStyle name="SAPBEXaggItem" xfId="12153" xr:uid="{00000000-0005-0000-0000-00007A4E0000}"/>
    <cellStyle name="SAPBEXchaText" xfId="12154" xr:uid="{00000000-0005-0000-0000-00007B4E0000}"/>
    <cellStyle name="SAPBEXexcBad7" xfId="12155" xr:uid="{00000000-0005-0000-0000-00007C4E0000}"/>
    <cellStyle name="SAPBEXexcBad8" xfId="12156" xr:uid="{00000000-0005-0000-0000-00007D4E0000}"/>
    <cellStyle name="SAPBEXexcBad9" xfId="12157" xr:uid="{00000000-0005-0000-0000-00007E4E0000}"/>
    <cellStyle name="SAPBEXexcCritical4" xfId="12158" xr:uid="{00000000-0005-0000-0000-00007F4E0000}"/>
    <cellStyle name="SAPBEXexcCritical5" xfId="12159" xr:uid="{00000000-0005-0000-0000-0000804E0000}"/>
    <cellStyle name="SAPBEXexcCritical6" xfId="12160" xr:uid="{00000000-0005-0000-0000-0000814E0000}"/>
    <cellStyle name="SAPBEXexcGood1" xfId="12161" xr:uid="{00000000-0005-0000-0000-0000824E0000}"/>
    <cellStyle name="SAPBEXexcGood2" xfId="12162" xr:uid="{00000000-0005-0000-0000-0000834E0000}"/>
    <cellStyle name="SAPBEXexcGood3" xfId="12163" xr:uid="{00000000-0005-0000-0000-0000844E0000}"/>
    <cellStyle name="SAPBEXfilterDrill" xfId="12164" xr:uid="{00000000-0005-0000-0000-0000854E0000}"/>
    <cellStyle name="SAPBEXfilterItem" xfId="12165" xr:uid="{00000000-0005-0000-0000-0000864E0000}"/>
    <cellStyle name="SAPBEXfilterText" xfId="12166" xr:uid="{00000000-0005-0000-0000-0000874E0000}"/>
    <cellStyle name="SAPBEXformats" xfId="12167" xr:uid="{00000000-0005-0000-0000-0000884E0000}"/>
    <cellStyle name="SAPBEXheaderItem" xfId="12168" xr:uid="{00000000-0005-0000-0000-0000894E0000}"/>
    <cellStyle name="SAPBEXheaderText" xfId="12169" xr:uid="{00000000-0005-0000-0000-00008A4E0000}"/>
    <cellStyle name="SAPBEXresData" xfId="12170" xr:uid="{00000000-0005-0000-0000-00008B4E0000}"/>
    <cellStyle name="SAPBEXresDataEmph" xfId="12171" xr:uid="{00000000-0005-0000-0000-00008C4E0000}"/>
    <cellStyle name="SAPBEXresItem" xfId="12172" xr:uid="{00000000-0005-0000-0000-00008D4E0000}"/>
    <cellStyle name="SAPBEXstdData" xfId="12173" xr:uid="{00000000-0005-0000-0000-00008E4E0000}"/>
    <cellStyle name="SAPBEXstdDataEmph" xfId="12174" xr:uid="{00000000-0005-0000-0000-00008F4E0000}"/>
    <cellStyle name="SAPBEXstdItem" xfId="12175" xr:uid="{00000000-0005-0000-0000-0000904E0000}"/>
    <cellStyle name="SAPBEXtitle" xfId="12176" xr:uid="{00000000-0005-0000-0000-0000914E0000}"/>
    <cellStyle name="SAPBEXundefined" xfId="12177" xr:uid="{00000000-0005-0000-0000-0000924E0000}"/>
    <cellStyle name="SAPKey" xfId="12178" xr:uid="{00000000-0005-0000-0000-0000934E0000}"/>
    <cellStyle name="SAPKey 2" xfId="12179" xr:uid="{00000000-0005-0000-0000-0000944E0000}"/>
    <cellStyle name="SAPKey 3" xfId="12180" xr:uid="{00000000-0005-0000-0000-0000954E0000}"/>
    <cellStyle name="SAPLocked" xfId="12181" xr:uid="{00000000-0005-0000-0000-0000964E0000}"/>
    <cellStyle name="SAPLocked 2" xfId="12182" xr:uid="{00000000-0005-0000-0000-0000974E0000}"/>
    <cellStyle name="SAPLocked 3" xfId="12183" xr:uid="{00000000-0005-0000-0000-0000984E0000}"/>
    <cellStyle name="SAPOutput" xfId="12184" xr:uid="{00000000-0005-0000-0000-0000994E0000}"/>
    <cellStyle name="SAPOutput 2" xfId="12185" xr:uid="{00000000-0005-0000-0000-00009A4E0000}"/>
    <cellStyle name="SAPOutput 3" xfId="12186" xr:uid="{00000000-0005-0000-0000-00009B4E0000}"/>
    <cellStyle name="SAPSpace" xfId="12187" xr:uid="{00000000-0005-0000-0000-00009C4E0000}"/>
    <cellStyle name="SAPSpace 2" xfId="12188" xr:uid="{00000000-0005-0000-0000-00009D4E0000}"/>
    <cellStyle name="SAPSpace 3" xfId="12189" xr:uid="{00000000-0005-0000-0000-00009E4E0000}"/>
    <cellStyle name="SAPText" xfId="12190" xr:uid="{00000000-0005-0000-0000-00009F4E0000}"/>
    <cellStyle name="SAPText 2" xfId="12191" xr:uid="{00000000-0005-0000-0000-0000A04E0000}"/>
    <cellStyle name="SAPText 3" xfId="12192" xr:uid="{00000000-0005-0000-0000-0000A14E0000}"/>
    <cellStyle name="SAPUnLocked" xfId="12193" xr:uid="{00000000-0005-0000-0000-0000A24E0000}"/>
    <cellStyle name="SAPUnLocked 2" xfId="12194" xr:uid="{00000000-0005-0000-0000-0000A34E0000}"/>
    <cellStyle name="SAPUnLocked 3" xfId="12195" xr:uid="{00000000-0005-0000-0000-0000A44E0000}"/>
    <cellStyle name="sbt2" xfId="12196" xr:uid="{00000000-0005-0000-0000-0000A54E0000}"/>
    <cellStyle name="sbt2 2" xfId="12197" xr:uid="{00000000-0005-0000-0000-0000A64E0000}"/>
    <cellStyle name="sbt2 2 2" xfId="12198" xr:uid="{00000000-0005-0000-0000-0000A74E0000}"/>
    <cellStyle name="sbt2 2 2 2" xfId="20225" xr:uid="{00000000-0005-0000-0000-0000A84E0000}"/>
    <cellStyle name="sbt2 2 3" xfId="20224" xr:uid="{00000000-0005-0000-0000-0000A94E0000}"/>
    <cellStyle name="sbt2 3" xfId="12199" xr:uid="{00000000-0005-0000-0000-0000AA4E0000}"/>
    <cellStyle name="sbt2 3 2" xfId="12200" xr:uid="{00000000-0005-0000-0000-0000AB4E0000}"/>
    <cellStyle name="sbt2 3 2 2" xfId="20227" xr:uid="{00000000-0005-0000-0000-0000AC4E0000}"/>
    <cellStyle name="sbt2 3 3" xfId="20226" xr:uid="{00000000-0005-0000-0000-0000AD4E0000}"/>
    <cellStyle name="sbt2 4" xfId="12201" xr:uid="{00000000-0005-0000-0000-0000AE4E0000}"/>
    <cellStyle name="sbt2 4 2" xfId="20228" xr:uid="{00000000-0005-0000-0000-0000AF4E0000}"/>
    <cellStyle name="sbt2 5" xfId="20223" xr:uid="{00000000-0005-0000-0000-0000B04E0000}"/>
    <cellStyle name="SectionHeaderNormal" xfId="12202" xr:uid="{00000000-0005-0000-0000-0000B14E0000}"/>
    <cellStyle name="SectionHeading" xfId="12203" xr:uid="{00000000-0005-0000-0000-0000B24E0000}"/>
    <cellStyle name="SectionHeading 2" xfId="12204" xr:uid="{00000000-0005-0000-0000-0000B34E0000}"/>
    <cellStyle name="SectionHeading 2 2" xfId="12205" xr:uid="{00000000-0005-0000-0000-0000B44E0000}"/>
    <cellStyle name="SectionHeading 2 2 2" xfId="16202" xr:uid="{00000000-0005-0000-0000-0000B54E0000}"/>
    <cellStyle name="SectionHeading 2 2 3" xfId="20231" xr:uid="{00000000-0005-0000-0000-0000B64E0000}"/>
    <cellStyle name="SectionHeading 2 3" xfId="16201" xr:uid="{00000000-0005-0000-0000-0000B74E0000}"/>
    <cellStyle name="SectionHeading 2 4" xfId="20230" xr:uid="{00000000-0005-0000-0000-0000B84E0000}"/>
    <cellStyle name="SectionHeading 3" xfId="12206" xr:uid="{00000000-0005-0000-0000-0000B94E0000}"/>
    <cellStyle name="SectionHeading 3 2" xfId="12207" xr:uid="{00000000-0005-0000-0000-0000BA4E0000}"/>
    <cellStyle name="SectionHeading 3 2 2" xfId="16204" xr:uid="{00000000-0005-0000-0000-0000BB4E0000}"/>
    <cellStyle name="SectionHeading 3 2 3" xfId="20233" xr:uid="{00000000-0005-0000-0000-0000BC4E0000}"/>
    <cellStyle name="SectionHeading 3 3" xfId="16203" xr:uid="{00000000-0005-0000-0000-0000BD4E0000}"/>
    <cellStyle name="SectionHeading 3 4" xfId="20232" xr:uid="{00000000-0005-0000-0000-0000BE4E0000}"/>
    <cellStyle name="SectionHeading 4" xfId="12208" xr:uid="{00000000-0005-0000-0000-0000BF4E0000}"/>
    <cellStyle name="SectionHeading 4 2" xfId="16205" xr:uid="{00000000-0005-0000-0000-0000C04E0000}"/>
    <cellStyle name="SectionHeading 4 3" xfId="20234" xr:uid="{00000000-0005-0000-0000-0000C14E0000}"/>
    <cellStyle name="SectionHeading 5" xfId="16200" xr:uid="{00000000-0005-0000-0000-0000C24E0000}"/>
    <cellStyle name="SectionHeading 6" xfId="20229" xr:uid="{00000000-0005-0000-0000-0000C34E0000}"/>
    <cellStyle name="SGD 2" xfId="12209" xr:uid="{00000000-0005-0000-0000-0000C44E0000}"/>
    <cellStyle name="SGD 2 2" xfId="20372" xr:uid="{00000000-0005-0000-0000-0000C54E0000}"/>
    <cellStyle name="Shaded" xfId="12210" xr:uid="{00000000-0005-0000-0000-0000C64E0000}"/>
    <cellStyle name="SHADEDSTORES" xfId="12211" xr:uid="{00000000-0005-0000-0000-0000C74E0000}"/>
    <cellStyle name="SHADEDSTORES 2" xfId="12212" xr:uid="{00000000-0005-0000-0000-0000C84E0000}"/>
    <cellStyle name="SHADEDSTORES 2 2" xfId="12213" xr:uid="{00000000-0005-0000-0000-0000C94E0000}"/>
    <cellStyle name="SHADEDSTORES 2 2 2" xfId="16207" xr:uid="{00000000-0005-0000-0000-0000CA4E0000}"/>
    <cellStyle name="SHADEDSTORES 2 2 3" xfId="20236" xr:uid="{00000000-0005-0000-0000-0000CB4E0000}"/>
    <cellStyle name="SHADEDSTORES 2 3" xfId="16206" xr:uid="{00000000-0005-0000-0000-0000CC4E0000}"/>
    <cellStyle name="SHADEDSTORES 2 4" xfId="20235" xr:uid="{00000000-0005-0000-0000-0000CD4E0000}"/>
    <cellStyle name="SHADEDSTORES 3" xfId="12214" xr:uid="{00000000-0005-0000-0000-0000CE4E0000}"/>
    <cellStyle name="SHADEDSTORES 3 2" xfId="12215" xr:uid="{00000000-0005-0000-0000-0000CF4E0000}"/>
    <cellStyle name="SHADEDSTORES 3 2 2" xfId="16209" xr:uid="{00000000-0005-0000-0000-0000D04E0000}"/>
    <cellStyle name="SHADEDSTORES 3 2 3" xfId="20238" xr:uid="{00000000-0005-0000-0000-0000D14E0000}"/>
    <cellStyle name="SHADEDSTORES 3 3" xfId="16208" xr:uid="{00000000-0005-0000-0000-0000D24E0000}"/>
    <cellStyle name="SHADEDSTORES 3 4" xfId="20237" xr:uid="{00000000-0005-0000-0000-0000D34E0000}"/>
    <cellStyle name="Shading" xfId="12216" xr:uid="{00000000-0005-0000-0000-0000D44E0000}"/>
    <cellStyle name="Shares" xfId="12217" xr:uid="{00000000-0005-0000-0000-0000D54E0000}"/>
    <cellStyle name="Shares 2" xfId="20373" xr:uid="{00000000-0005-0000-0000-0000D64E0000}"/>
    <cellStyle name="sharesout" xfId="12218" xr:uid="{00000000-0005-0000-0000-0000D74E0000}"/>
    <cellStyle name="sharesout 2" xfId="12219" xr:uid="{00000000-0005-0000-0000-0000D84E0000}"/>
    <cellStyle name="sharesout 2 2" xfId="12220" xr:uid="{00000000-0005-0000-0000-0000D94E0000}"/>
    <cellStyle name="sharesout 2 2 2" xfId="16212" xr:uid="{00000000-0005-0000-0000-0000DA4E0000}"/>
    <cellStyle name="sharesout 2 2 3" xfId="20241" xr:uid="{00000000-0005-0000-0000-0000DB4E0000}"/>
    <cellStyle name="sharesout 2 3" xfId="16211" xr:uid="{00000000-0005-0000-0000-0000DC4E0000}"/>
    <cellStyle name="sharesout 2 4" xfId="20240" xr:uid="{00000000-0005-0000-0000-0000DD4E0000}"/>
    <cellStyle name="sharesout 3" xfId="12221" xr:uid="{00000000-0005-0000-0000-0000DE4E0000}"/>
    <cellStyle name="sharesout 3 2" xfId="12222" xr:uid="{00000000-0005-0000-0000-0000DF4E0000}"/>
    <cellStyle name="sharesout 3 2 2" xfId="16214" xr:uid="{00000000-0005-0000-0000-0000E04E0000}"/>
    <cellStyle name="sharesout 3 2 3" xfId="20243" xr:uid="{00000000-0005-0000-0000-0000E14E0000}"/>
    <cellStyle name="sharesout 3 3" xfId="16213" xr:uid="{00000000-0005-0000-0000-0000E24E0000}"/>
    <cellStyle name="sharesout 3 4" xfId="20242" xr:uid="{00000000-0005-0000-0000-0000E34E0000}"/>
    <cellStyle name="sharesout 4" xfId="12223" xr:uid="{00000000-0005-0000-0000-0000E44E0000}"/>
    <cellStyle name="sharesout 4 2" xfId="16215" xr:uid="{00000000-0005-0000-0000-0000E54E0000}"/>
    <cellStyle name="sharesout 4 3" xfId="20244" xr:uid="{00000000-0005-0000-0000-0000E64E0000}"/>
    <cellStyle name="sharesout 5" xfId="16210" xr:uid="{00000000-0005-0000-0000-0000E74E0000}"/>
    <cellStyle name="sharesout 6" xfId="20239" xr:uid="{00000000-0005-0000-0000-0000E84E0000}"/>
    <cellStyle name="Sheetmult" xfId="12224" xr:uid="{00000000-0005-0000-0000-0000E94E0000}"/>
    <cellStyle name="ShOut" xfId="12225" xr:uid="{00000000-0005-0000-0000-0000EA4E0000}"/>
    <cellStyle name="Shtmultx" xfId="12226" xr:uid="{00000000-0005-0000-0000-0000EB4E0000}"/>
    <cellStyle name="Single Accounting" xfId="12227" xr:uid="{00000000-0005-0000-0000-0000EC4E0000}"/>
    <cellStyle name="Single Border" xfId="12228" xr:uid="{00000000-0005-0000-0000-0000ED4E0000}"/>
    <cellStyle name="Single Border 2" xfId="12229" xr:uid="{00000000-0005-0000-0000-0000EE4E0000}"/>
    <cellStyle name="Single Border 2 2" xfId="20300" xr:uid="{00000000-0005-0000-0000-0000EF4E0000}"/>
    <cellStyle name="Single Border 3" xfId="12230" xr:uid="{00000000-0005-0000-0000-0000F04E0000}"/>
    <cellStyle name="Single Border 3 2" xfId="20301" xr:uid="{00000000-0005-0000-0000-0000F14E0000}"/>
    <cellStyle name="Single Border 4" xfId="20302" xr:uid="{00000000-0005-0000-0000-0000F24E0000}"/>
    <cellStyle name="Size10Pt" xfId="12231" xr:uid="{00000000-0005-0000-0000-0000F34E0000}"/>
    <cellStyle name="Size10Pt 2" xfId="20374" xr:uid="{00000000-0005-0000-0000-0000F44E0000}"/>
    <cellStyle name="Size12Pt" xfId="12232" xr:uid="{00000000-0005-0000-0000-0000F54E0000}"/>
    <cellStyle name="Size12Pt 2" xfId="20375" xr:uid="{00000000-0005-0000-0000-0000F64E0000}"/>
    <cellStyle name="Small Page Heading" xfId="12233" xr:uid="{00000000-0005-0000-0000-0000F74E0000}"/>
    <cellStyle name="specstores" xfId="12234" xr:uid="{00000000-0005-0000-0000-0000F84E0000}"/>
    <cellStyle name="Standaard_laroux" xfId="12235" xr:uid="{00000000-0005-0000-0000-0000F94E0000}"/>
    <cellStyle name="STANDARD" xfId="12236" xr:uid="{00000000-0005-0000-0000-0000FA4E0000}"/>
    <cellStyle name="Std Currency" xfId="12237" xr:uid="{00000000-0005-0000-0000-0000FB4E0000}"/>
    <cellStyle name="Std Input" xfId="12238" xr:uid="{00000000-0005-0000-0000-0000FC4E0000}"/>
    <cellStyle name="Std Number" xfId="12239" xr:uid="{00000000-0005-0000-0000-0000FD4E0000}"/>
    <cellStyle name="Std Percent" xfId="12240" xr:uid="{00000000-0005-0000-0000-0000FE4E0000}"/>
    <cellStyle name="Std Text" xfId="12241" xr:uid="{00000000-0005-0000-0000-0000FF4E0000}"/>
    <cellStyle name="Strange" xfId="12242" xr:uid="{00000000-0005-0000-0000-0000004F0000}"/>
    <cellStyle name="Strange 2" xfId="20376" xr:uid="{00000000-0005-0000-0000-0000014F0000}"/>
    <cellStyle name="Strikethru" xfId="12243" xr:uid="{00000000-0005-0000-0000-0000024F0000}"/>
    <cellStyle name="STYL1 - Style1" xfId="12244" xr:uid="{00000000-0005-0000-0000-0000034F0000}"/>
    <cellStyle name="STYL1 - Style1 2" xfId="12245" xr:uid="{00000000-0005-0000-0000-0000044F0000}"/>
    <cellStyle name="Style 1" xfId="12246" xr:uid="{00000000-0005-0000-0000-0000054F0000}"/>
    <cellStyle name="Style 2" xfId="12247" xr:uid="{00000000-0005-0000-0000-0000064F0000}"/>
    <cellStyle name="Style 21" xfId="12248" xr:uid="{00000000-0005-0000-0000-0000074F0000}"/>
    <cellStyle name="Style 22" xfId="12249" xr:uid="{00000000-0005-0000-0000-0000084F0000}"/>
    <cellStyle name="Style 23" xfId="12250" xr:uid="{00000000-0005-0000-0000-0000094F0000}"/>
    <cellStyle name="Style 24" xfId="12251" xr:uid="{00000000-0005-0000-0000-00000A4F0000}"/>
    <cellStyle name="Style 25" xfId="12252" xr:uid="{00000000-0005-0000-0000-00000B4F0000}"/>
    <cellStyle name="Style 26" xfId="12253" xr:uid="{00000000-0005-0000-0000-00000C4F0000}"/>
    <cellStyle name="Style 27" xfId="12254" xr:uid="{00000000-0005-0000-0000-00000D4F0000}"/>
    <cellStyle name="Style 28" xfId="12255" xr:uid="{00000000-0005-0000-0000-00000E4F0000}"/>
    <cellStyle name="Style 29" xfId="12256" xr:uid="{00000000-0005-0000-0000-00000F4F0000}"/>
    <cellStyle name="Style 3" xfId="12257" xr:uid="{00000000-0005-0000-0000-0000104F0000}"/>
    <cellStyle name="Style 30" xfId="12258" xr:uid="{00000000-0005-0000-0000-0000114F0000}"/>
    <cellStyle name="Style 31" xfId="12259" xr:uid="{00000000-0005-0000-0000-0000124F0000}"/>
    <cellStyle name="Style 32" xfId="12260" xr:uid="{00000000-0005-0000-0000-0000134F0000}"/>
    <cellStyle name="Style 33" xfId="12261" xr:uid="{00000000-0005-0000-0000-0000144F0000}"/>
    <cellStyle name="Style 33 2" xfId="20377" xr:uid="{00000000-0005-0000-0000-0000154F0000}"/>
    <cellStyle name="Style 34" xfId="12262" xr:uid="{00000000-0005-0000-0000-0000164F0000}"/>
    <cellStyle name="Style 34 2" xfId="20378" xr:uid="{00000000-0005-0000-0000-0000174F0000}"/>
    <cellStyle name="Style 35" xfId="12263" xr:uid="{00000000-0005-0000-0000-0000184F0000}"/>
    <cellStyle name="Style 36" xfId="12264" xr:uid="{00000000-0005-0000-0000-0000194F0000}"/>
    <cellStyle name="Style 37" xfId="12265" xr:uid="{00000000-0005-0000-0000-00001A4F0000}"/>
    <cellStyle name="Style 38" xfId="12266" xr:uid="{00000000-0005-0000-0000-00001B4F0000}"/>
    <cellStyle name="Style 39" xfId="12267" xr:uid="{00000000-0005-0000-0000-00001C4F0000}"/>
    <cellStyle name="Style 4" xfId="12268" xr:uid="{00000000-0005-0000-0000-00001D4F0000}"/>
    <cellStyle name="Style 40" xfId="12269" xr:uid="{00000000-0005-0000-0000-00001E4F0000}"/>
    <cellStyle name="Style 41" xfId="12270" xr:uid="{00000000-0005-0000-0000-00001F4F0000}"/>
    <cellStyle name="Style 42" xfId="12271" xr:uid="{00000000-0005-0000-0000-0000204F0000}"/>
    <cellStyle name="Style 43" xfId="12272" xr:uid="{00000000-0005-0000-0000-0000214F0000}"/>
    <cellStyle name="Style 44" xfId="12273" xr:uid="{00000000-0005-0000-0000-0000224F0000}"/>
    <cellStyle name="Style 44 2" xfId="12274" xr:uid="{00000000-0005-0000-0000-0000234F0000}"/>
    <cellStyle name="Style 45" xfId="12275" xr:uid="{00000000-0005-0000-0000-0000244F0000}"/>
    <cellStyle name="Style 45 2" xfId="12276" xr:uid="{00000000-0005-0000-0000-0000254F0000}"/>
    <cellStyle name="Style 46" xfId="12277" xr:uid="{00000000-0005-0000-0000-0000264F0000}"/>
    <cellStyle name="Style 46 2" xfId="12278" xr:uid="{00000000-0005-0000-0000-0000274F0000}"/>
    <cellStyle name="Style 47" xfId="12279" xr:uid="{00000000-0005-0000-0000-0000284F0000}"/>
    <cellStyle name="Style 47 2" xfId="12280" xr:uid="{00000000-0005-0000-0000-0000294F0000}"/>
    <cellStyle name="Style 48" xfId="12281" xr:uid="{00000000-0005-0000-0000-00002A4F0000}"/>
    <cellStyle name="Style 48 2" xfId="12282" xr:uid="{00000000-0005-0000-0000-00002B4F0000}"/>
    <cellStyle name="Style 49" xfId="12283" xr:uid="{00000000-0005-0000-0000-00002C4F0000}"/>
    <cellStyle name="Style 49 2" xfId="12284" xr:uid="{00000000-0005-0000-0000-00002D4F0000}"/>
    <cellStyle name="Style 5" xfId="12285" xr:uid="{00000000-0005-0000-0000-00002E4F0000}"/>
    <cellStyle name="Style 50" xfId="12286" xr:uid="{00000000-0005-0000-0000-00002F4F0000}"/>
    <cellStyle name="Style 50 2" xfId="12287" xr:uid="{00000000-0005-0000-0000-0000304F0000}"/>
    <cellStyle name="Style 51" xfId="12288" xr:uid="{00000000-0005-0000-0000-0000314F0000}"/>
    <cellStyle name="Style 51 2" xfId="12289" xr:uid="{00000000-0005-0000-0000-0000324F0000}"/>
    <cellStyle name="Style 51 3" xfId="12290" xr:uid="{00000000-0005-0000-0000-0000334F0000}"/>
    <cellStyle name="Style 52" xfId="12291" xr:uid="{00000000-0005-0000-0000-0000344F0000}"/>
    <cellStyle name="Style 53" xfId="12292" xr:uid="{00000000-0005-0000-0000-0000354F0000}"/>
    <cellStyle name="Style 54" xfId="12293" xr:uid="{00000000-0005-0000-0000-0000364F0000}"/>
    <cellStyle name="Style 55" xfId="12294" xr:uid="{00000000-0005-0000-0000-0000374F0000}"/>
    <cellStyle name="Style 56" xfId="12295" xr:uid="{00000000-0005-0000-0000-0000384F0000}"/>
    <cellStyle name="Style 57" xfId="12296" xr:uid="{00000000-0005-0000-0000-0000394F0000}"/>
    <cellStyle name="Style 58" xfId="12297" xr:uid="{00000000-0005-0000-0000-00003A4F0000}"/>
    <cellStyle name="Style 59" xfId="12298" xr:uid="{00000000-0005-0000-0000-00003B4F0000}"/>
    <cellStyle name="Style 6" xfId="12299" xr:uid="{00000000-0005-0000-0000-00003C4F0000}"/>
    <cellStyle name="Style 60" xfId="12300" xr:uid="{00000000-0005-0000-0000-00003D4F0000}"/>
    <cellStyle name="Style 61" xfId="12301" xr:uid="{00000000-0005-0000-0000-00003E4F0000}"/>
    <cellStyle name="Style 62" xfId="12302" xr:uid="{00000000-0005-0000-0000-00003F4F0000}"/>
    <cellStyle name="Style 63" xfId="12303" xr:uid="{00000000-0005-0000-0000-0000404F0000}"/>
    <cellStyle name="Style 64" xfId="12304" xr:uid="{00000000-0005-0000-0000-0000414F0000}"/>
    <cellStyle name="Style 65" xfId="12305" xr:uid="{00000000-0005-0000-0000-0000424F0000}"/>
    <cellStyle name="Style 66" xfId="12306" xr:uid="{00000000-0005-0000-0000-0000434F0000}"/>
    <cellStyle name="Style 67" xfId="12307" xr:uid="{00000000-0005-0000-0000-0000444F0000}"/>
    <cellStyle name="Style 68" xfId="12308" xr:uid="{00000000-0005-0000-0000-0000454F0000}"/>
    <cellStyle name="Style 69" xfId="12309" xr:uid="{00000000-0005-0000-0000-0000464F0000}"/>
    <cellStyle name="Style 7" xfId="12310" xr:uid="{00000000-0005-0000-0000-0000474F0000}"/>
    <cellStyle name="Style 70" xfId="12311" xr:uid="{00000000-0005-0000-0000-0000484F0000}"/>
    <cellStyle name="Style 71" xfId="12312" xr:uid="{00000000-0005-0000-0000-0000494F0000}"/>
    <cellStyle name="Style 72" xfId="12313" xr:uid="{00000000-0005-0000-0000-00004A4F0000}"/>
    <cellStyle name="Style 73" xfId="12314" xr:uid="{00000000-0005-0000-0000-00004B4F0000}"/>
    <cellStyle name="Style 74" xfId="12315" xr:uid="{00000000-0005-0000-0000-00004C4F0000}"/>
    <cellStyle name="Style 75" xfId="12316" xr:uid="{00000000-0005-0000-0000-00004D4F0000}"/>
    <cellStyle name="Style 76" xfId="12317" xr:uid="{00000000-0005-0000-0000-00004E4F0000}"/>
    <cellStyle name="Style 77" xfId="12318" xr:uid="{00000000-0005-0000-0000-00004F4F0000}"/>
    <cellStyle name="Style 77 2" xfId="12319" xr:uid="{00000000-0005-0000-0000-0000504F0000}"/>
    <cellStyle name="Style 78" xfId="12320" xr:uid="{00000000-0005-0000-0000-0000514F0000}"/>
    <cellStyle name="Style 79" xfId="12321" xr:uid="{00000000-0005-0000-0000-0000524F0000}"/>
    <cellStyle name="Style 8" xfId="12322" xr:uid="{00000000-0005-0000-0000-0000534F0000}"/>
    <cellStyle name="Style 80" xfId="12323" xr:uid="{00000000-0005-0000-0000-0000544F0000}"/>
    <cellStyle name="Style 85" xfId="12324" xr:uid="{00000000-0005-0000-0000-0000554F0000}"/>
    <cellStyle name="Style 87" xfId="12325" xr:uid="{00000000-0005-0000-0000-0000564F0000}"/>
    <cellStyle name="Style 9" xfId="12326" xr:uid="{00000000-0005-0000-0000-0000574F0000}"/>
    <cellStyle name="Style 91" xfId="12327" xr:uid="{00000000-0005-0000-0000-0000584F0000}"/>
    <cellStyle name="Style 93" xfId="12328" xr:uid="{00000000-0005-0000-0000-0000594F0000}"/>
    <cellStyle name="STYLE1" xfId="12329" xr:uid="{00000000-0005-0000-0000-00005A4F0000}"/>
    <cellStyle name="STYLE1 2" xfId="12330" xr:uid="{00000000-0005-0000-0000-00005B4F0000}"/>
    <cellStyle name="STYLE10" xfId="12331" xr:uid="{00000000-0005-0000-0000-00005C4F0000}"/>
    <cellStyle name="STYLE10 2" xfId="12332" xr:uid="{00000000-0005-0000-0000-00005D4F0000}"/>
    <cellStyle name="STYLE11" xfId="12333" xr:uid="{00000000-0005-0000-0000-00005E4F0000}"/>
    <cellStyle name="STYLE11 2" xfId="12334" xr:uid="{00000000-0005-0000-0000-00005F4F0000}"/>
    <cellStyle name="STYLE12" xfId="12335" xr:uid="{00000000-0005-0000-0000-0000604F0000}"/>
    <cellStyle name="STYLE12 2" xfId="12336" xr:uid="{00000000-0005-0000-0000-0000614F0000}"/>
    <cellStyle name="STYLE13" xfId="12337" xr:uid="{00000000-0005-0000-0000-0000624F0000}"/>
    <cellStyle name="STYLE14" xfId="12338" xr:uid="{00000000-0005-0000-0000-0000634F0000}"/>
    <cellStyle name="STYLE15" xfId="12339" xr:uid="{00000000-0005-0000-0000-0000644F0000}"/>
    <cellStyle name="STYLE2" xfId="12340" xr:uid="{00000000-0005-0000-0000-0000654F0000}"/>
    <cellStyle name="STYLE2 2" xfId="12341" xr:uid="{00000000-0005-0000-0000-0000664F0000}"/>
    <cellStyle name="STYLE2 3" xfId="12342" xr:uid="{00000000-0005-0000-0000-0000674F0000}"/>
    <cellStyle name="STYLE3" xfId="12343" xr:uid="{00000000-0005-0000-0000-0000684F0000}"/>
    <cellStyle name="STYLE3 2" xfId="12344" xr:uid="{00000000-0005-0000-0000-0000694F0000}"/>
    <cellStyle name="STYLE3 3" xfId="12345" xr:uid="{00000000-0005-0000-0000-00006A4F0000}"/>
    <cellStyle name="STYLE4" xfId="12346" xr:uid="{00000000-0005-0000-0000-00006B4F0000}"/>
    <cellStyle name="STYLE4 2" xfId="12347" xr:uid="{00000000-0005-0000-0000-00006C4F0000}"/>
    <cellStyle name="STYLE4 2 2" xfId="12348" xr:uid="{00000000-0005-0000-0000-00006D4F0000}"/>
    <cellStyle name="STYLE4 2 2 2" xfId="12349" xr:uid="{00000000-0005-0000-0000-00006E4F0000}"/>
    <cellStyle name="STYLE4 2 3" xfId="12350" xr:uid="{00000000-0005-0000-0000-00006F4F0000}"/>
    <cellStyle name="STYLE4 3" xfId="12351" xr:uid="{00000000-0005-0000-0000-0000704F0000}"/>
    <cellStyle name="STYLE4 4" xfId="12352" xr:uid="{00000000-0005-0000-0000-0000714F0000}"/>
    <cellStyle name="STYLE4_3VR Common Stock Valuation Analysis Version 2" xfId="12353" xr:uid="{00000000-0005-0000-0000-0000724F0000}"/>
    <cellStyle name="STYLE5" xfId="12354" xr:uid="{00000000-0005-0000-0000-0000734F0000}"/>
    <cellStyle name="STYLE5 2" xfId="12355" xr:uid="{00000000-0005-0000-0000-0000744F0000}"/>
    <cellStyle name="STYLE5_BS Jan 05 with Plan 0222" xfId="12356" xr:uid="{00000000-0005-0000-0000-0000754F0000}"/>
    <cellStyle name="STYLE6" xfId="12357" xr:uid="{00000000-0005-0000-0000-0000764F0000}"/>
    <cellStyle name="STYLE6 2" xfId="12358" xr:uid="{00000000-0005-0000-0000-0000774F0000}"/>
    <cellStyle name="STYLE6_BS" xfId="12359" xr:uid="{00000000-0005-0000-0000-0000784F0000}"/>
    <cellStyle name="STYLE7" xfId="12360" xr:uid="{00000000-0005-0000-0000-0000794F0000}"/>
    <cellStyle name="STYLE7 2" xfId="12361" xr:uid="{00000000-0005-0000-0000-00007A4F0000}"/>
    <cellStyle name="STYLE7 3" xfId="12362" xr:uid="{00000000-0005-0000-0000-00007B4F0000}"/>
    <cellStyle name="STYLE7_BS Jan 05 with Plan 0222" xfId="12363" xr:uid="{00000000-0005-0000-0000-00007C4F0000}"/>
    <cellStyle name="STYLE8" xfId="12364" xr:uid="{00000000-0005-0000-0000-00007D4F0000}"/>
    <cellStyle name="STYLE8 2" xfId="12365" xr:uid="{00000000-0005-0000-0000-00007E4F0000}"/>
    <cellStyle name="STYLE8 3" xfId="12366" xr:uid="{00000000-0005-0000-0000-00007F4F0000}"/>
    <cellStyle name="STYLE8_BS Jan 05 with Plan 0222" xfId="12367" xr:uid="{00000000-0005-0000-0000-0000804F0000}"/>
    <cellStyle name="STYLE9" xfId="12368" xr:uid="{00000000-0005-0000-0000-0000814F0000}"/>
    <cellStyle name="STYLE9 2" xfId="12369" xr:uid="{00000000-0005-0000-0000-0000824F0000}"/>
    <cellStyle name="STYLE9 3" xfId="12370" xr:uid="{00000000-0005-0000-0000-0000834F0000}"/>
    <cellStyle name="STYLE9_Exec " xfId="12371" xr:uid="{00000000-0005-0000-0000-0000844F0000}"/>
    <cellStyle name="subhead" xfId="12372" xr:uid="{00000000-0005-0000-0000-0000854F0000}"/>
    <cellStyle name="Sub-Heading" xfId="12373" xr:uid="{00000000-0005-0000-0000-0000864F0000}"/>
    <cellStyle name="Subscribers" xfId="12374" xr:uid="{00000000-0005-0000-0000-0000874F0000}"/>
    <cellStyle name="SubScript" xfId="12375" xr:uid="{00000000-0005-0000-0000-0000884F0000}"/>
    <cellStyle name="subt1" xfId="12376" xr:uid="{00000000-0005-0000-0000-0000894F0000}"/>
    <cellStyle name="Subtitle" xfId="12377" xr:uid="{00000000-0005-0000-0000-00008A4F0000}"/>
    <cellStyle name="Subtotal" xfId="12378" xr:uid="{00000000-0005-0000-0000-00008B4F0000}"/>
    <cellStyle name="Summary" xfId="12379" xr:uid="{00000000-0005-0000-0000-00008C4F0000}"/>
    <cellStyle name="SuperScript" xfId="12380" xr:uid="{00000000-0005-0000-0000-00008D4F0000}"/>
    <cellStyle name="Table" xfId="12381" xr:uid="{00000000-0005-0000-0000-00008E4F0000}"/>
    <cellStyle name="Table Bottom" xfId="12382" xr:uid="{00000000-0005-0000-0000-00008F4F0000}"/>
    <cellStyle name="Table Col Head" xfId="12383" xr:uid="{00000000-0005-0000-0000-0000904F0000}"/>
    <cellStyle name="Table Head" xfId="12384" xr:uid="{00000000-0005-0000-0000-0000914F0000}"/>
    <cellStyle name="Table Head Aligned" xfId="12385" xr:uid="{00000000-0005-0000-0000-0000924F0000}"/>
    <cellStyle name="Table Head Aligned 2" xfId="12386" xr:uid="{00000000-0005-0000-0000-0000934F0000}"/>
    <cellStyle name="Table Head Aligned 3" xfId="12387" xr:uid="{00000000-0005-0000-0000-0000944F0000}"/>
    <cellStyle name="Table Head Blue" xfId="12388" xr:uid="{00000000-0005-0000-0000-0000954F0000}"/>
    <cellStyle name="Table Head Green" xfId="12389" xr:uid="{00000000-0005-0000-0000-0000964F0000}"/>
    <cellStyle name="Table Head Green 2" xfId="12390" xr:uid="{00000000-0005-0000-0000-0000974F0000}"/>
    <cellStyle name="Table Head Green 3" xfId="12391" xr:uid="{00000000-0005-0000-0000-0000984F0000}"/>
    <cellStyle name="Table Head_Cash Flow" xfId="12392" xr:uid="{00000000-0005-0000-0000-0000994F0000}"/>
    <cellStyle name="Table Sub Head" xfId="12393" xr:uid="{00000000-0005-0000-0000-00009A4F0000}"/>
    <cellStyle name="Table Sub Heading" xfId="12394" xr:uid="{00000000-0005-0000-0000-00009B4F0000}"/>
    <cellStyle name="Table Text" xfId="12395" xr:uid="{00000000-0005-0000-0000-00009C4F0000}"/>
    <cellStyle name="Table Title" xfId="12396" xr:uid="{00000000-0005-0000-0000-00009D4F0000}"/>
    <cellStyle name="Table Top" xfId="12397" xr:uid="{00000000-0005-0000-0000-00009E4F0000}"/>
    <cellStyle name="Table Unites" xfId="12398" xr:uid="{00000000-0005-0000-0000-00009F4F0000}"/>
    <cellStyle name="Table Units" xfId="12399" xr:uid="{00000000-0005-0000-0000-0000A04F0000}"/>
    <cellStyle name="Table_Eric CapIQ unlinked v1" xfId="12400" xr:uid="{00000000-0005-0000-0000-0000A14F0000}"/>
    <cellStyle name="TableBase" xfId="12401" xr:uid="{00000000-0005-0000-0000-0000A24F0000}"/>
    <cellStyle name="TableColumnHeading" xfId="12402" xr:uid="{00000000-0005-0000-0000-0000A34F0000}"/>
    <cellStyle name="TableHead" xfId="12403" xr:uid="{00000000-0005-0000-0000-0000A44F0000}"/>
    <cellStyle name="TableSubTitleItalic" xfId="12404" xr:uid="{00000000-0005-0000-0000-0000A54F0000}"/>
    <cellStyle name="TableText" xfId="12405" xr:uid="{00000000-0005-0000-0000-0000A64F0000}"/>
    <cellStyle name="TableTitle" xfId="12406" xr:uid="{00000000-0005-0000-0000-0000A74F0000}"/>
    <cellStyle name="TABLETXT" xfId="12407" xr:uid="{00000000-0005-0000-0000-0000A84F0000}"/>
    <cellStyle name="test" xfId="12408" xr:uid="{00000000-0005-0000-0000-0000A94F0000}"/>
    <cellStyle name="Test [green]" xfId="12409" xr:uid="{00000000-0005-0000-0000-0000AA4F0000}"/>
    <cellStyle name="Text" xfId="12410" xr:uid="{00000000-0005-0000-0000-0000AB4F0000}"/>
    <cellStyle name="Text 1" xfId="12411" xr:uid="{00000000-0005-0000-0000-0000AC4F0000}"/>
    <cellStyle name="Text Head 1" xfId="12412" xr:uid="{00000000-0005-0000-0000-0000AD4F0000}"/>
    <cellStyle name="Text Indent A" xfId="12413" xr:uid="{00000000-0005-0000-0000-0000AE4F0000}"/>
    <cellStyle name="Text Indent B" xfId="12414" xr:uid="{00000000-0005-0000-0000-0000AF4F0000}"/>
    <cellStyle name="Text Indent C" xfId="12415" xr:uid="{00000000-0005-0000-0000-0000B04F0000}"/>
    <cellStyle name="Text Wrap" xfId="12416" xr:uid="{00000000-0005-0000-0000-0000B14F0000}"/>
    <cellStyle name="TextBold" xfId="12417" xr:uid="{00000000-0005-0000-0000-0000B24F0000}"/>
    <cellStyle name="TextDys0" xfId="12418" xr:uid="{00000000-0005-0000-0000-0000B34F0000}"/>
    <cellStyle name="TextNormal" xfId="20303" xr:uid="{00000000-0005-0000-0000-0000B44F0000}"/>
    <cellStyle name="Title 2" xfId="20304" xr:uid="{00000000-0005-0000-0000-0000B54F0000}"/>
    <cellStyle name="Total 2" xfId="12419" xr:uid="{00000000-0005-0000-0000-0000B64F0000}"/>
    <cellStyle name="Warning Text 2" xfId="12420" xr:uid="{00000000-0005-0000-0000-0000B74F0000}"/>
  </cellStyles>
  <dxfs count="314">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color rgb="FF9C0006"/>
      </font>
      <fill>
        <patternFill>
          <bgColor rgb="FFFFC7CE"/>
        </patternFill>
      </fill>
    </dxf>
    <dxf>
      <font>
        <color rgb="FF9C0006"/>
      </font>
      <fill>
        <patternFill>
          <bgColor rgb="FFFFC7CE"/>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color rgb="FF9C0006"/>
      </font>
      <fill>
        <patternFill>
          <bgColor rgb="FFFFC7CE"/>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color theme="0" tint="-0.24994659260841701"/>
      </font>
      <fill>
        <patternFill>
          <bgColor theme="0" tint="-0.24994659260841701"/>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font>
    </dxf>
    <dxf>
      <font>
        <b/>
        <i val="0"/>
      </font>
    </dxf>
    <dxf>
      <font>
        <b/>
        <i val="0"/>
      </font>
    </dxf>
    <dxf>
      <font>
        <b/>
        <i val="0"/>
      </font>
    </dxf>
    <dxf>
      <font>
        <b/>
        <i val="0"/>
      </font>
    </dxf>
    <dxf>
      <font>
        <b/>
        <i val="0"/>
      </font>
    </dxf>
    <dxf>
      <font>
        <b/>
        <i val="0"/>
      </font>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color theme="0" tint="-0.24994659260841701"/>
      </font>
      <fill>
        <patternFill>
          <bgColor theme="0" tint="-0.24994659260841701"/>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font>
    </dxf>
    <dxf>
      <font>
        <b/>
        <i val="0"/>
      </font>
    </dxf>
    <dxf>
      <font>
        <b/>
        <i val="0"/>
      </font>
    </dxf>
    <dxf>
      <font>
        <b/>
        <i val="0"/>
      </font>
    </dxf>
    <dxf>
      <font>
        <b/>
        <i val="0"/>
      </font>
    </dxf>
    <dxf>
      <font>
        <b/>
        <i val="0"/>
      </font>
    </dxf>
    <dxf>
      <font>
        <b/>
        <i val="0"/>
      </font>
    </dxf>
    <dxf>
      <font>
        <color theme="0"/>
      </font>
    </dxf>
    <dxf>
      <font>
        <b/>
        <i val="0"/>
      </font>
    </dxf>
    <dxf>
      <font>
        <color theme="0"/>
      </font>
    </dxf>
    <dxf>
      <font>
        <b/>
        <i val="0"/>
      </font>
    </dxf>
    <dxf>
      <font>
        <b/>
        <i val="0"/>
      </font>
    </dxf>
    <dxf>
      <font>
        <color theme="0"/>
      </font>
    </dxf>
    <dxf>
      <font>
        <b/>
        <i val="0"/>
      </font>
    </dxf>
    <dxf>
      <font>
        <color theme="0"/>
      </font>
    </dxf>
    <dxf>
      <font>
        <b/>
        <i val="0"/>
      </font>
    </dxf>
    <dxf>
      <font>
        <b/>
        <i val="0"/>
      </font>
    </dxf>
    <dxf>
      <font>
        <color theme="0"/>
      </font>
    </dxf>
    <dxf>
      <font>
        <b/>
        <i val="0"/>
      </font>
    </dxf>
    <dxf>
      <font>
        <b/>
        <i val="0"/>
      </font>
    </dxf>
    <dxf>
      <font>
        <b/>
        <i val="0"/>
      </font>
    </dxf>
    <dxf>
      <font>
        <color theme="0"/>
      </font>
    </dxf>
    <dxf>
      <font>
        <b/>
        <i val="0"/>
      </font>
    </dxf>
    <dxf>
      <font>
        <b/>
        <i val="0"/>
      </font>
    </dxf>
    <dxf>
      <font>
        <b/>
        <i val="0"/>
      </font>
    </dxf>
    <dxf>
      <font>
        <b/>
        <i val="0"/>
      </font>
    </dxf>
    <dxf>
      <font>
        <color theme="0"/>
      </font>
    </dxf>
    <dxf>
      <font>
        <b/>
        <i val="0"/>
      </font>
    </dxf>
    <dxf>
      <font>
        <b/>
        <i val="0"/>
      </font>
    </dxf>
    <dxf>
      <font>
        <b/>
        <i val="0"/>
        <condense val="0"/>
        <extend val="0"/>
        <color indexed="13"/>
      </font>
      <fill>
        <patternFill>
          <bgColor indexed="12"/>
        </patternFill>
      </fill>
    </dxf>
    <dxf>
      <fill>
        <patternFill patternType="solid">
          <bgColor rgb="FFFFFF00"/>
        </patternFill>
      </fill>
    </dxf>
    <dxf>
      <font>
        <b/>
        <i val="0"/>
      </font>
    </dxf>
    <dxf>
      <font>
        <b/>
        <i val="0"/>
      </font>
    </dxf>
    <dxf>
      <font>
        <b/>
        <i val="0"/>
      </font>
    </dxf>
    <dxf>
      <fill>
        <patternFill patternType="solid">
          <bgColor rgb="FFFFFF00"/>
        </patternFill>
      </fill>
    </dxf>
    <dxf>
      <font>
        <b/>
        <i val="0"/>
      </font>
    </dxf>
    <dxf>
      <font>
        <b/>
        <i val="0"/>
      </font>
    </dxf>
    <dxf>
      <font>
        <b/>
        <i val="0"/>
      </font>
    </dxf>
    <dxf>
      <fill>
        <patternFill patternType="solid">
          <bgColor rgb="FFFFFF00"/>
        </patternFill>
      </fill>
    </dxf>
    <dxf>
      <font>
        <b/>
        <i val="0"/>
      </font>
    </dxf>
    <dxf>
      <font>
        <b/>
        <i val="0"/>
      </font>
    </dxf>
    <dxf>
      <font>
        <b/>
        <i val="0"/>
      </font>
    </dxf>
    <dxf>
      <font>
        <b/>
        <i val="0"/>
      </font>
    </dxf>
    <dxf>
      <font>
        <b/>
        <i val="0"/>
      </font>
    </dxf>
    <dxf>
      <fill>
        <patternFill patternType="solid">
          <bgColor rgb="FFFFFF00"/>
        </patternFill>
      </fill>
    </dxf>
    <dxf>
      <font>
        <b/>
        <i val="0"/>
      </font>
    </dxf>
    <dxf>
      <font>
        <b/>
        <i val="0"/>
      </font>
    </dxf>
    <dxf>
      <font>
        <b/>
        <i val="0"/>
      </font>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s>
  <tableStyles count="0" defaultTableStyle="TableStyleMedium9" defaultPivotStyle="PivotStyleLight16"/>
  <colors>
    <mruColors>
      <color rgb="FF0000FF"/>
      <color rgb="FF008000"/>
      <color rgb="FF808080"/>
      <color rgb="FF009900"/>
      <color rgb="FF000000"/>
      <color rgb="FFDCE6F1"/>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externalLink" Target="externalLinks/externalLink3.xml"/><Relationship Id="rId89" Type="http://schemas.openxmlformats.org/officeDocument/2006/relationships/externalLink" Target="externalLinks/externalLink8.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calcChain" Target="calcChain.xml"/><Relationship Id="rId5" Type="http://schemas.openxmlformats.org/officeDocument/2006/relationships/worksheet" Target="worksheets/sheet5.xml"/><Relationship Id="rId90" Type="http://schemas.openxmlformats.org/officeDocument/2006/relationships/externalLink" Target="externalLinks/externalLink9.xml"/><Relationship Id="rId95" Type="http://schemas.openxmlformats.org/officeDocument/2006/relationships/externalLink" Target="externalLinks/externalLink1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externalLink" Target="externalLinks/externalLink4.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externalLink" Target="externalLinks/externalLink2.xml"/><Relationship Id="rId88" Type="http://schemas.openxmlformats.org/officeDocument/2006/relationships/externalLink" Target="externalLinks/externalLink7.xml"/><Relationship Id="rId91" Type="http://schemas.openxmlformats.org/officeDocument/2006/relationships/externalLink" Target="externalLinks/externalLink10.xml"/><Relationship Id="rId96" Type="http://schemas.openxmlformats.org/officeDocument/2006/relationships/externalLink" Target="externalLinks/externalLink1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externalLink" Target="externalLinks/externalLink5.xml"/><Relationship Id="rId94" Type="http://schemas.openxmlformats.org/officeDocument/2006/relationships/externalLink" Target="externalLinks/externalLink13.xml"/><Relationship Id="rId99" Type="http://schemas.openxmlformats.org/officeDocument/2006/relationships/theme" Target="theme/theme1.xml"/><Relationship Id="rId10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externalLink" Target="externalLinks/externalLink16.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externalLink" Target="externalLinks/externalLink1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externalLink" Target="externalLinks/externalLink6.xml"/><Relationship Id="rId61" Type="http://schemas.openxmlformats.org/officeDocument/2006/relationships/worksheet" Target="worksheets/sheet61.xml"/><Relationship Id="rId82" Type="http://schemas.openxmlformats.org/officeDocument/2006/relationships/externalLink" Target="externalLinks/externalLink1.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externalLink" Target="externalLinks/externalLink12.xml"/><Relationship Id="rId98" Type="http://schemas.openxmlformats.org/officeDocument/2006/relationships/externalLink" Target="externalLinks/externalLink17.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5667989848376394E-2"/>
          <c:y val="4.1270586790686251E-2"/>
          <c:w val="0.98433201015162364"/>
          <c:h val="0.91307159521726455"/>
        </c:manualLayout>
      </c:layout>
      <c:ofPieChart>
        <c:ofPieType val="pie"/>
        <c:varyColors val="1"/>
        <c:ser>
          <c:idx val="0"/>
          <c:order val="0"/>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2D97-40E8-871E-C189FCF72A4F}"/>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2D97-40E8-871E-C189FCF72A4F}"/>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2D97-40E8-871E-C189FCF72A4F}"/>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2D97-40E8-871E-C189FCF72A4F}"/>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2D97-40E8-871E-C189FCF72A4F}"/>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2D97-40E8-871E-C189FCF72A4F}"/>
              </c:ext>
            </c:extLst>
          </c:dPt>
          <c:dPt>
            <c:idx val="6"/>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2D97-40E8-871E-C189FCF72A4F}"/>
              </c:ext>
            </c:extLst>
          </c:dPt>
          <c:dPt>
            <c:idx val="7"/>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F-2D97-40E8-871E-C189FCF72A4F}"/>
              </c:ext>
            </c:extLst>
          </c:dPt>
          <c:dPt>
            <c:idx val="8"/>
            <c:bubble3D val="0"/>
            <c:spPr>
              <a:gradFill rotWithShape="1">
                <a:gsLst>
                  <a:gs pos="0">
                    <a:schemeClr val="accent3">
                      <a:lumMod val="60000"/>
                      <a:shade val="51000"/>
                      <a:satMod val="130000"/>
                    </a:schemeClr>
                  </a:gs>
                  <a:gs pos="80000">
                    <a:schemeClr val="accent3">
                      <a:lumMod val="60000"/>
                      <a:shade val="93000"/>
                      <a:satMod val="130000"/>
                    </a:schemeClr>
                  </a:gs>
                  <a:gs pos="100000">
                    <a:schemeClr val="accent3">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1-2D97-40E8-871E-C189FCF72A4F}"/>
              </c:ext>
            </c:extLst>
          </c:dPt>
          <c:dPt>
            <c:idx val="9"/>
            <c:bubble3D val="0"/>
            <c:spPr>
              <a:gradFill rotWithShape="1">
                <a:gsLst>
                  <a:gs pos="0">
                    <a:schemeClr val="accent4">
                      <a:lumMod val="60000"/>
                      <a:shade val="51000"/>
                      <a:satMod val="130000"/>
                    </a:schemeClr>
                  </a:gs>
                  <a:gs pos="80000">
                    <a:schemeClr val="accent4">
                      <a:lumMod val="60000"/>
                      <a:shade val="93000"/>
                      <a:satMod val="130000"/>
                    </a:schemeClr>
                  </a:gs>
                  <a:gs pos="100000">
                    <a:schemeClr val="accent4">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3-2D97-40E8-871E-C189FCF72A4F}"/>
              </c:ext>
            </c:extLst>
          </c:dPt>
          <c:dLbls>
            <c:dLbl>
              <c:idx val="9"/>
              <c:tx>
                <c:rich>
                  <a:bodyPr/>
                  <a:lstStyle/>
                  <a:p>
                    <a:r>
                      <a:rPr lang="en-US" baseline="0"/>
                      <a:t>Common &amp; Equivalent
</a:t>
                    </a:r>
                    <a:fld id="{6F9DBA7A-8412-4DF1-8EED-F629AA63B57A}" type="PERCENTAGE">
                      <a:rPr lang="en-US" baseline="0"/>
                      <a:pPr/>
                      <a:t>[PERCENTAGE]</a:t>
                    </a:fld>
                    <a:endParaRPr lang="en-US" baseline="0"/>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3-2D97-40E8-871E-C189FCF72A4F}"/>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('Cap Table'!$D$7:$F$7,'Cap Table'!$B$14)</c:f>
              <c:strCache>
                <c:ptCount val="4"/>
                <c:pt idx="0">
                  <c:v>Series Seed 1</c:v>
                </c:pt>
                <c:pt idx="1">
                  <c:v>Series Seed 2</c:v>
                </c:pt>
                <c:pt idx="2">
                  <c:v>Common</c:v>
                </c:pt>
                <c:pt idx="3">
                  <c:v>Options Outstanding </c:v>
                </c:pt>
              </c:strCache>
            </c:strRef>
          </c:cat>
          <c:val>
            <c:numRef>
              <c:f>('Cap Table'!$D$17:$F$17,'Cap Table'!$H$14)</c:f>
              <c:numCache>
                <c:formatCode>_(* #,##0.0_);_(* \(#,##0.0\);_(* "-"_);_(@_)</c:formatCode>
                <c:ptCount val="4"/>
                <c:pt idx="0">
                  <c:v>1235</c:v>
                </c:pt>
                <c:pt idx="1">
                  <c:v>2666.666666666667</c:v>
                </c:pt>
                <c:pt idx="2">
                  <c:v>8715.9830000000002</c:v>
                </c:pt>
                <c:pt idx="3">
                  <c:v>1706</c:v>
                </c:pt>
              </c:numCache>
            </c:numRef>
          </c:val>
          <c:extLst>
            <c:ext xmlns:c16="http://schemas.microsoft.com/office/drawing/2014/chart" uri="{C3380CC4-5D6E-409C-BE32-E72D297353CC}">
              <c16:uniqueId val="{00000014-2D97-40E8-871E-C189FCF72A4F}"/>
            </c:ext>
          </c:extLst>
        </c:ser>
        <c:dLbls>
          <c:showLegendKey val="0"/>
          <c:showVal val="0"/>
          <c:showCatName val="0"/>
          <c:showSerName val="0"/>
          <c:showPercent val="0"/>
          <c:showBubbleSize val="0"/>
          <c:showLeaderLines val="1"/>
        </c:dLbls>
        <c:gapWidth val="24"/>
        <c:splitType val="pos"/>
        <c:splitPos val="2"/>
        <c:secondPieSize val="60"/>
        <c:serLines>
          <c:spPr>
            <a:ln w="9525" cap="flat" cmpd="sng" algn="ctr">
              <a:solidFill>
                <a:schemeClr val="tx1">
                  <a:alpha val="54000"/>
                </a:schemeClr>
              </a:solidFill>
              <a:round/>
            </a:ln>
            <a:effectLst/>
          </c:spPr>
        </c:serLines>
      </c:ofPieChart>
      <c:spPr>
        <a:noFill/>
        <a:ln>
          <a:noFill/>
        </a:ln>
        <a:effectLst/>
      </c:spPr>
    </c:plotArea>
    <c:plotVisOnly val="1"/>
    <c:dispBlanksAs val="gap"/>
    <c:showDLblsOverMax val="0"/>
  </c:chart>
  <c:spPr>
    <a:gradFill flip="none" rotWithShape="1">
      <a:gsLst>
        <a:gs pos="0">
          <a:schemeClr val="bg1">
            <a:lumMod val="8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a:gradFill>
        <a:gsLst>
          <a:gs pos="0">
            <a:schemeClr val="bg1">
              <a:lumMod val="8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8.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_rels/vmlDrawing3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2057400</xdr:colOff>
      <xdr:row>23</xdr:row>
      <xdr:rowOff>123825</xdr:rowOff>
    </xdr:from>
    <xdr:to>
      <xdr:col>3</xdr:col>
      <xdr:colOff>4819650</xdr:colOff>
      <xdr:row>25</xdr:row>
      <xdr:rowOff>66675</xdr:rowOff>
    </xdr:to>
    <xdr:pic>
      <xdr:nvPicPr>
        <xdr:cNvPr id="3" name="Picture 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38525" y="5334000"/>
          <a:ext cx="276225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2343150</xdr:colOff>
      <xdr:row>26</xdr:row>
      <xdr:rowOff>28575</xdr:rowOff>
    </xdr:from>
    <xdr:to>
      <xdr:col>3</xdr:col>
      <xdr:colOff>4324350</xdr:colOff>
      <xdr:row>27</xdr:row>
      <xdr:rowOff>0</xdr:rowOff>
    </xdr:to>
    <xdr:pic>
      <xdr:nvPicPr>
        <xdr:cNvPr id="5" name="Picture 8" descr="A close up of a logo&#10;&#10;Description generated with very high confidence">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24275" y="5915025"/>
          <a:ext cx="19812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1869281</xdr:colOff>
      <xdr:row>1</xdr:row>
      <xdr:rowOff>130970</xdr:rowOff>
    </xdr:from>
    <xdr:to>
      <xdr:col>3</xdr:col>
      <xdr:colOff>4440710</xdr:colOff>
      <xdr:row>5</xdr:row>
      <xdr:rowOff>7071</xdr:rowOff>
    </xdr:to>
    <xdr:pic>
      <xdr:nvPicPr>
        <xdr:cNvPr id="6" name="Picture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3"/>
        <a:stretch>
          <a:fillRect/>
        </a:stretch>
      </xdr:blipFill>
      <xdr:spPr>
        <a:xfrm>
          <a:off x="3250406" y="309564"/>
          <a:ext cx="2571429" cy="59047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1771650</xdr:colOff>
      <xdr:row>25</xdr:row>
      <xdr:rowOff>104775</xdr:rowOff>
    </xdr:from>
    <xdr:to>
      <xdr:col>3</xdr:col>
      <xdr:colOff>4533900</xdr:colOff>
      <xdr:row>27</xdr:row>
      <xdr:rowOff>47625</xdr:rowOff>
    </xdr:to>
    <xdr:pic>
      <xdr:nvPicPr>
        <xdr:cNvPr id="2" name="Picture 6">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52775" y="5324475"/>
          <a:ext cx="276225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2057400</xdr:colOff>
      <xdr:row>28</xdr:row>
      <xdr:rowOff>9525</xdr:rowOff>
    </xdr:from>
    <xdr:to>
      <xdr:col>3</xdr:col>
      <xdr:colOff>4038600</xdr:colOff>
      <xdr:row>28</xdr:row>
      <xdr:rowOff>219075</xdr:rowOff>
    </xdr:to>
    <xdr:pic>
      <xdr:nvPicPr>
        <xdr:cNvPr id="3" name="Picture 8" descr="A close up of a logo&#10;&#10;Description generated with very high confidence">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438525" y="5905500"/>
          <a:ext cx="19812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1876425</xdr:colOff>
      <xdr:row>25</xdr:row>
      <xdr:rowOff>114300</xdr:rowOff>
    </xdr:from>
    <xdr:to>
      <xdr:col>3</xdr:col>
      <xdr:colOff>4638675</xdr:colOff>
      <xdr:row>27</xdr:row>
      <xdr:rowOff>57150</xdr:rowOff>
    </xdr:to>
    <xdr:pic>
      <xdr:nvPicPr>
        <xdr:cNvPr id="2" name="Picture 6">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86100" y="5334000"/>
          <a:ext cx="276225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2162175</xdr:colOff>
      <xdr:row>28</xdr:row>
      <xdr:rowOff>19050</xdr:rowOff>
    </xdr:from>
    <xdr:to>
      <xdr:col>3</xdr:col>
      <xdr:colOff>4143375</xdr:colOff>
      <xdr:row>28</xdr:row>
      <xdr:rowOff>228600</xdr:rowOff>
    </xdr:to>
    <xdr:pic>
      <xdr:nvPicPr>
        <xdr:cNvPr id="3" name="Picture 8" descr="A close up of a logo&#10;&#10;Description generated with very high confidence">
          <a:extLst>
            <a:ext uri="{FF2B5EF4-FFF2-40B4-BE49-F238E27FC236}">
              <a16:creationId xmlns:a16="http://schemas.microsoft.com/office/drawing/2014/main" id="{00000000-0008-0000-0C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71850" y="5915025"/>
          <a:ext cx="19812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3</xdr:col>
      <xdr:colOff>1809750</xdr:colOff>
      <xdr:row>25</xdr:row>
      <xdr:rowOff>104775</xdr:rowOff>
    </xdr:from>
    <xdr:to>
      <xdr:col>3</xdr:col>
      <xdr:colOff>4572000</xdr:colOff>
      <xdr:row>27</xdr:row>
      <xdr:rowOff>47625</xdr:rowOff>
    </xdr:to>
    <xdr:pic>
      <xdr:nvPicPr>
        <xdr:cNvPr id="2" name="Picture 6">
          <a:extLst>
            <a:ext uri="{FF2B5EF4-FFF2-40B4-BE49-F238E27FC236}">
              <a16:creationId xmlns:a16="http://schemas.microsoft.com/office/drawing/2014/main" id="{00000000-0008-0000-1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90875" y="5324475"/>
          <a:ext cx="276225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2095500</xdr:colOff>
      <xdr:row>28</xdr:row>
      <xdr:rowOff>9525</xdr:rowOff>
    </xdr:from>
    <xdr:to>
      <xdr:col>3</xdr:col>
      <xdr:colOff>4076700</xdr:colOff>
      <xdr:row>28</xdr:row>
      <xdr:rowOff>219075</xdr:rowOff>
    </xdr:to>
    <xdr:pic>
      <xdr:nvPicPr>
        <xdr:cNvPr id="3" name="Picture 8" descr="A close up of a logo&#10;&#10;Description generated with very high confidence">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476625" y="5905500"/>
          <a:ext cx="19812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3</xdr:col>
      <xdr:colOff>1657350</xdr:colOff>
      <xdr:row>25</xdr:row>
      <xdr:rowOff>123825</xdr:rowOff>
    </xdr:from>
    <xdr:to>
      <xdr:col>3</xdr:col>
      <xdr:colOff>4419600</xdr:colOff>
      <xdr:row>27</xdr:row>
      <xdr:rowOff>66675</xdr:rowOff>
    </xdr:to>
    <xdr:pic>
      <xdr:nvPicPr>
        <xdr:cNvPr id="2" name="Picture 6">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38475" y="5343525"/>
          <a:ext cx="276225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1943100</xdr:colOff>
      <xdr:row>28</xdr:row>
      <xdr:rowOff>28575</xdr:rowOff>
    </xdr:from>
    <xdr:to>
      <xdr:col>3</xdr:col>
      <xdr:colOff>3924300</xdr:colOff>
      <xdr:row>29</xdr:row>
      <xdr:rowOff>0</xdr:rowOff>
    </xdr:to>
    <xdr:pic>
      <xdr:nvPicPr>
        <xdr:cNvPr id="3" name="Picture 8" descr="A close up of a logo&#10;&#10;Description generated with very high confidence">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4225" y="5924550"/>
          <a:ext cx="19812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13</xdr:col>
      <xdr:colOff>177192</xdr:colOff>
      <xdr:row>7</xdr:row>
      <xdr:rowOff>44544</xdr:rowOff>
    </xdr:from>
    <xdr:to>
      <xdr:col>23</xdr:col>
      <xdr:colOff>17481</xdr:colOff>
      <xdr:row>22</xdr:row>
      <xdr:rowOff>126458</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1743075</xdr:colOff>
      <xdr:row>25</xdr:row>
      <xdr:rowOff>104775</xdr:rowOff>
    </xdr:from>
    <xdr:to>
      <xdr:col>3</xdr:col>
      <xdr:colOff>4505325</xdr:colOff>
      <xdr:row>27</xdr:row>
      <xdr:rowOff>47625</xdr:rowOff>
    </xdr:to>
    <xdr:pic>
      <xdr:nvPicPr>
        <xdr:cNvPr id="2" name="Picture 6">
          <a:extLst>
            <a:ext uri="{FF2B5EF4-FFF2-40B4-BE49-F238E27FC236}">
              <a16:creationId xmlns:a16="http://schemas.microsoft.com/office/drawing/2014/main" id="{00000000-0008-0000-1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5324475"/>
          <a:ext cx="276225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2028825</xdr:colOff>
      <xdr:row>28</xdr:row>
      <xdr:rowOff>9525</xdr:rowOff>
    </xdr:from>
    <xdr:to>
      <xdr:col>3</xdr:col>
      <xdr:colOff>4010025</xdr:colOff>
      <xdr:row>28</xdr:row>
      <xdr:rowOff>219075</xdr:rowOff>
    </xdr:to>
    <xdr:pic>
      <xdr:nvPicPr>
        <xdr:cNvPr id="3" name="Picture 8" descr="A close up of a logo&#10;&#10;Description generated with very high confidence">
          <a:extLst>
            <a:ext uri="{FF2B5EF4-FFF2-40B4-BE49-F238E27FC236}">
              <a16:creationId xmlns:a16="http://schemas.microsoft.com/office/drawing/2014/main" id="{00000000-0008-0000-16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409950" y="5905500"/>
          <a:ext cx="19812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23</xdr:col>
      <xdr:colOff>47625</xdr:colOff>
      <xdr:row>52</xdr:row>
      <xdr:rowOff>228600</xdr:rowOff>
    </xdr:from>
    <xdr:to>
      <xdr:col>25</xdr:col>
      <xdr:colOff>314326</xdr:colOff>
      <xdr:row>59</xdr:row>
      <xdr:rowOff>66674</xdr:rowOff>
    </xdr:to>
    <xdr:pic>
      <xdr:nvPicPr>
        <xdr:cNvPr id="5" name="Picture 4">
          <a:extLst>
            <a:ext uri="{FF2B5EF4-FFF2-40B4-BE49-F238E27FC236}">
              <a16:creationId xmlns:a16="http://schemas.microsoft.com/office/drawing/2014/main" id="{00000000-0008-0000-1A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782925" y="8810625"/>
          <a:ext cx="1333500" cy="990600"/>
        </a:xfrm>
        <a:prstGeom prst="rect">
          <a:avLst/>
        </a:prstGeom>
        <a:noFill/>
        <a:ln w="3175">
          <a:solidFill>
            <a:schemeClr val="bg1">
              <a:lumMod val="65000"/>
            </a:schemeClr>
          </a:solidFill>
        </a:ln>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3</xdr:col>
      <xdr:colOff>2019300</xdr:colOff>
      <xdr:row>23</xdr:row>
      <xdr:rowOff>104775</xdr:rowOff>
    </xdr:from>
    <xdr:to>
      <xdr:col>3</xdr:col>
      <xdr:colOff>4781550</xdr:colOff>
      <xdr:row>25</xdr:row>
      <xdr:rowOff>47625</xdr:rowOff>
    </xdr:to>
    <xdr:pic>
      <xdr:nvPicPr>
        <xdr:cNvPr id="3" name="Picture 6">
          <a:extLst>
            <a:ext uri="{FF2B5EF4-FFF2-40B4-BE49-F238E27FC236}">
              <a16:creationId xmlns:a16="http://schemas.microsoft.com/office/drawing/2014/main" id="{00000000-0008-0000-1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00425" y="5314950"/>
          <a:ext cx="276225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2305050</xdr:colOff>
      <xdr:row>26</xdr:row>
      <xdr:rowOff>9525</xdr:rowOff>
    </xdr:from>
    <xdr:to>
      <xdr:col>3</xdr:col>
      <xdr:colOff>4286250</xdr:colOff>
      <xdr:row>26</xdr:row>
      <xdr:rowOff>219075</xdr:rowOff>
    </xdr:to>
    <xdr:pic>
      <xdr:nvPicPr>
        <xdr:cNvPr id="4" name="Picture 8" descr="A close up of a logo&#10;&#10;Description generated with very high confidence">
          <a:extLst>
            <a:ext uri="{FF2B5EF4-FFF2-40B4-BE49-F238E27FC236}">
              <a16:creationId xmlns:a16="http://schemas.microsoft.com/office/drawing/2014/main" id="{00000000-0008-0000-1C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6175" y="5895975"/>
          <a:ext cx="19812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1833563</xdr:colOff>
      <xdr:row>1</xdr:row>
      <xdr:rowOff>83345</xdr:rowOff>
    </xdr:from>
    <xdr:to>
      <xdr:col>3</xdr:col>
      <xdr:colOff>4404992</xdr:colOff>
      <xdr:row>5</xdr:row>
      <xdr:rowOff>7071</xdr:rowOff>
    </xdr:to>
    <xdr:pic>
      <xdr:nvPicPr>
        <xdr:cNvPr id="5" name="Picture 4">
          <a:extLst>
            <a:ext uri="{FF2B5EF4-FFF2-40B4-BE49-F238E27FC236}">
              <a16:creationId xmlns:a16="http://schemas.microsoft.com/office/drawing/2014/main" id="{00000000-0008-0000-1C00-000005000000}"/>
            </a:ext>
          </a:extLst>
        </xdr:cNvPr>
        <xdr:cNvPicPr>
          <a:picLocks noChangeAspect="1"/>
        </xdr:cNvPicPr>
      </xdr:nvPicPr>
      <xdr:blipFill>
        <a:blip xmlns:r="http://schemas.openxmlformats.org/officeDocument/2006/relationships" r:embed="rId3"/>
        <a:stretch>
          <a:fillRect/>
        </a:stretch>
      </xdr:blipFill>
      <xdr:spPr>
        <a:xfrm>
          <a:off x="3214688" y="250033"/>
          <a:ext cx="2571429" cy="59047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4</xdr:col>
          <xdr:colOff>114300</xdr:colOff>
          <xdr:row>1</xdr:row>
          <xdr:rowOff>38100</xdr:rowOff>
        </xdr:to>
        <xdr:sp macro="" textlink="">
          <xdr:nvSpPr>
            <xdr:cNvPr id="405505" name="FILTER" hidden="1">
              <a:extLst>
                <a:ext uri="{63B3BB69-23CF-44E3-9099-C40C66FF867C}">
                  <a14:compatExt spid="_x0000_s405505"/>
                </a:ext>
                <a:ext uri="{FF2B5EF4-FFF2-40B4-BE49-F238E27FC236}">
                  <a16:creationId xmlns:a16="http://schemas.microsoft.com/office/drawing/2014/main" id="{00000000-0008-0000-3200-000001300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4</xdr:col>
          <xdr:colOff>114300</xdr:colOff>
          <xdr:row>1</xdr:row>
          <xdr:rowOff>38100</xdr:rowOff>
        </xdr:to>
        <xdr:sp macro="" textlink="">
          <xdr:nvSpPr>
            <xdr:cNvPr id="405506" name="HEADER" hidden="1">
              <a:extLst>
                <a:ext uri="{63B3BB69-23CF-44E3-9099-C40C66FF867C}">
                  <a14:compatExt spid="_x0000_s405506"/>
                </a:ext>
                <a:ext uri="{FF2B5EF4-FFF2-40B4-BE49-F238E27FC236}">
                  <a16:creationId xmlns:a16="http://schemas.microsoft.com/office/drawing/2014/main" id="{00000000-0008-0000-3200-000002300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3</xdr:col>
      <xdr:colOff>1657350</xdr:colOff>
      <xdr:row>25</xdr:row>
      <xdr:rowOff>104775</xdr:rowOff>
    </xdr:from>
    <xdr:to>
      <xdr:col>3</xdr:col>
      <xdr:colOff>4419600</xdr:colOff>
      <xdr:row>27</xdr:row>
      <xdr:rowOff>47625</xdr:rowOff>
    </xdr:to>
    <xdr:pic>
      <xdr:nvPicPr>
        <xdr:cNvPr id="2" name="Picture 6">
          <a:extLst>
            <a:ext uri="{FF2B5EF4-FFF2-40B4-BE49-F238E27FC236}">
              <a16:creationId xmlns:a16="http://schemas.microsoft.com/office/drawing/2014/main" id="{00000000-0008-0000-4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38475" y="5324475"/>
          <a:ext cx="276225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1943100</xdr:colOff>
      <xdr:row>28</xdr:row>
      <xdr:rowOff>9525</xdr:rowOff>
    </xdr:from>
    <xdr:to>
      <xdr:col>3</xdr:col>
      <xdr:colOff>3924300</xdr:colOff>
      <xdr:row>28</xdr:row>
      <xdr:rowOff>219075</xdr:rowOff>
    </xdr:to>
    <xdr:pic>
      <xdr:nvPicPr>
        <xdr:cNvPr id="3" name="Picture 8" descr="A close up of a logo&#10;&#10;Description generated with very high confidence">
          <a:extLst>
            <a:ext uri="{FF2B5EF4-FFF2-40B4-BE49-F238E27FC236}">
              <a16:creationId xmlns:a16="http://schemas.microsoft.com/office/drawing/2014/main" id="{00000000-0008-0000-44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4225" y="5905500"/>
          <a:ext cx="19812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3</xdr:col>
      <xdr:colOff>1695450</xdr:colOff>
      <xdr:row>25</xdr:row>
      <xdr:rowOff>104775</xdr:rowOff>
    </xdr:from>
    <xdr:to>
      <xdr:col>3</xdr:col>
      <xdr:colOff>4457700</xdr:colOff>
      <xdr:row>27</xdr:row>
      <xdr:rowOff>47625</xdr:rowOff>
    </xdr:to>
    <xdr:pic>
      <xdr:nvPicPr>
        <xdr:cNvPr id="2" name="Picture 6">
          <a:extLst>
            <a:ext uri="{FF2B5EF4-FFF2-40B4-BE49-F238E27FC236}">
              <a16:creationId xmlns:a16="http://schemas.microsoft.com/office/drawing/2014/main" id="{00000000-0008-0000-4E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76575" y="5324475"/>
          <a:ext cx="276225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1981200</xdr:colOff>
      <xdr:row>28</xdr:row>
      <xdr:rowOff>9525</xdr:rowOff>
    </xdr:from>
    <xdr:to>
      <xdr:col>3</xdr:col>
      <xdr:colOff>3962400</xdr:colOff>
      <xdr:row>28</xdr:row>
      <xdr:rowOff>219075</xdr:rowOff>
    </xdr:to>
    <xdr:pic>
      <xdr:nvPicPr>
        <xdr:cNvPr id="3" name="Picture 8" descr="A close up of a logo&#10;&#10;Description generated with very high confidence">
          <a:extLst>
            <a:ext uri="{FF2B5EF4-FFF2-40B4-BE49-F238E27FC236}">
              <a16:creationId xmlns:a16="http://schemas.microsoft.com/office/drawing/2014/main" id="{00000000-0008-0000-4E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62325" y="5905500"/>
          <a:ext cx="19812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c_oa2\netgear\finance\AUDIT\bridge\quarterly%20trends%20for%20d%20&amp;%20t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upasak\AppData\Local\Microsoft\Windows\Temporary%20Internet%20Files\Content.Outlook\O6MXOXOL\Kwa.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Bean_counter1\D-Drive\1999%20Budget%20-%20Active\Dec%2099%20budget%20-%20active\Stock%20Option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SUSNY057\groupdirs\M&amp;A\Presentations\04\9040832n\9040832n.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T:\Transfer\02-tues\book1.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sgb24166\PDMSdirs\Current%20Work\PC\9-05\9-05046\9-05046L.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Users\upasak\AppData\Local\Microsoft\Windows\Temporary%20Internet%20Files\Content.Outlook\O6MXOXOL\model.xls" TargetMode="External"/></Relationships>
</file>

<file path=xl/externalLinks/_rels/externalLink8.xml.rels><?xml version="1.0" encoding="UTF-8" standalone="yes"?>
<Relationships xmlns="http://schemas.openxmlformats.org/package/2006/relationships"><Relationship Id="rId1" Type="http://schemas.microsoft.com/office/2006/relationships/xlExternalLinkPath/xlStartup" Target="2005%20Account%20Recons/Jan_Close/Jan_Recons/108000%20&amp;%20108500%20-%20DB%20Investment%20Statement%20at%2012.10.04.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Glasgow\accountrecons\Documents%20and%20Settings\mt050c\Local%20Settings\Temporary%20Internet%20Files\OLK16\LAM%20Summary"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Glasgow\accountrecons\windows\TEMP\Amortization\AMORT"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F:\2004%2005%20SCS%20UK%20management%20accounts.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F:\Users\jc3\Dropbox\C:\C\HNH%20-%20Holy%20Name%20Hospital\HNH-02%20Holy%20Name%20Medical%20Center%20Dialysis%20Program%20(PHC-BV)\HNH-02%20HNMC's%20Dialysis%20Program%20Financial%20Model%20DRAFT%2008-25-2011.xlsx"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biodesix.local\Finance\Finance\Planning%20Model\NEW-Data%20Room\1.%20Financial\1.1%20Financial%20Model\1.1%20Biodesix%20-%20Financial%20Model%20(03.30.17)%20RNA%20Advisors.xlsm"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Users/pagrawal/Desktop/Aduro%20409A%202014.09.30%20VD%20Exhibits%20DRAFT%202014.11.16.xlsx"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C:\Valuation\RNA%20Advisors\4D%20Molecular%20Therapeutics\409A%20VD%2001.15.2016\7%20-%20Audit\Option%20Simulation%20&amp;%20Volatility%20Computation.xlsx"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G:\BPM\Dropbox\Knowcraft%20Shared%20Engagements%20(1)\GlobalData%20Reports\Ophthalmology\Uveitis\25052016_PharmaeTrack.XLSX" TargetMode="External"/></Relationships>
</file>

<file path=xl/externalLinks/_rels/externalLink17.xml.rels><?xml version="1.0" encoding="UTF-8" standalone="yes"?>
<Relationships xmlns="http://schemas.openxmlformats.org/package/2006/relationships"><Relationship Id="rId1" Type="http://schemas.microsoft.com/office/2006/relationships/xlExternalLinkPath/xlPathMissing" Target="SUB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2)"/>
      <sheetName val="Sheet2"/>
      <sheetName val="Sheet3"/>
      <sheetName val="Sheet4"/>
      <sheetName val="Sheet1"/>
      <sheetName val="Tickmarks"/>
      <sheetName val="Sheet5"/>
      <sheetName val="FAB별"/>
      <sheetName val="Credit Calc"/>
      <sheetName val="Capital IQ Sheet-GPC"/>
    </sheetNames>
    <sheetDataSet>
      <sheetData sheetId="0" refreshError="1">
        <row r="3">
          <cell r="H3" t="str">
            <v>Q1 97</v>
          </cell>
          <cell r="I3" t="str">
            <v>Q2 97</v>
          </cell>
          <cell r="J3" t="str">
            <v>Q3 97</v>
          </cell>
          <cell r="K3" t="str">
            <v>Q4 97</v>
          </cell>
          <cell r="M3" t="str">
            <v>Q1 98</v>
          </cell>
          <cell r="N3" t="str">
            <v>Q2 98</v>
          </cell>
          <cell r="O3" t="str">
            <v>Q3 98</v>
          </cell>
          <cell r="P3" t="str">
            <v>Q4 98</v>
          </cell>
        </row>
        <row r="15">
          <cell r="H15">
            <v>-2123303.52</v>
          </cell>
          <cell r="I15">
            <v>-1253290.3699999999</v>
          </cell>
          <cell r="J15">
            <v>-162269.43</v>
          </cell>
          <cell r="K15">
            <v>146899.29000000033</v>
          </cell>
          <cell r="M15">
            <v>-246014.77000000002</v>
          </cell>
          <cell r="N15">
            <v>-1799602.0100000002</v>
          </cell>
          <cell r="O15">
            <v>-1013013.5800000001</v>
          </cell>
        </row>
        <row r="20">
          <cell r="H20">
            <v>0.19236638472376649</v>
          </cell>
          <cell r="I20">
            <v>0.17160343737293951</v>
          </cell>
          <cell r="J20">
            <v>0.22329840583258154</v>
          </cell>
          <cell r="K20">
            <v>0.2622241607330375</v>
          </cell>
          <cell r="M20">
            <v>0.22868601654276952</v>
          </cell>
          <cell r="N20">
            <v>0.13886160439354986</v>
          </cell>
          <cell r="O20">
            <v>0.16937325540860795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frica"/>
      <sheetName val="Ocean"/>
      <sheetName val="S Amer"/>
      <sheetName val="W Eur"/>
      <sheetName val="C Amer"/>
      <sheetName val="E Eur"/>
      <sheetName val="E Asia"/>
      <sheetName val="Mideast"/>
      <sheetName val="TOC"/>
      <sheetName val="Demand Data"/>
      <sheetName val="Supply Data"/>
      <sheetName val="Price Fcsts"/>
      <sheetName val="World"/>
      <sheetName val="N Amer"/>
      <sheetName val="FSU"/>
      <sheetName val="S Asia"/>
      <sheetName val="Soc As"/>
    </sheetNames>
    <sheetDataSet>
      <sheetData sheetId="0"/>
      <sheetData sheetId="1"/>
      <sheetData sheetId="2"/>
      <sheetData sheetId="3"/>
      <sheetData sheetId="4" refreshError="1"/>
      <sheetData sheetId="5" refreshError="1"/>
      <sheetData sheetId="6" refreshError="1">
        <row r="1">
          <cell r="V1">
            <v>37409</v>
          </cell>
        </row>
        <row r="8">
          <cell r="B8">
            <v>90</v>
          </cell>
          <cell r="C8">
            <v>91</v>
          </cell>
          <cell r="D8">
            <v>92</v>
          </cell>
          <cell r="E8">
            <v>93</v>
          </cell>
          <cell r="F8">
            <v>94</v>
          </cell>
          <cell r="G8">
            <v>95</v>
          </cell>
          <cell r="H8">
            <v>96</v>
          </cell>
          <cell r="I8">
            <v>97</v>
          </cell>
          <cell r="J8">
            <v>98</v>
          </cell>
          <cell r="K8">
            <v>99</v>
          </cell>
          <cell r="L8" t="str">
            <v>00</v>
          </cell>
          <cell r="M8" t="str">
            <v>01</v>
          </cell>
          <cell r="N8" t="str">
            <v>02</v>
          </cell>
          <cell r="O8" t="str">
            <v>03</v>
          </cell>
          <cell r="P8" t="str">
            <v>04</v>
          </cell>
          <cell r="Q8" t="str">
            <v>05</v>
          </cell>
          <cell r="R8" t="str">
            <v>06</v>
          </cell>
          <cell r="S8" t="str">
            <v>07</v>
          </cell>
          <cell r="T8" t="str">
            <v>08</v>
          </cell>
          <cell r="U8" t="str">
            <v>09</v>
          </cell>
          <cell r="V8" t="str">
            <v>10</v>
          </cell>
        </row>
        <row r="13">
          <cell r="B13" t="str">
            <v>na</v>
          </cell>
          <cell r="C13" t="str">
            <v>na</v>
          </cell>
          <cell r="D13" t="str">
            <v>na</v>
          </cell>
          <cell r="E13" t="str">
            <v>na</v>
          </cell>
          <cell r="F13" t="str">
            <v>na</v>
          </cell>
          <cell r="G13" t="str">
            <v>na</v>
          </cell>
          <cell r="H13" t="str">
            <v>na</v>
          </cell>
          <cell r="I13" t="str">
            <v>na</v>
          </cell>
          <cell r="J13" t="str">
            <v>na</v>
          </cell>
          <cell r="K13" t="str">
            <v>na</v>
          </cell>
          <cell r="L13" t="str">
            <v>na</v>
          </cell>
          <cell r="M13" t="str">
            <v>na</v>
          </cell>
          <cell r="N13" t="str">
            <v>na</v>
          </cell>
          <cell r="O13" t="str">
            <v>na</v>
          </cell>
          <cell r="P13" t="str">
            <v>na</v>
          </cell>
          <cell r="Q13" t="str">
            <v>na</v>
          </cell>
          <cell r="R13" t="str">
            <v>na</v>
          </cell>
          <cell r="S13" t="str">
            <v>na</v>
          </cell>
          <cell r="T13" t="str">
            <v>na</v>
          </cell>
          <cell r="U13" t="str">
            <v>na</v>
          </cell>
          <cell r="V13" t="str">
            <v>na</v>
          </cell>
        </row>
        <row r="14">
          <cell r="B14">
            <v>0</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row>
        <row r="19">
          <cell r="B19">
            <v>503.6</v>
          </cell>
          <cell r="C19">
            <v>489.4</v>
          </cell>
          <cell r="D19">
            <v>510.8</v>
          </cell>
          <cell r="E19">
            <v>518.29999999999995</v>
          </cell>
          <cell r="F19">
            <v>568.4</v>
          </cell>
          <cell r="G19">
            <v>508.3</v>
          </cell>
          <cell r="H19">
            <v>516.29999999999995</v>
          </cell>
          <cell r="I19">
            <v>537.6</v>
          </cell>
          <cell r="J19">
            <v>582.6</v>
          </cell>
          <cell r="K19">
            <v>522.5</v>
          </cell>
          <cell r="L19">
            <v>533.9</v>
          </cell>
          <cell r="M19">
            <v>556.4</v>
          </cell>
          <cell r="N19">
            <v>555.4</v>
          </cell>
          <cell r="O19">
            <v>560</v>
          </cell>
          <cell r="P19">
            <v>568.4</v>
          </cell>
          <cell r="Q19">
            <v>576.92599999999993</v>
          </cell>
          <cell r="R19">
            <v>585.57988999999986</v>
          </cell>
          <cell r="S19">
            <v>594.36358834999976</v>
          </cell>
          <cell r="T19">
            <v>603.27904217524974</v>
          </cell>
          <cell r="U19">
            <v>612.32822780787842</v>
          </cell>
          <cell r="V19">
            <v>621.51315122499659</v>
          </cell>
        </row>
        <row r="21">
          <cell r="B21">
            <v>9.3691469287980365</v>
          </cell>
          <cell r="C21">
            <v>9.4162280691437559</v>
          </cell>
          <cell r="D21">
            <v>9.4635457981344278</v>
          </cell>
          <cell r="E21">
            <v>9.511101304657716</v>
          </cell>
          <cell r="F21">
            <v>9.5588957835755934</v>
          </cell>
          <cell r="G21">
            <v>9.6069304357543661</v>
          </cell>
          <cell r="H21">
            <v>9.6552064680948408</v>
          </cell>
          <cell r="I21">
            <v>9.7037250935626549</v>
          </cell>
          <cell r="J21">
            <v>9.7524875312187493</v>
          </cell>
          <cell r="K21">
            <v>9.8014950062499988</v>
          </cell>
          <cell r="L21">
            <v>9.8507487499999993</v>
          </cell>
          <cell r="M21">
            <v>9.9002499999999998</v>
          </cell>
          <cell r="N21">
            <v>9.9499999999999993</v>
          </cell>
          <cell r="O21">
            <v>10</v>
          </cell>
          <cell r="P21">
            <v>10.049999999999999</v>
          </cell>
          <cell r="Q21">
            <v>10.100249999999997</v>
          </cell>
          <cell r="R21">
            <v>10.150751249999995</v>
          </cell>
          <cell r="S21">
            <v>10.201505006249995</v>
          </cell>
          <cell r="T21">
            <v>10.252512531281244</v>
          </cell>
          <cell r="U21">
            <v>10.303775093937649</v>
          </cell>
          <cell r="V21">
            <v>10.355293969407336</v>
          </cell>
        </row>
        <row r="28">
          <cell r="B28">
            <v>-528.35822133666204</v>
          </cell>
          <cell r="C28">
            <v>-513.78071491121807</v>
          </cell>
          <cell r="D28">
            <v>-535.87145217207853</v>
          </cell>
          <cell r="E28">
            <v>-543.64543434379743</v>
          </cell>
          <cell r="F28">
            <v>-595.29766265708281</v>
          </cell>
          <cell r="G28">
            <v>-533.44413834882698</v>
          </cell>
          <cell r="H28">
            <v>-541.73386266213765</v>
          </cell>
          <cell r="I28">
            <v>-563.72283684636955</v>
          </cell>
          <cell r="J28">
            <v>-610.12306215715535</v>
          </cell>
          <cell r="K28">
            <v>-548.27053985643749</v>
          </cell>
          <cell r="L28">
            <v>-560.06327121250001</v>
          </cell>
          <cell r="M28">
            <v>-583.28925749999996</v>
          </cell>
          <cell r="N28">
            <v>-582.31050000000005</v>
          </cell>
          <cell r="O28">
            <v>-587.1</v>
          </cell>
          <cell r="P28">
            <v>-595.80349999999999</v>
          </cell>
          <cell r="Q28">
            <v>-604.63703749999991</v>
          </cell>
          <cell r="R28">
            <v>-613.60256048749989</v>
          </cell>
          <cell r="S28">
            <v>-622.70204615693729</v>
          </cell>
          <cell r="T28">
            <v>-631.93750134772688</v>
          </cell>
          <cell r="U28">
            <v>-641.31096298887064</v>
          </cell>
          <cell r="V28">
            <v>-650.82449855023594</v>
          </cell>
        </row>
        <row r="51">
          <cell r="B51">
            <v>0</v>
          </cell>
          <cell r="C51">
            <v>0</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row>
      </sheetData>
      <sheetData sheetId="7" refreshError="1">
        <row r="1">
          <cell r="V1">
            <v>37409</v>
          </cell>
        </row>
        <row r="8">
          <cell r="B8">
            <v>90</v>
          </cell>
          <cell r="C8">
            <v>91</v>
          </cell>
          <cell r="D8">
            <v>92</v>
          </cell>
          <cell r="E8">
            <v>93</v>
          </cell>
          <cell r="F8">
            <v>94</v>
          </cell>
          <cell r="G8">
            <v>95</v>
          </cell>
          <cell r="H8">
            <v>96</v>
          </cell>
          <cell r="I8">
            <v>97</v>
          </cell>
          <cell r="J8">
            <v>98</v>
          </cell>
          <cell r="K8">
            <v>99</v>
          </cell>
          <cell r="L8" t="str">
            <v>00</v>
          </cell>
          <cell r="M8" t="str">
            <v>01</v>
          </cell>
          <cell r="N8" t="str">
            <v>02</v>
          </cell>
          <cell r="O8" t="str">
            <v>03</v>
          </cell>
          <cell r="P8" t="str">
            <v>04</v>
          </cell>
          <cell r="Q8" t="str">
            <v>05</v>
          </cell>
          <cell r="R8" t="str">
            <v>06</v>
          </cell>
          <cell r="S8" t="str">
            <v>07</v>
          </cell>
          <cell r="T8" t="str">
            <v>08</v>
          </cell>
          <cell r="U8" t="str">
            <v>09</v>
          </cell>
          <cell r="V8" t="str">
            <v>10</v>
          </cell>
        </row>
        <row r="13">
          <cell r="B13" t="str">
            <v>na</v>
          </cell>
          <cell r="C13" t="str">
            <v>na</v>
          </cell>
          <cell r="D13" t="str">
            <v>na</v>
          </cell>
          <cell r="E13" t="str">
            <v>na</v>
          </cell>
          <cell r="F13" t="str">
            <v>na</v>
          </cell>
          <cell r="G13" t="str">
            <v>na</v>
          </cell>
          <cell r="H13" t="str">
            <v>na</v>
          </cell>
          <cell r="I13" t="str">
            <v>na</v>
          </cell>
          <cell r="J13" t="str">
            <v>na</v>
          </cell>
          <cell r="K13" t="str">
            <v>na</v>
          </cell>
          <cell r="L13" t="str">
            <v>na</v>
          </cell>
          <cell r="M13" t="str">
            <v>na</v>
          </cell>
          <cell r="N13" t="str">
            <v>na</v>
          </cell>
          <cell r="O13" t="str">
            <v>na</v>
          </cell>
          <cell r="P13" t="str">
            <v>na</v>
          </cell>
          <cell r="Q13" t="str">
            <v>na</v>
          </cell>
          <cell r="R13" t="str">
            <v>na</v>
          </cell>
          <cell r="S13" t="str">
            <v>na</v>
          </cell>
          <cell r="T13" t="str">
            <v>na</v>
          </cell>
          <cell r="U13" t="str">
            <v>na</v>
          </cell>
          <cell r="V13" t="str">
            <v>na</v>
          </cell>
        </row>
        <row r="14">
          <cell r="B14">
            <v>0</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row>
        <row r="19">
          <cell r="B19">
            <v>414.7</v>
          </cell>
          <cell r="C19">
            <v>273</v>
          </cell>
          <cell r="D19">
            <v>269.8</v>
          </cell>
          <cell r="E19">
            <v>245</v>
          </cell>
          <cell r="F19">
            <v>253.6</v>
          </cell>
          <cell r="G19">
            <v>297</v>
          </cell>
          <cell r="H19">
            <v>378.8</v>
          </cell>
          <cell r="I19">
            <v>479.3</v>
          </cell>
          <cell r="J19">
            <v>421.5</v>
          </cell>
          <cell r="K19">
            <v>430.6</v>
          </cell>
          <cell r="L19">
            <v>421.3</v>
          </cell>
          <cell r="M19">
            <v>431.3</v>
          </cell>
          <cell r="N19">
            <v>443.1</v>
          </cell>
          <cell r="O19">
            <v>450</v>
          </cell>
          <cell r="P19">
            <v>456.74999999999994</v>
          </cell>
          <cell r="Q19">
            <v>463.60124999999988</v>
          </cell>
          <cell r="R19">
            <v>470.55526874999981</v>
          </cell>
          <cell r="S19">
            <v>477.61359778124978</v>
          </cell>
          <cell r="T19">
            <v>484.77780174796845</v>
          </cell>
          <cell r="U19">
            <v>492.04946877418791</v>
          </cell>
          <cell r="V19">
            <v>499.4302108058007</v>
          </cell>
        </row>
        <row r="21">
          <cell r="B21">
            <v>24.199576476360555</v>
          </cell>
          <cell r="C21">
            <v>24.260227043970481</v>
          </cell>
          <cell r="D21">
            <v>24.321029618015519</v>
          </cell>
          <cell r="E21">
            <v>24.381984579464177</v>
          </cell>
          <cell r="F21">
            <v>24.443092310239777</v>
          </cell>
          <cell r="G21">
            <v>24.504353193222833</v>
          </cell>
          <cell r="H21">
            <v>24.565767612253467</v>
          </cell>
          <cell r="I21">
            <v>24.627335952133802</v>
          </cell>
          <cell r="J21">
            <v>24.689058598630375</v>
          </cell>
          <cell r="K21">
            <v>24.750935938476566</v>
          </cell>
          <cell r="L21">
            <v>24.812968359375002</v>
          </cell>
          <cell r="M21">
            <v>24.87515625</v>
          </cell>
          <cell r="N21">
            <v>24.9375</v>
          </cell>
          <cell r="O21">
            <v>25</v>
          </cell>
          <cell r="P21">
            <v>25.0625</v>
          </cell>
          <cell r="Q21">
            <v>25.12515625</v>
          </cell>
          <cell r="R21">
            <v>25.187969140624997</v>
          </cell>
          <cell r="S21">
            <v>25.250939063476558</v>
          </cell>
          <cell r="T21">
            <v>25.314066411135247</v>
          </cell>
          <cell r="U21">
            <v>25.377351577163083</v>
          </cell>
          <cell r="V21">
            <v>25.440794956105989</v>
          </cell>
        </row>
        <row r="28">
          <cell r="B28">
            <v>-452.06656377065138</v>
          </cell>
          <cell r="C28">
            <v>-306.17803385528958</v>
          </cell>
          <cell r="D28">
            <v>-302.94466050655603</v>
          </cell>
          <cell r="E28">
            <v>-277.46344411684811</v>
          </cell>
          <cell r="F28">
            <v>-286.38438507954697</v>
          </cell>
          <cell r="G28">
            <v>-331.14948378901948</v>
          </cell>
          <cell r="H28">
            <v>-415.46674064062108</v>
          </cell>
          <cell r="I28">
            <v>-519.04515603069785</v>
          </cell>
          <cell r="J28">
            <v>-459.57473035658927</v>
          </cell>
          <cell r="K28">
            <v>-469.0114640166309</v>
          </cell>
          <cell r="L28">
            <v>-459.49635741015629</v>
          </cell>
          <cell r="M28">
            <v>-469.86041093749998</v>
          </cell>
          <cell r="N28">
            <v>-482.07862500000005</v>
          </cell>
          <cell r="O28">
            <v>-489.25</v>
          </cell>
          <cell r="P28">
            <v>-496.26687499999991</v>
          </cell>
          <cell r="Q28">
            <v>-503.38819843749985</v>
          </cell>
          <cell r="R28">
            <v>-510.61553502734358</v>
          </cell>
          <cell r="S28">
            <v>-517.95047295006816</v>
          </cell>
          <cell r="T28">
            <v>-525.39462420387679</v>
          </cell>
          <cell r="U28">
            <v>-532.94962496189157</v>
          </cell>
          <cell r="V28">
            <v>-540.61713593476384</v>
          </cell>
        </row>
        <row r="51">
          <cell r="B51">
            <v>0</v>
          </cell>
          <cell r="C51">
            <v>0</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tions by Employee"/>
      <sheetName val="Summary Option Analysis"/>
      <sheetName val="Sheet2"/>
      <sheetName val="Sheet3"/>
    </sheetNames>
    <sheetDataSet>
      <sheetData sheetId="0" refreshError="1">
        <row r="9">
          <cell r="A9">
            <v>1998</v>
          </cell>
          <cell r="D9">
            <v>0.5</v>
          </cell>
        </row>
        <row r="10">
          <cell r="A10" t="str">
            <v xml:space="preserve">RESEARCH     </v>
          </cell>
        </row>
        <row r="11">
          <cell r="A11" t="str">
            <v>Rainer Ziermann - Scientist</v>
          </cell>
          <cell r="B11">
            <v>69000</v>
          </cell>
          <cell r="C11">
            <v>34653</v>
          </cell>
          <cell r="D11">
            <v>34500</v>
          </cell>
          <cell r="G11">
            <v>7000</v>
          </cell>
          <cell r="H11">
            <v>-100</v>
          </cell>
        </row>
        <row r="12">
          <cell r="A12" t="str">
            <v>Ellen Paxinos - Assoc Scientist</v>
          </cell>
          <cell r="B12">
            <v>50000</v>
          </cell>
          <cell r="C12">
            <v>34674</v>
          </cell>
          <cell r="D12">
            <v>25000</v>
          </cell>
          <cell r="G12">
            <v>5000</v>
          </cell>
          <cell r="H12">
            <v>0</v>
          </cell>
        </row>
        <row r="13">
          <cell r="A13" t="str">
            <v>Wei Huang - Senior RA</v>
          </cell>
          <cell r="B13">
            <v>64000</v>
          </cell>
          <cell r="C13">
            <v>34457</v>
          </cell>
          <cell r="D13">
            <v>32000</v>
          </cell>
          <cell r="G13">
            <v>6500</v>
          </cell>
          <cell r="H13">
            <v>-100</v>
          </cell>
        </row>
        <row r="14">
          <cell r="A14" t="str">
            <v>Jen Fischer - Admin Asst</v>
          </cell>
          <cell r="B14">
            <v>39998.400000000001</v>
          </cell>
          <cell r="C14">
            <v>34597</v>
          </cell>
          <cell r="D14">
            <v>19999.2</v>
          </cell>
          <cell r="G14">
            <v>4000</v>
          </cell>
          <cell r="H14">
            <v>-0.15999999999985448</v>
          </cell>
        </row>
        <row r="16">
          <cell r="A16" t="str">
            <v>CLINICAL REFERENCE LAB/MFG SUPPORT OPS</v>
          </cell>
        </row>
        <row r="17">
          <cell r="A17" t="str">
            <v>JulieTam - Medical Technologist</v>
          </cell>
          <cell r="B17">
            <v>48000</v>
          </cell>
          <cell r="C17">
            <v>34393</v>
          </cell>
          <cell r="D17">
            <v>24000</v>
          </cell>
          <cell r="G17">
            <v>4760</v>
          </cell>
          <cell r="H17">
            <v>40</v>
          </cell>
        </row>
        <row r="18">
          <cell r="A18" t="str">
            <v>Sophia Chen - Medical Technologist</v>
          </cell>
          <cell r="B18">
            <v>52000</v>
          </cell>
          <cell r="C18">
            <v>34454</v>
          </cell>
          <cell r="D18">
            <v>26000</v>
          </cell>
          <cell r="G18">
            <v>4800</v>
          </cell>
          <cell r="H18">
            <v>400</v>
          </cell>
        </row>
        <row r="19">
          <cell r="A19" t="str">
            <v>Joe Wang -  Medical Technologist</v>
          </cell>
          <cell r="B19">
            <v>66000</v>
          </cell>
          <cell r="C19">
            <v>34577</v>
          </cell>
          <cell r="D19">
            <v>33000</v>
          </cell>
          <cell r="G19">
            <v>7000</v>
          </cell>
          <cell r="H19">
            <v>-400</v>
          </cell>
        </row>
        <row r="20">
          <cell r="A20" t="str">
            <v>Joyce Yap - Medical Technologist</v>
          </cell>
          <cell r="B20">
            <v>46000.08</v>
          </cell>
          <cell r="C20">
            <v>34607</v>
          </cell>
          <cell r="D20">
            <v>23000.04</v>
          </cell>
          <cell r="G20">
            <v>4500</v>
          </cell>
          <cell r="H20">
            <v>100.00799999999981</v>
          </cell>
        </row>
        <row r="21">
          <cell r="A21" t="str">
            <v>Jennifer Pecson - Medical Technologist</v>
          </cell>
          <cell r="B21">
            <v>47000.04</v>
          </cell>
          <cell r="C21">
            <v>34607</v>
          </cell>
          <cell r="D21">
            <v>23500.02</v>
          </cell>
          <cell r="G21">
            <v>4000</v>
          </cell>
          <cell r="H21">
            <v>700.00399999999991</v>
          </cell>
        </row>
        <row r="22">
          <cell r="A22" t="str">
            <v>Paul Yap - Lab Tech #1</v>
          </cell>
          <cell r="B22">
            <v>32760</v>
          </cell>
          <cell r="C22">
            <v>34365</v>
          </cell>
          <cell r="D22">
            <v>16380</v>
          </cell>
          <cell r="G22">
            <v>3200</v>
          </cell>
          <cell r="H22">
            <v>76</v>
          </cell>
        </row>
        <row r="23">
          <cell r="A23" t="str">
            <v>Gina Gonzaga - Cell Culture Tech</v>
          </cell>
          <cell r="B23">
            <v>36400</v>
          </cell>
          <cell r="C23">
            <v>34619</v>
          </cell>
          <cell r="D23">
            <v>18200</v>
          </cell>
          <cell r="G23">
            <v>3000</v>
          </cell>
          <cell r="H23">
            <v>640</v>
          </cell>
        </row>
        <row r="24">
          <cell r="A24" t="str">
            <v xml:space="preserve">Jonas San Gabriel - Lab Tech </v>
          </cell>
          <cell r="B24">
            <v>36400</v>
          </cell>
          <cell r="C24">
            <v>34632</v>
          </cell>
          <cell r="D24">
            <v>18200</v>
          </cell>
          <cell r="G24">
            <v>3000</v>
          </cell>
          <cell r="H24">
            <v>640</v>
          </cell>
        </row>
        <row r="25">
          <cell r="A25" t="str">
            <v>Mike Nakanishi - Lab Tech</v>
          </cell>
          <cell r="B25">
            <v>31720</v>
          </cell>
          <cell r="C25">
            <v>34628</v>
          </cell>
          <cell r="D25">
            <v>15860</v>
          </cell>
          <cell r="G25">
            <v>3000</v>
          </cell>
          <cell r="H25">
            <v>172</v>
          </cell>
        </row>
        <row r="26">
          <cell r="A26" t="str">
            <v>Lan Trinh - Lab Tech</v>
          </cell>
          <cell r="B26">
            <v>31200</v>
          </cell>
          <cell r="C26">
            <v>34625</v>
          </cell>
          <cell r="D26">
            <v>15600</v>
          </cell>
          <cell r="G26">
            <v>3000</v>
          </cell>
          <cell r="H26">
            <v>120</v>
          </cell>
        </row>
        <row r="27">
          <cell r="A27" t="str">
            <v>Mona Francisco - Lab Tech</v>
          </cell>
          <cell r="B27">
            <v>30680</v>
          </cell>
          <cell r="C27">
            <v>34636</v>
          </cell>
          <cell r="D27">
            <v>15340</v>
          </cell>
          <cell r="G27">
            <v>3000</v>
          </cell>
          <cell r="H27">
            <v>68</v>
          </cell>
        </row>
        <row r="28">
          <cell r="A28" t="str">
            <v>Justin Schreiber - Lab Tech</v>
          </cell>
          <cell r="B28">
            <v>29120</v>
          </cell>
          <cell r="C28">
            <v>34636</v>
          </cell>
          <cell r="D28">
            <v>14560</v>
          </cell>
          <cell r="G28">
            <v>2800</v>
          </cell>
          <cell r="H28">
            <v>112</v>
          </cell>
        </row>
        <row r="29">
          <cell r="A29" t="str">
            <v>Nemia Quijano - Lab Tech</v>
          </cell>
          <cell r="B29">
            <v>30160</v>
          </cell>
          <cell r="C29">
            <v>34636</v>
          </cell>
          <cell r="D29">
            <v>15080</v>
          </cell>
          <cell r="G29">
            <v>3000</v>
          </cell>
          <cell r="H29">
            <v>16</v>
          </cell>
        </row>
        <row r="30">
          <cell r="A30" t="str">
            <v>Debbie Kwong - Cell Culture Tech</v>
          </cell>
          <cell r="B30">
            <v>38000</v>
          </cell>
          <cell r="C30">
            <v>34454</v>
          </cell>
          <cell r="D30">
            <v>19000</v>
          </cell>
          <cell r="G30">
            <v>3800</v>
          </cell>
          <cell r="H30">
            <v>0</v>
          </cell>
        </row>
        <row r="31">
          <cell r="A31" t="str">
            <v>Grillmeyer - R.A.-RTV support</v>
          </cell>
          <cell r="B31">
            <v>44000</v>
          </cell>
          <cell r="C31">
            <v>34303</v>
          </cell>
          <cell r="D31">
            <v>22000</v>
          </cell>
          <cell r="G31">
            <v>4500</v>
          </cell>
          <cell r="H31">
            <v>-100</v>
          </cell>
        </row>
        <row r="33">
          <cell r="A33" t="str">
            <v>AUTOMATION / INFORMATION SYSTEMS</v>
          </cell>
        </row>
        <row r="34">
          <cell r="A34" t="str">
            <v>Steve Thompson - I.S. Director</v>
          </cell>
          <cell r="B34">
            <v>110000</v>
          </cell>
          <cell r="C34">
            <v>34345</v>
          </cell>
          <cell r="D34">
            <v>55000</v>
          </cell>
          <cell r="G34">
            <v>62500</v>
          </cell>
          <cell r="H34">
            <v>-51500</v>
          </cell>
        </row>
        <row r="35">
          <cell r="A35" t="str">
            <v>John Stewart - Sys Admin</v>
          </cell>
          <cell r="B35">
            <v>60000</v>
          </cell>
          <cell r="C35">
            <v>34655</v>
          </cell>
          <cell r="D35">
            <v>30000</v>
          </cell>
          <cell r="G35">
            <v>6000</v>
          </cell>
          <cell r="H35">
            <v>0</v>
          </cell>
        </row>
        <row r="37">
          <cell r="A37" t="str">
            <v>CLINICAL RESEARCH</v>
          </cell>
        </row>
        <row r="38">
          <cell r="A38" t="str">
            <v>Maureen Grech - Admin Asst</v>
          </cell>
          <cell r="B38">
            <v>49004.799999999996</v>
          </cell>
          <cell r="C38">
            <v>34676</v>
          </cell>
          <cell r="D38">
            <v>24502.399999999998</v>
          </cell>
          <cell r="G38">
            <v>4500</v>
          </cell>
          <cell r="H38">
            <v>400.47999999999956</v>
          </cell>
        </row>
        <row r="40">
          <cell r="A40" t="str">
            <v>ADMINISTRATION</v>
          </cell>
        </row>
        <row r="41">
          <cell r="A41" t="str">
            <v>Cherie Patterson - Accountant</v>
          </cell>
          <cell r="B41">
            <v>34860</v>
          </cell>
          <cell r="C41">
            <v>34424</v>
          </cell>
          <cell r="D41">
            <v>17430</v>
          </cell>
          <cell r="G41">
            <v>4000</v>
          </cell>
          <cell r="H41">
            <v>-514</v>
          </cell>
        </row>
        <row r="42">
          <cell r="A42" t="str">
            <v>Erin Hagan - Receptionist</v>
          </cell>
          <cell r="B42">
            <v>32000</v>
          </cell>
          <cell r="C42">
            <v>34638</v>
          </cell>
          <cell r="D42">
            <v>16000</v>
          </cell>
          <cell r="G42">
            <v>3000</v>
          </cell>
          <cell r="H42">
            <v>200</v>
          </cell>
        </row>
        <row r="43">
          <cell r="A43" t="str">
            <v>Patty Wray - Senior Director, HR</v>
          </cell>
          <cell r="B43">
            <v>110000.16</v>
          </cell>
          <cell r="C43">
            <v>34577</v>
          </cell>
          <cell r="D43">
            <v>55000.08</v>
          </cell>
          <cell r="G43">
            <v>35000</v>
          </cell>
          <cell r="H43">
            <v>-23999.984</v>
          </cell>
        </row>
        <row r="44">
          <cell r="A44" t="str">
            <v>Sandy Tran - Receptionist -- 1,500 options granted have been excluded from this analysis as they were granted and canceled w/in 1998</v>
          </cell>
        </row>
        <row r="46">
          <cell r="A46" t="str">
            <v>SALES &amp; MKTG</v>
          </cell>
        </row>
        <row r="47">
          <cell r="A47" t="str">
            <v>Robin Toft - S&amp;M VP</v>
          </cell>
          <cell r="B47">
            <v>159300</v>
          </cell>
          <cell r="C47">
            <v>34471</v>
          </cell>
          <cell r="D47">
            <v>79650</v>
          </cell>
          <cell r="G47">
            <v>125000</v>
          </cell>
          <cell r="H47">
            <v>-109070</v>
          </cell>
        </row>
        <row r="48">
          <cell r="A48" t="str">
            <v>Sidney Ho - Director, Public Affairs</v>
          </cell>
          <cell r="B48">
            <v>78000</v>
          </cell>
          <cell r="C48">
            <v>34625</v>
          </cell>
          <cell r="D48">
            <v>39000</v>
          </cell>
          <cell r="G48">
            <v>25000</v>
          </cell>
          <cell r="H48">
            <v>-17200</v>
          </cell>
        </row>
        <row r="50">
          <cell r="A50" t="str">
            <v xml:space="preserve">FACILITIES </v>
          </cell>
        </row>
        <row r="51">
          <cell r="A51" t="str">
            <v>Ken Quach - Warehouseman</v>
          </cell>
          <cell r="B51">
            <v>27040</v>
          </cell>
          <cell r="C51">
            <v>34438</v>
          </cell>
          <cell r="D51">
            <v>13520</v>
          </cell>
          <cell r="G51">
            <v>2700</v>
          </cell>
          <cell r="H51">
            <v>4</v>
          </cell>
        </row>
        <row r="54">
          <cell r="A54" t="str">
            <v>TOTAL 1998</v>
          </cell>
          <cell r="F54">
            <v>0</v>
          </cell>
          <cell r="G54">
            <v>347560</v>
          </cell>
          <cell r="H54">
            <v>-199295.652</v>
          </cell>
        </row>
        <row r="56">
          <cell r="A56" t="str">
            <v># OF OPTIONS AVAILABLE FOR GRANT - 12/31/97 (per fin'l stmts)</v>
          </cell>
          <cell r="G56">
            <v>533401</v>
          </cell>
        </row>
        <row r="57">
          <cell r="A57" t="str">
            <v>New Hire Option Grants - 1998</v>
          </cell>
          <cell r="G57">
            <v>-347560</v>
          </cell>
        </row>
        <row r="58">
          <cell r="A58" t="str">
            <v>Consultant Option Grant- 1998</v>
          </cell>
          <cell r="G58">
            <v>-10676</v>
          </cell>
        </row>
        <row r="59">
          <cell r="A59" t="str">
            <v>Options Canceled - 1998</v>
          </cell>
          <cell r="G59">
            <v>169500</v>
          </cell>
        </row>
        <row r="61">
          <cell r="A61" t="str">
            <v>REMAINDER # AVAILABLE FOR 1999 HIRES</v>
          </cell>
          <cell r="G61">
            <v>344665</v>
          </cell>
        </row>
        <row r="62">
          <cell r="A62" t="str">
            <v>[this # agrees to options available per schedule in Stockholders Equity recon worksheet]</v>
          </cell>
        </row>
        <row r="64">
          <cell r="A64" t="str">
            <v>1999 BUDGETED HEADCOUNT</v>
          </cell>
          <cell r="D64" t="str">
            <v>% of salary</v>
          </cell>
        </row>
        <row r="65">
          <cell r="D65">
            <v>0.5</v>
          </cell>
          <cell r="E65">
            <v>0.5</v>
          </cell>
        </row>
        <row r="66">
          <cell r="A66" t="str">
            <v xml:space="preserve">RESEARCH     </v>
          </cell>
        </row>
        <row r="67">
          <cell r="A67" t="str">
            <v>Scientist #5</v>
          </cell>
          <cell r="B67">
            <v>70000</v>
          </cell>
          <cell r="C67">
            <v>34730</v>
          </cell>
          <cell r="D67">
            <v>35000</v>
          </cell>
          <cell r="F67">
            <v>7000</v>
          </cell>
        </row>
        <row r="68">
          <cell r="A68" t="str">
            <v>Scientist #6</v>
          </cell>
          <cell r="B68">
            <v>70000</v>
          </cell>
          <cell r="C68">
            <v>34819</v>
          </cell>
          <cell r="E68">
            <v>35000</v>
          </cell>
          <cell r="F68">
            <v>7000</v>
          </cell>
        </row>
        <row r="69">
          <cell r="A69" t="str">
            <v>SRA #5</v>
          </cell>
          <cell r="B69">
            <v>55000</v>
          </cell>
          <cell r="C69">
            <v>34819</v>
          </cell>
          <cell r="E69">
            <v>27500</v>
          </cell>
          <cell r="F69">
            <v>5500</v>
          </cell>
        </row>
        <row r="70">
          <cell r="A70" t="str">
            <v>Scientist #7</v>
          </cell>
          <cell r="B70">
            <v>70000</v>
          </cell>
          <cell r="C70">
            <v>34880</v>
          </cell>
          <cell r="E70">
            <v>35000</v>
          </cell>
          <cell r="F70">
            <v>7000</v>
          </cell>
        </row>
        <row r="71">
          <cell r="A71" t="str">
            <v>Scientist  #8</v>
          </cell>
          <cell r="B71">
            <v>70000</v>
          </cell>
          <cell r="C71">
            <v>34911</v>
          </cell>
          <cell r="E71">
            <v>35000</v>
          </cell>
          <cell r="F71">
            <v>7000</v>
          </cell>
        </row>
        <row r="72">
          <cell r="A72" t="str">
            <v>Scientist #9</v>
          </cell>
          <cell r="B72">
            <v>70000</v>
          </cell>
          <cell r="C72">
            <v>34942</v>
          </cell>
          <cell r="E72">
            <v>35000</v>
          </cell>
          <cell r="F72">
            <v>7000</v>
          </cell>
        </row>
        <row r="73">
          <cell r="A73" t="str">
            <v>Research Assoc. #2</v>
          </cell>
          <cell r="B73">
            <v>45000</v>
          </cell>
          <cell r="C73">
            <v>34880</v>
          </cell>
          <cell r="E73">
            <v>22500</v>
          </cell>
          <cell r="F73">
            <v>4500</v>
          </cell>
        </row>
        <row r="74">
          <cell r="A74" t="str">
            <v>Research Assoc. #3</v>
          </cell>
          <cell r="B74">
            <v>45000</v>
          </cell>
          <cell r="C74">
            <v>34911</v>
          </cell>
          <cell r="E74">
            <v>22500</v>
          </cell>
          <cell r="F74">
            <v>4500</v>
          </cell>
        </row>
        <row r="75">
          <cell r="A75" t="str">
            <v>Research Assoc. #4</v>
          </cell>
          <cell r="B75">
            <v>45000</v>
          </cell>
          <cell r="C75">
            <v>34942</v>
          </cell>
          <cell r="E75">
            <v>22500</v>
          </cell>
          <cell r="F75">
            <v>4500</v>
          </cell>
        </row>
        <row r="77">
          <cell r="A77" t="str">
            <v>CLINICAL REFERENCE LAB</v>
          </cell>
        </row>
        <row r="78">
          <cell r="A78" t="str">
            <v>Operations Mgr (Med Tech)</v>
          </cell>
          <cell r="B78">
            <v>65000</v>
          </cell>
          <cell r="C78">
            <v>34730</v>
          </cell>
          <cell r="D78">
            <v>32500</v>
          </cell>
          <cell r="F78">
            <v>6500</v>
          </cell>
        </row>
        <row r="79">
          <cell r="A79" t="str">
            <v>Medical Tech (MT#6) - Front End</v>
          </cell>
          <cell r="B79">
            <v>50000</v>
          </cell>
          <cell r="C79">
            <v>34699</v>
          </cell>
          <cell r="D79">
            <v>25000</v>
          </cell>
          <cell r="F79">
            <v>5000</v>
          </cell>
        </row>
        <row r="80">
          <cell r="A80" t="str">
            <v>Medical Tech (MT#7) - Front End</v>
          </cell>
          <cell r="B80">
            <v>47000</v>
          </cell>
          <cell r="C80">
            <v>34730</v>
          </cell>
          <cell r="D80">
            <v>23500</v>
          </cell>
          <cell r="F80">
            <v>4700</v>
          </cell>
        </row>
        <row r="81">
          <cell r="A81" t="str">
            <v>Lab Asst (Accessioning, other)</v>
          </cell>
          <cell r="B81">
            <v>31000</v>
          </cell>
          <cell r="C81">
            <v>34699</v>
          </cell>
          <cell r="D81">
            <v>15500</v>
          </cell>
          <cell r="F81">
            <v>3100</v>
          </cell>
        </row>
        <row r="82">
          <cell r="A82" t="str">
            <v xml:space="preserve">Med Tech - Lead (Back End) </v>
          </cell>
          <cell r="B82">
            <v>55000</v>
          </cell>
          <cell r="C82">
            <v>34699</v>
          </cell>
          <cell r="D82">
            <v>27500</v>
          </cell>
          <cell r="F82">
            <v>5500</v>
          </cell>
        </row>
        <row r="83">
          <cell r="A83" t="str">
            <v>Med Tech (Data Prod/Anal)</v>
          </cell>
          <cell r="B83">
            <v>50000</v>
          </cell>
          <cell r="C83">
            <v>34699</v>
          </cell>
          <cell r="D83">
            <v>25000</v>
          </cell>
          <cell r="F83">
            <v>5000</v>
          </cell>
        </row>
        <row r="84">
          <cell r="A84" t="str">
            <v>Medical Tech Supv - Front End</v>
          </cell>
          <cell r="B84">
            <v>55000</v>
          </cell>
          <cell r="C84">
            <v>34880</v>
          </cell>
          <cell r="E84">
            <v>27500</v>
          </cell>
          <cell r="F84">
            <v>5500</v>
          </cell>
        </row>
        <row r="85">
          <cell r="A85" t="str">
            <v>Medical Tech (MT#8) - Front End</v>
          </cell>
          <cell r="B85">
            <v>45000</v>
          </cell>
          <cell r="C85">
            <v>34789</v>
          </cell>
          <cell r="E85">
            <v>22500</v>
          </cell>
          <cell r="F85">
            <v>4500</v>
          </cell>
        </row>
        <row r="86">
          <cell r="A86" t="str">
            <v>Medical Tech (MT#9) - Front End</v>
          </cell>
          <cell r="B86">
            <v>45000</v>
          </cell>
          <cell r="C86">
            <v>34789</v>
          </cell>
          <cell r="E86">
            <v>22500</v>
          </cell>
          <cell r="F86">
            <v>4500</v>
          </cell>
        </row>
        <row r="87">
          <cell r="A87" t="str">
            <v>Medical Tech (MT#10) - Front End</v>
          </cell>
          <cell r="B87">
            <v>45000</v>
          </cell>
          <cell r="C87">
            <v>34819</v>
          </cell>
          <cell r="E87">
            <v>22500</v>
          </cell>
          <cell r="F87">
            <v>4500</v>
          </cell>
        </row>
        <row r="88">
          <cell r="A88" t="str">
            <v>Medical Tech (MT#11) - Front End</v>
          </cell>
          <cell r="B88">
            <v>45000</v>
          </cell>
          <cell r="C88">
            <v>34911</v>
          </cell>
          <cell r="E88">
            <v>22500</v>
          </cell>
          <cell r="F88">
            <v>4500</v>
          </cell>
        </row>
        <row r="89">
          <cell r="A89" t="str">
            <v>Lab Assistant - Front End</v>
          </cell>
          <cell r="B89">
            <v>30000</v>
          </cell>
          <cell r="C89">
            <v>34911</v>
          </cell>
          <cell r="E89">
            <v>15000</v>
          </cell>
          <cell r="F89">
            <v>3000</v>
          </cell>
        </row>
        <row r="90">
          <cell r="A90" t="str">
            <v>Med Tech (Night Supv) - Back End</v>
          </cell>
          <cell r="B90">
            <v>55000</v>
          </cell>
          <cell r="C90">
            <v>34880</v>
          </cell>
          <cell r="E90">
            <v>27500</v>
          </cell>
          <cell r="F90">
            <v>5500</v>
          </cell>
        </row>
        <row r="91">
          <cell r="A91" t="str">
            <v>Med Tech (Data Prod/Anal #2)</v>
          </cell>
          <cell r="B91">
            <v>50000</v>
          </cell>
          <cell r="C91">
            <v>34880</v>
          </cell>
          <cell r="E91">
            <v>25000</v>
          </cell>
          <cell r="F91">
            <v>5000</v>
          </cell>
        </row>
        <row r="93">
          <cell r="A93" t="str">
            <v>CLINICAL RESEARCH</v>
          </cell>
        </row>
        <row r="94">
          <cell r="A94" t="str">
            <v>Clin Project Mgr</v>
          </cell>
          <cell r="B94">
            <v>85000</v>
          </cell>
          <cell r="C94">
            <v>34819</v>
          </cell>
          <cell r="E94">
            <v>42500</v>
          </cell>
          <cell r="F94">
            <v>8500</v>
          </cell>
        </row>
        <row r="95">
          <cell r="A95" t="str">
            <v>Statistician/CRO</v>
          </cell>
          <cell r="B95">
            <v>80000</v>
          </cell>
          <cell r="C95">
            <v>34911</v>
          </cell>
          <cell r="E95">
            <v>40000</v>
          </cell>
          <cell r="F95">
            <v>8000</v>
          </cell>
        </row>
        <row r="97">
          <cell r="A97" t="str">
            <v>AUTOMATION</v>
          </cell>
        </row>
        <row r="98">
          <cell r="A98" t="str">
            <v>Automation Scientist #2</v>
          </cell>
          <cell r="B98">
            <v>65000</v>
          </cell>
          <cell r="C98">
            <v>34730</v>
          </cell>
          <cell r="D98">
            <v>32500</v>
          </cell>
          <cell r="F98">
            <v>6500</v>
          </cell>
        </row>
        <row r="99">
          <cell r="A99" t="str">
            <v>Automation Specialist #3</v>
          </cell>
          <cell r="B99">
            <v>50000</v>
          </cell>
          <cell r="C99">
            <v>34730</v>
          </cell>
          <cell r="D99">
            <v>25000</v>
          </cell>
          <cell r="F99">
            <v>5000</v>
          </cell>
        </row>
        <row r="100">
          <cell r="A100" t="str">
            <v>Automation Specialist #4</v>
          </cell>
          <cell r="B100">
            <v>40000</v>
          </cell>
          <cell r="C100">
            <v>34880</v>
          </cell>
          <cell r="E100">
            <v>20000</v>
          </cell>
          <cell r="F100">
            <v>4000</v>
          </cell>
        </row>
        <row r="102">
          <cell r="A102" t="str">
            <v>INFORMATION SYSTEMS</v>
          </cell>
        </row>
        <row r="103">
          <cell r="A103" t="str">
            <v>Programmer #1</v>
          </cell>
          <cell r="B103">
            <v>75000</v>
          </cell>
          <cell r="C103">
            <v>34699</v>
          </cell>
          <cell r="D103">
            <v>37500</v>
          </cell>
          <cell r="F103">
            <v>7500</v>
          </cell>
        </row>
        <row r="104">
          <cell r="A104" t="str">
            <v>Programmer #2</v>
          </cell>
          <cell r="B104">
            <v>75000</v>
          </cell>
          <cell r="C104">
            <v>34789</v>
          </cell>
          <cell r="E104">
            <v>37500</v>
          </cell>
          <cell r="F104">
            <v>7500</v>
          </cell>
        </row>
        <row r="105">
          <cell r="A105" t="str">
            <v>Laboratory Info. Sys Admin</v>
          </cell>
          <cell r="B105">
            <v>70000</v>
          </cell>
          <cell r="C105">
            <v>34758</v>
          </cell>
          <cell r="D105">
            <v>35000</v>
          </cell>
          <cell r="F105">
            <v>7000</v>
          </cell>
        </row>
        <row r="106">
          <cell r="A106" t="str">
            <v>Data Coordinator</v>
          </cell>
          <cell r="B106">
            <v>40000</v>
          </cell>
          <cell r="C106">
            <v>34789</v>
          </cell>
          <cell r="E106">
            <v>20000</v>
          </cell>
          <cell r="F106">
            <v>4000</v>
          </cell>
        </row>
        <row r="108">
          <cell r="A108" t="str">
            <v>ADMINISTRATION</v>
          </cell>
        </row>
        <row r="109">
          <cell r="A109" t="str">
            <v>CFO</v>
          </cell>
          <cell r="B109">
            <v>175000</v>
          </cell>
          <cell r="C109">
            <v>34730</v>
          </cell>
          <cell r="D109">
            <v>87500</v>
          </cell>
          <cell r="F109">
            <v>75000</v>
          </cell>
          <cell r="G109" t="str">
            <v>formula override</v>
          </cell>
        </row>
        <row r="110">
          <cell r="A110" t="str">
            <v>Controller, Dir of Finance</v>
          </cell>
          <cell r="B110">
            <v>100000</v>
          </cell>
          <cell r="C110">
            <v>34758</v>
          </cell>
          <cell r="D110">
            <v>50000</v>
          </cell>
          <cell r="F110">
            <v>10000</v>
          </cell>
        </row>
        <row r="111">
          <cell r="A111" t="str">
            <v>HR Admin Support</v>
          </cell>
          <cell r="B111">
            <v>35000</v>
          </cell>
          <cell r="C111">
            <v>34789</v>
          </cell>
          <cell r="E111">
            <v>17500</v>
          </cell>
          <cell r="F111">
            <v>3500</v>
          </cell>
        </row>
        <row r="112">
          <cell r="A112" t="str">
            <v>Accountant #2</v>
          </cell>
          <cell r="B112">
            <v>40000</v>
          </cell>
          <cell r="C112">
            <v>34789</v>
          </cell>
          <cell r="E112">
            <v>20000</v>
          </cell>
          <cell r="F112">
            <v>4000</v>
          </cell>
        </row>
        <row r="113">
          <cell r="A113" t="str">
            <v>General Accounting Mgr</v>
          </cell>
          <cell r="B113">
            <v>55000</v>
          </cell>
          <cell r="C113">
            <v>34819</v>
          </cell>
          <cell r="E113">
            <v>27500</v>
          </cell>
          <cell r="F113">
            <v>5500</v>
          </cell>
        </row>
        <row r="114">
          <cell r="A114" t="str">
            <v>Cost Accountant</v>
          </cell>
          <cell r="B114">
            <v>50000</v>
          </cell>
          <cell r="C114">
            <v>34880</v>
          </cell>
          <cell r="E114">
            <v>25000</v>
          </cell>
          <cell r="F114">
            <v>5000</v>
          </cell>
        </row>
        <row r="115">
          <cell r="A115" t="str">
            <v>Attorney/Bus Dev'l</v>
          </cell>
          <cell r="B115">
            <v>100000</v>
          </cell>
          <cell r="C115">
            <v>34880</v>
          </cell>
          <cell r="E115">
            <v>50000</v>
          </cell>
          <cell r="F115">
            <v>15000</v>
          </cell>
          <cell r="G115" t="str">
            <v>formula override</v>
          </cell>
        </row>
        <row r="117">
          <cell r="A117" t="str">
            <v>SALES &amp; MKTG</v>
          </cell>
        </row>
        <row r="118">
          <cell r="A118" t="str">
            <v>Customer Svc Mgr</v>
          </cell>
          <cell r="B118">
            <v>80000</v>
          </cell>
          <cell r="C118">
            <v>34699</v>
          </cell>
          <cell r="D118">
            <v>40000</v>
          </cell>
          <cell r="F118">
            <v>8000</v>
          </cell>
        </row>
        <row r="119">
          <cell r="A119" t="str">
            <v>Customer Svc Rep #1</v>
          </cell>
          <cell r="B119">
            <v>35000</v>
          </cell>
          <cell r="C119">
            <v>34789</v>
          </cell>
          <cell r="E119">
            <v>17500</v>
          </cell>
          <cell r="F119">
            <v>3500</v>
          </cell>
        </row>
        <row r="120">
          <cell r="A120" t="str">
            <v xml:space="preserve">Sales Rep #1 </v>
          </cell>
          <cell r="B120">
            <v>70000</v>
          </cell>
          <cell r="C120">
            <v>34789</v>
          </cell>
          <cell r="E120">
            <v>35000</v>
          </cell>
          <cell r="F120">
            <v>7000</v>
          </cell>
        </row>
        <row r="121">
          <cell r="A121" t="str">
            <v xml:space="preserve">Sales Rep #2 </v>
          </cell>
          <cell r="B121">
            <v>70000</v>
          </cell>
          <cell r="C121">
            <v>34789</v>
          </cell>
          <cell r="E121">
            <v>35000</v>
          </cell>
          <cell r="F121">
            <v>7000</v>
          </cell>
        </row>
        <row r="122">
          <cell r="A122" t="str">
            <v xml:space="preserve">Sales Rep #3 </v>
          </cell>
          <cell r="B122">
            <v>70000</v>
          </cell>
          <cell r="C122">
            <v>34972</v>
          </cell>
          <cell r="E122">
            <v>35000</v>
          </cell>
          <cell r="F122">
            <v>7000</v>
          </cell>
        </row>
        <row r="123">
          <cell r="A123" t="str">
            <v>Admin Assistant</v>
          </cell>
          <cell r="B123">
            <v>30000</v>
          </cell>
          <cell r="C123">
            <v>34789</v>
          </cell>
          <cell r="E123">
            <v>15000</v>
          </cell>
          <cell r="F123">
            <v>3000</v>
          </cell>
        </row>
        <row r="125">
          <cell r="A125" t="str">
            <v>FACILITIES AND LAB SERVICES</v>
          </cell>
        </row>
        <row r="126">
          <cell r="A126" t="str">
            <v>Shipping/Rec (Quach repl)</v>
          </cell>
          <cell r="B126">
            <v>27000</v>
          </cell>
          <cell r="C126">
            <v>34699</v>
          </cell>
          <cell r="D126">
            <v>13500</v>
          </cell>
          <cell r="F126">
            <v>2700</v>
          </cell>
        </row>
        <row r="127">
          <cell r="A127" t="str">
            <v>QA Coordinator</v>
          </cell>
          <cell r="B127">
            <v>55000</v>
          </cell>
          <cell r="C127">
            <v>34758</v>
          </cell>
          <cell r="D127">
            <v>27500</v>
          </cell>
          <cell r="F127">
            <v>5500</v>
          </cell>
        </row>
        <row r="128">
          <cell r="A128" t="str">
            <v xml:space="preserve">Facility Tech #1 </v>
          </cell>
          <cell r="B128">
            <v>30000</v>
          </cell>
          <cell r="C128">
            <v>34758</v>
          </cell>
          <cell r="D128">
            <v>15000</v>
          </cell>
          <cell r="F128">
            <v>3000</v>
          </cell>
        </row>
        <row r="129">
          <cell r="A129" t="str">
            <v>Shipping/Rec #2 (96/day)</v>
          </cell>
          <cell r="B129">
            <v>27000</v>
          </cell>
          <cell r="C129">
            <v>34972</v>
          </cell>
          <cell r="E129">
            <v>13500</v>
          </cell>
          <cell r="F129">
            <v>2700</v>
          </cell>
        </row>
        <row r="131">
          <cell r="A131" t="str">
            <v>MANUFACTURING SUPPORT OPS</v>
          </cell>
        </row>
        <row r="132">
          <cell r="A132" t="str">
            <v>Lab Tech (O'Shea repl)</v>
          </cell>
          <cell r="B132">
            <v>32000</v>
          </cell>
          <cell r="C132">
            <v>34730</v>
          </cell>
          <cell r="D132">
            <v>16000</v>
          </cell>
          <cell r="F132">
            <v>3200</v>
          </cell>
        </row>
        <row r="133">
          <cell r="A133" t="str">
            <v xml:space="preserve">Lab Tech </v>
          </cell>
          <cell r="B133">
            <v>36000</v>
          </cell>
          <cell r="C133">
            <v>34789</v>
          </cell>
          <cell r="E133">
            <v>18000</v>
          </cell>
          <cell r="F133">
            <v>3600</v>
          </cell>
        </row>
        <row r="134">
          <cell r="A134" t="str">
            <v xml:space="preserve">Lab Tech </v>
          </cell>
          <cell r="B134">
            <v>36000</v>
          </cell>
          <cell r="C134">
            <v>34850</v>
          </cell>
          <cell r="E134">
            <v>18000</v>
          </cell>
          <cell r="F134">
            <v>3600</v>
          </cell>
        </row>
        <row r="135">
          <cell r="A135" t="str">
            <v>Lab Asst</v>
          </cell>
          <cell r="B135">
            <v>28000</v>
          </cell>
          <cell r="C135">
            <v>34880</v>
          </cell>
          <cell r="E135">
            <v>14000</v>
          </cell>
          <cell r="F135">
            <v>2800</v>
          </cell>
        </row>
        <row r="136">
          <cell r="A136" t="str">
            <v>Lab Tech (Reag Prep Supv)</v>
          </cell>
          <cell r="B136">
            <v>40000</v>
          </cell>
          <cell r="C136">
            <v>34880</v>
          </cell>
          <cell r="E136">
            <v>20000</v>
          </cell>
          <cell r="F136">
            <v>4000</v>
          </cell>
        </row>
        <row r="137">
          <cell r="A137" t="str">
            <v>Lab Tech (Grillmeyer filler)</v>
          </cell>
          <cell r="B137">
            <v>38000</v>
          </cell>
          <cell r="C137">
            <v>34911</v>
          </cell>
          <cell r="E137">
            <v>19000</v>
          </cell>
          <cell r="F137">
            <v>3800</v>
          </cell>
        </row>
        <row r="138">
          <cell r="A138" t="str">
            <v>Lab Asst</v>
          </cell>
          <cell r="B138">
            <v>29000</v>
          </cell>
          <cell r="C138">
            <v>34942</v>
          </cell>
          <cell r="E138">
            <v>14500</v>
          </cell>
          <cell r="F138">
            <v>2900</v>
          </cell>
        </row>
        <row r="139">
          <cell r="A139" t="str">
            <v>Cell Culture Technician</v>
          </cell>
          <cell r="B139">
            <v>36000</v>
          </cell>
          <cell r="C139">
            <v>34789</v>
          </cell>
          <cell r="E139">
            <v>18000</v>
          </cell>
          <cell r="F139">
            <v>3600</v>
          </cell>
        </row>
        <row r="142">
          <cell r="A142" t="str">
            <v>TOTAL 1999</v>
          </cell>
          <cell r="F142">
            <v>373700</v>
          </cell>
        </row>
        <row r="144">
          <cell r="A144" t="str">
            <v>OPTIONS AVAILABLE - BEGINNING OF YEAR</v>
          </cell>
          <cell r="F144">
            <v>344665</v>
          </cell>
        </row>
        <row r="146">
          <cell r="A146" t="str">
            <v>REMAINDER OF OPTIONS AVAILABLE</v>
          </cell>
          <cell r="F146">
            <v>-29035</v>
          </cell>
        </row>
      </sheetData>
      <sheetData sheetId="1"/>
      <sheetData sheetId="2"/>
      <sheetData sheetId="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tock Price"/>
      <sheetName val="Price of Comps-1yr (UHS)"/>
      <sheetName val="Price of Comps-1yr (UNH)"/>
      <sheetName val="Price of Comps-3yrs (UHS)"/>
      <sheetName val="Price of Comps-3yrs (UNH)"/>
      <sheetName val="critical"/>
      <sheetName val="medical"/>
      <sheetName val="manor"/>
      <sheetName val="Stock Price (4)"/>
      <sheetName val="Shareholder Value"/>
      <sheetName val="Shareholder Value (2)"/>
      <sheetName val="Shareholder Value (3)"/>
      <sheetName val="theatre"/>
      <sheetName val="StockPrice"/>
      <sheetName val="Total"/>
      <sheetName val="Stock_Price"/>
      <sheetName val="Price_of_Comps-1yr_(UHS)"/>
      <sheetName val="Price_of_Comps-1yr_(UNH)"/>
      <sheetName val="Price_of_Comps-3yrs_(UHS)"/>
      <sheetName val="Price_of_Comps-3yrs_(UNH)"/>
      <sheetName val="Stock_Price_(4)"/>
      <sheetName val="Shareholder_Value"/>
      <sheetName val="Shareholder_Value_(2)"/>
      <sheetName val="Shareholder_Value_(3)"/>
      <sheetName val="Graph"/>
      <sheetName val="Clec_Comp"/>
      <sheetName val="Assump"/>
      <sheetName val="DCF_Rider_Term_Mult"/>
      <sheetName val="Horus_P&amp;L"/>
      <sheetName val="Assumptions"/>
      <sheetName val="sales_vol_"/>
      <sheetName val="NewGLP_Assumptions"/>
      <sheetName val="Revenue"/>
      <sheetName val="3"/>
      <sheetName val="Acc_Dil"/>
      <sheetName val="6b"/>
      <sheetName val="ValMatrix"/>
      <sheetName val="Overview_1"/>
      <sheetName val="Value_Creation"/>
      <sheetName val="Controls"/>
      <sheetName val="budg_act"/>
      <sheetName val="1"/>
      <sheetName val="Admin"/>
      <sheetName val="Constants"/>
      <sheetName val="Model"/>
      <sheetName val="MOE"/>
      <sheetName val="Financials_Old"/>
      <sheetName val="5a"/>
      <sheetName val="Side_by_Side"/>
      <sheetName val="CA"/>
      <sheetName val="Overview_2"/>
      <sheetName val="Value_Creation_Chart"/>
      <sheetName val="PF__Cash_EPS_Graph"/>
      <sheetName val="Cash_Flow"/>
      <sheetName val="4"/>
      <sheetName val="Contribution"/>
      <sheetName val="middle-market_-_new"/>
      <sheetName val="7"/>
      <sheetName val="DRDs"/>
      <sheetName val="SX3"/>
      <sheetName val="QuickMerge"/>
      <sheetName val="CONTROL"/>
      <sheetName val="Parameters"/>
      <sheetName val="NOPAT_VDF"/>
      <sheetName val="RC"/>
      <sheetName val="Chapter_7"/>
      <sheetName val="Invested_capital_VDF"/>
      <sheetName val="DCF_VDF"/>
      <sheetName val="MWV-BAL"/>
      <sheetName val="Balance_Sheet"/>
      <sheetName val="US_dollar_mkt"/>
      <sheetName val="riderF"/>
      <sheetName val="cd_Data"/>
      <sheetName val="Colour_Hierarchy"/>
      <sheetName val="graphdialog"/>
      <sheetName val="CID"/>
      <sheetName val="Inputs"/>
      <sheetName val="Customers"/>
      <sheetName val="WEEKLYVLS"/>
      <sheetName val="Data"/>
      <sheetName val="Market_Share"/>
      <sheetName val="DCF"/>
      <sheetName val="lev_loan_raw_data"/>
      <sheetName val="Valuation_Matrix"/>
      <sheetName val="MLP_IPO_Yields_vs_MLP_Index"/>
      <sheetName val="Forecast"/>
      <sheetName val="Financing_Memo"/>
      <sheetName val="Force_Count"/>
      <sheetName val="Instructions"/>
      <sheetName val="MWV-FUN"/>
      <sheetName val="FX_Rates"/>
      <sheetName val="Delhaize"/>
      <sheetName val="Income_Stmt"/>
      <sheetName val="Income_Statement"/>
      <sheetName val="Input"/>
      <sheetName val="Accretion_SensitivityOutput"/>
      <sheetName val="Summary"/>
      <sheetName val="IRR"/>
      <sheetName val="Lookup"/>
      <sheetName val="Budget"/>
      <sheetName val="WACC_VDF"/>
      <sheetName val="Minutes"/>
      <sheetName val="Monthly_IS"/>
      <sheetName val="Scenario_Manager"/>
      <sheetName val="PV_of_Op_Leases_VDF"/>
      <sheetName val="Sensitivity"/>
      <sheetName val="LBO_Model"/>
      <sheetName val="1991_-_1999_Drilling_Type"/>
      <sheetName val="MWV-QTR1"/>
      <sheetName val="LookupRanges"/>
      <sheetName val="Ali_Synergy_Est_(2)"/>
      <sheetName val="Summary_Inc_Stmt"/>
      <sheetName val="f3"/>
      <sheetName val="MarketData"/>
      <sheetName val="Definitions"/>
      <sheetName val="Team_Award"/>
      <sheetName val="Income_Statement_VDF"/>
      <sheetName val="Neste_Oy"/>
      <sheetName val="yc_Formula"/>
      <sheetName val="SEP"/>
      <sheetName val="Stock_Price1"/>
      <sheetName val="Price_of_Comps-1yr_(UHS)1"/>
      <sheetName val="Price_of_Comps-1yr_(UNH)1"/>
      <sheetName val="Price_of_Comps-3yrs_(UHS)1"/>
      <sheetName val="Price_of_Comps-3yrs_(UNH)1"/>
      <sheetName val="Stock_Price_(4)1"/>
      <sheetName val="Shareholder_Value1"/>
      <sheetName val="Shareholder_Value_(2)1"/>
      <sheetName val="Shareholder_Value_(3)1"/>
      <sheetName val="Stock_Price2"/>
      <sheetName val="Price_of_Comps-1yr_(UHS)2"/>
      <sheetName val="Price_of_Comps-1yr_(UNH)2"/>
      <sheetName val="Price_of_Comps-3yrs_(UHS)2"/>
      <sheetName val="Price_of_Comps-3yrs_(UNH)2"/>
      <sheetName val="Stock_Price_(4)2"/>
      <sheetName val="Shareholder_Value2"/>
      <sheetName val="Shareholder_Value_(2)2"/>
      <sheetName val="Shareholder_Value_(3)2"/>
      <sheetName val="Stock_Price3"/>
      <sheetName val="Price_of_Comps-1yr_(UHS)3"/>
      <sheetName val="Price_of_Comps-1yr_(UNH)3"/>
      <sheetName val="Price_of_Comps-3yrs_(UHS)3"/>
      <sheetName val="Price_of_Comps-3yrs_(UNH)3"/>
      <sheetName val="Stock_Price_(4)3"/>
      <sheetName val="Shareholder_Value3"/>
      <sheetName val="Shareholder_Value_(2)3"/>
      <sheetName val="Shareholder_Value_(3)3"/>
      <sheetName val="EuroInputs"/>
      <sheetName val="Price_of_Compsjà_x0013__x0000_¤ß_x0013__x0000_lâ_x0013_"/>
      <sheetName val="9040832n"/>
      <sheetName val="oldSEG"/>
      <sheetName val="Quarters"/>
      <sheetName val="sales vol."/>
      <sheetName val="Entry data"/>
      <sheetName val="Refunds Weekly"/>
      <sheetName val="Final Payments"/>
      <sheetName val="FootballField"/>
      <sheetName val="CNST"/>
      <sheetName val="AL &amp; NHY"/>
      <sheetName val="SEE"/>
      <sheetName val="P&amp;L"/>
      <sheetName val="company"/>
      <sheetName val="99 JULY SALE"/>
    </sheetNames>
    <sheetDataSet>
      <sheetData sheetId="0"/>
      <sheetData sheetId="1" refreshError="1">
        <row r="4">
          <cell r="A4">
            <v>35464</v>
          </cell>
          <cell r="B4">
            <v>1</v>
          </cell>
          <cell r="C4">
            <v>1</v>
          </cell>
          <cell r="D4">
            <v>1</v>
          </cell>
          <cell r="E4">
            <v>1</v>
          </cell>
          <cell r="F4">
            <v>1</v>
          </cell>
          <cell r="G4">
            <v>1</v>
          </cell>
        </row>
        <row r="5">
          <cell r="A5">
            <v>35465</v>
          </cell>
          <cell r="B5">
            <v>0.99669966996699666</v>
          </cell>
          <cell r="C5">
            <v>1.0280811232449298</v>
          </cell>
          <cell r="D5">
            <v>1</v>
          </cell>
          <cell r="E5">
            <v>0.99328859060402686</v>
          </cell>
          <cell r="F5">
            <v>0.97093023255813948</v>
          </cell>
          <cell r="G5">
            <v>1.0113636363636365</v>
          </cell>
        </row>
        <row r="6">
          <cell r="A6">
            <v>35466</v>
          </cell>
          <cell r="B6">
            <v>0.97689768976897695</v>
          </cell>
          <cell r="C6">
            <v>0.97347893915756634</v>
          </cell>
          <cell r="D6">
            <v>1.0112781954887218</v>
          </cell>
          <cell r="E6">
            <v>0.96644295302013428</v>
          </cell>
          <cell r="F6">
            <v>0.95813953488372094</v>
          </cell>
          <cell r="G6">
            <v>0.96590909090909094</v>
          </cell>
        </row>
        <row r="7">
          <cell r="A7">
            <v>35467</v>
          </cell>
          <cell r="B7">
            <v>0.99339933993399343</v>
          </cell>
          <cell r="C7">
            <v>0.96567862714508579</v>
          </cell>
          <cell r="D7">
            <v>1.0263157894736843</v>
          </cell>
          <cell r="E7">
            <v>0.95302013422818788</v>
          </cell>
          <cell r="F7">
            <v>0.92093023255813955</v>
          </cell>
          <cell r="G7">
            <v>0.95454545454545459</v>
          </cell>
        </row>
        <row r="8">
          <cell r="A8">
            <v>35468</v>
          </cell>
          <cell r="B8">
            <v>1.0297029702970297</v>
          </cell>
          <cell r="C8">
            <v>0.97347893915756634</v>
          </cell>
          <cell r="D8">
            <v>1.0413533834586466</v>
          </cell>
          <cell r="E8">
            <v>0.97315436241610742</v>
          </cell>
          <cell r="F8">
            <v>0.95581395348837206</v>
          </cell>
          <cell r="G8">
            <v>0.96590909090909094</v>
          </cell>
        </row>
        <row r="9">
          <cell r="A9">
            <v>35471</v>
          </cell>
          <cell r="B9">
            <v>1.033003300330033</v>
          </cell>
          <cell r="C9">
            <v>0.99375975039001563</v>
          </cell>
          <cell r="D9">
            <v>1.0883458646616542</v>
          </cell>
          <cell r="E9">
            <v>0.98657718120805371</v>
          </cell>
          <cell r="F9">
            <v>0.94883720930232562</v>
          </cell>
          <cell r="G9">
            <v>0.95454545454545459</v>
          </cell>
        </row>
        <row r="10">
          <cell r="A10">
            <v>35472</v>
          </cell>
          <cell r="B10">
            <v>1.0594059405940595</v>
          </cell>
          <cell r="C10">
            <v>0.99843993759750393</v>
          </cell>
          <cell r="D10">
            <v>1.0676691729323309</v>
          </cell>
          <cell r="E10">
            <v>1.0067114093959733</v>
          </cell>
          <cell r="F10">
            <v>0.96976744186046515</v>
          </cell>
          <cell r="G10">
            <v>0.95454545454545459</v>
          </cell>
        </row>
        <row r="11">
          <cell r="A11">
            <v>35473</v>
          </cell>
          <cell r="B11">
            <v>1.0734323432343233</v>
          </cell>
          <cell r="C11">
            <v>1.0265210608424338</v>
          </cell>
          <cell r="D11">
            <v>1.0864661654135339</v>
          </cell>
          <cell r="E11">
            <v>1.0067114093959733</v>
          </cell>
          <cell r="F11">
            <v>1.0418604651162791</v>
          </cell>
          <cell r="G11">
            <v>0.96590909090909094</v>
          </cell>
        </row>
        <row r="12">
          <cell r="A12">
            <v>35474</v>
          </cell>
          <cell r="B12">
            <v>1.0981848184818481</v>
          </cell>
          <cell r="C12">
            <v>1.0733229329173166</v>
          </cell>
          <cell r="D12">
            <v>1.1165413533834587</v>
          </cell>
          <cell r="E12">
            <v>1.0536912751677852</v>
          </cell>
          <cell r="F12">
            <v>1.1046511627906976</v>
          </cell>
          <cell r="G12">
            <v>0.98863636363636365</v>
          </cell>
        </row>
        <row r="13">
          <cell r="A13">
            <v>35475</v>
          </cell>
          <cell r="B13">
            <v>1.1056105610561056</v>
          </cell>
          <cell r="C13">
            <v>1.0795631825273011</v>
          </cell>
          <cell r="D13">
            <v>1.131578947368421</v>
          </cell>
          <cell r="E13">
            <v>1.0738255033557047</v>
          </cell>
          <cell r="F13">
            <v>1.1441860465116278</v>
          </cell>
          <cell r="G13">
            <v>1.2159090909090908</v>
          </cell>
        </row>
        <row r="14">
          <cell r="A14">
            <v>35478</v>
          </cell>
          <cell r="B14">
            <v>1.1056105610561056</v>
          </cell>
          <cell r="C14">
            <v>1.0795631825273011</v>
          </cell>
          <cell r="D14">
            <v>1.131578947368421</v>
          </cell>
          <cell r="E14">
            <v>1.0738255033557047</v>
          </cell>
          <cell r="F14">
            <v>1.1441860465116278</v>
          </cell>
          <cell r="G14">
            <v>1.2159090909090908</v>
          </cell>
        </row>
        <row r="15">
          <cell r="A15">
            <v>35479</v>
          </cell>
          <cell r="B15">
            <v>1.0990099009900991</v>
          </cell>
          <cell r="C15">
            <v>1.0608424336973479</v>
          </cell>
          <cell r="D15">
            <v>1.1090225563909775</v>
          </cell>
          <cell r="E15">
            <v>1.0738255033557047</v>
          </cell>
          <cell r="F15">
            <v>1.1000000000000001</v>
          </cell>
          <cell r="G15">
            <v>1.2159090909090908</v>
          </cell>
        </row>
        <row r="16">
          <cell r="A16">
            <v>35480</v>
          </cell>
          <cell r="B16">
            <v>1.1122112211221122</v>
          </cell>
          <cell r="C16">
            <v>1.0717628705148206</v>
          </cell>
          <cell r="D16">
            <v>1.131578947368421</v>
          </cell>
          <cell r="E16">
            <v>1.0268456375838926</v>
          </cell>
          <cell r="F16">
            <v>1.1046511627906976</v>
          </cell>
          <cell r="G16">
            <v>1.2159090909090908</v>
          </cell>
        </row>
        <row r="17">
          <cell r="A17">
            <v>35481</v>
          </cell>
          <cell r="B17">
            <v>1.1056105610561056</v>
          </cell>
          <cell r="C17">
            <v>1.0592823712948518</v>
          </cell>
          <cell r="D17">
            <v>1.1099624060150375</v>
          </cell>
          <cell r="E17">
            <v>1.0671140939597314</v>
          </cell>
          <cell r="F17">
            <v>1.0930232558139534</v>
          </cell>
          <cell r="G17">
            <v>1.2045454545454546</v>
          </cell>
        </row>
        <row r="18">
          <cell r="A18">
            <v>35482</v>
          </cell>
          <cell r="B18">
            <v>1.0990099009900991</v>
          </cell>
          <cell r="C18">
            <v>1.0608424336973479</v>
          </cell>
          <cell r="D18">
            <v>1.1353383458646618</v>
          </cell>
          <cell r="E18">
            <v>1.0738255033557047</v>
          </cell>
          <cell r="F18">
            <v>1.0953488372093023</v>
          </cell>
          <cell r="G18">
            <v>1.2159090909090908</v>
          </cell>
        </row>
        <row r="19">
          <cell r="A19">
            <v>35485</v>
          </cell>
          <cell r="B19">
            <v>1.0808580858085808</v>
          </cell>
          <cell r="C19">
            <v>1.0702028081123245</v>
          </cell>
          <cell r="D19">
            <v>1.1390977443609023</v>
          </cell>
          <cell r="E19">
            <v>1.0604026845637584</v>
          </cell>
          <cell r="F19">
            <v>1.0627906976744186</v>
          </cell>
          <cell r="G19">
            <v>1.2045454545454546</v>
          </cell>
        </row>
        <row r="20">
          <cell r="A20">
            <v>35486</v>
          </cell>
          <cell r="B20">
            <v>1.0990099009900991</v>
          </cell>
          <cell r="C20">
            <v>1.0670826833073324</v>
          </cell>
          <cell r="D20">
            <v>1.1503759398496241</v>
          </cell>
          <cell r="E20">
            <v>1.0738255033557047</v>
          </cell>
          <cell r="F20">
            <v>1.069767441860465</v>
          </cell>
          <cell r="G20">
            <v>1.2045454545454546</v>
          </cell>
        </row>
        <row r="21">
          <cell r="A21">
            <v>35487</v>
          </cell>
          <cell r="B21">
            <v>1.0940594059405941</v>
          </cell>
          <cell r="C21">
            <v>1.0405616224648986</v>
          </cell>
          <cell r="D21">
            <v>1.1503759398496241</v>
          </cell>
          <cell r="E21">
            <v>1.0134228187919463</v>
          </cell>
          <cell r="F21">
            <v>1.0488372093023255</v>
          </cell>
          <cell r="G21">
            <v>1.2045454545454546</v>
          </cell>
        </row>
        <row r="22">
          <cell r="A22">
            <v>35488</v>
          </cell>
          <cell r="B22">
            <v>1.0990099009900991</v>
          </cell>
          <cell r="C22">
            <v>1.0468018720748831</v>
          </cell>
          <cell r="D22">
            <v>1.1390977443609023</v>
          </cell>
          <cell r="E22">
            <v>1.0201342281879195</v>
          </cell>
          <cell r="F22">
            <v>1.0372093023255815</v>
          </cell>
          <cell r="G22">
            <v>1.2045454545454546</v>
          </cell>
        </row>
        <row r="23">
          <cell r="A23">
            <v>35489</v>
          </cell>
          <cell r="B23">
            <v>1.1056105610561056</v>
          </cell>
          <cell r="C23">
            <v>1.0374414976599065</v>
          </cell>
          <cell r="D23">
            <v>1.1353383458646618</v>
          </cell>
          <cell r="E23">
            <v>1.0536912751677852</v>
          </cell>
          <cell r="F23">
            <v>1.0372093023255815</v>
          </cell>
          <cell r="G23">
            <v>1.1931818181818181</v>
          </cell>
        </row>
        <row r="24">
          <cell r="A24">
            <v>35492</v>
          </cell>
          <cell r="B24">
            <v>1.0965346534653466</v>
          </cell>
          <cell r="C24">
            <v>1.0577223088923557</v>
          </cell>
          <cell r="D24">
            <v>1.1390977443609023</v>
          </cell>
          <cell r="E24">
            <v>1.1342281879194631</v>
          </cell>
          <cell r="F24">
            <v>1.0325581395348837</v>
          </cell>
          <cell r="G24">
            <v>1.2159090909090908</v>
          </cell>
        </row>
        <row r="25">
          <cell r="A25">
            <v>35493</v>
          </cell>
          <cell r="B25">
            <v>1.0973597359735974</v>
          </cell>
          <cell r="C25">
            <v>1.06396255850234</v>
          </cell>
          <cell r="D25">
            <v>1.1353383458646618</v>
          </cell>
          <cell r="E25">
            <v>1.1610738255033557</v>
          </cell>
          <cell r="F25">
            <v>1.069767441860465</v>
          </cell>
          <cell r="G25">
            <v>1.2159090909090908</v>
          </cell>
        </row>
        <row r="26">
          <cell r="A26">
            <v>35494</v>
          </cell>
          <cell r="B26">
            <v>1.113861386138614</v>
          </cell>
          <cell r="C26">
            <v>1.076443057722309</v>
          </cell>
          <cell r="D26">
            <v>1.1278195488721805</v>
          </cell>
          <cell r="E26">
            <v>1.174496644295302</v>
          </cell>
          <cell r="F26">
            <v>1.1255813953488372</v>
          </cell>
          <cell r="G26">
            <v>1.2727272727272727</v>
          </cell>
        </row>
        <row r="27">
          <cell r="A27">
            <v>35495</v>
          </cell>
          <cell r="B27">
            <v>1.1460396039603959</v>
          </cell>
          <cell r="C27">
            <v>1.0717628705148206</v>
          </cell>
          <cell r="D27">
            <v>1.1090225563909775</v>
          </cell>
          <cell r="E27">
            <v>1.1208053691275168</v>
          </cell>
          <cell r="F27">
            <v>1.1093023255813954</v>
          </cell>
          <cell r="G27">
            <v>1.2272727272727273</v>
          </cell>
        </row>
        <row r="28">
          <cell r="A28">
            <v>35496</v>
          </cell>
          <cell r="B28">
            <v>1.165016501650165</v>
          </cell>
          <cell r="C28">
            <v>1.1216848673946958</v>
          </cell>
          <cell r="D28">
            <v>1.1541353383458646</v>
          </cell>
          <cell r="E28">
            <v>1.2147651006711409</v>
          </cell>
          <cell r="F28">
            <v>1.1511627906976745</v>
          </cell>
          <cell r="G28">
            <v>1.2386363636363635</v>
          </cell>
        </row>
        <row r="29">
          <cell r="A29">
            <v>35499</v>
          </cell>
          <cell r="B29">
            <v>1.165016501650165</v>
          </cell>
          <cell r="C29">
            <v>1.1372854914196568</v>
          </cell>
          <cell r="D29">
            <v>1.1766917293233083</v>
          </cell>
          <cell r="E29">
            <v>1.2348993288590604</v>
          </cell>
          <cell r="F29">
            <v>1.2069767441860466</v>
          </cell>
          <cell r="G29">
            <v>1.3068181818181819</v>
          </cell>
        </row>
        <row r="30">
          <cell r="A30">
            <v>35500</v>
          </cell>
          <cell r="B30">
            <v>1.1452145214521452</v>
          </cell>
          <cell r="C30">
            <v>1.1528861154446177</v>
          </cell>
          <cell r="D30">
            <v>1.1766917293233083</v>
          </cell>
          <cell r="E30">
            <v>1.2348993288590604</v>
          </cell>
          <cell r="F30">
            <v>1.2255813953488373</v>
          </cell>
          <cell r="G30">
            <v>1.2954545454545454</v>
          </cell>
        </row>
        <row r="31">
          <cell r="A31">
            <v>35501</v>
          </cell>
          <cell r="B31">
            <v>1.1386138613861385</v>
          </cell>
          <cell r="C31">
            <v>1.1591263650546022</v>
          </cell>
          <cell r="D31">
            <v>1.1879699248120301</v>
          </cell>
          <cell r="E31">
            <v>1.2214765100671141</v>
          </cell>
          <cell r="F31">
            <v>1.213953488372093</v>
          </cell>
          <cell r="G31">
            <v>1.2954545454545454</v>
          </cell>
        </row>
        <row r="32">
          <cell r="A32">
            <v>35502</v>
          </cell>
          <cell r="B32">
            <v>1.1353135313531353</v>
          </cell>
          <cell r="C32">
            <v>1.1232449297971918</v>
          </cell>
          <cell r="D32">
            <v>1.1766917293233083</v>
          </cell>
          <cell r="E32">
            <v>1.1879194630872483</v>
          </cell>
          <cell r="F32">
            <v>1.1895348837209303</v>
          </cell>
          <cell r="G32">
            <v>1.2954545454545454</v>
          </cell>
        </row>
        <row r="33">
          <cell r="A33">
            <v>35503</v>
          </cell>
          <cell r="B33">
            <v>1.1353135313531353</v>
          </cell>
          <cell r="C33">
            <v>1.1341653666146645</v>
          </cell>
          <cell r="D33">
            <v>1.1691729323308271</v>
          </cell>
          <cell r="E33">
            <v>1.2281879194630871</v>
          </cell>
          <cell r="F33">
            <v>1.1837209302325582</v>
          </cell>
          <cell r="G33">
            <v>1.2954545454545454</v>
          </cell>
        </row>
        <row r="34">
          <cell r="A34">
            <v>35506</v>
          </cell>
          <cell r="B34">
            <v>1.1377887788778878</v>
          </cell>
          <cell r="C34">
            <v>1.1216848673946958</v>
          </cell>
          <cell r="D34">
            <v>1.1541353383458646</v>
          </cell>
          <cell r="E34">
            <v>1.1946308724832215</v>
          </cell>
          <cell r="F34">
            <v>1.1348837209302325</v>
          </cell>
          <cell r="G34">
            <v>1.2954545454545454</v>
          </cell>
        </row>
        <row r="35">
          <cell r="A35">
            <v>35507</v>
          </cell>
          <cell r="B35">
            <v>1.1287128712871286</v>
          </cell>
          <cell r="C35">
            <v>1.1154446177847115</v>
          </cell>
          <cell r="D35">
            <v>1.1428571428571428</v>
          </cell>
          <cell r="E35">
            <v>1.1946308724832215</v>
          </cell>
          <cell r="F35">
            <v>1.1093023255813954</v>
          </cell>
          <cell r="G35">
            <v>1.3068181818181819</v>
          </cell>
        </row>
        <row r="36">
          <cell r="A36">
            <v>35508</v>
          </cell>
          <cell r="B36">
            <v>1.1287128712871286</v>
          </cell>
          <cell r="C36">
            <v>1.0936037441497659</v>
          </cell>
          <cell r="D36">
            <v>1.1466165413533835</v>
          </cell>
          <cell r="E36">
            <v>1.174496644295302</v>
          </cell>
          <cell r="F36">
            <v>1.1232558139534883</v>
          </cell>
          <cell r="G36">
            <v>1.2954545454545454</v>
          </cell>
        </row>
        <row r="37">
          <cell r="A37">
            <v>35509</v>
          </cell>
          <cell r="B37">
            <v>1.1303630363036303</v>
          </cell>
          <cell r="C37">
            <v>1.0998439937597504</v>
          </cell>
          <cell r="D37">
            <v>1.1503759398496241</v>
          </cell>
          <cell r="E37">
            <v>1.1677852348993289</v>
          </cell>
          <cell r="F37">
            <v>1.155813953488372</v>
          </cell>
          <cell r="G37">
            <v>1.2954545454545454</v>
          </cell>
        </row>
        <row r="38">
          <cell r="A38">
            <v>35510</v>
          </cell>
          <cell r="B38">
            <v>1.1221122112211221</v>
          </cell>
          <cell r="C38">
            <v>1.1014040561622465</v>
          </cell>
          <cell r="D38">
            <v>1.1466165413533835</v>
          </cell>
          <cell r="E38">
            <v>1.1812080536912752</v>
          </cell>
          <cell r="F38">
            <v>1.1441860465116278</v>
          </cell>
          <cell r="G38">
            <v>1.2954545454545454</v>
          </cell>
        </row>
        <row r="39">
          <cell r="A39">
            <v>35513</v>
          </cell>
          <cell r="B39">
            <v>1.0965346534653466</v>
          </cell>
          <cell r="C39">
            <v>1.0951638065522622</v>
          </cell>
          <cell r="D39">
            <v>1.1353383458646618</v>
          </cell>
          <cell r="E39">
            <v>1.1677852348993289</v>
          </cell>
          <cell r="F39">
            <v>1.1441860465116278</v>
          </cell>
          <cell r="G39">
            <v>1.2954545454545454</v>
          </cell>
        </row>
        <row r="40">
          <cell r="A40">
            <v>35514</v>
          </cell>
          <cell r="B40">
            <v>1.1221122112211221</v>
          </cell>
          <cell r="C40">
            <v>1.1232449297971918</v>
          </cell>
          <cell r="D40">
            <v>1.131578947368421</v>
          </cell>
          <cell r="E40">
            <v>1.1812080536912752</v>
          </cell>
          <cell r="F40">
            <v>1.1790697674418604</v>
          </cell>
          <cell r="G40">
            <v>1.2954545454545454</v>
          </cell>
        </row>
        <row r="41">
          <cell r="A41">
            <v>35515</v>
          </cell>
          <cell r="B41">
            <v>1.1435643564356435</v>
          </cell>
          <cell r="C41">
            <v>1.1185647425897036</v>
          </cell>
          <cell r="D41">
            <v>1.112781954887218</v>
          </cell>
          <cell r="E41">
            <v>1.2013422818791946</v>
          </cell>
          <cell r="F41">
            <v>1.1697674418604651</v>
          </cell>
          <cell r="G41">
            <v>1.2954545454545454</v>
          </cell>
        </row>
        <row r="42">
          <cell r="A42">
            <v>35516</v>
          </cell>
          <cell r="B42">
            <v>1.141914191419142</v>
          </cell>
          <cell r="C42">
            <v>1.0904836193447738</v>
          </cell>
          <cell r="D42">
            <v>1.1052631578947369</v>
          </cell>
          <cell r="E42">
            <v>1.174496644295302</v>
          </cell>
          <cell r="F42">
            <v>1.1372093023255814</v>
          </cell>
          <cell r="G42">
            <v>1.2954545454545454</v>
          </cell>
        </row>
        <row r="43">
          <cell r="A43">
            <v>35517</v>
          </cell>
          <cell r="B43">
            <v>1.141914191419142</v>
          </cell>
          <cell r="C43">
            <v>1.0904836193447738</v>
          </cell>
          <cell r="D43">
            <v>1.1052631578947369</v>
          </cell>
          <cell r="E43">
            <v>1.174496644295302</v>
          </cell>
          <cell r="F43">
            <v>1.1372093023255814</v>
          </cell>
          <cell r="G43">
            <v>1.2954545454545454</v>
          </cell>
        </row>
        <row r="44">
          <cell r="A44">
            <v>35520</v>
          </cell>
          <cell r="B44">
            <v>1.1386138613861385</v>
          </cell>
          <cell r="C44">
            <v>1.0717628705148206</v>
          </cell>
          <cell r="D44">
            <v>1.0977443609022557</v>
          </cell>
          <cell r="E44">
            <v>1.1812080536912752</v>
          </cell>
          <cell r="F44">
            <v>1.0906976744186045</v>
          </cell>
          <cell r="G44">
            <v>1.2954545454545454</v>
          </cell>
        </row>
        <row r="45">
          <cell r="A45">
            <v>35521</v>
          </cell>
          <cell r="B45">
            <v>1.1056105610561056</v>
          </cell>
          <cell r="C45">
            <v>1.0748829953198127</v>
          </cell>
          <cell r="D45">
            <v>1.1090225563909775</v>
          </cell>
          <cell r="E45">
            <v>1.1342281879194631</v>
          </cell>
          <cell r="F45">
            <v>1.0604651162790697</v>
          </cell>
          <cell r="G45">
            <v>1.2954545454545454</v>
          </cell>
        </row>
        <row r="46">
          <cell r="A46">
            <v>35522</v>
          </cell>
          <cell r="B46">
            <v>1.0973597359735974</v>
          </cell>
          <cell r="C46">
            <v>1.0748829953198127</v>
          </cell>
          <cell r="D46">
            <v>0.84586466165413532</v>
          </cell>
          <cell r="E46">
            <v>1.1140939597315436</v>
          </cell>
          <cell r="F46">
            <v>1.0511627906976744</v>
          </cell>
          <cell r="G46">
            <v>1.2954545454545454</v>
          </cell>
        </row>
        <row r="47">
          <cell r="A47">
            <v>35523</v>
          </cell>
          <cell r="B47">
            <v>1.0957095709570956</v>
          </cell>
          <cell r="C47">
            <v>1.0842433697347893</v>
          </cell>
          <cell r="D47">
            <v>0.82330827067669177</v>
          </cell>
          <cell r="E47">
            <v>1.1342281879194631</v>
          </cell>
          <cell r="F47">
            <v>1.0813953488372092</v>
          </cell>
          <cell r="G47">
            <v>1.2840909090909092</v>
          </cell>
        </row>
        <row r="48">
          <cell r="A48">
            <v>35524</v>
          </cell>
          <cell r="B48">
            <v>1.1023102310231023</v>
          </cell>
          <cell r="C48">
            <v>1.076443057722309</v>
          </cell>
          <cell r="D48">
            <v>0.83082706766917291</v>
          </cell>
          <cell r="E48">
            <v>1.1342281879194631</v>
          </cell>
          <cell r="F48">
            <v>1.0790697674418606</v>
          </cell>
          <cell r="G48">
            <v>1.2954545454545454</v>
          </cell>
        </row>
        <row r="49">
          <cell r="A49">
            <v>35527</v>
          </cell>
          <cell r="B49">
            <v>1.0907590759075907</v>
          </cell>
          <cell r="C49">
            <v>1.0670826833073324</v>
          </cell>
          <cell r="D49">
            <v>0.82706766917293228</v>
          </cell>
          <cell r="E49">
            <v>1.1677852348993289</v>
          </cell>
          <cell r="F49">
            <v>1.1093023255813954</v>
          </cell>
          <cell r="G49">
            <v>1.2954545454545454</v>
          </cell>
        </row>
        <row r="50">
          <cell r="A50">
            <v>35528</v>
          </cell>
          <cell r="B50">
            <v>1.0907590759075907</v>
          </cell>
          <cell r="C50">
            <v>1.0686427457098284</v>
          </cell>
          <cell r="D50">
            <v>0.81578947368421051</v>
          </cell>
          <cell r="E50">
            <v>1.1610738255033557</v>
          </cell>
          <cell r="F50">
            <v>1.1418604651162791</v>
          </cell>
          <cell r="G50">
            <v>1.2840909090909092</v>
          </cell>
        </row>
        <row r="51">
          <cell r="A51">
            <v>35529</v>
          </cell>
          <cell r="B51">
            <v>1.0874587458745875</v>
          </cell>
          <cell r="C51">
            <v>1.0655226209048363</v>
          </cell>
          <cell r="D51">
            <v>0.83834586466165417</v>
          </cell>
          <cell r="E51">
            <v>1.1208053691275168</v>
          </cell>
          <cell r="F51">
            <v>1.1744186046511629</v>
          </cell>
          <cell r="G51">
            <v>1.3068181818181819</v>
          </cell>
        </row>
        <row r="52">
          <cell r="A52">
            <v>35530</v>
          </cell>
          <cell r="B52">
            <v>1.0891089108910892</v>
          </cell>
          <cell r="C52">
            <v>1.076443057722309</v>
          </cell>
          <cell r="D52">
            <v>0.83458646616541354</v>
          </cell>
          <cell r="E52">
            <v>1.1409395973154361</v>
          </cell>
          <cell r="F52">
            <v>1.1976744186046511</v>
          </cell>
          <cell r="G52">
            <v>1.2954545454545454</v>
          </cell>
        </row>
        <row r="53">
          <cell r="A53">
            <v>35531</v>
          </cell>
          <cell r="B53">
            <v>1.0577557755775577</v>
          </cell>
          <cell r="C53">
            <v>1.0436817472698907</v>
          </cell>
          <cell r="D53">
            <v>0.81203007518796988</v>
          </cell>
          <cell r="E53">
            <v>1.1140939597315436</v>
          </cell>
          <cell r="F53">
            <v>1.1232558139534883</v>
          </cell>
          <cell r="G53">
            <v>1.2840909090909092</v>
          </cell>
        </row>
        <row r="54">
          <cell r="A54">
            <v>35534</v>
          </cell>
          <cell r="B54">
            <v>1.0379537953795379</v>
          </cell>
          <cell r="C54">
            <v>1.0748829953198127</v>
          </cell>
          <cell r="D54">
            <v>0.82330827067669177</v>
          </cell>
          <cell r="E54">
            <v>1.1275167785234899</v>
          </cell>
          <cell r="F54">
            <v>1.1534883720930234</v>
          </cell>
          <cell r="G54">
            <v>1.2727272727272727</v>
          </cell>
        </row>
        <row r="55">
          <cell r="A55">
            <v>35535</v>
          </cell>
          <cell r="B55">
            <v>1.0742574257425743</v>
          </cell>
          <cell r="C55">
            <v>1.1045241809672386</v>
          </cell>
          <cell r="D55">
            <v>0.84586466165413532</v>
          </cell>
          <cell r="E55">
            <v>1.1476510067114094</v>
          </cell>
          <cell r="F55">
            <v>1.1767441860465115</v>
          </cell>
          <cell r="G55">
            <v>1.2727272727272727</v>
          </cell>
        </row>
        <row r="56">
          <cell r="A56">
            <v>35536</v>
          </cell>
          <cell r="B56">
            <v>1.1039603960396041</v>
          </cell>
          <cell r="C56">
            <v>1.1201248049921997</v>
          </cell>
          <cell r="D56">
            <v>0.86466165413533835</v>
          </cell>
          <cell r="E56">
            <v>1.1476510067114094</v>
          </cell>
          <cell r="F56">
            <v>1.1476744186046512</v>
          </cell>
          <cell r="G56">
            <v>1.2840909090909092</v>
          </cell>
        </row>
        <row r="57">
          <cell r="A57">
            <v>35537</v>
          </cell>
          <cell r="B57">
            <v>1.0990099009900991</v>
          </cell>
          <cell r="C57">
            <v>1.0982839313572543</v>
          </cell>
          <cell r="D57">
            <v>0.84962406015037595</v>
          </cell>
          <cell r="E57">
            <v>1.1409395973154361</v>
          </cell>
          <cell r="F57">
            <v>1.1627906976744187</v>
          </cell>
          <cell r="G57">
            <v>1.2840909090909092</v>
          </cell>
        </row>
        <row r="58">
          <cell r="A58">
            <v>35538</v>
          </cell>
          <cell r="B58">
            <v>1.0577557755775577</v>
          </cell>
          <cell r="C58">
            <v>1.0717628705148206</v>
          </cell>
          <cell r="D58">
            <v>0.80451127819548873</v>
          </cell>
          <cell r="E58">
            <v>1.080536912751678</v>
          </cell>
          <cell r="F58">
            <v>1.1232558139534883</v>
          </cell>
          <cell r="G58">
            <v>1.2840909090909092</v>
          </cell>
        </row>
        <row r="59">
          <cell r="A59">
            <v>35541</v>
          </cell>
          <cell r="B59">
            <v>1.0445544554455446</v>
          </cell>
          <cell r="C59">
            <v>1.0624024960998439</v>
          </cell>
          <cell r="D59">
            <v>0.77819548872180455</v>
          </cell>
          <cell r="E59">
            <v>1.0939597315436242</v>
          </cell>
          <cell r="F59">
            <v>1.1232558139534883</v>
          </cell>
          <cell r="G59">
            <v>1.2727272727272727</v>
          </cell>
        </row>
        <row r="60">
          <cell r="A60">
            <v>35542</v>
          </cell>
          <cell r="B60">
            <v>1.0297029702970297</v>
          </cell>
          <cell r="C60">
            <v>1.0702028081123245</v>
          </cell>
          <cell r="D60">
            <v>0.76691729323308266</v>
          </cell>
          <cell r="E60">
            <v>1.1073825503355705</v>
          </cell>
          <cell r="F60">
            <v>1.1418604651162791</v>
          </cell>
          <cell r="G60">
            <v>1.2727272727272727</v>
          </cell>
        </row>
        <row r="61">
          <cell r="A61">
            <v>35543</v>
          </cell>
          <cell r="B61">
            <v>1.0148514851485149</v>
          </cell>
          <cell r="C61">
            <v>1.0686427457098284</v>
          </cell>
          <cell r="D61">
            <v>0.75563909774436089</v>
          </cell>
          <cell r="E61">
            <v>1.1208053691275168</v>
          </cell>
          <cell r="F61">
            <v>1.1488372093023256</v>
          </cell>
          <cell r="G61">
            <v>1.2727272727272727</v>
          </cell>
        </row>
        <row r="62">
          <cell r="A62">
            <v>35544</v>
          </cell>
          <cell r="B62">
            <v>1.0198019801980198</v>
          </cell>
          <cell r="C62">
            <v>1.0530421216848673</v>
          </cell>
          <cell r="D62">
            <v>0.75939849624060152</v>
          </cell>
          <cell r="E62">
            <v>1.080536912751678</v>
          </cell>
          <cell r="F62">
            <v>1.1395348837209303</v>
          </cell>
          <cell r="G62">
            <v>1.2727272727272727</v>
          </cell>
        </row>
        <row r="63">
          <cell r="A63">
            <v>35545</v>
          </cell>
          <cell r="B63">
            <v>1.0156765676567656</v>
          </cell>
          <cell r="C63">
            <v>1.0483619344773791</v>
          </cell>
          <cell r="D63">
            <v>0.74060150375939848</v>
          </cell>
          <cell r="E63">
            <v>1.0939597315436242</v>
          </cell>
          <cell r="F63">
            <v>1.1046511627906976</v>
          </cell>
          <cell r="G63">
            <v>1.2727272727272727</v>
          </cell>
        </row>
        <row r="64">
          <cell r="A64">
            <v>35548</v>
          </cell>
          <cell r="B64">
            <v>1.0099009900990099</v>
          </cell>
          <cell r="C64">
            <v>1.0468018720748831</v>
          </cell>
          <cell r="D64">
            <v>0.73308270676691734</v>
          </cell>
          <cell r="E64">
            <v>1.087248322147651</v>
          </cell>
          <cell r="F64">
            <v>1.0976744186046512</v>
          </cell>
          <cell r="G64">
            <v>1.2613636363636365</v>
          </cell>
        </row>
        <row r="65">
          <cell r="A65">
            <v>35549</v>
          </cell>
          <cell r="B65">
            <v>1.033003300330033</v>
          </cell>
          <cell r="C65">
            <v>1.1185647425897036</v>
          </cell>
          <cell r="D65">
            <v>0.77067669172932329</v>
          </cell>
          <cell r="E65">
            <v>1.1543624161073827</v>
          </cell>
          <cell r="F65">
            <v>1.1674418604651162</v>
          </cell>
          <cell r="G65">
            <v>1.2613636363636365</v>
          </cell>
        </row>
        <row r="66">
          <cell r="A66">
            <v>35550</v>
          </cell>
          <cell r="B66">
            <v>1.0594059405940595</v>
          </cell>
          <cell r="C66">
            <v>1.1372854914196568</v>
          </cell>
          <cell r="D66">
            <v>0.81203007518796988</v>
          </cell>
          <cell r="E66">
            <v>1.1677852348993289</v>
          </cell>
          <cell r="F66">
            <v>1.2255813953488373</v>
          </cell>
          <cell r="G66">
            <v>1.2613636363636365</v>
          </cell>
        </row>
        <row r="67">
          <cell r="A67">
            <v>35551</v>
          </cell>
          <cell r="B67">
            <v>1.0148514851485149</v>
          </cell>
          <cell r="C67">
            <v>1.1216848673946958</v>
          </cell>
          <cell r="D67">
            <v>0.80451127819548873</v>
          </cell>
          <cell r="E67">
            <v>1.1610738255033557</v>
          </cell>
          <cell r="F67">
            <v>1.213953488372093</v>
          </cell>
          <cell r="G67">
            <v>1.2727272727272727</v>
          </cell>
        </row>
        <row r="68">
          <cell r="A68">
            <v>35552</v>
          </cell>
          <cell r="B68">
            <v>1.0181518151815181</v>
          </cell>
          <cell r="C68">
            <v>1.1216848673946958</v>
          </cell>
          <cell r="D68">
            <v>0.82330827067669177</v>
          </cell>
          <cell r="E68">
            <v>1.174496644295302</v>
          </cell>
          <cell r="F68">
            <v>1.2720930232558139</v>
          </cell>
          <cell r="G68">
            <v>1.2727272727272727</v>
          </cell>
        </row>
        <row r="69">
          <cell r="A69">
            <v>35555</v>
          </cell>
          <cell r="B69">
            <v>1.0396039603960396</v>
          </cell>
          <cell r="C69">
            <v>1.1310452418096724</v>
          </cell>
          <cell r="D69">
            <v>0.83458646616541354</v>
          </cell>
          <cell r="E69">
            <v>1.1543624161073827</v>
          </cell>
          <cell r="F69">
            <v>1.2</v>
          </cell>
          <cell r="G69">
            <v>1.2954545454545454</v>
          </cell>
        </row>
        <row r="70">
          <cell r="A70">
            <v>35556</v>
          </cell>
          <cell r="B70">
            <v>1.056930693069307</v>
          </cell>
          <cell r="C70">
            <v>1.1965678627145087</v>
          </cell>
          <cell r="D70">
            <v>0.81203007518796988</v>
          </cell>
          <cell r="E70">
            <v>1.1543624161073827</v>
          </cell>
          <cell r="F70">
            <v>1.2441860465116279</v>
          </cell>
          <cell r="G70">
            <v>1.2727272727272727</v>
          </cell>
        </row>
        <row r="71">
          <cell r="A71">
            <v>35557</v>
          </cell>
          <cell r="B71">
            <v>1.0627062706270627</v>
          </cell>
          <cell r="C71">
            <v>1.2059282371294853</v>
          </cell>
          <cell r="D71">
            <v>0.81203007518796988</v>
          </cell>
          <cell r="E71">
            <v>1.1610738255033557</v>
          </cell>
          <cell r="F71">
            <v>1.2511627906976743</v>
          </cell>
          <cell r="G71">
            <v>1.2840909090909092</v>
          </cell>
        </row>
        <row r="72">
          <cell r="A72">
            <v>35558</v>
          </cell>
          <cell r="B72">
            <v>1.0412541254125414</v>
          </cell>
          <cell r="C72">
            <v>1.2246489859594383</v>
          </cell>
          <cell r="D72">
            <v>0.80451127819548873</v>
          </cell>
          <cell r="E72">
            <v>1.1476510067114094</v>
          </cell>
          <cell r="F72">
            <v>1.2279069767441861</v>
          </cell>
          <cell r="G72">
            <v>1.2727272727272727</v>
          </cell>
        </row>
        <row r="73">
          <cell r="A73">
            <v>35559</v>
          </cell>
          <cell r="B73">
            <v>1.028052805280528</v>
          </cell>
          <cell r="C73">
            <v>1.2293291731669267</v>
          </cell>
          <cell r="D73">
            <v>0.81578947368421051</v>
          </cell>
          <cell r="E73">
            <v>1.1409395973154361</v>
          </cell>
          <cell r="F73">
            <v>1.2069767441860466</v>
          </cell>
          <cell r="G73">
            <v>1.2840909090909092</v>
          </cell>
        </row>
        <row r="74">
          <cell r="A74">
            <v>35562</v>
          </cell>
          <cell r="B74">
            <v>1.033003300330033</v>
          </cell>
          <cell r="C74">
            <v>1.2402496099843994</v>
          </cell>
          <cell r="D74">
            <v>0.83834586466165417</v>
          </cell>
          <cell r="E74">
            <v>1.174496644295302</v>
          </cell>
          <cell r="F74">
            <v>1.2279069767441861</v>
          </cell>
          <cell r="G74">
            <v>1.2840909090909092</v>
          </cell>
        </row>
        <row r="75">
          <cell r="A75">
            <v>35563</v>
          </cell>
          <cell r="B75">
            <v>0.98844884488448848</v>
          </cell>
          <cell r="C75">
            <v>1.2308892355694228</v>
          </cell>
          <cell r="D75">
            <v>0.83458646616541354</v>
          </cell>
          <cell r="E75">
            <v>1.2013422818791946</v>
          </cell>
          <cell r="F75">
            <v>1.2127906976744185</v>
          </cell>
          <cell r="G75">
            <v>1.2840909090909092</v>
          </cell>
        </row>
        <row r="76">
          <cell r="A76">
            <v>35564</v>
          </cell>
          <cell r="B76">
            <v>0.95379537953795379</v>
          </cell>
          <cell r="C76">
            <v>1.218408736349454</v>
          </cell>
          <cell r="D76">
            <v>0.83458646616541354</v>
          </cell>
          <cell r="E76">
            <v>1.1543624161073827</v>
          </cell>
          <cell r="F76">
            <v>1.1883720930232557</v>
          </cell>
          <cell r="G76">
            <v>1.2727272727272727</v>
          </cell>
        </row>
        <row r="77">
          <cell r="A77">
            <v>35565</v>
          </cell>
          <cell r="B77">
            <v>0.96039603960396036</v>
          </cell>
          <cell r="C77">
            <v>1.2090483619344774</v>
          </cell>
          <cell r="D77">
            <v>0.83834586466165417</v>
          </cell>
          <cell r="E77">
            <v>1.1610738255033557</v>
          </cell>
          <cell r="F77">
            <v>1.1744186046511629</v>
          </cell>
          <cell r="G77">
            <v>1.2840909090909092</v>
          </cell>
        </row>
        <row r="78">
          <cell r="A78">
            <v>35566</v>
          </cell>
          <cell r="B78">
            <v>0.97029702970297027</v>
          </cell>
          <cell r="C78">
            <v>1.1825273010920436</v>
          </cell>
          <cell r="D78">
            <v>0.83834586466165417</v>
          </cell>
          <cell r="E78">
            <v>1.1409395973154361</v>
          </cell>
          <cell r="F78">
            <v>1.1790697674418604</v>
          </cell>
          <cell r="G78">
            <v>1.2840909090909092</v>
          </cell>
        </row>
        <row r="79">
          <cell r="A79">
            <v>35569</v>
          </cell>
          <cell r="B79">
            <v>0.97854785478547857</v>
          </cell>
          <cell r="C79">
            <v>1.204368174726989</v>
          </cell>
          <cell r="D79">
            <v>0.84210526315789469</v>
          </cell>
          <cell r="E79">
            <v>1.1610738255033557</v>
          </cell>
          <cell r="F79">
            <v>1.2186046511627906</v>
          </cell>
          <cell r="G79">
            <v>1.2840909090909092</v>
          </cell>
        </row>
        <row r="80">
          <cell r="A80">
            <v>35570</v>
          </cell>
          <cell r="B80">
            <v>0.98679867986798675</v>
          </cell>
          <cell r="C80">
            <v>1.204368174726989</v>
          </cell>
          <cell r="D80">
            <v>0.83834586466165417</v>
          </cell>
          <cell r="E80">
            <v>1.1677852348993289</v>
          </cell>
          <cell r="F80">
            <v>1.2488372093023257</v>
          </cell>
          <cell r="G80">
            <v>1.2840909090909092</v>
          </cell>
        </row>
        <row r="81">
          <cell r="A81">
            <v>35571</v>
          </cell>
          <cell r="B81">
            <v>0.98514851485148514</v>
          </cell>
          <cell r="C81">
            <v>1.1778471138845554</v>
          </cell>
          <cell r="D81">
            <v>0.84586466165413532</v>
          </cell>
          <cell r="E81">
            <v>1.1409395973154361</v>
          </cell>
          <cell r="F81">
            <v>1.2244186046511627</v>
          </cell>
          <cell r="G81">
            <v>1.2840909090909092</v>
          </cell>
        </row>
        <row r="82">
          <cell r="A82">
            <v>35572</v>
          </cell>
          <cell r="B82">
            <v>1.0148514851485149</v>
          </cell>
          <cell r="C82">
            <v>1.1825273010920436</v>
          </cell>
          <cell r="D82">
            <v>0.84962406015037595</v>
          </cell>
          <cell r="E82">
            <v>1.1342281879194631</v>
          </cell>
          <cell r="F82">
            <v>1.2116279069767442</v>
          </cell>
          <cell r="G82">
            <v>1.3068181818181819</v>
          </cell>
        </row>
        <row r="83">
          <cell r="A83">
            <v>35573</v>
          </cell>
          <cell r="B83">
            <v>1.0066006600660067</v>
          </cell>
          <cell r="C83">
            <v>1.1887675507020281</v>
          </cell>
          <cell r="D83">
            <v>0.8571428571428571</v>
          </cell>
          <cell r="E83">
            <v>1.1677852348993289</v>
          </cell>
          <cell r="F83">
            <v>1.2116279069767442</v>
          </cell>
          <cell r="G83">
            <v>1.2954545454545454</v>
          </cell>
        </row>
        <row r="84">
          <cell r="A84">
            <v>35576</v>
          </cell>
          <cell r="B84">
            <v>1.0066006600660067</v>
          </cell>
          <cell r="C84">
            <v>1.1887675507020281</v>
          </cell>
          <cell r="D84">
            <v>0.8571428571428571</v>
          </cell>
          <cell r="E84">
            <v>1.1677852348993289</v>
          </cell>
          <cell r="F84">
            <v>1.2116279069767442</v>
          </cell>
          <cell r="G84">
            <v>1.2954545454545454</v>
          </cell>
        </row>
        <row r="85">
          <cell r="A85">
            <v>35577</v>
          </cell>
          <cell r="B85">
            <v>1.0066006600660067</v>
          </cell>
          <cell r="C85">
            <v>1.1903276131045242</v>
          </cell>
          <cell r="D85">
            <v>0.8721804511278195</v>
          </cell>
          <cell r="E85">
            <v>1.1543624161073827</v>
          </cell>
          <cell r="F85">
            <v>1.2232558139534884</v>
          </cell>
          <cell r="G85">
            <v>1.3068181818181819</v>
          </cell>
        </row>
        <row r="86">
          <cell r="A86">
            <v>35578</v>
          </cell>
          <cell r="B86">
            <v>1.0066006600660067</v>
          </cell>
          <cell r="C86">
            <v>1.1825273010920436</v>
          </cell>
          <cell r="D86">
            <v>0.88345864661654139</v>
          </cell>
          <cell r="E86">
            <v>1.1342281879194631</v>
          </cell>
          <cell r="F86">
            <v>1.2093023255813953</v>
          </cell>
          <cell r="G86">
            <v>1.3068181818181819</v>
          </cell>
        </row>
        <row r="87">
          <cell r="A87">
            <v>35579</v>
          </cell>
          <cell r="B87">
            <v>1.0297029702970297</v>
          </cell>
          <cell r="C87">
            <v>1.1965678627145087</v>
          </cell>
          <cell r="D87">
            <v>0.86842105263157898</v>
          </cell>
          <cell r="E87">
            <v>1.1543624161073827</v>
          </cell>
          <cell r="F87">
            <v>1.2116279069767442</v>
          </cell>
          <cell r="G87">
            <v>1.3068181818181819</v>
          </cell>
        </row>
        <row r="88">
          <cell r="A88">
            <v>35580</v>
          </cell>
          <cell r="B88">
            <v>1.0462046204620461</v>
          </cell>
          <cell r="C88">
            <v>1.2605304212168487</v>
          </cell>
          <cell r="D88">
            <v>0.89849624060150379</v>
          </cell>
          <cell r="E88">
            <v>1.2214765100671141</v>
          </cell>
          <cell r="F88">
            <v>1.3116279069767443</v>
          </cell>
          <cell r="G88">
            <v>1.3181818181818181</v>
          </cell>
        </row>
        <row r="89">
          <cell r="A89">
            <v>35583</v>
          </cell>
          <cell r="B89">
            <v>1.0511551155115511</v>
          </cell>
          <cell r="C89">
            <v>1.2480499219968799</v>
          </cell>
          <cell r="D89">
            <v>0.90225563909774431</v>
          </cell>
          <cell r="E89">
            <v>1.2483221476510067</v>
          </cell>
          <cell r="F89">
            <v>1.344186046511628</v>
          </cell>
          <cell r="G89">
            <v>1.3068181818181819</v>
          </cell>
        </row>
        <row r="90">
          <cell r="A90">
            <v>35584</v>
          </cell>
          <cell r="B90">
            <v>1.056105610561056</v>
          </cell>
          <cell r="C90">
            <v>1.2371294851794072</v>
          </cell>
          <cell r="D90">
            <v>0.92481203007518797</v>
          </cell>
          <cell r="E90">
            <v>1.2684563758389262</v>
          </cell>
          <cell r="F90">
            <v>1.35</v>
          </cell>
          <cell r="G90">
            <v>1.3068181818181819</v>
          </cell>
        </row>
        <row r="91">
          <cell r="A91">
            <v>35585</v>
          </cell>
          <cell r="B91">
            <v>1.0833333333333333</v>
          </cell>
          <cell r="C91">
            <v>1.2605304212168487</v>
          </cell>
          <cell r="D91">
            <v>0.9135338345864662</v>
          </cell>
          <cell r="E91">
            <v>1.2483221476510067</v>
          </cell>
          <cell r="F91">
            <v>1.3779069767441861</v>
          </cell>
          <cell r="G91">
            <v>1.3181818181818181</v>
          </cell>
        </row>
        <row r="92">
          <cell r="A92">
            <v>35586</v>
          </cell>
          <cell r="B92">
            <v>1.0891089108910892</v>
          </cell>
          <cell r="C92">
            <v>1.2854914196567864</v>
          </cell>
          <cell r="D92">
            <v>0.90977443609022557</v>
          </cell>
          <cell r="E92">
            <v>1.2550335570469799</v>
          </cell>
          <cell r="F92">
            <v>1.3395348837209302</v>
          </cell>
          <cell r="G92">
            <v>1.3068181818181819</v>
          </cell>
        </row>
        <row r="93">
          <cell r="A93">
            <v>35587</v>
          </cell>
          <cell r="B93">
            <v>1.0726072607260726</v>
          </cell>
          <cell r="C93">
            <v>1.313572542901716</v>
          </cell>
          <cell r="D93">
            <v>0.93233082706766912</v>
          </cell>
          <cell r="E93">
            <v>1.2416107382550337</v>
          </cell>
          <cell r="F93">
            <v>1.3162790697674418</v>
          </cell>
          <cell r="G93">
            <v>1.3068181818181819</v>
          </cell>
        </row>
        <row r="94">
          <cell r="A94">
            <v>35590</v>
          </cell>
          <cell r="B94">
            <v>1.0874587458745875</v>
          </cell>
          <cell r="C94">
            <v>1.3494539781591264</v>
          </cell>
          <cell r="D94">
            <v>0.94360902255639101</v>
          </cell>
          <cell r="E94">
            <v>1.2818791946308725</v>
          </cell>
          <cell r="F94">
            <v>1.3523255813953488</v>
          </cell>
          <cell r="G94">
            <v>1.3068181818181819</v>
          </cell>
        </row>
        <row r="95">
          <cell r="A95">
            <v>35591</v>
          </cell>
          <cell r="B95">
            <v>1.0808580858085808</v>
          </cell>
          <cell r="C95">
            <v>1.3416536661466458</v>
          </cell>
          <cell r="D95">
            <v>0.96240601503759393</v>
          </cell>
          <cell r="E95">
            <v>1.3020134228187918</v>
          </cell>
          <cell r="F95">
            <v>1.3383720930232559</v>
          </cell>
          <cell r="G95">
            <v>1.3295454545454546</v>
          </cell>
        </row>
        <row r="96">
          <cell r="A96">
            <v>35592</v>
          </cell>
          <cell r="B96">
            <v>1.1105610561056105</v>
          </cell>
          <cell r="C96">
            <v>1.3541341653666146</v>
          </cell>
          <cell r="D96">
            <v>0.98496240601503759</v>
          </cell>
          <cell r="E96">
            <v>1.2953020134228188</v>
          </cell>
          <cell r="F96">
            <v>1.3395348837209302</v>
          </cell>
          <cell r="G96">
            <v>1.3181818181818181</v>
          </cell>
        </row>
        <row r="97">
          <cell r="A97">
            <v>35593</v>
          </cell>
          <cell r="B97">
            <v>1.1468646864686469</v>
          </cell>
          <cell r="C97">
            <v>1.3884555382215289</v>
          </cell>
          <cell r="D97">
            <v>0.96992481203007519</v>
          </cell>
          <cell r="E97">
            <v>1.2818791946308725</v>
          </cell>
          <cell r="F97">
            <v>1.3209302325581396</v>
          </cell>
          <cell r="G97">
            <v>1.3181818181818181</v>
          </cell>
        </row>
        <row r="98">
          <cell r="A98">
            <v>35594</v>
          </cell>
          <cell r="B98">
            <v>1.1534653465346534</v>
          </cell>
          <cell r="C98">
            <v>1.4071762870514821</v>
          </cell>
          <cell r="D98">
            <v>0.97744360902255634</v>
          </cell>
          <cell r="E98">
            <v>1.3020134228187918</v>
          </cell>
          <cell r="F98">
            <v>1.3186046511627907</v>
          </cell>
          <cell r="G98">
            <v>1.3181818181818181</v>
          </cell>
        </row>
        <row r="99">
          <cell r="A99">
            <v>35597</v>
          </cell>
          <cell r="B99">
            <v>1.136138613861386</v>
          </cell>
          <cell r="C99">
            <v>1.3666146645865835</v>
          </cell>
          <cell r="D99">
            <v>0.96240601503759393</v>
          </cell>
          <cell r="E99">
            <v>1.2751677852348993</v>
          </cell>
          <cell r="F99">
            <v>1.2872093023255815</v>
          </cell>
          <cell r="G99">
            <v>1.3181818181818181</v>
          </cell>
        </row>
        <row r="100">
          <cell r="A100">
            <v>35598</v>
          </cell>
          <cell r="B100">
            <v>1.1303630363036303</v>
          </cell>
          <cell r="C100">
            <v>1.3650546021840875</v>
          </cell>
          <cell r="D100">
            <v>0.93984962406015038</v>
          </cell>
          <cell r="E100">
            <v>1.2818791946308725</v>
          </cell>
          <cell r="F100">
            <v>1.286046511627907</v>
          </cell>
          <cell r="G100">
            <v>1.3181818181818181</v>
          </cell>
        </row>
        <row r="101">
          <cell r="A101">
            <v>35599</v>
          </cell>
          <cell r="B101">
            <v>1.0973597359735974</v>
          </cell>
          <cell r="C101">
            <v>1.3338533541341653</v>
          </cell>
          <cell r="D101">
            <v>0.94360902255639101</v>
          </cell>
          <cell r="E101">
            <v>1.2751677852348993</v>
          </cell>
          <cell r="F101">
            <v>1.2790697674418605</v>
          </cell>
          <cell r="G101">
            <v>1.3181818181818181</v>
          </cell>
        </row>
        <row r="102">
          <cell r="A102">
            <v>35600</v>
          </cell>
          <cell r="B102">
            <v>1.1171617161716172</v>
          </cell>
          <cell r="C102">
            <v>1.3634945397815912</v>
          </cell>
          <cell r="D102">
            <v>0.97744360902255634</v>
          </cell>
          <cell r="E102">
            <v>1.2885906040268456</v>
          </cell>
          <cell r="F102">
            <v>1.3813953488372093</v>
          </cell>
          <cell r="G102">
            <v>1.3295454545454546</v>
          </cell>
        </row>
        <row r="103">
          <cell r="A103">
            <v>35601</v>
          </cell>
          <cell r="B103">
            <v>1.1320132013201321</v>
          </cell>
          <cell r="C103">
            <v>1.3494539781591264</v>
          </cell>
          <cell r="D103">
            <v>0.98496240601503759</v>
          </cell>
          <cell r="E103">
            <v>1.2751677852348993</v>
          </cell>
          <cell r="F103">
            <v>1.3651162790697675</v>
          </cell>
          <cell r="G103">
            <v>1.3295454545454546</v>
          </cell>
        </row>
        <row r="104">
          <cell r="A104">
            <v>35604</v>
          </cell>
          <cell r="B104">
            <v>1.1287128712871286</v>
          </cell>
          <cell r="C104">
            <v>1.3354134165366616</v>
          </cell>
          <cell r="D104">
            <v>0.97368421052631582</v>
          </cell>
          <cell r="E104">
            <v>1.2550335570469799</v>
          </cell>
          <cell r="F104">
            <v>1.3616279069767443</v>
          </cell>
          <cell r="G104">
            <v>1.3295454545454546</v>
          </cell>
        </row>
        <row r="105">
          <cell r="A105">
            <v>35605</v>
          </cell>
          <cell r="B105">
            <v>0.88118811881188119</v>
          </cell>
          <cell r="C105">
            <v>1.3494539781591264</v>
          </cell>
          <cell r="D105">
            <v>0.94736842105263153</v>
          </cell>
          <cell r="E105">
            <v>1.2483221476510067</v>
          </cell>
          <cell r="F105">
            <v>1.3651162790697675</v>
          </cell>
          <cell r="G105">
            <v>1.3295454545454546</v>
          </cell>
        </row>
        <row r="106">
          <cell r="A106">
            <v>35606</v>
          </cell>
          <cell r="B106">
            <v>0.92409240924092406</v>
          </cell>
          <cell r="C106">
            <v>1.3361934477379096</v>
          </cell>
          <cell r="D106">
            <v>0.94360902255639101</v>
          </cell>
          <cell r="E106">
            <v>1.2449664429530201</v>
          </cell>
          <cell r="F106">
            <v>1.3813953488372093</v>
          </cell>
          <cell r="G106">
            <v>1.3295454545454546</v>
          </cell>
        </row>
        <row r="107">
          <cell r="A107">
            <v>35607</v>
          </cell>
          <cell r="B107">
            <v>0.91171617161716167</v>
          </cell>
          <cell r="C107">
            <v>1.3299531981279251</v>
          </cell>
          <cell r="D107">
            <v>0.93609022556390975</v>
          </cell>
          <cell r="E107">
            <v>1.2315436241610738</v>
          </cell>
          <cell r="F107">
            <v>1.3744186046511628</v>
          </cell>
          <cell r="G107">
            <v>1.3238636363636365</v>
          </cell>
        </row>
        <row r="108">
          <cell r="A108">
            <v>35608</v>
          </cell>
          <cell r="B108">
            <v>0.83003300330033003</v>
          </cell>
          <cell r="C108">
            <v>1.2971918876755071</v>
          </cell>
          <cell r="D108">
            <v>0.93984962406015038</v>
          </cell>
          <cell r="E108">
            <v>1.2281879194630871</v>
          </cell>
          <cell r="F108">
            <v>1.3581395348837209</v>
          </cell>
          <cell r="G108">
            <v>1.3295454545454546</v>
          </cell>
        </row>
        <row r="109">
          <cell r="A109">
            <v>35611</v>
          </cell>
          <cell r="B109">
            <v>0.84323432343234328</v>
          </cell>
          <cell r="C109">
            <v>1.2776911076443058</v>
          </cell>
          <cell r="D109">
            <v>0.91165413533834583</v>
          </cell>
          <cell r="E109">
            <v>1.2416107382550337</v>
          </cell>
          <cell r="F109">
            <v>1.3348837209302327</v>
          </cell>
          <cell r="G109">
            <v>1.3295454545454546</v>
          </cell>
        </row>
        <row r="110">
          <cell r="A110">
            <v>35612</v>
          </cell>
          <cell r="B110">
            <v>0.84818481848184824</v>
          </cell>
          <cell r="C110">
            <v>1.2761310452418098</v>
          </cell>
          <cell r="D110">
            <v>0.9285714285714286</v>
          </cell>
          <cell r="E110">
            <v>1.238255033557047</v>
          </cell>
          <cell r="F110">
            <v>1.3837209302325582</v>
          </cell>
          <cell r="G110">
            <v>1.3295454545454546</v>
          </cell>
        </row>
        <row r="111">
          <cell r="A111">
            <v>35613</v>
          </cell>
          <cell r="B111">
            <v>0.8366336633663366</v>
          </cell>
          <cell r="C111">
            <v>1.2901716068642746</v>
          </cell>
          <cell r="D111">
            <v>0.9285714285714286</v>
          </cell>
          <cell r="E111">
            <v>1.2449664429530201</v>
          </cell>
          <cell r="F111">
            <v>1.4116279069767441</v>
          </cell>
          <cell r="G111">
            <v>1.3181818181818181</v>
          </cell>
        </row>
        <row r="112">
          <cell r="A112">
            <v>35614</v>
          </cell>
          <cell r="B112">
            <v>0.84570957095709576</v>
          </cell>
          <cell r="C112">
            <v>1.3151326053042123</v>
          </cell>
          <cell r="D112">
            <v>0.93421052631578949</v>
          </cell>
          <cell r="E112">
            <v>1.2348993288590604</v>
          </cell>
          <cell r="F112">
            <v>1.4290697674418604</v>
          </cell>
          <cell r="G112">
            <v>1.3125</v>
          </cell>
        </row>
        <row r="113">
          <cell r="A113">
            <v>35615</v>
          </cell>
          <cell r="B113">
            <v>0.84570957095709576</v>
          </cell>
          <cell r="C113">
            <v>1.3151326053042123</v>
          </cell>
          <cell r="D113">
            <v>0.93421052631578949</v>
          </cell>
          <cell r="E113">
            <v>1.2348993288590604</v>
          </cell>
          <cell r="F113">
            <v>1.4290697674418604</v>
          </cell>
          <cell r="G113">
            <v>1.3125</v>
          </cell>
        </row>
        <row r="114">
          <cell r="A114">
            <v>35618</v>
          </cell>
          <cell r="B114">
            <v>0.84158415841584155</v>
          </cell>
          <cell r="C114">
            <v>1.3018720748829953</v>
          </cell>
          <cell r="D114">
            <v>0.93984962406015038</v>
          </cell>
          <cell r="E114">
            <v>1.238255033557047</v>
          </cell>
          <cell r="F114">
            <v>1.4162790697674419</v>
          </cell>
          <cell r="G114">
            <v>1.3181818181818181</v>
          </cell>
        </row>
        <row r="115">
          <cell r="A115">
            <v>35619</v>
          </cell>
          <cell r="B115">
            <v>0.85808580858085803</v>
          </cell>
          <cell r="C115">
            <v>1.3112324492979719</v>
          </cell>
          <cell r="D115">
            <v>0.9285714285714286</v>
          </cell>
          <cell r="E115">
            <v>1.2315436241610738</v>
          </cell>
          <cell r="F115">
            <v>1.4953488372093022</v>
          </cell>
          <cell r="G115">
            <v>1.3181818181818181</v>
          </cell>
        </row>
        <row r="116">
          <cell r="A116">
            <v>35620</v>
          </cell>
          <cell r="B116">
            <v>0.86303630363036299</v>
          </cell>
          <cell r="C116">
            <v>1.2893915756630265</v>
          </cell>
          <cell r="D116">
            <v>0.90977443609022557</v>
          </cell>
          <cell r="E116">
            <v>1.2348993288590604</v>
          </cell>
          <cell r="F116">
            <v>1.4441860465116279</v>
          </cell>
          <cell r="G116">
            <v>1.3295454545454546</v>
          </cell>
        </row>
        <row r="117">
          <cell r="A117">
            <v>35621</v>
          </cell>
          <cell r="B117">
            <v>0.86138613861386137</v>
          </cell>
          <cell r="C117">
            <v>1.2901716068642746</v>
          </cell>
          <cell r="D117">
            <v>0.91917293233082709</v>
          </cell>
          <cell r="E117">
            <v>1.261744966442953</v>
          </cell>
          <cell r="F117">
            <v>1.4744186046511627</v>
          </cell>
          <cell r="G117">
            <v>1.3295454545454546</v>
          </cell>
        </row>
        <row r="118">
          <cell r="A118">
            <v>35622</v>
          </cell>
          <cell r="B118">
            <v>0.83333333333333337</v>
          </cell>
          <cell r="C118">
            <v>1.3096723868954758</v>
          </cell>
          <cell r="D118">
            <v>0.9135338345864662</v>
          </cell>
          <cell r="E118">
            <v>1.2751677852348993</v>
          </cell>
          <cell r="F118">
            <v>1.5069767441860464</v>
          </cell>
          <cell r="G118">
            <v>1.3181818181818181</v>
          </cell>
        </row>
        <row r="119">
          <cell r="A119">
            <v>35625</v>
          </cell>
          <cell r="B119">
            <v>0.84818481848184824</v>
          </cell>
          <cell r="C119">
            <v>1.3010920436817472</v>
          </cell>
          <cell r="D119">
            <v>0.92293233082706772</v>
          </cell>
          <cell r="E119">
            <v>1.261744966442953</v>
          </cell>
          <cell r="F119">
            <v>1.4697674418604652</v>
          </cell>
          <cell r="G119">
            <v>1.3295454545454546</v>
          </cell>
        </row>
        <row r="120">
          <cell r="A120">
            <v>35626</v>
          </cell>
          <cell r="B120">
            <v>0.85231023102310233</v>
          </cell>
          <cell r="C120">
            <v>1.3042121684867394</v>
          </cell>
          <cell r="D120">
            <v>0.93045112781954886</v>
          </cell>
          <cell r="E120">
            <v>1.2651006711409396</v>
          </cell>
          <cell r="F120">
            <v>1.5139534883720931</v>
          </cell>
          <cell r="G120">
            <v>1.3181818181818181</v>
          </cell>
        </row>
        <row r="121">
          <cell r="A121">
            <v>35627</v>
          </cell>
          <cell r="B121">
            <v>0.84983498349834985</v>
          </cell>
          <cell r="C121">
            <v>1.3424336973478939</v>
          </cell>
          <cell r="D121">
            <v>0.9135338345864662</v>
          </cell>
          <cell r="E121">
            <v>1.2885906040268456</v>
          </cell>
          <cell r="F121">
            <v>1.569767441860465</v>
          </cell>
          <cell r="G121">
            <v>1.2954545454545454</v>
          </cell>
        </row>
        <row r="122">
          <cell r="A122">
            <v>35628</v>
          </cell>
          <cell r="B122">
            <v>0.85313531353135319</v>
          </cell>
          <cell r="C122">
            <v>1.3338533541341653</v>
          </cell>
          <cell r="D122">
            <v>0.91541353383458646</v>
          </cell>
          <cell r="E122">
            <v>1.2684563758389262</v>
          </cell>
          <cell r="F122">
            <v>1.6069767441860465</v>
          </cell>
          <cell r="G122">
            <v>1.3068181818181819</v>
          </cell>
        </row>
        <row r="123">
          <cell r="A123">
            <v>35629</v>
          </cell>
          <cell r="B123">
            <v>0.84653465346534651</v>
          </cell>
          <cell r="C123">
            <v>1.3018720748829953</v>
          </cell>
          <cell r="D123">
            <v>0.91541353383458646</v>
          </cell>
          <cell r="E123">
            <v>1.2583892617449663</v>
          </cell>
          <cell r="F123">
            <v>1.6046511627906976</v>
          </cell>
          <cell r="G123">
            <v>1.2954545454545454</v>
          </cell>
        </row>
        <row r="124">
          <cell r="A124">
            <v>35632</v>
          </cell>
          <cell r="B124">
            <v>0.83993399339933994</v>
          </cell>
          <cell r="C124">
            <v>1.3252730109204369</v>
          </cell>
          <cell r="D124">
            <v>0.90037593984962405</v>
          </cell>
          <cell r="E124">
            <v>1.2483221476510067</v>
          </cell>
          <cell r="F124">
            <v>1.5488372093023255</v>
          </cell>
          <cell r="G124">
            <v>1.3125</v>
          </cell>
        </row>
        <row r="125">
          <cell r="A125">
            <v>35633</v>
          </cell>
          <cell r="B125">
            <v>0.84488448844884489</v>
          </cell>
          <cell r="C125">
            <v>1.3400936037441498</v>
          </cell>
          <cell r="D125">
            <v>0.90413533834586468</v>
          </cell>
          <cell r="E125">
            <v>1.2751677852348993</v>
          </cell>
          <cell r="F125">
            <v>1.5813953488372092</v>
          </cell>
          <cell r="G125">
            <v>1.3238636363636365</v>
          </cell>
        </row>
        <row r="126">
          <cell r="A126">
            <v>35634</v>
          </cell>
          <cell r="B126">
            <v>0.84158415841584155</v>
          </cell>
          <cell r="C126">
            <v>1.3837753510140405</v>
          </cell>
          <cell r="D126">
            <v>0.90601503759398494</v>
          </cell>
          <cell r="E126">
            <v>1.2483221476510067</v>
          </cell>
          <cell r="F126">
            <v>1.5930232558139534</v>
          </cell>
          <cell r="G126">
            <v>1.3238636363636365</v>
          </cell>
        </row>
        <row r="127">
          <cell r="A127">
            <v>35635</v>
          </cell>
          <cell r="B127">
            <v>0.86551155115511547</v>
          </cell>
          <cell r="C127">
            <v>1.43603744149766</v>
          </cell>
          <cell r="D127">
            <v>0.95676691729323304</v>
          </cell>
          <cell r="E127">
            <v>1.3154362416107384</v>
          </cell>
          <cell r="F127">
            <v>1.6279069767441861</v>
          </cell>
          <cell r="G127">
            <v>1.3238636363636365</v>
          </cell>
        </row>
        <row r="128">
          <cell r="A128">
            <v>35636</v>
          </cell>
          <cell r="B128">
            <v>0.86963696369636967</v>
          </cell>
          <cell r="C128">
            <v>1.4056162246489861</v>
          </cell>
          <cell r="D128">
            <v>0.9285714285714286</v>
          </cell>
          <cell r="E128">
            <v>1.2651006711409396</v>
          </cell>
          <cell r="F128">
            <v>1.5837209302325581</v>
          </cell>
          <cell r="G128">
            <v>1.3238636363636365</v>
          </cell>
        </row>
        <row r="129">
          <cell r="A129">
            <v>35639</v>
          </cell>
          <cell r="B129">
            <v>0.85643564356435642</v>
          </cell>
          <cell r="C129">
            <v>1.3759750390015602</v>
          </cell>
          <cell r="D129">
            <v>0.9285714285714286</v>
          </cell>
          <cell r="E129">
            <v>1.2416107382550337</v>
          </cell>
          <cell r="F129">
            <v>1.5418604651162791</v>
          </cell>
          <cell r="G129">
            <v>1.3181818181818181</v>
          </cell>
        </row>
        <row r="130">
          <cell r="A130">
            <v>35640</v>
          </cell>
          <cell r="B130">
            <v>0.8729372937293729</v>
          </cell>
          <cell r="C130">
            <v>1.4149765990639624</v>
          </cell>
          <cell r="D130">
            <v>0.94360902255639101</v>
          </cell>
          <cell r="E130">
            <v>1.2550335570469799</v>
          </cell>
          <cell r="F130">
            <v>1.5441860465116279</v>
          </cell>
          <cell r="G130">
            <v>1.3125</v>
          </cell>
        </row>
        <row r="131">
          <cell r="A131">
            <v>35641</v>
          </cell>
          <cell r="B131">
            <v>0.9455445544554455</v>
          </cell>
          <cell r="C131">
            <v>1.4266770670826834</v>
          </cell>
          <cell r="D131">
            <v>0.96804511278195493</v>
          </cell>
          <cell r="E131">
            <v>1.2751677852348993</v>
          </cell>
          <cell r="F131">
            <v>1.5767441860465117</v>
          </cell>
          <cell r="G131">
            <v>1.3181818181818181</v>
          </cell>
        </row>
        <row r="132">
          <cell r="A132">
            <v>35642</v>
          </cell>
          <cell r="B132">
            <v>0.93399339933993397</v>
          </cell>
          <cell r="C132">
            <v>1.421996879875195</v>
          </cell>
          <cell r="D132">
            <v>0.97368421052631582</v>
          </cell>
          <cell r="E132">
            <v>1.3087248322147651</v>
          </cell>
          <cell r="F132">
            <v>1.5639534883720929</v>
          </cell>
          <cell r="G132">
            <v>1.3181818181818181</v>
          </cell>
        </row>
        <row r="133">
          <cell r="A133">
            <v>35643</v>
          </cell>
          <cell r="B133">
            <v>0.8910891089108911</v>
          </cell>
          <cell r="C133">
            <v>1.422776911076443</v>
          </cell>
          <cell r="D133">
            <v>0.96240601503759393</v>
          </cell>
          <cell r="E133">
            <v>1.2852348993288591</v>
          </cell>
          <cell r="F133">
            <v>1.5488372093023255</v>
          </cell>
          <cell r="G133">
            <v>1.3181818181818181</v>
          </cell>
        </row>
        <row r="134">
          <cell r="A134">
            <v>35646</v>
          </cell>
          <cell r="B134">
            <v>0.90594059405940597</v>
          </cell>
          <cell r="C134">
            <v>1.4602184087363494</v>
          </cell>
          <cell r="D134">
            <v>0.99436090225563911</v>
          </cell>
          <cell r="E134">
            <v>1.3087248322147651</v>
          </cell>
          <cell r="F134">
            <v>1.5965116279069766</v>
          </cell>
          <cell r="G134">
            <v>1.3181818181818181</v>
          </cell>
        </row>
        <row r="135">
          <cell r="A135">
            <v>35647</v>
          </cell>
          <cell r="B135">
            <v>0.8952145214521452</v>
          </cell>
          <cell r="C135">
            <v>1.282371294851794</v>
          </cell>
          <cell r="D135">
            <v>0.97556390977443608</v>
          </cell>
          <cell r="E135">
            <v>1.2885906040268456</v>
          </cell>
          <cell r="F135">
            <v>1.527906976744186</v>
          </cell>
          <cell r="G135">
            <v>1.3238636363636365</v>
          </cell>
        </row>
        <row r="136">
          <cell r="A136">
            <v>35648</v>
          </cell>
          <cell r="B136">
            <v>0.8910891089108911</v>
          </cell>
          <cell r="C136">
            <v>1.2730109204368174</v>
          </cell>
          <cell r="D136">
            <v>0.94736842105263153</v>
          </cell>
          <cell r="E136">
            <v>1.3154362416107384</v>
          </cell>
          <cell r="F136">
            <v>1.4744186046511627</v>
          </cell>
          <cell r="G136">
            <v>1.3125</v>
          </cell>
        </row>
        <row r="137">
          <cell r="A137">
            <v>35649</v>
          </cell>
          <cell r="B137">
            <v>0.88778877887788776</v>
          </cell>
          <cell r="C137">
            <v>1.2074882995319813</v>
          </cell>
          <cell r="D137">
            <v>0.91165413533834583</v>
          </cell>
          <cell r="E137">
            <v>1.2751677852348993</v>
          </cell>
          <cell r="F137">
            <v>1.3767441860465117</v>
          </cell>
          <cell r="G137">
            <v>1.2954545454545454</v>
          </cell>
        </row>
        <row r="138">
          <cell r="A138">
            <v>35650</v>
          </cell>
          <cell r="B138">
            <v>0.91089108910891092</v>
          </cell>
          <cell r="C138">
            <v>1.218408736349454</v>
          </cell>
          <cell r="D138">
            <v>0.91729323308270672</v>
          </cell>
          <cell r="E138">
            <v>1.2583892617449663</v>
          </cell>
          <cell r="F138">
            <v>1.3767441860465117</v>
          </cell>
          <cell r="G138">
            <v>1.3125</v>
          </cell>
        </row>
        <row r="139">
          <cell r="A139">
            <v>35653</v>
          </cell>
          <cell r="B139">
            <v>0.91749174917491749</v>
          </cell>
          <cell r="C139">
            <v>1.2199687987519501</v>
          </cell>
          <cell r="D139">
            <v>0.9135338345864662</v>
          </cell>
          <cell r="E139">
            <v>1.2818791946308725</v>
          </cell>
          <cell r="F139">
            <v>1.3813953488372093</v>
          </cell>
          <cell r="G139">
            <v>1.3295454545454546</v>
          </cell>
        </row>
        <row r="140">
          <cell r="A140">
            <v>35654</v>
          </cell>
          <cell r="B140">
            <v>0.91254125412541254</v>
          </cell>
          <cell r="C140">
            <v>1.217628705148206</v>
          </cell>
          <cell r="D140">
            <v>0.90789473684210531</v>
          </cell>
          <cell r="E140">
            <v>1.2550335570469799</v>
          </cell>
          <cell r="F140">
            <v>1.386046511627907</v>
          </cell>
          <cell r="G140">
            <v>1.3295454545454546</v>
          </cell>
        </row>
        <row r="141">
          <cell r="A141">
            <v>35655</v>
          </cell>
          <cell r="B141">
            <v>0.93399339933993397</v>
          </cell>
          <cell r="C141">
            <v>1.2012480499219969</v>
          </cell>
          <cell r="D141">
            <v>0.9135338345864662</v>
          </cell>
          <cell r="E141">
            <v>1.2248322147651007</v>
          </cell>
          <cell r="F141">
            <v>1.3558139534883722</v>
          </cell>
          <cell r="G141">
            <v>1.3295454545454546</v>
          </cell>
        </row>
        <row r="142">
          <cell r="A142">
            <v>35656</v>
          </cell>
          <cell r="B142">
            <v>0.95132013201320131</v>
          </cell>
          <cell r="C142">
            <v>1.2082683307332294</v>
          </cell>
          <cell r="D142">
            <v>0.9135338345864662</v>
          </cell>
          <cell r="E142">
            <v>1.2483221476510067</v>
          </cell>
          <cell r="F142">
            <v>1.3953488372093024</v>
          </cell>
          <cell r="G142">
            <v>1.3295454545454546</v>
          </cell>
        </row>
        <row r="143">
          <cell r="A143">
            <v>35657</v>
          </cell>
          <cell r="B143">
            <v>0.94884488448844884</v>
          </cell>
          <cell r="C143">
            <v>1.1950078003120126</v>
          </cell>
          <cell r="D143">
            <v>0.90977443609022557</v>
          </cell>
          <cell r="E143">
            <v>1.2684563758389262</v>
          </cell>
          <cell r="F143">
            <v>1.4</v>
          </cell>
          <cell r="G143">
            <v>1.3295454545454546</v>
          </cell>
        </row>
        <row r="144">
          <cell r="A144">
            <v>35660</v>
          </cell>
          <cell r="B144">
            <v>0.9356435643564357</v>
          </cell>
          <cell r="C144">
            <v>1.1895475819032761</v>
          </cell>
          <cell r="D144">
            <v>0.90601503759398494</v>
          </cell>
          <cell r="E144">
            <v>1.2651006711409396</v>
          </cell>
          <cell r="F144">
            <v>1.413953488372093</v>
          </cell>
          <cell r="G144">
            <v>1.3352272727272727</v>
          </cell>
        </row>
        <row r="145">
          <cell r="A145">
            <v>35661</v>
          </cell>
          <cell r="B145">
            <v>0.94224422442244227</v>
          </cell>
          <cell r="C145">
            <v>1.1770670826833074</v>
          </cell>
          <cell r="D145">
            <v>0.92481203007518797</v>
          </cell>
          <cell r="E145">
            <v>1.2986577181208054</v>
          </cell>
          <cell r="F145">
            <v>1.4604651162790698</v>
          </cell>
          <cell r="G145">
            <v>1.3522727272727273</v>
          </cell>
        </row>
        <row r="146">
          <cell r="A146">
            <v>35662</v>
          </cell>
          <cell r="B146">
            <v>0.95049504950495045</v>
          </cell>
          <cell r="C146">
            <v>1.173166926677067</v>
          </cell>
          <cell r="D146">
            <v>0.9135338345864662</v>
          </cell>
          <cell r="E146">
            <v>1.2986577181208054</v>
          </cell>
          <cell r="F146">
            <v>1.4767441860465116</v>
          </cell>
          <cell r="G146">
            <v>1.3522727272727273</v>
          </cell>
        </row>
        <row r="147">
          <cell r="A147">
            <v>35663</v>
          </cell>
          <cell r="B147">
            <v>0.92904290429042902</v>
          </cell>
          <cell r="C147">
            <v>1.1669266770670828</v>
          </cell>
          <cell r="D147">
            <v>0.91165413533834583</v>
          </cell>
          <cell r="E147">
            <v>1.2684563758389262</v>
          </cell>
          <cell r="F147">
            <v>1.4279069767441861</v>
          </cell>
          <cell r="G147">
            <v>1.3522727272727273</v>
          </cell>
        </row>
        <row r="148">
          <cell r="A148">
            <v>35664</v>
          </cell>
          <cell r="B148">
            <v>0.93894389438943893</v>
          </cell>
          <cell r="C148">
            <v>1.1653666146645867</v>
          </cell>
          <cell r="D148">
            <v>0.93984962406015038</v>
          </cell>
          <cell r="E148">
            <v>1.261744966442953</v>
          </cell>
          <cell r="F148">
            <v>1.430232558139535</v>
          </cell>
          <cell r="G148">
            <v>1.3522727272727273</v>
          </cell>
        </row>
        <row r="149">
          <cell r="A149">
            <v>35667</v>
          </cell>
          <cell r="B149">
            <v>0.91584158415841588</v>
          </cell>
          <cell r="C149">
            <v>1.187207488299532</v>
          </cell>
          <cell r="D149">
            <v>0.94548872180451127</v>
          </cell>
          <cell r="E149">
            <v>1.2919463087248322</v>
          </cell>
          <cell r="F149">
            <v>1.4244186046511629</v>
          </cell>
          <cell r="G149">
            <v>1.3465909090909092</v>
          </cell>
        </row>
        <row r="150">
          <cell r="A150">
            <v>35668</v>
          </cell>
          <cell r="B150">
            <v>0.92409240924092406</v>
          </cell>
          <cell r="C150">
            <v>1.1981279251170047</v>
          </cell>
          <cell r="D150">
            <v>0.92669172932330823</v>
          </cell>
          <cell r="E150">
            <v>1.2953020134228188</v>
          </cell>
          <cell r="F150">
            <v>1.4162790697674419</v>
          </cell>
          <cell r="G150">
            <v>1.3465909090909092</v>
          </cell>
        </row>
        <row r="151">
          <cell r="A151">
            <v>35669</v>
          </cell>
          <cell r="B151">
            <v>0.91254125412541254</v>
          </cell>
          <cell r="C151">
            <v>1.2098283931357254</v>
          </cell>
          <cell r="D151">
            <v>0.94736842105263153</v>
          </cell>
          <cell r="E151">
            <v>1.2818791946308725</v>
          </cell>
          <cell r="F151">
            <v>1.3930232558139535</v>
          </cell>
          <cell r="G151">
            <v>1.3522727272727273</v>
          </cell>
        </row>
        <row r="152">
          <cell r="A152">
            <v>35670</v>
          </cell>
          <cell r="B152">
            <v>0.9092409240924092</v>
          </cell>
          <cell r="C152">
            <v>1.1989079563182528</v>
          </cell>
          <cell r="D152">
            <v>0.95864661654135341</v>
          </cell>
          <cell r="E152">
            <v>1.2785234899328859</v>
          </cell>
          <cell r="F152">
            <v>1.3651162790697675</v>
          </cell>
          <cell r="G152">
            <v>1.3522727272727273</v>
          </cell>
        </row>
        <row r="153">
          <cell r="A153">
            <v>35671</v>
          </cell>
          <cell r="B153">
            <v>0.90264026402640263</v>
          </cell>
          <cell r="C153">
            <v>1.1911076443057722</v>
          </cell>
          <cell r="D153">
            <v>0.95676691729323304</v>
          </cell>
          <cell r="E153">
            <v>1.2651006711409396</v>
          </cell>
          <cell r="F153">
            <v>1.3604651162790697</v>
          </cell>
          <cell r="G153">
            <v>1.3522727272727273</v>
          </cell>
        </row>
        <row r="154">
          <cell r="A154">
            <v>35674</v>
          </cell>
          <cell r="B154">
            <v>0.90264026402640263</v>
          </cell>
          <cell r="C154">
            <v>1.1911076443057722</v>
          </cell>
          <cell r="D154">
            <v>0.95676691729323304</v>
          </cell>
          <cell r="E154">
            <v>1.2651006711409396</v>
          </cell>
          <cell r="F154">
            <v>1.3604651162790697</v>
          </cell>
          <cell r="G154">
            <v>1.3522727272727273</v>
          </cell>
        </row>
        <row r="155">
          <cell r="A155">
            <v>35675</v>
          </cell>
          <cell r="B155">
            <v>0.94801980198019797</v>
          </cell>
          <cell r="C155">
            <v>1.2207488299531981</v>
          </cell>
          <cell r="D155">
            <v>0.97368421052631582</v>
          </cell>
          <cell r="E155">
            <v>1.2516778523489933</v>
          </cell>
          <cell r="F155">
            <v>1.3813953488372093</v>
          </cell>
          <cell r="G155">
            <v>1.3579545454545454</v>
          </cell>
        </row>
        <row r="156">
          <cell r="A156">
            <v>35676</v>
          </cell>
          <cell r="B156">
            <v>0.95049504950495045</v>
          </cell>
          <cell r="C156">
            <v>1.2394695787831513</v>
          </cell>
          <cell r="D156">
            <v>0.98872180451127822</v>
          </cell>
          <cell r="E156">
            <v>1.3087248322147651</v>
          </cell>
          <cell r="F156">
            <v>1.4075581395348837</v>
          </cell>
          <cell r="G156">
            <v>1.3636363636363635</v>
          </cell>
        </row>
        <row r="157">
          <cell r="A157">
            <v>35677</v>
          </cell>
          <cell r="B157">
            <v>0.94059405940594054</v>
          </cell>
          <cell r="C157">
            <v>1.2464898595943839</v>
          </cell>
          <cell r="D157">
            <v>0.97744360902255634</v>
          </cell>
          <cell r="E157">
            <v>1.2885906040268456</v>
          </cell>
          <cell r="F157">
            <v>1.4046511627906977</v>
          </cell>
          <cell r="G157">
            <v>1.3522727272727273</v>
          </cell>
        </row>
        <row r="158">
          <cell r="A158">
            <v>35678</v>
          </cell>
          <cell r="B158">
            <v>0.94884488448844884</v>
          </cell>
          <cell r="C158">
            <v>1.2636505460218408</v>
          </cell>
          <cell r="D158">
            <v>0.99812030075187974</v>
          </cell>
          <cell r="E158">
            <v>1.3120805369127517</v>
          </cell>
          <cell r="F158">
            <v>1.4395348837209303</v>
          </cell>
          <cell r="G158">
            <v>1.3522727272727273</v>
          </cell>
        </row>
        <row r="159">
          <cell r="A159">
            <v>35681</v>
          </cell>
          <cell r="B159">
            <v>0.94636963696369636</v>
          </cell>
          <cell r="C159">
            <v>1.2659906396255851</v>
          </cell>
          <cell r="D159">
            <v>0.99248120300751874</v>
          </cell>
          <cell r="E159">
            <v>1.2818791946308725</v>
          </cell>
          <cell r="F159">
            <v>1.4186046511627908</v>
          </cell>
          <cell r="G159">
            <v>1.3636363636363635</v>
          </cell>
        </row>
        <row r="160">
          <cell r="A160">
            <v>35682</v>
          </cell>
          <cell r="B160">
            <v>0.95049504950495045</v>
          </cell>
          <cell r="C160">
            <v>1.2730109204368174</v>
          </cell>
          <cell r="D160">
            <v>0.99624060150375937</v>
          </cell>
          <cell r="E160">
            <v>1.2953020134228188</v>
          </cell>
          <cell r="F160">
            <v>1.4209302325581394</v>
          </cell>
          <cell r="G160">
            <v>1.3579545454545454</v>
          </cell>
        </row>
        <row r="161">
          <cell r="A161">
            <v>35683</v>
          </cell>
          <cell r="B161">
            <v>0.95379537953795379</v>
          </cell>
          <cell r="C161">
            <v>1.2652106084243371</v>
          </cell>
          <cell r="D161">
            <v>0.99624060150375937</v>
          </cell>
          <cell r="E161">
            <v>1.2953020134228188</v>
          </cell>
          <cell r="F161">
            <v>1.4162790697674419</v>
          </cell>
          <cell r="G161">
            <v>1.3636363636363635</v>
          </cell>
        </row>
        <row r="162">
          <cell r="A162">
            <v>35684</v>
          </cell>
          <cell r="B162">
            <v>0.95049504950495045</v>
          </cell>
          <cell r="C162">
            <v>1.2480499219968799</v>
          </cell>
          <cell r="D162">
            <v>0.99060150375939848</v>
          </cell>
          <cell r="E162">
            <v>1.2785234899328859</v>
          </cell>
          <cell r="F162">
            <v>1.4395348837209303</v>
          </cell>
          <cell r="G162">
            <v>1.3579545454545454</v>
          </cell>
        </row>
        <row r="163">
          <cell r="A163">
            <v>35685</v>
          </cell>
          <cell r="B163">
            <v>0.98679867986798675</v>
          </cell>
          <cell r="C163">
            <v>1.2730109204368174</v>
          </cell>
          <cell r="D163">
            <v>1.013157894736842</v>
          </cell>
          <cell r="E163">
            <v>1.3389261744966443</v>
          </cell>
          <cell r="F163">
            <v>1.45</v>
          </cell>
          <cell r="G163">
            <v>1.3579545454545454</v>
          </cell>
        </row>
        <row r="164">
          <cell r="A164">
            <v>35688</v>
          </cell>
          <cell r="B164">
            <v>0.97689768976897695</v>
          </cell>
          <cell r="C164">
            <v>1.2862714508580344</v>
          </cell>
          <cell r="D164">
            <v>1.0018796992481203</v>
          </cell>
          <cell r="E164">
            <v>1.2885906040268456</v>
          </cell>
          <cell r="F164">
            <v>1.413953488372093</v>
          </cell>
          <cell r="G164">
            <v>1.3522727272727273</v>
          </cell>
        </row>
        <row r="165">
          <cell r="A165">
            <v>35689</v>
          </cell>
          <cell r="B165">
            <v>0.96534653465346532</v>
          </cell>
          <cell r="C165">
            <v>1.3213728549141965</v>
          </cell>
          <cell r="D165">
            <v>1.005639097744361</v>
          </cell>
          <cell r="E165">
            <v>1.3355704697986577</v>
          </cell>
          <cell r="F165">
            <v>1.4511627906976745</v>
          </cell>
          <cell r="G165">
            <v>1.3579545454545454</v>
          </cell>
        </row>
        <row r="166">
          <cell r="A166">
            <v>35690</v>
          </cell>
          <cell r="B166">
            <v>0.9636963696369637</v>
          </cell>
          <cell r="C166">
            <v>1.3237129485179406</v>
          </cell>
          <cell r="D166">
            <v>0.99436090225563911</v>
          </cell>
          <cell r="E166">
            <v>1.3355704697986577</v>
          </cell>
          <cell r="F166">
            <v>1.4279069767441861</v>
          </cell>
          <cell r="G166">
            <v>1.3636363636363635</v>
          </cell>
        </row>
        <row r="167">
          <cell r="A167">
            <v>35691</v>
          </cell>
          <cell r="B167">
            <v>0.96039603960396036</v>
          </cell>
          <cell r="C167">
            <v>1.3244929797191887</v>
          </cell>
          <cell r="D167">
            <v>1.0075187969924813</v>
          </cell>
          <cell r="E167">
            <v>1.3288590604026846</v>
          </cell>
          <cell r="F167">
            <v>1.430232558139535</v>
          </cell>
          <cell r="G167">
            <v>1.3636363636363635</v>
          </cell>
        </row>
        <row r="168">
          <cell r="A168">
            <v>35692</v>
          </cell>
          <cell r="B168">
            <v>0.96204620462046209</v>
          </cell>
          <cell r="C168">
            <v>1.3057722308892357</v>
          </cell>
          <cell r="D168">
            <v>1.0093984962406015</v>
          </cell>
          <cell r="E168">
            <v>1.3154362416107384</v>
          </cell>
          <cell r="F168">
            <v>1.4232558139534883</v>
          </cell>
          <cell r="G168">
            <v>1.3636363636363635</v>
          </cell>
        </row>
        <row r="169">
          <cell r="A169">
            <v>35695</v>
          </cell>
          <cell r="B169">
            <v>0.95709570957095713</v>
          </cell>
          <cell r="C169">
            <v>1.282371294851794</v>
          </cell>
          <cell r="D169">
            <v>1.0075187969924813</v>
          </cell>
          <cell r="E169">
            <v>1.3020134228187918</v>
          </cell>
          <cell r="F169">
            <v>1.4476744186046511</v>
          </cell>
          <cell r="G169">
            <v>1.3636363636363635</v>
          </cell>
        </row>
        <row r="170">
          <cell r="A170">
            <v>35696</v>
          </cell>
          <cell r="B170">
            <v>0.92574257425742579</v>
          </cell>
          <cell r="C170">
            <v>1.1692667706708268</v>
          </cell>
          <cell r="D170">
            <v>0.99812030075187974</v>
          </cell>
          <cell r="E170">
            <v>1.2785234899328859</v>
          </cell>
          <cell r="F170">
            <v>1.4313953488372093</v>
          </cell>
          <cell r="G170">
            <v>1.3636363636363635</v>
          </cell>
        </row>
        <row r="171">
          <cell r="A171">
            <v>35697</v>
          </cell>
          <cell r="B171">
            <v>0.92409240924092406</v>
          </cell>
          <cell r="C171">
            <v>1.1560062402496101</v>
          </cell>
          <cell r="D171">
            <v>0.98872180451127822</v>
          </cell>
          <cell r="E171">
            <v>1.2684563758389262</v>
          </cell>
          <cell r="F171">
            <v>1.4162790697674419</v>
          </cell>
          <cell r="G171">
            <v>1.3636363636363635</v>
          </cell>
        </row>
        <row r="172">
          <cell r="A172">
            <v>35698</v>
          </cell>
          <cell r="B172">
            <v>0.92079207920792083</v>
          </cell>
          <cell r="C172">
            <v>1.1248049921996879</v>
          </cell>
          <cell r="D172">
            <v>0.99436090225563911</v>
          </cell>
          <cell r="E172">
            <v>1.238255033557047</v>
          </cell>
          <cell r="F172">
            <v>1.3941860465116278</v>
          </cell>
          <cell r="G172">
            <v>1.3636363636363635</v>
          </cell>
        </row>
        <row r="173">
          <cell r="A173">
            <v>35699</v>
          </cell>
          <cell r="B173">
            <v>0.8952145214521452</v>
          </cell>
          <cell r="C173">
            <v>1.1294851794071763</v>
          </cell>
          <cell r="D173">
            <v>0.97556390977443608</v>
          </cell>
          <cell r="E173">
            <v>1.2550335570469799</v>
          </cell>
          <cell r="F173">
            <v>1.4511627906976745</v>
          </cell>
          <cell r="G173">
            <v>1.3636363636363635</v>
          </cell>
        </row>
        <row r="174">
          <cell r="A174">
            <v>35702</v>
          </cell>
          <cell r="B174">
            <v>0.88778877887788776</v>
          </cell>
          <cell r="C174">
            <v>1.0109204368174727</v>
          </cell>
          <cell r="D174">
            <v>0.96052631578947367</v>
          </cell>
          <cell r="E174">
            <v>1.2550335570469799</v>
          </cell>
          <cell r="F174">
            <v>1.4116279069767441</v>
          </cell>
          <cell r="G174">
            <v>1.3636363636363635</v>
          </cell>
        </row>
        <row r="175">
          <cell r="A175">
            <v>35703</v>
          </cell>
          <cell r="B175">
            <v>0.89933993399339929</v>
          </cell>
          <cell r="C175">
            <v>1.0163806552262091</v>
          </cell>
          <cell r="D175">
            <v>0.96240601503759393</v>
          </cell>
          <cell r="E175">
            <v>1.2785234899328859</v>
          </cell>
          <cell r="F175">
            <v>1.3930232558139535</v>
          </cell>
          <cell r="G175">
            <v>1.3636363636363635</v>
          </cell>
        </row>
        <row r="176">
          <cell r="A176">
            <v>35704</v>
          </cell>
          <cell r="B176">
            <v>0.88448844884488453</v>
          </cell>
          <cell r="C176">
            <v>0.99531981279251169</v>
          </cell>
          <cell r="D176">
            <v>0.97932330827067671</v>
          </cell>
          <cell r="E176">
            <v>1.2550335570469799</v>
          </cell>
          <cell r="F176">
            <v>1.336046511627907</v>
          </cell>
          <cell r="G176">
            <v>1.3636363636363635</v>
          </cell>
        </row>
        <row r="177">
          <cell r="A177">
            <v>35705</v>
          </cell>
          <cell r="B177">
            <v>0.88531353135313529</v>
          </cell>
          <cell r="C177">
            <v>0.97659906396255847</v>
          </cell>
          <cell r="D177">
            <v>0.96240601503759393</v>
          </cell>
          <cell r="E177">
            <v>1.1946308724832215</v>
          </cell>
          <cell r="F177">
            <v>1.3255813953488371</v>
          </cell>
          <cell r="G177">
            <v>1.3636363636363635</v>
          </cell>
        </row>
        <row r="178">
          <cell r="A178">
            <v>35706</v>
          </cell>
          <cell r="B178">
            <v>0.89603960396039606</v>
          </cell>
          <cell r="C178">
            <v>0.9726989079563183</v>
          </cell>
          <cell r="D178">
            <v>0.96240601503759393</v>
          </cell>
          <cell r="E178">
            <v>1.2516778523489933</v>
          </cell>
          <cell r="F178">
            <v>1.3720930232558139</v>
          </cell>
          <cell r="G178">
            <v>1.3636363636363635</v>
          </cell>
        </row>
        <row r="179">
          <cell r="A179">
            <v>35709</v>
          </cell>
          <cell r="B179">
            <v>0.90594059405940597</v>
          </cell>
          <cell r="C179">
            <v>0.9726989079563183</v>
          </cell>
          <cell r="D179">
            <v>0.95676691729323304</v>
          </cell>
          <cell r="E179">
            <v>1.2348993288590604</v>
          </cell>
          <cell r="F179">
            <v>1.3232558139534885</v>
          </cell>
          <cell r="G179">
            <v>1.3636363636363635</v>
          </cell>
        </row>
        <row r="180">
          <cell r="A180">
            <v>35710</v>
          </cell>
          <cell r="B180">
            <v>0.94059405940594054</v>
          </cell>
          <cell r="C180">
            <v>1.0015600624024961</v>
          </cell>
          <cell r="D180">
            <v>1.0037593984962405</v>
          </cell>
          <cell r="E180">
            <v>1.3154362416107384</v>
          </cell>
          <cell r="F180">
            <v>1.4267441860465115</v>
          </cell>
          <cell r="G180">
            <v>1.3636363636363635</v>
          </cell>
        </row>
        <row r="181">
          <cell r="A181">
            <v>35711</v>
          </cell>
          <cell r="B181">
            <v>0.92904290429042902</v>
          </cell>
          <cell r="C181">
            <v>0.98751950078003126</v>
          </cell>
          <cell r="D181">
            <v>0.99812030075187974</v>
          </cell>
          <cell r="E181">
            <v>1.2718120805369129</v>
          </cell>
          <cell r="F181">
            <v>1.4488372093023256</v>
          </cell>
          <cell r="G181">
            <v>1.3636363636363635</v>
          </cell>
        </row>
        <row r="182">
          <cell r="A182">
            <v>35712</v>
          </cell>
          <cell r="B182">
            <v>0.93234323432343236</v>
          </cell>
          <cell r="C182">
            <v>0.98595943837753508</v>
          </cell>
          <cell r="D182">
            <v>0.98308270676691734</v>
          </cell>
          <cell r="E182">
            <v>1.2785234899328859</v>
          </cell>
          <cell r="F182">
            <v>1.430232558139535</v>
          </cell>
          <cell r="G182">
            <v>1.3636363636363635</v>
          </cell>
        </row>
        <row r="183">
          <cell r="A183">
            <v>35713</v>
          </cell>
          <cell r="B183">
            <v>0.92079207920792083</v>
          </cell>
          <cell r="C183">
            <v>0.98049921996879874</v>
          </cell>
          <cell r="D183">
            <v>0.98308270676691734</v>
          </cell>
          <cell r="E183">
            <v>1.2651006711409396</v>
          </cell>
          <cell r="F183">
            <v>1.3720930232558139</v>
          </cell>
          <cell r="G183">
            <v>1.3636363636363635</v>
          </cell>
        </row>
        <row r="184">
          <cell r="A184">
            <v>35716</v>
          </cell>
          <cell r="B184">
            <v>0.91419141914191415</v>
          </cell>
          <cell r="C184">
            <v>0.99687987519500776</v>
          </cell>
          <cell r="D184">
            <v>0.98684210526315785</v>
          </cell>
          <cell r="E184">
            <v>1.2885906040268456</v>
          </cell>
          <cell r="F184">
            <v>1.4162790697674419</v>
          </cell>
          <cell r="G184">
            <v>1.3636363636363635</v>
          </cell>
        </row>
        <row r="185">
          <cell r="A185">
            <v>35717</v>
          </cell>
          <cell r="B185">
            <v>0.91914191419141911</v>
          </cell>
          <cell r="C185">
            <v>0.98985959438377535</v>
          </cell>
          <cell r="D185">
            <v>0.99248120300751874</v>
          </cell>
          <cell r="E185">
            <v>1.2818791946308725</v>
          </cell>
          <cell r="F185">
            <v>1.3767441860465117</v>
          </cell>
          <cell r="G185">
            <v>1.3636363636363635</v>
          </cell>
        </row>
        <row r="186">
          <cell r="A186">
            <v>35718</v>
          </cell>
          <cell r="B186">
            <v>0.91089108910891092</v>
          </cell>
          <cell r="C186">
            <v>0.98361934477379098</v>
          </cell>
          <cell r="D186">
            <v>0.98308270676691734</v>
          </cell>
          <cell r="E186">
            <v>1.2919463087248322</v>
          </cell>
          <cell r="F186">
            <v>1.3674418604651162</v>
          </cell>
          <cell r="G186">
            <v>1.3636363636363635</v>
          </cell>
        </row>
        <row r="187">
          <cell r="A187">
            <v>35719</v>
          </cell>
          <cell r="B187">
            <v>0.91419141914191415</v>
          </cell>
          <cell r="C187">
            <v>0.95865834633385338</v>
          </cell>
          <cell r="D187">
            <v>0.95864661654135341</v>
          </cell>
          <cell r="E187">
            <v>1.2651006711409396</v>
          </cell>
          <cell r="F187">
            <v>1.3465116279069766</v>
          </cell>
          <cell r="G187">
            <v>1.3636363636363635</v>
          </cell>
        </row>
        <row r="188">
          <cell r="A188">
            <v>35720</v>
          </cell>
          <cell r="B188">
            <v>0.90594059405940597</v>
          </cell>
          <cell r="C188">
            <v>0.93369734789391579</v>
          </cell>
          <cell r="D188">
            <v>0.96804511278195493</v>
          </cell>
          <cell r="E188">
            <v>1.2718120805369129</v>
          </cell>
          <cell r="F188">
            <v>1.3104651162790697</v>
          </cell>
          <cell r="G188">
            <v>1.3636363636363635</v>
          </cell>
        </row>
        <row r="189">
          <cell r="A189">
            <v>35723</v>
          </cell>
          <cell r="B189">
            <v>0.91584158415841588</v>
          </cell>
          <cell r="C189">
            <v>0.9430577223088924</v>
          </cell>
          <cell r="D189">
            <v>0.99624060150375937</v>
          </cell>
          <cell r="E189">
            <v>1.2986577181208054</v>
          </cell>
          <cell r="F189">
            <v>1.3511627906976744</v>
          </cell>
          <cell r="G189">
            <v>1.3636363636363635</v>
          </cell>
        </row>
        <row r="190">
          <cell r="A190">
            <v>35724</v>
          </cell>
          <cell r="B190">
            <v>0.94059405940594054</v>
          </cell>
          <cell r="C190">
            <v>0.96567862714508579</v>
          </cell>
          <cell r="D190">
            <v>0.98308270676691734</v>
          </cell>
          <cell r="E190">
            <v>1.3221476510067114</v>
          </cell>
          <cell r="F190">
            <v>1.3604651162790697</v>
          </cell>
          <cell r="G190">
            <v>1.3636363636363635</v>
          </cell>
        </row>
        <row r="191">
          <cell r="A191">
            <v>35725</v>
          </cell>
          <cell r="B191">
            <v>0.93151815181518149</v>
          </cell>
          <cell r="C191">
            <v>0.95865834633385338</v>
          </cell>
          <cell r="D191">
            <v>0.96992481203007519</v>
          </cell>
          <cell r="E191">
            <v>1.2818791946308725</v>
          </cell>
          <cell r="F191">
            <v>1.3627906976744186</v>
          </cell>
          <cell r="G191">
            <v>1.3636363636363635</v>
          </cell>
        </row>
        <row r="192">
          <cell r="A192">
            <v>35726</v>
          </cell>
          <cell r="B192">
            <v>0.93069306930693074</v>
          </cell>
          <cell r="C192">
            <v>0.95163806552262087</v>
          </cell>
          <cell r="D192">
            <v>0.96052631578947367</v>
          </cell>
          <cell r="E192">
            <v>1.2449664429530201</v>
          </cell>
          <cell r="F192">
            <v>1.3209302325581396</v>
          </cell>
          <cell r="G192">
            <v>1.3636363636363635</v>
          </cell>
        </row>
        <row r="193">
          <cell r="A193">
            <v>35727</v>
          </cell>
          <cell r="B193">
            <v>0.9092409240924092</v>
          </cell>
          <cell r="C193">
            <v>0.94071762870514819</v>
          </cell>
          <cell r="D193">
            <v>0.96240601503759393</v>
          </cell>
          <cell r="E193">
            <v>1.2147651006711409</v>
          </cell>
          <cell r="F193">
            <v>1.2790697674418605</v>
          </cell>
          <cell r="G193">
            <v>1.3636363636363635</v>
          </cell>
        </row>
        <row r="194">
          <cell r="A194">
            <v>35730</v>
          </cell>
          <cell r="B194">
            <v>0.83333333333333337</v>
          </cell>
          <cell r="C194">
            <v>0.86115444617784709</v>
          </cell>
          <cell r="D194">
            <v>0.89473684210526316</v>
          </cell>
          <cell r="E194">
            <v>1.1241610738255035</v>
          </cell>
          <cell r="F194">
            <v>0.4813953488372093</v>
          </cell>
          <cell r="G194">
            <v>1.3636363636363635</v>
          </cell>
        </row>
        <row r="195">
          <cell r="A195">
            <v>35731</v>
          </cell>
          <cell r="B195">
            <v>0.87458745874587462</v>
          </cell>
          <cell r="C195">
            <v>0.89781591263650551</v>
          </cell>
          <cell r="D195">
            <v>0.91917293233082709</v>
          </cell>
          <cell r="E195">
            <v>1.1543624161073827</v>
          </cell>
          <cell r="F195">
            <v>0.47209302325581393</v>
          </cell>
          <cell r="G195">
            <v>1.3636363636363635</v>
          </cell>
        </row>
        <row r="196">
          <cell r="A196">
            <v>35732</v>
          </cell>
          <cell r="B196">
            <v>0.85973597359735976</v>
          </cell>
          <cell r="C196">
            <v>0.90561622464898595</v>
          </cell>
          <cell r="D196">
            <v>0.90601503759398494</v>
          </cell>
          <cell r="E196">
            <v>1.1577181208053691</v>
          </cell>
          <cell r="F196">
            <v>0.5058139534883721</v>
          </cell>
          <cell r="G196">
            <v>1.3636363636363635</v>
          </cell>
        </row>
        <row r="197">
          <cell r="A197">
            <v>35733</v>
          </cell>
          <cell r="B197">
            <v>0.85313531353135319</v>
          </cell>
          <cell r="C197">
            <v>0.8931357254290172</v>
          </cell>
          <cell r="D197">
            <v>0.89097744360902253</v>
          </cell>
          <cell r="E197">
            <v>1.1208053691275168</v>
          </cell>
          <cell r="F197">
            <v>0.48023255813953486</v>
          </cell>
          <cell r="G197">
            <v>1.3636363636363635</v>
          </cell>
        </row>
        <row r="198">
          <cell r="A198">
            <v>35734</v>
          </cell>
          <cell r="B198">
            <v>0.8547854785478548</v>
          </cell>
          <cell r="C198">
            <v>0.88689547581903272</v>
          </cell>
          <cell r="D198">
            <v>0.86466165413533835</v>
          </cell>
          <cell r="E198">
            <v>1.1241610738255035</v>
          </cell>
          <cell r="F198">
            <v>0.48023255813953486</v>
          </cell>
          <cell r="G198">
            <v>1.3636363636363635</v>
          </cell>
        </row>
        <row r="199">
          <cell r="A199">
            <v>35737</v>
          </cell>
          <cell r="B199">
            <v>0.86138613861386137</v>
          </cell>
          <cell r="C199">
            <v>0.90717628705148201</v>
          </cell>
          <cell r="D199">
            <v>0.8778195488721805</v>
          </cell>
          <cell r="E199">
            <v>1.1677852348993289</v>
          </cell>
          <cell r="F199">
            <v>0.48372093023255813</v>
          </cell>
          <cell r="G199">
            <v>1.3636363636363635</v>
          </cell>
        </row>
        <row r="200">
          <cell r="A200">
            <v>35738</v>
          </cell>
          <cell r="B200">
            <v>0.85973597359735976</v>
          </cell>
          <cell r="C200">
            <v>0.92433697347893917</v>
          </cell>
          <cell r="D200">
            <v>0.88157894736842102</v>
          </cell>
          <cell r="E200">
            <v>1.1845637583892616</v>
          </cell>
          <cell r="F200">
            <v>0.47093023255813954</v>
          </cell>
          <cell r="G200">
            <v>1.3636363636363635</v>
          </cell>
        </row>
        <row r="201">
          <cell r="A201">
            <v>35739</v>
          </cell>
          <cell r="B201">
            <v>0.86138613861386137</v>
          </cell>
          <cell r="C201">
            <v>0.89937597503900157</v>
          </cell>
          <cell r="D201">
            <v>0.89473684210526316</v>
          </cell>
          <cell r="E201">
            <v>1.1845637583892616</v>
          </cell>
          <cell r="F201">
            <v>0.44418604651162791</v>
          </cell>
          <cell r="G201">
            <v>1.3636363636363635</v>
          </cell>
        </row>
        <row r="202">
          <cell r="A202">
            <v>35740</v>
          </cell>
          <cell r="B202">
            <v>0.90264026402640263</v>
          </cell>
          <cell r="C202">
            <v>0.90639625585023398</v>
          </cell>
          <cell r="D202">
            <v>0.89097744360902253</v>
          </cell>
          <cell r="E202">
            <v>1.2080536912751678</v>
          </cell>
          <cell r="F202">
            <v>0.45930232558139533</v>
          </cell>
          <cell r="G202">
            <v>1.3636363636363635</v>
          </cell>
        </row>
        <row r="203">
          <cell r="A203">
            <v>35741</v>
          </cell>
          <cell r="B203">
            <v>0.9273927392739274</v>
          </cell>
          <cell r="C203">
            <v>0.92667706708268327</v>
          </cell>
          <cell r="D203">
            <v>0.87593984962406013</v>
          </cell>
          <cell r="E203">
            <v>1.2013422818791946</v>
          </cell>
          <cell r="F203">
            <v>0.47325581395348837</v>
          </cell>
          <cell r="G203">
            <v>1.3636363636363635</v>
          </cell>
        </row>
        <row r="204">
          <cell r="A204">
            <v>35744</v>
          </cell>
          <cell r="B204">
            <v>0.94389438943894388</v>
          </cell>
          <cell r="C204">
            <v>0.94461778471138846</v>
          </cell>
          <cell r="D204">
            <v>0.89473684210526316</v>
          </cell>
          <cell r="E204">
            <v>1.2214765100671141</v>
          </cell>
          <cell r="F204">
            <v>0.46046511627906977</v>
          </cell>
          <cell r="G204">
            <v>1.3636363636363635</v>
          </cell>
        </row>
        <row r="205">
          <cell r="A205">
            <v>35745</v>
          </cell>
          <cell r="B205">
            <v>0.94884488448844884</v>
          </cell>
          <cell r="C205">
            <v>0.97191887675507016</v>
          </cell>
          <cell r="D205">
            <v>0.92105263157894735</v>
          </cell>
          <cell r="E205">
            <v>1.2214765100671141</v>
          </cell>
          <cell r="F205">
            <v>0.46395348837209305</v>
          </cell>
          <cell r="G205">
            <v>1.3636363636363635</v>
          </cell>
        </row>
        <row r="206">
          <cell r="A206">
            <v>35746</v>
          </cell>
          <cell r="B206">
            <v>0.9092409240924092</v>
          </cell>
          <cell r="C206">
            <v>0.96099843993759748</v>
          </cell>
          <cell r="D206">
            <v>0.90601503759398494</v>
          </cell>
          <cell r="E206">
            <v>1.1812080536912752</v>
          </cell>
          <cell r="F206">
            <v>0.44534883720930235</v>
          </cell>
          <cell r="G206">
            <v>1.3636363636363635</v>
          </cell>
        </row>
        <row r="207">
          <cell r="A207">
            <v>35747</v>
          </cell>
          <cell r="B207">
            <v>0.91254125412541254</v>
          </cell>
          <cell r="C207">
            <v>0.95865834633385338</v>
          </cell>
          <cell r="D207">
            <v>0.91541353383458646</v>
          </cell>
          <cell r="E207">
            <v>1.1644295302013423</v>
          </cell>
          <cell r="F207">
            <v>0.43604651162790697</v>
          </cell>
          <cell r="G207">
            <v>1.3636363636363635</v>
          </cell>
        </row>
        <row r="208">
          <cell r="A208">
            <v>35748</v>
          </cell>
          <cell r="B208">
            <v>0.89768976897689767</v>
          </cell>
          <cell r="C208">
            <v>0.96723868954758185</v>
          </cell>
          <cell r="D208">
            <v>0.89473684210526316</v>
          </cell>
          <cell r="E208">
            <v>1.1644295302013423</v>
          </cell>
          <cell r="F208">
            <v>0.46279069767441861</v>
          </cell>
          <cell r="G208">
            <v>1.3636363636363635</v>
          </cell>
        </row>
        <row r="209">
          <cell r="A209">
            <v>35751</v>
          </cell>
          <cell r="B209">
            <v>0.90429042904290424</v>
          </cell>
          <cell r="C209">
            <v>0.98595943837753508</v>
          </cell>
          <cell r="D209">
            <v>0.90601503759398494</v>
          </cell>
          <cell r="E209">
            <v>1.1946308724832215</v>
          </cell>
          <cell r="F209">
            <v>0.44883720930232557</v>
          </cell>
          <cell r="G209">
            <v>1.3636363636363635</v>
          </cell>
        </row>
        <row r="210">
          <cell r="A210">
            <v>35752</v>
          </cell>
          <cell r="B210">
            <v>0.89273927392739272</v>
          </cell>
          <cell r="C210">
            <v>0.9773790951638065</v>
          </cell>
          <cell r="D210">
            <v>0.89849624060150379</v>
          </cell>
          <cell r="E210">
            <v>1.1979865771812082</v>
          </cell>
          <cell r="F210">
            <v>0.4325581395348837</v>
          </cell>
          <cell r="G210">
            <v>1.3636363636363635</v>
          </cell>
        </row>
        <row r="211">
          <cell r="A211">
            <v>35753</v>
          </cell>
          <cell r="B211">
            <v>0.89603960396039606</v>
          </cell>
          <cell r="C211">
            <v>0.97581903276131043</v>
          </cell>
          <cell r="D211">
            <v>0.87969924812030076</v>
          </cell>
          <cell r="E211">
            <v>1.1711409395973154</v>
          </cell>
          <cell r="F211">
            <v>0.44069767441860463</v>
          </cell>
          <cell r="G211">
            <v>1.3636363636363635</v>
          </cell>
        </row>
        <row r="212">
          <cell r="A212">
            <v>35754</v>
          </cell>
          <cell r="B212">
            <v>0.87128712871287128</v>
          </cell>
          <cell r="C212">
            <v>0.9726989079563183</v>
          </cell>
          <cell r="D212">
            <v>0.90037593984962405</v>
          </cell>
          <cell r="E212">
            <v>1.1812080536912752</v>
          </cell>
          <cell r="F212">
            <v>0.4325581395348837</v>
          </cell>
          <cell r="G212">
            <v>1.3636363636363635</v>
          </cell>
        </row>
        <row r="213">
          <cell r="A213">
            <v>35755</v>
          </cell>
          <cell r="B213">
            <v>0.88613861386138615</v>
          </cell>
          <cell r="C213">
            <v>0.97035881435257409</v>
          </cell>
          <cell r="D213">
            <v>0.8928571428571429</v>
          </cell>
          <cell r="E213">
            <v>1.1912751677852349</v>
          </cell>
          <cell r="F213">
            <v>0.42674418604651165</v>
          </cell>
          <cell r="G213">
            <v>1.3636363636363635</v>
          </cell>
        </row>
        <row r="214">
          <cell r="A214">
            <v>35758</v>
          </cell>
          <cell r="B214">
            <v>0.86468646864686471</v>
          </cell>
          <cell r="C214">
            <v>0.94929797191887677</v>
          </cell>
          <cell r="D214">
            <v>0.8928571428571429</v>
          </cell>
          <cell r="E214">
            <v>1.174496644295302</v>
          </cell>
          <cell r="F214">
            <v>0.42441860465116277</v>
          </cell>
          <cell r="G214">
            <v>1.3636363636363635</v>
          </cell>
        </row>
        <row r="215">
          <cell r="A215">
            <v>35759</v>
          </cell>
          <cell r="B215">
            <v>0.68151815181518149</v>
          </cell>
          <cell r="C215">
            <v>0.93369734789391579</v>
          </cell>
          <cell r="D215">
            <v>0.88721804511278191</v>
          </cell>
          <cell r="E215">
            <v>1.1812080536912752</v>
          </cell>
          <cell r="F215">
            <v>0.42790697674418604</v>
          </cell>
          <cell r="G215">
            <v>1.3636363636363635</v>
          </cell>
        </row>
        <row r="216">
          <cell r="A216">
            <v>35760</v>
          </cell>
          <cell r="B216">
            <v>0.70792079207920788</v>
          </cell>
          <cell r="C216">
            <v>0.93447737909516382</v>
          </cell>
          <cell r="D216">
            <v>0.84774436090225569</v>
          </cell>
          <cell r="E216">
            <v>1.1845637583892616</v>
          </cell>
          <cell r="F216">
            <v>0.43604651162790697</v>
          </cell>
          <cell r="G216">
            <v>1.3636363636363635</v>
          </cell>
        </row>
        <row r="217">
          <cell r="A217">
            <v>35761</v>
          </cell>
          <cell r="B217">
            <v>0.70792079207920788</v>
          </cell>
          <cell r="C217">
            <v>0.93447737909516382</v>
          </cell>
          <cell r="D217">
            <v>0.84774436090225569</v>
          </cell>
          <cell r="E217">
            <v>1.1845637583892616</v>
          </cell>
          <cell r="F217">
            <v>0.43604651162790697</v>
          </cell>
          <cell r="G217">
            <v>1.3636363636363635</v>
          </cell>
        </row>
        <row r="218">
          <cell r="A218">
            <v>35762</v>
          </cell>
          <cell r="B218">
            <v>0.70957095709570961</v>
          </cell>
          <cell r="C218">
            <v>0.93603744149765988</v>
          </cell>
          <cell r="D218">
            <v>0.84398496240601506</v>
          </cell>
          <cell r="E218">
            <v>1.1912751677852349</v>
          </cell>
          <cell r="F218">
            <v>0.44418604651162791</v>
          </cell>
          <cell r="G218">
            <v>1.3636363636363635</v>
          </cell>
        </row>
        <row r="219">
          <cell r="A219">
            <v>35765</v>
          </cell>
          <cell r="B219">
            <v>0.72277227722772275</v>
          </cell>
          <cell r="C219">
            <v>0.96723868954758185</v>
          </cell>
          <cell r="D219">
            <v>0.85902255639097747</v>
          </cell>
          <cell r="E219">
            <v>1.2281879194630871</v>
          </cell>
          <cell r="F219">
            <v>0.45348837209302323</v>
          </cell>
          <cell r="G219">
            <v>1.3636363636363635</v>
          </cell>
        </row>
        <row r="220">
          <cell r="A220">
            <v>35766</v>
          </cell>
          <cell r="B220">
            <v>0.70132013201320131</v>
          </cell>
          <cell r="C220">
            <v>0.98283931357254295</v>
          </cell>
          <cell r="D220">
            <v>0.84586466165413532</v>
          </cell>
          <cell r="E220">
            <v>1.2080536912751678</v>
          </cell>
          <cell r="F220">
            <v>0.43720930232558142</v>
          </cell>
          <cell r="G220">
            <v>1.3636363636363635</v>
          </cell>
        </row>
        <row r="221">
          <cell r="A221">
            <v>35767</v>
          </cell>
          <cell r="B221">
            <v>0.71122112211221122</v>
          </cell>
          <cell r="C221">
            <v>1.0015600624024961</v>
          </cell>
          <cell r="D221">
            <v>0.84586466165413532</v>
          </cell>
          <cell r="E221">
            <v>1.1879194630872483</v>
          </cell>
          <cell r="F221">
            <v>0.44186046511627908</v>
          </cell>
          <cell r="G221">
            <v>1.3636363636363635</v>
          </cell>
        </row>
        <row r="222">
          <cell r="A222">
            <v>35768</v>
          </cell>
          <cell r="B222">
            <v>0.70709570957095713</v>
          </cell>
          <cell r="C222">
            <v>0.9929797191887676</v>
          </cell>
          <cell r="D222">
            <v>0.84210526315789469</v>
          </cell>
          <cell r="E222">
            <v>1.2483221476510067</v>
          </cell>
          <cell r="F222">
            <v>0.39302325581395348</v>
          </cell>
          <cell r="G222">
            <v>1.3636363636363635</v>
          </cell>
        </row>
        <row r="223">
          <cell r="A223">
            <v>35769</v>
          </cell>
          <cell r="B223">
            <v>0.71452145214521456</v>
          </cell>
          <cell r="C223">
            <v>0.99687987519500776</v>
          </cell>
          <cell r="D223">
            <v>0.84210526315789469</v>
          </cell>
          <cell r="E223">
            <v>1.2583892617449663</v>
          </cell>
          <cell r="F223">
            <v>0.413953488372093</v>
          </cell>
          <cell r="G223">
            <v>1.3636363636363635</v>
          </cell>
        </row>
        <row r="224">
          <cell r="A224">
            <v>35772</v>
          </cell>
          <cell r="B224">
            <v>0.72277227722772275</v>
          </cell>
          <cell r="C224">
            <v>0.98673946957878311</v>
          </cell>
          <cell r="D224">
            <v>0.82518796992481203</v>
          </cell>
          <cell r="E224">
            <v>1.2483221476510067</v>
          </cell>
          <cell r="F224">
            <v>0.39767441860465114</v>
          </cell>
          <cell r="G224">
            <v>1.3636363636363635</v>
          </cell>
        </row>
        <row r="225">
          <cell r="A225">
            <v>35773</v>
          </cell>
          <cell r="B225">
            <v>0.71617161716171618</v>
          </cell>
          <cell r="C225">
            <v>0.99219968798751945</v>
          </cell>
          <cell r="D225">
            <v>0.80639097744360899</v>
          </cell>
          <cell r="E225">
            <v>1.2751677852348993</v>
          </cell>
          <cell r="F225">
            <v>0.37325581395348839</v>
          </cell>
          <cell r="G225">
            <v>1.3636363636363635</v>
          </cell>
        </row>
        <row r="226">
          <cell r="A226">
            <v>35774</v>
          </cell>
          <cell r="B226">
            <v>0.70792079207920788</v>
          </cell>
          <cell r="C226">
            <v>0.98751950078003126</v>
          </cell>
          <cell r="D226">
            <v>0.76315789473684215</v>
          </cell>
          <cell r="E226">
            <v>1.1476510067114094</v>
          </cell>
          <cell r="F226">
            <v>0.31860465116279069</v>
          </cell>
          <cell r="G226">
            <v>1.3636363636363635</v>
          </cell>
        </row>
        <row r="227">
          <cell r="A227">
            <v>35775</v>
          </cell>
          <cell r="B227">
            <v>0.70709570957095713</v>
          </cell>
          <cell r="C227">
            <v>0.9750390015600624</v>
          </cell>
          <cell r="D227">
            <v>0.75939849624060152</v>
          </cell>
          <cell r="E227">
            <v>1.1275167785234899</v>
          </cell>
          <cell r="F227">
            <v>0.30813953488372092</v>
          </cell>
          <cell r="G227">
            <v>1.3636363636363635</v>
          </cell>
        </row>
        <row r="228">
          <cell r="A228">
            <v>35776</v>
          </cell>
          <cell r="B228">
            <v>0.70297029702970293</v>
          </cell>
          <cell r="C228">
            <v>0.98517940717628705</v>
          </cell>
          <cell r="D228">
            <v>0.75939849624060152</v>
          </cell>
          <cell r="E228">
            <v>1.1241610738255035</v>
          </cell>
          <cell r="F228">
            <v>0.28953488372093023</v>
          </cell>
          <cell r="G228">
            <v>1.3636363636363635</v>
          </cell>
        </row>
        <row r="229">
          <cell r="A229">
            <v>35779</v>
          </cell>
          <cell r="B229">
            <v>0.71122112211221122</v>
          </cell>
          <cell r="C229">
            <v>1.0031201248049921</v>
          </cell>
          <cell r="D229">
            <v>0.73684210526315785</v>
          </cell>
          <cell r="E229">
            <v>1.1174496644295302</v>
          </cell>
          <cell r="F229">
            <v>0.2930232558139535</v>
          </cell>
          <cell r="G229">
            <v>1.3636363636363635</v>
          </cell>
        </row>
        <row r="230">
          <cell r="A230">
            <v>35780</v>
          </cell>
          <cell r="B230">
            <v>0.71947194719471952</v>
          </cell>
          <cell r="C230">
            <v>0.99375975039001563</v>
          </cell>
          <cell r="D230">
            <v>0.73872180451127822</v>
          </cell>
          <cell r="E230">
            <v>1.0906040268456376</v>
          </cell>
          <cell r="F230">
            <v>0.30116279069767443</v>
          </cell>
          <cell r="G230">
            <v>1.3636363636363635</v>
          </cell>
        </row>
        <row r="231">
          <cell r="A231">
            <v>35781</v>
          </cell>
          <cell r="B231">
            <v>0.71782178217821779</v>
          </cell>
          <cell r="C231">
            <v>0.98439937597503901</v>
          </cell>
          <cell r="D231">
            <v>0.75375939849624063</v>
          </cell>
          <cell r="E231">
            <v>1.080536912751678</v>
          </cell>
          <cell r="F231">
            <v>0.3</v>
          </cell>
          <cell r="G231">
            <v>1.3636363636363635</v>
          </cell>
        </row>
        <row r="232">
          <cell r="A232">
            <v>35782</v>
          </cell>
          <cell r="B232">
            <v>0.71122112211221122</v>
          </cell>
          <cell r="C232">
            <v>0.86739469578783146</v>
          </cell>
          <cell r="D232">
            <v>0.71240601503759393</v>
          </cell>
          <cell r="E232">
            <v>1.0671140939597314</v>
          </cell>
          <cell r="F232">
            <v>0.27790697674418607</v>
          </cell>
          <cell r="G232">
            <v>1.3636363636363635</v>
          </cell>
        </row>
        <row r="233">
          <cell r="A233">
            <v>35783</v>
          </cell>
          <cell r="B233">
            <v>0.70379537953795379</v>
          </cell>
          <cell r="C233">
            <v>0.84789391575663031</v>
          </cell>
          <cell r="D233">
            <v>0.68045112781954886</v>
          </cell>
          <cell r="E233">
            <v>1.0503355704697988</v>
          </cell>
          <cell r="F233">
            <v>0.28255813953488373</v>
          </cell>
          <cell r="G233">
            <v>1.3636363636363635</v>
          </cell>
        </row>
        <row r="234">
          <cell r="A234">
            <v>35786</v>
          </cell>
          <cell r="B234">
            <v>0.71947194719471952</v>
          </cell>
          <cell r="C234">
            <v>0.8408736349453978</v>
          </cell>
          <cell r="D234">
            <v>0.68045112781954886</v>
          </cell>
          <cell r="E234">
            <v>1.0402684563758389</v>
          </cell>
          <cell r="F234">
            <v>0.28139534883720929</v>
          </cell>
          <cell r="G234">
            <v>1.3636363636363635</v>
          </cell>
        </row>
        <row r="235">
          <cell r="A235">
            <v>35787</v>
          </cell>
          <cell r="B235">
            <v>0.70627062706270627</v>
          </cell>
          <cell r="C235">
            <v>0.8408736349453978</v>
          </cell>
          <cell r="D235">
            <v>0.67669172932330823</v>
          </cell>
          <cell r="E235">
            <v>1.0201342281879195</v>
          </cell>
          <cell r="F235">
            <v>0.27209302325581397</v>
          </cell>
          <cell r="G235">
            <v>1.3636363636363635</v>
          </cell>
        </row>
        <row r="236">
          <cell r="A236">
            <v>35788</v>
          </cell>
          <cell r="B236">
            <v>0.70297029702970293</v>
          </cell>
          <cell r="C236">
            <v>0.83619344773790949</v>
          </cell>
          <cell r="D236">
            <v>0.68421052631578949</v>
          </cell>
          <cell r="E236">
            <v>1.0134228187919463</v>
          </cell>
          <cell r="F236">
            <v>0.26976744186046514</v>
          </cell>
          <cell r="G236">
            <v>1.3636363636363635</v>
          </cell>
        </row>
        <row r="237">
          <cell r="A237">
            <v>35789</v>
          </cell>
          <cell r="B237">
            <v>0.70297029702970293</v>
          </cell>
          <cell r="C237">
            <v>0.83619344773790949</v>
          </cell>
          <cell r="D237">
            <v>0.68421052631578949</v>
          </cell>
          <cell r="E237">
            <v>1.0134228187919463</v>
          </cell>
          <cell r="F237">
            <v>0.26976744186046514</v>
          </cell>
          <cell r="G237">
            <v>1.3636363636363635</v>
          </cell>
        </row>
        <row r="238">
          <cell r="A238">
            <v>35790</v>
          </cell>
          <cell r="B238">
            <v>0.70462046204620465</v>
          </cell>
          <cell r="C238">
            <v>0.8408736349453978</v>
          </cell>
          <cell r="D238">
            <v>0.68233082706766912</v>
          </cell>
          <cell r="E238">
            <v>1.0134228187919463</v>
          </cell>
          <cell r="F238">
            <v>0.2686046511627907</v>
          </cell>
          <cell r="G238">
            <v>1.3636363636363635</v>
          </cell>
        </row>
        <row r="239">
          <cell r="A239">
            <v>35793</v>
          </cell>
          <cell r="B239">
            <v>0.68976897689768979</v>
          </cell>
          <cell r="C239">
            <v>0.84165366614664583</v>
          </cell>
          <cell r="D239">
            <v>0.68045112781954886</v>
          </cell>
          <cell r="E239">
            <v>1.0335570469798658</v>
          </cell>
          <cell r="F239">
            <v>0.2686046511627907</v>
          </cell>
          <cell r="G239">
            <v>1.3636363636363635</v>
          </cell>
        </row>
        <row r="240">
          <cell r="A240">
            <v>35794</v>
          </cell>
          <cell r="B240">
            <v>0.69471947194719474</v>
          </cell>
          <cell r="C240">
            <v>0.87363494539781594</v>
          </cell>
          <cell r="D240">
            <v>0.6992481203007519</v>
          </cell>
          <cell r="E240">
            <v>1.080536912751678</v>
          </cell>
          <cell r="F240">
            <v>0.28837209302325584</v>
          </cell>
          <cell r="G240">
            <v>1.3636363636363635</v>
          </cell>
        </row>
        <row r="241">
          <cell r="A241">
            <v>35795</v>
          </cell>
          <cell r="B241">
            <v>0.6914191419141914</v>
          </cell>
          <cell r="C241">
            <v>0.88065522620904835</v>
          </cell>
          <cell r="D241">
            <v>0.66917293233082709</v>
          </cell>
          <cell r="E241">
            <v>1.1140939597315436</v>
          </cell>
          <cell r="F241">
            <v>0.28953488372093023</v>
          </cell>
          <cell r="G241">
            <v>1.3636363636363635</v>
          </cell>
        </row>
        <row r="242">
          <cell r="A242">
            <v>35796</v>
          </cell>
          <cell r="B242">
            <v>0.6914191419141914</v>
          </cell>
          <cell r="C242">
            <v>0.88065522620904835</v>
          </cell>
          <cell r="D242">
            <v>0.66917293233082709</v>
          </cell>
          <cell r="E242">
            <v>1.1140939597315436</v>
          </cell>
          <cell r="F242">
            <v>0.28953488372093023</v>
          </cell>
          <cell r="G242">
            <v>1.3636363636363635</v>
          </cell>
        </row>
        <row r="243">
          <cell r="A243">
            <v>35797</v>
          </cell>
          <cell r="B243">
            <v>0.69636963696369636</v>
          </cell>
          <cell r="C243">
            <v>0.87363494539781594</v>
          </cell>
          <cell r="D243">
            <v>0.69548872180451127</v>
          </cell>
          <cell r="E243">
            <v>1.1342281879194631</v>
          </cell>
          <cell r="F243">
            <v>0.31860465116279069</v>
          </cell>
          <cell r="G243">
            <v>1.3636363636363635</v>
          </cell>
        </row>
        <row r="244">
          <cell r="A244">
            <v>35800</v>
          </cell>
          <cell r="B244">
            <v>0.68811881188118806</v>
          </cell>
          <cell r="C244">
            <v>0.87831513260530425</v>
          </cell>
          <cell r="D244">
            <v>0.69548872180451127</v>
          </cell>
          <cell r="E244">
            <v>1.1409395973154361</v>
          </cell>
          <cell r="F244">
            <v>0.33953488372093021</v>
          </cell>
          <cell r="G244">
            <v>1.3636363636363635</v>
          </cell>
        </row>
        <row r="245">
          <cell r="A245">
            <v>35801</v>
          </cell>
          <cell r="B245">
            <v>0.66666666666666663</v>
          </cell>
          <cell r="C245">
            <v>0.9024960998439937</v>
          </cell>
          <cell r="D245">
            <v>0.69172932330827064</v>
          </cell>
          <cell r="E245">
            <v>1.1140939597315436</v>
          </cell>
          <cell r="F245">
            <v>0.32558139534883723</v>
          </cell>
          <cell r="G245">
            <v>1.3636363636363635</v>
          </cell>
        </row>
        <row r="246">
          <cell r="A246">
            <v>35802</v>
          </cell>
          <cell r="B246">
            <v>0.72607260726072609</v>
          </cell>
          <cell r="C246">
            <v>0.91107644305772228</v>
          </cell>
          <cell r="D246">
            <v>0.73308270676691734</v>
          </cell>
          <cell r="E246">
            <v>1.1677852348993289</v>
          </cell>
          <cell r="F246">
            <v>0.3174418604651163</v>
          </cell>
          <cell r="G246">
            <v>1.3636363636363635</v>
          </cell>
        </row>
        <row r="247">
          <cell r="A247">
            <v>35803</v>
          </cell>
          <cell r="B247">
            <v>0.68646864686468645</v>
          </cell>
          <cell r="C247">
            <v>0.88767550702028086</v>
          </cell>
          <cell r="D247">
            <v>0.74060150375939848</v>
          </cell>
          <cell r="E247">
            <v>1.1174496644295302</v>
          </cell>
          <cell r="F247">
            <v>0.30465116279069765</v>
          </cell>
          <cell r="G247">
            <v>1.3636363636363635</v>
          </cell>
        </row>
        <row r="248">
          <cell r="A248">
            <v>35804</v>
          </cell>
          <cell r="B248">
            <v>0.65841584158415845</v>
          </cell>
          <cell r="C248">
            <v>0.86895475819032764</v>
          </cell>
          <cell r="D248">
            <v>0.74060150375939848</v>
          </cell>
          <cell r="E248">
            <v>1.0536912751677852</v>
          </cell>
          <cell r="F248">
            <v>0.29186046511627906</v>
          </cell>
          <cell r="G248">
            <v>1.3636363636363635</v>
          </cell>
        </row>
        <row r="249">
          <cell r="A249">
            <v>35807</v>
          </cell>
          <cell r="B249">
            <v>0.65676567656765672</v>
          </cell>
          <cell r="C249">
            <v>0.87909516380655228</v>
          </cell>
          <cell r="D249">
            <v>0.74060150375939848</v>
          </cell>
          <cell r="E249">
            <v>1.0738255033557047</v>
          </cell>
          <cell r="F249">
            <v>0.28255813953488373</v>
          </cell>
          <cell r="G249">
            <v>1.3636363636363635</v>
          </cell>
        </row>
        <row r="250">
          <cell r="A250">
            <v>35808</v>
          </cell>
          <cell r="B250">
            <v>0.66666666666666663</v>
          </cell>
          <cell r="C250">
            <v>0.87753510140405622</v>
          </cell>
          <cell r="D250">
            <v>0.73684210526315785</v>
          </cell>
          <cell r="E250">
            <v>1.0604026845637584</v>
          </cell>
          <cell r="F250">
            <v>0.28720930232558139</v>
          </cell>
          <cell r="G250">
            <v>1.3636363636363635</v>
          </cell>
        </row>
        <row r="251">
          <cell r="A251">
            <v>35809</v>
          </cell>
          <cell r="B251">
            <v>0.68316831683168322</v>
          </cell>
          <cell r="C251">
            <v>0.87597503900156004</v>
          </cell>
          <cell r="D251">
            <v>0.72556390977443608</v>
          </cell>
          <cell r="E251">
            <v>1.0939597315436242</v>
          </cell>
          <cell r="F251">
            <v>0.29534883720930233</v>
          </cell>
          <cell r="G251">
            <v>1.3636363636363635</v>
          </cell>
        </row>
        <row r="252">
          <cell r="A252">
            <v>35810</v>
          </cell>
          <cell r="B252">
            <v>0.71287128712871284</v>
          </cell>
          <cell r="C252">
            <v>0.89235569422776906</v>
          </cell>
          <cell r="D252">
            <v>0.73496240601503759</v>
          </cell>
          <cell r="E252">
            <v>1.0704697986577181</v>
          </cell>
          <cell r="F252">
            <v>0.29418604651162789</v>
          </cell>
          <cell r="G252">
            <v>1.3636363636363635</v>
          </cell>
        </row>
        <row r="253">
          <cell r="A253">
            <v>35811</v>
          </cell>
          <cell r="B253">
            <v>0.7277227722772277</v>
          </cell>
          <cell r="C253">
            <v>0.89703588143525737</v>
          </cell>
          <cell r="D253">
            <v>0.75187969924812026</v>
          </cell>
          <cell r="E253">
            <v>1.0838926174496644</v>
          </cell>
          <cell r="F253">
            <v>0.29534883720930233</v>
          </cell>
          <cell r="G253">
            <v>1.3636363636363635</v>
          </cell>
        </row>
        <row r="254">
          <cell r="A254">
            <v>35814</v>
          </cell>
          <cell r="B254">
            <v>0.7277227722772277</v>
          </cell>
          <cell r="C254">
            <v>0.89703588143525737</v>
          </cell>
          <cell r="D254">
            <v>0.75187969924812026</v>
          </cell>
          <cell r="E254">
            <v>1.0838926174496644</v>
          </cell>
          <cell r="F254">
            <v>0.29534883720930233</v>
          </cell>
          <cell r="G254">
            <v>1.3636363636363635</v>
          </cell>
        </row>
        <row r="255">
          <cell r="A255">
            <v>35815</v>
          </cell>
          <cell r="B255">
            <v>0.73019801980198018</v>
          </cell>
          <cell r="C255">
            <v>0.90873634945397819</v>
          </cell>
          <cell r="D255">
            <v>0.77067669172932329</v>
          </cell>
          <cell r="E255">
            <v>1.0738255033557047</v>
          </cell>
          <cell r="F255">
            <v>0.27906976744186046</v>
          </cell>
          <cell r="G255">
            <v>1.3636363636363635</v>
          </cell>
        </row>
        <row r="256">
          <cell r="A256">
            <v>35816</v>
          </cell>
          <cell r="B256">
            <v>0.76567656765676573</v>
          </cell>
          <cell r="C256">
            <v>0.91575663026521059</v>
          </cell>
          <cell r="D256">
            <v>0.77631578947368418</v>
          </cell>
          <cell r="E256">
            <v>1.0704697986577181</v>
          </cell>
          <cell r="F256">
            <v>0.27209302325581397</v>
          </cell>
          <cell r="G256">
            <v>1.3636363636363635</v>
          </cell>
        </row>
        <row r="257">
          <cell r="A257">
            <v>35817</v>
          </cell>
          <cell r="B257">
            <v>0.7722772277227723</v>
          </cell>
          <cell r="C257">
            <v>0.92823712948517945</v>
          </cell>
          <cell r="D257">
            <v>0.77819548872180455</v>
          </cell>
          <cell r="E257">
            <v>1.063758389261745</v>
          </cell>
          <cell r="F257">
            <v>0.2744186046511628</v>
          </cell>
          <cell r="G257">
            <v>1.3636363636363635</v>
          </cell>
        </row>
        <row r="258">
          <cell r="A258">
            <v>35818</v>
          </cell>
          <cell r="B258">
            <v>0.77516501650165015</v>
          </cell>
          <cell r="C258">
            <v>0.92199687987519496</v>
          </cell>
          <cell r="D258">
            <v>0.75563909774436089</v>
          </cell>
          <cell r="E258">
            <v>1.0469798657718121</v>
          </cell>
          <cell r="F258">
            <v>0.27325581395348836</v>
          </cell>
          <cell r="G258">
            <v>1.3636363636363635</v>
          </cell>
        </row>
        <row r="259">
          <cell r="A259">
            <v>35821</v>
          </cell>
          <cell r="B259">
            <v>0.7722772277227723</v>
          </cell>
          <cell r="C259">
            <v>0.93447737909516382</v>
          </cell>
          <cell r="D259">
            <v>0.74812030075187974</v>
          </cell>
          <cell r="E259">
            <v>1.0604026845637584</v>
          </cell>
          <cell r="F259">
            <v>0.27093023255813953</v>
          </cell>
          <cell r="G259">
            <v>1.3636363636363635</v>
          </cell>
        </row>
        <row r="260">
          <cell r="A260">
            <v>35822</v>
          </cell>
          <cell r="B260">
            <v>0.78382838283828382</v>
          </cell>
          <cell r="C260">
            <v>0.94929797191887677</v>
          </cell>
          <cell r="D260">
            <v>0.75187969924812026</v>
          </cell>
          <cell r="E260">
            <v>1.0704697986577181</v>
          </cell>
          <cell r="F260">
            <v>0.2686046511627907</v>
          </cell>
          <cell r="G260">
            <v>1.3636363636363635</v>
          </cell>
        </row>
        <row r="261">
          <cell r="A261">
            <v>35823</v>
          </cell>
          <cell r="B261">
            <v>0.77557755775577553</v>
          </cell>
          <cell r="C261">
            <v>0.94149765990639622</v>
          </cell>
          <cell r="D261">
            <v>0.76879699248120303</v>
          </cell>
          <cell r="E261">
            <v>1.0771812080536913</v>
          </cell>
          <cell r="F261">
            <v>0.26279069767441859</v>
          </cell>
          <cell r="G261">
            <v>1.3636363636363635</v>
          </cell>
        </row>
        <row r="262">
          <cell r="A262">
            <v>35824</v>
          </cell>
          <cell r="B262">
            <v>0.75247524752475248</v>
          </cell>
          <cell r="C262">
            <v>0.93837753510140409</v>
          </cell>
          <cell r="D262">
            <v>0.78947368421052633</v>
          </cell>
          <cell r="E262">
            <v>1.080536912751678</v>
          </cell>
          <cell r="F262">
            <v>0.2686046511627907</v>
          </cell>
          <cell r="G262">
            <v>1.3636363636363635</v>
          </cell>
        </row>
        <row r="263">
          <cell r="A263">
            <v>35825</v>
          </cell>
          <cell r="B263">
            <v>0.76567656765676573</v>
          </cell>
          <cell r="C263">
            <v>0.91731669266770666</v>
          </cell>
          <cell r="D263">
            <v>0.78007518796992481</v>
          </cell>
          <cell r="E263">
            <v>1.0771812080536913</v>
          </cell>
          <cell r="F263">
            <v>0.32558139534883723</v>
          </cell>
          <cell r="G263">
            <v>1.3636363636363635</v>
          </cell>
        </row>
        <row r="264">
          <cell r="A264">
            <v>35828</v>
          </cell>
          <cell r="B264">
            <v>0.7722772277227723</v>
          </cell>
          <cell r="C264">
            <v>0.95709828393135721</v>
          </cell>
          <cell r="D264">
            <v>0.79135338345864659</v>
          </cell>
          <cell r="E264">
            <v>1.1073825503355705</v>
          </cell>
          <cell r="F264">
            <v>0.33023255813953489</v>
          </cell>
          <cell r="G264">
            <v>1.3636363636363635</v>
          </cell>
        </row>
        <row r="265">
          <cell r="A265">
            <v>35829</v>
          </cell>
          <cell r="B265">
            <v>0.78877887788778878</v>
          </cell>
          <cell r="C265">
            <v>0.95397815912636508</v>
          </cell>
          <cell r="D265">
            <v>0.77631578947368418</v>
          </cell>
          <cell r="E265">
            <v>1.0973154362416107</v>
          </cell>
          <cell r="F265">
            <v>0.30813953488372092</v>
          </cell>
          <cell r="G265">
            <v>1.3636363636363635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refreshError="1"/>
      <sheetData sheetId="16"/>
      <sheetData sheetId="17"/>
      <sheetData sheetId="18"/>
      <sheetData sheetId="19"/>
      <sheetData sheetId="20"/>
      <sheetData sheetId="21"/>
      <sheetData sheetId="22"/>
      <sheetData sheetId="23"/>
      <sheetData sheetId="24"/>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sheetData sheetId="122"/>
      <sheetData sheetId="123"/>
      <sheetData sheetId="124"/>
      <sheetData sheetId="125"/>
      <sheetData sheetId="126"/>
      <sheetData sheetId="127"/>
      <sheetData sheetId="128"/>
      <sheetData sheetId="129"/>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sheetData sheetId="140"/>
      <sheetData sheetId="141"/>
      <sheetData sheetId="142"/>
      <sheetData sheetId="143"/>
      <sheetData sheetId="144"/>
      <sheetData sheetId="145"/>
      <sheetData sheetId="146"/>
      <sheetData sheetId="147"/>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4"/>
      <sheetName val="09"/>
      <sheetName val="10"/>
      <sheetName val="11"/>
      <sheetName val="Total"/>
      <sheetName val="Europe"/>
      <sheetName val="US"/>
      <sheetName val="Sheet3"/>
      <sheetName val="DIV Y"/>
      <sheetName val="Inc"/>
      <sheetName val="Multiples"/>
    </sheetNames>
    <sheetDataSet>
      <sheetData sheetId="0"/>
      <sheetData sheetId="1"/>
      <sheetData sheetId="2"/>
      <sheetData sheetId="3"/>
      <sheetData sheetId="4" refreshError="1">
        <row r="322">
          <cell r="C322" t="str">
            <v>Quality 1</v>
          </cell>
          <cell r="D322">
            <v>54</v>
          </cell>
        </row>
        <row r="323">
          <cell r="C323" t="str">
            <v>Quality 2</v>
          </cell>
          <cell r="D323">
            <v>37</v>
          </cell>
        </row>
        <row r="324">
          <cell r="C324" t="str">
            <v>Quality 3</v>
          </cell>
          <cell r="D324">
            <v>33</v>
          </cell>
        </row>
        <row r="325">
          <cell r="C325" t="str">
            <v>Quality 4</v>
          </cell>
          <cell r="D325">
            <v>173</v>
          </cell>
        </row>
      </sheetData>
      <sheetData sheetId="5" refreshError="1"/>
      <sheetData sheetId="6" refreshError="1"/>
      <sheetData sheetId="7" refreshError="1"/>
      <sheetData sheetId="8"/>
      <sheetData sheetId="9" refreshError="1"/>
      <sheetData sheetId="10"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vol."/>
      <sheetName val="Breakdown"/>
      <sheetName val="20 year"/>
      <sheetName val="ten year"/>
      <sheetName val="5 year"/>
      <sheetName val="spread"/>
      <sheetName val="Trading Summary"/>
      <sheetName val="Expected European Inv"/>
      <sheetName val="Diageo's investor base"/>
      <sheetName val="spread perf."/>
      <sheetName val="spread 2"/>
      <sheetName val="Global dist"/>
      <sheetName val="Global distribution"/>
      <sheetName val="Internat dist"/>
      <sheetName val="Post launch (6)"/>
      <sheetName val="Recent trading (7)"/>
      <sheetName val="salesvol_"/>
      <sheetName val="sales vol_"/>
      <sheetName val="Financials"/>
      <sheetName val="Stock Price"/>
      <sheetName val="20_year"/>
      <sheetName val="ten_year"/>
      <sheetName val="5_year"/>
      <sheetName val="Trading_Summary"/>
      <sheetName val="Expected_European_Inv"/>
      <sheetName val="Diageo's_investor_base"/>
      <sheetName val="sales_vol_"/>
      <sheetName val="spread_perf_"/>
      <sheetName val="spread_2"/>
      <sheetName val="Global_dist"/>
      <sheetName val="Global_distribution"/>
      <sheetName val="Internat_dist"/>
      <sheetName val="Post_launch_(6)"/>
      <sheetName val="Recent_trading_(7)"/>
      <sheetName val="sales_vol_1"/>
      <sheetName val="Stock_Price"/>
      <sheetName val="20_year1"/>
      <sheetName val="ten_year1"/>
      <sheetName val="5_year1"/>
      <sheetName val="Trading_Summary1"/>
      <sheetName val="Expected_European_Inv1"/>
      <sheetName val="Diageo's_investor_base1"/>
      <sheetName val="sales_vol_2"/>
      <sheetName val="spread_perf_1"/>
      <sheetName val="spread_21"/>
      <sheetName val="Global_dist1"/>
      <sheetName val="Global_distribution1"/>
      <sheetName val="Internat_dist1"/>
      <sheetName val="Post_launch_(6)1"/>
      <sheetName val="Recent_trading_(7)1"/>
      <sheetName val="sales_vol_3"/>
      <sheetName val="Stock_Price1"/>
      <sheetName val="20_year2"/>
      <sheetName val="ten_year2"/>
      <sheetName val="5_year2"/>
      <sheetName val="Trading_Summary2"/>
      <sheetName val="Expected_European_Inv2"/>
      <sheetName val="Diageo's_investor_base2"/>
      <sheetName val="sales_vol_4"/>
      <sheetName val="spread_perf_2"/>
      <sheetName val="spread_22"/>
      <sheetName val="Global_dist2"/>
      <sheetName val="Global_distribution2"/>
      <sheetName val="Internat_dist2"/>
      <sheetName val="Post_launch_(6)2"/>
      <sheetName val="Recent_trading_(7)2"/>
      <sheetName val="sales_vol_5"/>
      <sheetName val="Stock_Price2"/>
      <sheetName val="Input Projected"/>
      <sheetName val="consolidated"/>
      <sheetName val="oldSEG"/>
      <sheetName val="Quarters"/>
      <sheetName val="Financial Overview ShortProfile"/>
      <sheetName val="Summary"/>
      <sheetName val="CUS Image"/>
      <sheetName val="9-05046L"/>
      <sheetName val="Input"/>
      <sheetName val="ProForma"/>
      <sheetName val="__FDSCACHE__"/>
      <sheetName val="Output"/>
      <sheetName val="Sheet1"/>
      <sheetName val="Delhaize"/>
      <sheetName val="Prop Model"/>
      <sheetName val="Office Data"/>
      <sheetName val="Pro forma IS"/>
      <sheetName val="BTMAIN"/>
      <sheetName val="Assumptions"/>
      <sheetName val="OPER"/>
      <sheetName val="RSR"/>
      <sheetName val="Weeklies"/>
      <sheetName val="Opportunity Codes "/>
      <sheetName val="2013"/>
      <sheetName val="Sheet2"/>
      <sheetName val="Sheet3"/>
      <sheetName val="Sheet4"/>
      <sheetName val="Total"/>
      <sheetName val="CAPITAL PH1"/>
      <sheetName val=" BUDGET P1"/>
      <sheetName val="EuroInputs"/>
      <sheetName val="MktAss"/>
      <sheetName val="A"/>
      <sheetName val="Corp Overhead"/>
      <sheetName val="MWC"/>
      <sheetName val="Corp_Overhead"/>
      <sheetName val="Corp_Overhead1"/>
      <sheetName val="Corp_Overhead2"/>
      <sheetName val="CAPEX"/>
      <sheetName val="Parameters"/>
      <sheetName val="INPUT ACQUIROR DATA"/>
      <sheetName val="Transaction-Assum."/>
      <sheetName val="Gráfico"/>
      <sheetName val="Data"/>
      <sheetName val="All Sum"/>
      <sheetName val="P&amp;L --KRON"/>
      <sheetName val="P&amp;L -BayTV"/>
      <sheetName val="215002"/>
      <sheetName val="Summary Financials"/>
      <sheetName val="Amarillo I-40-HI"/>
      <sheetName val="LTM"/>
      <sheetName val="CREDIT STATS"/>
      <sheetName val="DropZone"/>
      <sheetName val="Cover"/>
      <sheetName val="Total Firm"/>
      <sheetName val="Data for 03-04 Base Position"/>
      <sheetName val="company"/>
      <sheetName val="BS Rollup"/>
      <sheetName val="BEV"/>
      <sheetName val="EBITDA"/>
      <sheetName val="Price Performance Output"/>
      <sheetName val="Historical Multiples Output"/>
      <sheetName val="Straw Man"/>
      <sheetName val="MedSolutions Financial Data"/>
      <sheetName val="Football Field "/>
      <sheetName val="DCF"/>
      <sheetName val="Qcharts"/>
      <sheetName val="Charts"/>
      <sheetName val="Offers G&amp;C"/>
      <sheetName val="Offers GE"/>
      <sheetName val="Offers GS"/>
      <sheetName val="Offers MC"/>
      <sheetName val="13199"/>
      <sheetName val="PNGOil"/>
      <sheetName val="Model"/>
      <sheetName val="MLP IPO Yields vs MLP Index"/>
      <sheetName val="Control Panel"/>
      <sheetName val="Market"/>
      <sheetName val="Country Risk"/>
      <sheetName val="Quarterly rates"/>
      <sheetName val="Codes"/>
      <sheetName val="NCV Pivot"/>
      <sheetName val="exec sum (ncv) (3)"/>
      <sheetName val="Data Control"/>
    </sheetNames>
    <sheetDataSet>
      <sheetData sheetId="0" refreshError="1">
        <row r="34">
          <cell r="J34" t="str">
            <v>Europe</v>
          </cell>
        </row>
        <row r="35">
          <cell r="J35" t="str">
            <v>Other</v>
          </cell>
        </row>
        <row r="36">
          <cell r="J36" t="str">
            <v>Swiss</v>
          </cell>
        </row>
        <row r="37">
          <cell r="J37" t="str">
            <v>UK</v>
          </cell>
        </row>
        <row r="211">
          <cell r="J211" t="str">
            <v>Europe</v>
          </cell>
          <cell r="K211">
            <v>42560000</v>
          </cell>
        </row>
        <row r="212">
          <cell r="J212" t="str">
            <v>Other</v>
          </cell>
          <cell r="K212">
            <v>87425000</v>
          </cell>
        </row>
        <row r="213">
          <cell r="J213" t="str">
            <v>Swiss</v>
          </cell>
          <cell r="K213">
            <v>24660000</v>
          </cell>
        </row>
        <row r="214">
          <cell r="J214" t="str">
            <v>UK</v>
          </cell>
          <cell r="K214">
            <v>42000000</v>
          </cell>
        </row>
        <row r="398">
          <cell r="J398" t="str">
            <v>Europe</v>
          </cell>
          <cell r="K398">
            <v>33000000</v>
          </cell>
        </row>
        <row r="399">
          <cell r="J399" t="str">
            <v>Other</v>
          </cell>
          <cell r="K399">
            <v>21500000</v>
          </cell>
        </row>
        <row r="400">
          <cell r="J400" t="str">
            <v>Swiss</v>
          </cell>
          <cell r="K400">
            <v>116440000</v>
          </cell>
        </row>
        <row r="401">
          <cell r="J401" t="str">
            <v>UK</v>
          </cell>
          <cell r="K401">
            <v>101448000</v>
          </cell>
        </row>
        <row r="1121">
          <cell r="I1121" t="str">
            <v>Europe</v>
          </cell>
          <cell r="J1121">
            <v>11000000</v>
          </cell>
        </row>
        <row r="1122">
          <cell r="I1122" t="str">
            <v>Swiss</v>
          </cell>
          <cell r="J1122">
            <v>3370000</v>
          </cell>
        </row>
        <row r="1632">
          <cell r="I1632" t="str">
            <v>Europe</v>
          </cell>
          <cell r="J1632">
            <v>96300000</v>
          </cell>
        </row>
        <row r="1633">
          <cell r="I1633" t="str">
            <v>Other</v>
          </cell>
          <cell r="J1633">
            <v>39000000</v>
          </cell>
        </row>
        <row r="1634">
          <cell r="I1634" t="str">
            <v>Swiss</v>
          </cell>
          <cell r="J1634">
            <v>92900000</v>
          </cell>
        </row>
        <row r="1635">
          <cell r="I1635" t="str">
            <v>UK</v>
          </cell>
          <cell r="J1635">
            <v>64000000</v>
          </cell>
        </row>
        <row r="2248">
          <cell r="I2248" t="str">
            <v>Europe</v>
          </cell>
          <cell r="J2248">
            <v>12600000</v>
          </cell>
        </row>
        <row r="2249">
          <cell r="I2249" t="str">
            <v>Other</v>
          </cell>
          <cell r="J2249">
            <v>24500000</v>
          </cell>
        </row>
        <row r="2250">
          <cell r="I2250" t="str">
            <v>Swiss</v>
          </cell>
          <cell r="J2250">
            <v>56200000</v>
          </cell>
        </row>
        <row r="2251">
          <cell r="I2251" t="str">
            <v>UK</v>
          </cell>
          <cell r="J2251">
            <v>56400000</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 sheetId="19" refreshError="1"/>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rgIS"/>
      <sheetName val="Pro Forma (2)"/>
      <sheetName val="Output (GAAP) (2)"/>
      <sheetName val="Output (2)"/>
      <sheetName val="Pro Forma"/>
      <sheetName val="__FDSCACHE__"/>
      <sheetName val="Output (GAAP)"/>
      <sheetName val="Output"/>
      <sheetName val="Inputs"/>
      <sheetName val="INSS"/>
      <sheetName val="PMO"/>
      <sheetName val="Contribution"/>
      <sheetName val="Contr - FD"/>
      <sheetName val="Contr - TM"/>
      <sheetName val="Adjusted Contribution"/>
      <sheetName val="Cash Burn"/>
      <sheetName val="Multiples"/>
      <sheetName val="SyncAlloc"/>
      <sheetName val="PricePerformance"/>
      <sheetName val="ValMtrx"/>
      <sheetName val="CapSum-Tux"/>
      <sheetName val="CapSum-Top hat"/>
      <sheetName val="DCF-Tux Mgt 2001"/>
      <sheetName val="DCF-Tux Mgt 2002"/>
      <sheetName val="DCF-Tux Mgt 2001 Norm"/>
      <sheetName val="DCF-Tux Str Estimates"/>
      <sheetName val="DCF-Top Hat mgt"/>
      <sheetName val="DCF-Top Hat Str Est."/>
      <sheetName val="DCF-Top Hat Synergies"/>
      <sheetName val="MSDW SbyS"/>
      <sheetName val="SbyS"/>
      <sheetName val="Contribution2"/>
      <sheetName val="Combination - Street Est."/>
      <sheetName val="PF W-O Synergies"/>
      <sheetName val="Combination -Management Est."/>
      <sheetName val="Top Hat"/>
      <sheetName val="Tuxedo"/>
      <sheetName val="Analyst Avg"/>
      <sheetName val="Synergy Sensitivity"/>
      <sheetName val="Sheet2"/>
      <sheetName val="Sheet3"/>
      <sheetName val="IS"/>
      <sheetName val="BS|CF"/>
      <sheetName val="Assum"/>
      <sheetName val="OpBS"/>
      <sheetName val="BSCF"/>
      <sheetName val="Ratios"/>
      <sheetName val="AcqIS"/>
      <sheetName val="AcqBSCF"/>
      <sheetName val="AcqRat"/>
      <sheetName val="TargBSCF"/>
      <sheetName val="TargRat"/>
      <sheetName val="AcqDCF1"/>
      <sheetName val="AcqDCF2"/>
      <sheetName val="TargDCF1"/>
      <sheetName val="TargDCF2"/>
      <sheetName val="CashAcq"/>
      <sheetName val="LBO Assum"/>
      <sheetName val="LBO IS"/>
      <sheetName val="LBO  BSCF"/>
      <sheetName val="LBO Ratios"/>
      <sheetName val="LBO Returns"/>
      <sheetName val="Contrib"/>
      <sheetName val="Presentation&gt;&gt;&gt;"/>
      <sheetName val="TargFin"/>
      <sheetName val="ValMatrix"/>
      <sheetName val="TargDCF"/>
      <sheetName val="CashAcqOutput"/>
      <sheetName val="PF EPS1"/>
      <sheetName val="PF EPS2"/>
      <sheetName val="PF Ratios"/>
      <sheetName val="StckPrc1"/>
      <sheetName val="StckPrc2"/>
      <sheetName val="Summary"/>
      <sheetName val="Output&gt;&gt;"/>
      <sheetName val="SummaryCases"/>
      <sheetName val="Summary FS"/>
      <sheetName val="Sources and Uses"/>
      <sheetName val="Acc Dil"/>
      <sheetName val="Cash Acc Dil"/>
      <sheetName val="Summary Credit Stats"/>
      <sheetName val="Summary Debt Paydown"/>
      <sheetName val="Growth Analysis"/>
      <sheetName val="Conv Returns Summary"/>
      <sheetName val="Class A Returns Summary"/>
      <sheetName val="Stk Price Acc Dil"/>
      <sheetName val="Pro Forma&gt;&gt;"/>
      <sheetName val="Convertible Returns"/>
      <sheetName val="Class A Returns"/>
      <sheetName val="PIK Returns"/>
      <sheetName val="99 and LTM PF"/>
      <sheetName val="Hawk&gt;&gt;"/>
      <sheetName val="Midway&gt;&gt;"/>
      <sheetName val="TargIS £"/>
      <sheetName val="TargBSCF £"/>
      <sheetName val="TargIS $"/>
      <sheetName val="TargBSCF $"/>
      <sheetName val="TargIS-Adj"/>
      <sheetName val="TargBSCF-Adj"/>
      <sheetName val="AerospaceISMonthly"/>
      <sheetName val="WholeTargetISMonthly"/>
      <sheetName val="--NOT USED--"/>
      <sheetName val="Jupiter&gt;&gt;&gt;&gt;&gt;"/>
      <sheetName val="Jupiter IS"/>
      <sheetName val="Jupiter BSCF"/>
      <sheetName val="Jupiter Rat"/>
      <sheetName val="Jupiter DCF1"/>
      <sheetName val="Jupiter DCF2"/>
      <sheetName val="Saturn&gt;&gt;&gt;&gt;&gt;&gt;"/>
      <sheetName val="Saturn IS"/>
      <sheetName val="Saturn BSCF"/>
      <sheetName val="Saturn DCF1"/>
      <sheetName val="Saturn DCF2"/>
      <sheetName val="Saturn Ratios"/>
      <sheetName val="Spaceshot&gt;&gt;&gt;&gt;&gt;"/>
      <sheetName val="Op-BS"/>
      <sheetName val="Output&gt;&gt;&gt;&gt;&gt;"/>
      <sheetName val="Matrix"/>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 sheetId="13"/>
      <sheetData sheetId="14"/>
      <sheetData sheetId="15"/>
      <sheetData sheetId="16"/>
      <sheetData sheetId="17"/>
      <sheetData sheetId="18"/>
      <sheetData sheetId="19"/>
      <sheetData sheetId="20" refreshError="1"/>
      <sheetData sheetId="21" refreshError="1"/>
      <sheetData sheetId="22"/>
      <sheetData sheetId="23"/>
      <sheetData sheetId="24"/>
      <sheetData sheetId="25"/>
      <sheetData sheetId="26" refreshError="1"/>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efreshError="1"/>
      <sheetData sheetId="42" refreshError="1"/>
      <sheetData sheetId="43"/>
      <sheetData sheetId="44" refreshError="1"/>
      <sheetData sheetId="45" refreshError="1"/>
      <sheetData sheetId="46" refreshError="1"/>
      <sheetData sheetId="47" refreshError="1"/>
      <sheetData sheetId="48" refreshError="1"/>
      <sheetData sheetId="49" refreshError="1"/>
      <sheetData sheetId="50" refreshError="1"/>
      <sheetData sheetId="51"/>
      <sheetData sheetId="52" refreshError="1"/>
      <sheetData sheetId="53" refreshError="1"/>
      <sheetData sheetId="54"/>
      <sheetData sheetId="55"/>
      <sheetData sheetId="56"/>
      <sheetData sheetId="57"/>
      <sheetData sheetId="58"/>
      <sheetData sheetId="59" refreshError="1"/>
      <sheetData sheetId="60" refreshError="1"/>
      <sheetData sheetId="6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sheetData sheetId="106"/>
      <sheetData sheetId="107"/>
      <sheetData sheetId="108" refreshError="1"/>
      <sheetData sheetId="109"/>
      <sheetData sheetId="110"/>
      <sheetData sheetId="111"/>
      <sheetData sheetId="112"/>
      <sheetData sheetId="113" refreshError="1"/>
      <sheetData sheetId="114" refreshError="1"/>
      <sheetData sheetId="115"/>
      <sheetData sheetId="116" refreshError="1"/>
      <sheetData sheetId="117"/>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2004 Summary"/>
      <sheetName val="Acct Recon"/>
      <sheetName val="Brkdwns"/>
      <sheetName val="Portfolio"/>
      <sheetName val="P-S Actvty"/>
      <sheetName val="Tfr Actvty"/>
    </sheetNames>
    <sheetDataSet>
      <sheetData sheetId="0" refreshError="1"/>
      <sheetData sheetId="1">
        <row r="2">
          <cell r="A2" t="str">
            <v>Aclara Biosciences Inc</v>
          </cell>
          <cell r="E2">
            <v>38322</v>
          </cell>
        </row>
        <row r="3">
          <cell r="A3" t="str">
            <v>5ZX 71060 0 J09</v>
          </cell>
          <cell r="E3">
            <v>38331</v>
          </cell>
        </row>
        <row r="4">
          <cell r="E4">
            <v>10</v>
          </cell>
        </row>
      </sheetData>
      <sheetData sheetId="2" refreshError="1"/>
      <sheetData sheetId="3" refreshError="1"/>
      <sheetData sheetId="4" refreshError="1"/>
      <sheetData sheetId="5"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yments"/>
      <sheetName val="Restructure schedule-revised"/>
      <sheetName val="MR Component Summary"/>
      <sheetName val="Usage Customer"/>
      <sheetName val="Late Charges"/>
    </sheetNames>
    <sheetDataSet>
      <sheetData sheetId="0"/>
      <sheetData sheetId="1"/>
      <sheetData sheetId="2" refreshError="1">
        <row r="20">
          <cell r="D20">
            <v>2307755.86</v>
          </cell>
        </row>
      </sheetData>
      <sheetData sheetId="3"/>
      <sheetData sheetId="4"/>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MORT"/>
      <sheetName val="\\Glasgow\accountrecons\windows"/>
    </sheetNames>
    <definedNames>
      <definedName name="Calcint"/>
    </definedNames>
    <sheetDataSet>
      <sheetData sheetId="0" refreshError="1"/>
      <sheetData sheetId="1"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tSettings"/>
      <sheetName val="SectList"/>
      <sheetName val="AcList"/>
      <sheetName val="DepList"/>
      <sheetName val="CurList"/>
      <sheetName val="SectTB"/>
      <sheetName val="SectCDTB"/>
      <sheetName val="AcTB"/>
      <sheetName val="AcCDTB"/>
      <sheetName val="Settings"/>
      <sheetName val="TB Scheme A"/>
      <sheetName val="TB Scheme B"/>
      <sheetName val="TB Scheme C"/>
      <sheetName val="TB Scheme D"/>
      <sheetName val="Check List"/>
      <sheetName val="History"/>
      <sheetName val="TB"/>
      <sheetName val="Data"/>
      <sheetName val="CFWorkings"/>
      <sheetName val="Cover"/>
      <sheetName val="Contents"/>
      <sheetName val="Information"/>
      <sheetName val="Director"/>
      <sheetName val="Responsibilities"/>
      <sheetName val="Audit"/>
      <sheetName val="Compilation"/>
      <sheetName val="Accountant"/>
      <sheetName val="PL"/>
      <sheetName val="RGL"/>
      <sheetName val="PL 1 Page"/>
      <sheetName val="BS"/>
      <sheetName val="CF"/>
      <sheetName val="BS 1 Page"/>
      <sheetName val="Cash Flow"/>
      <sheetName val="Notes"/>
      <sheetName val="DetailPL1"/>
      <sheetName val="DetailPL2"/>
      <sheetName val="AbbCover"/>
      <sheetName val="AbbAudit"/>
      <sheetName val="AbbCompilation"/>
      <sheetName val="AbbAccountant"/>
      <sheetName val="AbbBS"/>
      <sheetName val="AbbNotes"/>
      <sheetName val="Library"/>
      <sheetName val="Info Required"/>
      <sheetName val="FAR"/>
      <sheetName val="Tax Comp"/>
      <sheetName val="Workings"/>
      <sheetName val="VT_Results"/>
      <sheetName val="2004 05 SCS UK management accou"/>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row r="56">
          <cell r="C56" t="str">
            <v>Stem Cell Sciences (UK) Limited</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yMultInputs"/>
      <sheetName val="Setup"/>
    </sheetNames>
    <sheetDataSet>
      <sheetData sheetId="0" refreshError="1"/>
      <sheetData sheetId="1"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eadcount"/>
      <sheetName val="Debt"/>
      <sheetName val="P&amp;V"/>
      <sheetName val="Summary"/>
      <sheetName val="Annual IS Expense Assumptions"/>
      <sheetName val="Revenue Assumptions and Summary"/>
      <sheetName val="Quarterly Income Statement"/>
      <sheetName val="Quarterly Balance Sheet"/>
      <sheetName val="Quarterly Cashflow Statement"/>
      <sheetName val="COGS Actual"/>
      <sheetName val="VeriStrat Revenue Forecast"/>
      <sheetName val="GeneStrat Revenue Forecast"/>
      <sheetName val="BDX010 Revenue Forecast"/>
      <sheetName val="ITx-Melanoma Revenue Forecast"/>
      <sheetName val="ITx-Lung Revenue Forecast"/>
      <sheetName val="Ovarian Revenue Forecast"/>
      <sheetName val="CDx Revenue Forecast"/>
      <sheetName val="Bus Dev Revenue"/>
      <sheetName val="License Royalty Income"/>
      <sheetName val="Selling Expenses"/>
      <sheetName val="Data export for P&amp;L"/>
      <sheetName val="VeriStrat_Sales_Model"/>
      <sheetName val="BDX010"/>
      <sheetName val="ImmunoDX-Melanoma"/>
      <sheetName val="ImmunoDX-Lung"/>
      <sheetName val="Ovarian"/>
      <sheetName val="CDX3"/>
      <sheetName val="CDX4"/>
      <sheetName val="CDX5"/>
      <sheetName val="CDX6"/>
      <sheetName val="SalesRepsAdded"/>
      <sheetName val="Lookup"/>
      <sheetName val="2 Monthly Expense Actuals"/>
    </sheetNames>
    <sheetDataSet>
      <sheetData sheetId="0" refreshError="1"/>
      <sheetData sheetId="1" refreshError="1"/>
      <sheetData sheetId="2" refreshError="1"/>
      <sheetData sheetId="3" refreshError="1"/>
      <sheetData sheetId="4" refreshError="1"/>
      <sheetData sheetId="5">
        <row r="24">
          <cell r="T24" t="str">
            <v>Sales Rep</v>
          </cell>
        </row>
        <row r="25">
          <cell r="T25" t="str">
            <v>Account Manager</v>
          </cell>
        </row>
      </sheetData>
      <sheetData sheetId="6"/>
      <sheetData sheetId="7"/>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ow r="2">
          <cell r="K2">
            <v>42552</v>
          </cell>
        </row>
        <row r="3">
          <cell r="K3">
            <v>42583</v>
          </cell>
        </row>
        <row r="4">
          <cell r="K4">
            <v>42614</v>
          </cell>
        </row>
        <row r="5">
          <cell r="K5">
            <v>42644</v>
          </cell>
        </row>
        <row r="6">
          <cell r="K6">
            <v>42675</v>
          </cell>
        </row>
        <row r="7">
          <cell r="K7">
            <v>42705</v>
          </cell>
        </row>
        <row r="8">
          <cell r="K8">
            <v>42736</v>
          </cell>
        </row>
        <row r="9">
          <cell r="K9">
            <v>42767</v>
          </cell>
        </row>
        <row r="10">
          <cell r="K10">
            <v>42795</v>
          </cell>
        </row>
        <row r="11">
          <cell r="K11">
            <v>42826</v>
          </cell>
        </row>
        <row r="12">
          <cell r="K12">
            <v>42856</v>
          </cell>
        </row>
        <row r="13">
          <cell r="K13">
            <v>42887</v>
          </cell>
        </row>
        <row r="14">
          <cell r="K14">
            <v>42917</v>
          </cell>
        </row>
        <row r="15">
          <cell r="K15">
            <v>42948</v>
          </cell>
        </row>
        <row r="16">
          <cell r="K16">
            <v>42979</v>
          </cell>
        </row>
        <row r="17">
          <cell r="K17">
            <v>43009</v>
          </cell>
        </row>
        <row r="18">
          <cell r="K18">
            <v>43040</v>
          </cell>
        </row>
        <row r="19">
          <cell r="K19">
            <v>43070</v>
          </cell>
        </row>
        <row r="20">
          <cell r="K20">
            <v>43101</v>
          </cell>
        </row>
        <row r="21">
          <cell r="K21">
            <v>43132</v>
          </cell>
        </row>
        <row r="22">
          <cell r="K22">
            <v>43160</v>
          </cell>
        </row>
        <row r="23">
          <cell r="K23">
            <v>43191</v>
          </cell>
        </row>
        <row r="24">
          <cell r="K24">
            <v>43221</v>
          </cell>
        </row>
        <row r="25">
          <cell r="K25">
            <v>43252</v>
          </cell>
        </row>
        <row r="26">
          <cell r="K26">
            <v>43282</v>
          </cell>
        </row>
        <row r="27">
          <cell r="K27">
            <v>43313</v>
          </cell>
        </row>
        <row r="28">
          <cell r="K28">
            <v>43344</v>
          </cell>
        </row>
        <row r="29">
          <cell r="K29">
            <v>43374</v>
          </cell>
        </row>
        <row r="30">
          <cell r="K30">
            <v>43405</v>
          </cell>
        </row>
        <row r="31">
          <cell r="K31">
            <v>43435</v>
          </cell>
        </row>
        <row r="32">
          <cell r="K32">
            <v>43466</v>
          </cell>
        </row>
        <row r="33">
          <cell r="K33">
            <v>43497</v>
          </cell>
        </row>
        <row r="34">
          <cell r="K34">
            <v>43525</v>
          </cell>
        </row>
        <row r="35">
          <cell r="K35">
            <v>43556</v>
          </cell>
        </row>
        <row r="36">
          <cell r="K36">
            <v>43586</v>
          </cell>
        </row>
        <row r="37">
          <cell r="K37">
            <v>43617</v>
          </cell>
        </row>
        <row r="38">
          <cell r="K38">
            <v>43647</v>
          </cell>
        </row>
        <row r="39">
          <cell r="K39">
            <v>43678</v>
          </cell>
        </row>
        <row r="40">
          <cell r="K40">
            <v>43709</v>
          </cell>
        </row>
        <row r="41">
          <cell r="K41">
            <v>43739</v>
          </cell>
        </row>
        <row r="42">
          <cell r="K42">
            <v>43770</v>
          </cell>
        </row>
        <row r="43">
          <cell r="K43">
            <v>43800</v>
          </cell>
        </row>
        <row r="44">
          <cell r="K44">
            <v>43831</v>
          </cell>
        </row>
        <row r="45">
          <cell r="K45">
            <v>43862</v>
          </cell>
        </row>
        <row r="46">
          <cell r="K46">
            <v>43891</v>
          </cell>
        </row>
        <row r="47">
          <cell r="K47">
            <v>43922</v>
          </cell>
        </row>
        <row r="48">
          <cell r="K48">
            <v>43952</v>
          </cell>
        </row>
        <row r="49">
          <cell r="K49">
            <v>43983</v>
          </cell>
        </row>
        <row r="50">
          <cell r="K50">
            <v>44013</v>
          </cell>
        </row>
        <row r="51">
          <cell r="K51">
            <v>44044</v>
          </cell>
        </row>
        <row r="52">
          <cell r="K52">
            <v>44075</v>
          </cell>
        </row>
        <row r="53">
          <cell r="K53">
            <v>44105</v>
          </cell>
        </row>
        <row r="54">
          <cell r="K54">
            <v>44136</v>
          </cell>
        </row>
        <row r="55">
          <cell r="K55">
            <v>44166</v>
          </cell>
        </row>
      </sheetData>
      <sheetData sheetId="32"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CIQHiddenCacheSheet"/>
      <sheetName val="Cover"/>
      <sheetName val="Val Summ"/>
      <sheetName val="OPM 1"/>
      <sheetName val="OPM 2"/>
      <sheetName val="PWERM"/>
      <sheetName val="PoTS"/>
      <sheetName val="Discount Rate FP &gt;&gt;"/>
      <sheetName val="WACC PWERM"/>
      <sheetName val="RoR Stage of Dev"/>
      <sheetName val="Cap Structure FP &gt;&gt;"/>
      <sheetName val="Cap Table"/>
      <sheetName val="Econ Rights"/>
      <sheetName val="MKT INFO FP &gt;&gt;"/>
      <sheetName val="Comp Mults"/>
      <sheetName val="Comp CF Metrics"/>
      <sheetName val="Prod Pipeline"/>
      <sheetName val="Comp Desc"/>
      <sheetName val="IPO"/>
      <sheetName val="IPO Select"/>
      <sheetName val="IPO Crossover"/>
      <sheetName val="Immunotherapy Listing"/>
      <sheetName val="Trans Detail"/>
      <sheetName val="Trans Desc"/>
      <sheetName val="Support FP &gt;&gt;"/>
      <sheetName val="Put Option DLOM"/>
      <sheetName val="Asset Vol"/>
      <sheetName val="Equity Vol"/>
      <sheetName val="Risk-Free Rates"/>
      <sheetName val="DLOM Rest Stock"/>
      <sheetName val="DLOM LEAPS"/>
      <sheetName val="Hist IS"/>
      <sheetName val="Hist BS"/>
      <sheetName val="Tranche FP &gt;&gt;"/>
      <sheetName val="Tranche OPM"/>
      <sheetName val="Risk-Free Rates (2)"/>
      <sheetName val="&lt;DO NOT INCLUDE&gt;"/>
      <sheetName val="Ibank Vals"/>
      <sheetName val="MASTER COMP INPUT"/>
      <sheetName val="WACC CAPM"/>
      <sheetName val="Beta Calc"/>
      <sheetName val="EP Top License Deals"/>
      <sheetName val="EP Top Product Sales"/>
      <sheetName val="Larger BioPharma Margins"/>
      <sheetName val="rNPV&gt;&gt;&gt;"/>
      <sheetName val="Val Sum rNPV"/>
      <sheetName val="1"/>
      <sheetName val="2"/>
      <sheetName val="3"/>
      <sheetName val="4"/>
      <sheetName val="5"/>
      <sheetName val="6"/>
      <sheetName val="NOL"/>
      <sheetName val="Dev - PoTS"/>
      <sheetName val="Dev - Peak Sales"/>
      <sheetName val="Dev - R&amp;D"/>
      <sheetName val="Dev - Fcst Summ"/>
      <sheetName val="Inputs Tax &amp; Disc"/>
      <sheetName val="Outlin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sheetName val="Option Val."/>
      <sheetName val="Equity Vol"/>
      <sheetName val="Risk-Free Rates"/>
      <sheetName val="Workings &gt;&gt;"/>
      <sheetName val="Sheet2"/>
      <sheetName val="_CIQHiddenCacheSheet"/>
      <sheetName val="Volatility Computation"/>
      <sheetName val="Option Val._Verify"/>
      <sheetName val="CapIQ_Data"/>
      <sheetName val="IPO"/>
    </sheet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me"/>
      <sheetName val="Uveitis"/>
      <sheetName val="Clinical Analyzer"/>
      <sheetName val="Commercial Analyzer"/>
      <sheetName val="Competitive Assessment"/>
      <sheetName val="Global"/>
      <sheetName val="US"/>
      <sheetName val="France"/>
      <sheetName val="Germany"/>
      <sheetName val="Italy"/>
      <sheetName val="Spain"/>
      <sheetName val="UK"/>
      <sheetName val="Events"/>
      <sheetName val="Methodology"/>
      <sheetName val="Assumptions"/>
      <sheetName val="About GlobalData"/>
      <sheetName val="Setting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ow r="1">
          <cell r="A1">
            <v>0.01</v>
          </cell>
          <cell r="B1">
            <v>1</v>
          </cell>
        </row>
        <row r="2">
          <cell r="A2">
            <v>0.02</v>
          </cell>
          <cell r="B2">
            <v>2</v>
          </cell>
        </row>
        <row r="3">
          <cell r="A3">
            <v>0.03</v>
          </cell>
          <cell r="B3">
            <v>3</v>
          </cell>
        </row>
        <row r="4">
          <cell r="A4">
            <v>0.04</v>
          </cell>
          <cell r="B4">
            <v>4</v>
          </cell>
        </row>
        <row r="5">
          <cell r="A5">
            <v>0.05</v>
          </cell>
          <cell r="B5">
            <v>5</v>
          </cell>
        </row>
        <row r="6">
          <cell r="A6">
            <v>0.06</v>
          </cell>
        </row>
        <row r="7">
          <cell r="A7">
            <v>7.0000000000000007E-2</v>
          </cell>
        </row>
        <row r="8">
          <cell r="A8">
            <v>0.08</v>
          </cell>
        </row>
        <row r="9">
          <cell r="A9">
            <v>0.09</v>
          </cell>
        </row>
        <row r="10">
          <cell r="A10">
            <v>0.1</v>
          </cell>
        </row>
        <row r="11">
          <cell r="A11">
            <v>0.11</v>
          </cell>
        </row>
        <row r="12">
          <cell r="A12">
            <v>0.12</v>
          </cell>
        </row>
        <row r="13">
          <cell r="A13">
            <v>0.13</v>
          </cell>
        </row>
        <row r="14">
          <cell r="A14">
            <v>0.14000000000000001</v>
          </cell>
        </row>
        <row r="15">
          <cell r="A15">
            <v>0.15</v>
          </cell>
        </row>
        <row r="16">
          <cell r="A16">
            <v>0.16</v>
          </cell>
        </row>
        <row r="17">
          <cell r="A17">
            <v>0.17</v>
          </cell>
        </row>
        <row r="18">
          <cell r="A18">
            <v>0.18</v>
          </cell>
        </row>
        <row r="19">
          <cell r="A19">
            <v>0.19</v>
          </cell>
        </row>
        <row r="20">
          <cell r="A20">
            <v>0.2</v>
          </cell>
        </row>
        <row r="21">
          <cell r="A21">
            <v>0.21</v>
          </cell>
        </row>
        <row r="22">
          <cell r="A22">
            <v>0.22</v>
          </cell>
        </row>
        <row r="23">
          <cell r="A23">
            <v>0.23</v>
          </cell>
        </row>
        <row r="24">
          <cell r="A24">
            <v>0.24</v>
          </cell>
        </row>
        <row r="25">
          <cell r="A25">
            <v>0.25</v>
          </cell>
        </row>
        <row r="26">
          <cell r="A26">
            <v>0.26</v>
          </cell>
        </row>
        <row r="27">
          <cell r="A27">
            <v>0.27</v>
          </cell>
        </row>
        <row r="28">
          <cell r="A28">
            <v>0.28000000000000003</v>
          </cell>
        </row>
        <row r="29">
          <cell r="A29">
            <v>0.28999999999999998</v>
          </cell>
        </row>
        <row r="30">
          <cell r="A30">
            <v>0.3</v>
          </cell>
        </row>
        <row r="31">
          <cell r="A31">
            <v>0.31</v>
          </cell>
        </row>
        <row r="32">
          <cell r="A32">
            <v>0.32</v>
          </cell>
        </row>
        <row r="33">
          <cell r="A33">
            <v>0.33</v>
          </cell>
        </row>
        <row r="34">
          <cell r="A34">
            <v>0.34</v>
          </cell>
        </row>
        <row r="35">
          <cell r="A35">
            <v>0.35</v>
          </cell>
        </row>
        <row r="36">
          <cell r="A36">
            <v>0.36</v>
          </cell>
        </row>
        <row r="37">
          <cell r="A37">
            <v>0.37</v>
          </cell>
        </row>
        <row r="38">
          <cell r="A38">
            <v>0.38</v>
          </cell>
        </row>
        <row r="39">
          <cell r="A39">
            <v>0.39</v>
          </cell>
        </row>
        <row r="40">
          <cell r="A40">
            <v>0.4</v>
          </cell>
        </row>
        <row r="41">
          <cell r="A41">
            <v>0.41</v>
          </cell>
        </row>
        <row r="42">
          <cell r="A42">
            <v>0.42</v>
          </cell>
        </row>
        <row r="43">
          <cell r="A43">
            <v>0.43</v>
          </cell>
        </row>
        <row r="44">
          <cell r="A44">
            <v>0.44</v>
          </cell>
        </row>
        <row r="45">
          <cell r="A45">
            <v>0.45</v>
          </cell>
        </row>
        <row r="46">
          <cell r="A46">
            <v>0.46</v>
          </cell>
        </row>
        <row r="47">
          <cell r="A47">
            <v>0.47</v>
          </cell>
        </row>
        <row r="48">
          <cell r="A48">
            <v>0.48</v>
          </cell>
        </row>
        <row r="49">
          <cell r="A49">
            <v>0.49</v>
          </cell>
        </row>
        <row r="50">
          <cell r="A50">
            <v>0.5</v>
          </cell>
        </row>
        <row r="51">
          <cell r="A51">
            <v>0.51</v>
          </cell>
        </row>
        <row r="52">
          <cell r="A52">
            <v>0.52</v>
          </cell>
        </row>
        <row r="53">
          <cell r="A53">
            <v>0.53</v>
          </cell>
        </row>
        <row r="54">
          <cell r="A54">
            <v>0.54</v>
          </cell>
        </row>
        <row r="55">
          <cell r="A55">
            <v>0.55000000000000004</v>
          </cell>
        </row>
        <row r="56">
          <cell r="A56">
            <v>0.56000000000000005</v>
          </cell>
        </row>
        <row r="57">
          <cell r="A57">
            <v>0.56999999999999995</v>
          </cell>
        </row>
        <row r="58">
          <cell r="A58">
            <v>0.57999999999999996</v>
          </cell>
        </row>
        <row r="59">
          <cell r="A59">
            <v>0.59</v>
          </cell>
        </row>
        <row r="60">
          <cell r="A60">
            <v>0.6</v>
          </cell>
        </row>
        <row r="61">
          <cell r="A61">
            <v>0.61</v>
          </cell>
        </row>
        <row r="62">
          <cell r="A62">
            <v>0.62</v>
          </cell>
        </row>
        <row r="63">
          <cell r="A63">
            <v>0.63</v>
          </cell>
        </row>
        <row r="64">
          <cell r="A64">
            <v>0.64</v>
          </cell>
        </row>
        <row r="65">
          <cell r="A65">
            <v>0.65</v>
          </cell>
        </row>
        <row r="66">
          <cell r="A66">
            <v>0.66</v>
          </cell>
        </row>
        <row r="67">
          <cell r="A67">
            <v>0.67</v>
          </cell>
        </row>
        <row r="68">
          <cell r="A68">
            <v>0.68</v>
          </cell>
        </row>
        <row r="69">
          <cell r="A69">
            <v>0.69</v>
          </cell>
        </row>
        <row r="70">
          <cell r="A70">
            <v>0.7</v>
          </cell>
        </row>
        <row r="71">
          <cell r="A71">
            <v>0.71</v>
          </cell>
        </row>
        <row r="72">
          <cell r="A72">
            <v>0.72</v>
          </cell>
        </row>
        <row r="73">
          <cell r="A73">
            <v>0.73</v>
          </cell>
        </row>
        <row r="74">
          <cell r="A74">
            <v>0.74</v>
          </cell>
        </row>
        <row r="75">
          <cell r="A75">
            <v>0.75</v>
          </cell>
        </row>
        <row r="76">
          <cell r="A76">
            <v>0.76</v>
          </cell>
        </row>
        <row r="77">
          <cell r="A77">
            <v>0.77</v>
          </cell>
        </row>
        <row r="78">
          <cell r="A78">
            <v>0.78</v>
          </cell>
        </row>
        <row r="79">
          <cell r="A79">
            <v>0.79</v>
          </cell>
        </row>
        <row r="80">
          <cell r="A80">
            <v>0.8</v>
          </cell>
        </row>
        <row r="81">
          <cell r="A81">
            <v>0.81</v>
          </cell>
        </row>
        <row r="82">
          <cell r="A82">
            <v>0.82</v>
          </cell>
        </row>
        <row r="83">
          <cell r="A83">
            <v>0.83</v>
          </cell>
        </row>
        <row r="84">
          <cell r="A84">
            <v>0.84</v>
          </cell>
        </row>
        <row r="85">
          <cell r="A85">
            <v>0.85</v>
          </cell>
        </row>
        <row r="86">
          <cell r="A86">
            <v>0.86</v>
          </cell>
        </row>
        <row r="87">
          <cell r="A87">
            <v>0.87</v>
          </cell>
        </row>
        <row r="88">
          <cell r="A88">
            <v>0.88</v>
          </cell>
        </row>
        <row r="89">
          <cell r="A89">
            <v>0.89</v>
          </cell>
        </row>
        <row r="90">
          <cell r="A90">
            <v>0.9</v>
          </cell>
        </row>
        <row r="91">
          <cell r="A91">
            <v>0.91</v>
          </cell>
        </row>
        <row r="92">
          <cell r="A92">
            <v>0.92</v>
          </cell>
        </row>
        <row r="93">
          <cell r="A93">
            <v>0.93</v>
          </cell>
        </row>
        <row r="94">
          <cell r="A94">
            <v>0.94</v>
          </cell>
        </row>
        <row r="95">
          <cell r="A95">
            <v>0.95</v>
          </cell>
        </row>
        <row r="96">
          <cell r="A96">
            <v>0.96</v>
          </cell>
        </row>
        <row r="97">
          <cell r="A97">
            <v>0.97</v>
          </cell>
        </row>
        <row r="98">
          <cell r="A98">
            <v>0.98</v>
          </cell>
        </row>
        <row r="99">
          <cell r="A99">
            <v>0.99</v>
          </cell>
        </row>
        <row r="100">
          <cell r="A100">
            <v>1</v>
          </cell>
        </row>
      </sheetData>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BS"/>
      <sheetName val="Setup - IP Val"/>
    </sheetNames>
    <sheetDataSet>
      <sheetData sheetId="0" refreshError="1"/>
      <sheetData sheetId="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18.bin"/><Relationship Id="rId5" Type="http://schemas.openxmlformats.org/officeDocument/2006/relationships/comments" Target="../comments4.xml"/><Relationship Id="rId4" Type="http://schemas.openxmlformats.org/officeDocument/2006/relationships/vmlDrawing" Target="../drawings/vmlDrawing11.v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vmlDrawing" Target="../drawings/vmlDrawing12.vml"/><Relationship Id="rId1" Type="http://schemas.openxmlformats.org/officeDocument/2006/relationships/printerSettings" Target="../printerSettings/printerSettings19.bin"/><Relationship Id="rId4" Type="http://schemas.openxmlformats.org/officeDocument/2006/relationships/comments" Target="../comments5.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8.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vmlDrawing" Target="../drawings/vmlDrawing17.vml"/><Relationship Id="rId1" Type="http://schemas.openxmlformats.org/officeDocument/2006/relationships/printerSettings" Target="../printerSettings/printerSettings25.bin"/><Relationship Id="rId4" Type="http://schemas.openxmlformats.org/officeDocument/2006/relationships/comments" Target="../comments6.xm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vmlDrawing" Target="../drawings/vmlDrawing19.vml"/><Relationship Id="rId1" Type="http://schemas.openxmlformats.org/officeDocument/2006/relationships/printerSettings" Target="../printerSettings/printerSettings29.bin"/><Relationship Id="rId4" Type="http://schemas.openxmlformats.org/officeDocument/2006/relationships/comments" Target="../comments7.xml"/></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21.v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22.vml"/><Relationship Id="rId1" Type="http://schemas.openxmlformats.org/officeDocument/2006/relationships/printerSettings" Target="../printerSettings/printerSettings31.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23.vml"/><Relationship Id="rId1" Type="http://schemas.openxmlformats.org/officeDocument/2006/relationships/printerSettings" Target="../printerSettings/printerSettings32.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24.vml"/><Relationship Id="rId1" Type="http://schemas.openxmlformats.org/officeDocument/2006/relationships/printerSettings" Target="../printerSettings/printerSettings33.bin"/></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vmlDrawing" Target="../drawings/vmlDrawing25.vml"/><Relationship Id="rId1" Type="http://schemas.openxmlformats.org/officeDocument/2006/relationships/printerSettings" Target="../printerSettings/printerSettings34.bin"/><Relationship Id="rId4" Type="http://schemas.openxmlformats.org/officeDocument/2006/relationships/comments" Target="../comments8.xml"/></Relationships>
</file>

<file path=xl/worksheets/_rels/sheet38.xml.rels><?xml version="1.0" encoding="UTF-8" standalone="yes"?>
<Relationships xmlns="http://schemas.openxmlformats.org/package/2006/relationships"><Relationship Id="rId2" Type="http://schemas.openxmlformats.org/officeDocument/2006/relationships/vmlDrawing" Target="../drawings/vmlDrawing27.vml"/><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28.vml"/><Relationship Id="rId7" Type="http://schemas.openxmlformats.org/officeDocument/2006/relationships/image" Target="../media/image7.emf"/><Relationship Id="rId2" Type="http://schemas.openxmlformats.org/officeDocument/2006/relationships/drawing" Target="../drawings/drawing10.xml"/><Relationship Id="rId1" Type="http://schemas.openxmlformats.org/officeDocument/2006/relationships/printerSettings" Target="../printerSettings/printerSettings44.bin"/><Relationship Id="rId6" Type="http://schemas.openxmlformats.org/officeDocument/2006/relationships/control" Target="../activeX/activeX2.xml"/><Relationship Id="rId5" Type="http://schemas.openxmlformats.org/officeDocument/2006/relationships/image" Target="../media/image6.emf"/><Relationship Id="rId4" Type="http://schemas.openxmlformats.org/officeDocument/2006/relationships/control" Target="../activeX/activeX1.xml"/></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58.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29.vml"/><Relationship Id="rId1" Type="http://schemas.openxmlformats.org/officeDocument/2006/relationships/printerSettings" Target="../printerSettings/printerSettings46.bin"/></Relationships>
</file>

<file path=xl/worksheets/_rels/sheet5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30.vml"/><Relationship Id="rId1" Type="http://schemas.openxmlformats.org/officeDocument/2006/relationships/printerSettings" Target="../printerSettings/printerSettings47.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vmlDrawing" Target="../drawings/vmlDrawing31.vml"/><Relationship Id="rId1" Type="http://schemas.openxmlformats.org/officeDocument/2006/relationships/printerSettings" Target="../printerSettings/printerSettings49.bin"/><Relationship Id="rId4" Type="http://schemas.openxmlformats.org/officeDocument/2006/relationships/comments" Target="../comments11.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vmlDrawing" Target="../drawings/vmlDrawing33.vml"/><Relationship Id="rId1" Type="http://schemas.openxmlformats.org/officeDocument/2006/relationships/printerSettings" Target="../printerSettings/printerSettings50.bin"/><Relationship Id="rId4" Type="http://schemas.openxmlformats.org/officeDocument/2006/relationships/comments" Target="../comments12.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vmlDrawing" Target="../drawings/vmlDrawing35.vml"/><Relationship Id="rId1" Type="http://schemas.openxmlformats.org/officeDocument/2006/relationships/printerSettings" Target="../printerSettings/printerSettings52.bin"/><Relationship Id="rId4" Type="http://schemas.openxmlformats.org/officeDocument/2006/relationships/comments" Target="../comments13.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vmlDrawing" Target="../drawings/vmlDrawing37.vml"/><Relationship Id="rId1" Type="http://schemas.openxmlformats.org/officeDocument/2006/relationships/printerSettings" Target="../printerSettings/printerSettings54.bin"/><Relationship Id="rId4" Type="http://schemas.openxmlformats.org/officeDocument/2006/relationships/comments" Target="../comments14.xml"/></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55.bin"/></Relationships>
</file>

<file path=xl/worksheets/_rels/sheet70.xml.rels><?xml version="1.0" encoding="UTF-8" standalone="yes"?>
<Relationships xmlns="http://schemas.openxmlformats.org/package/2006/relationships"><Relationship Id="rId2" Type="http://schemas.openxmlformats.org/officeDocument/2006/relationships/vmlDrawing" Target="../drawings/vmlDrawing39.vml"/><Relationship Id="rId1" Type="http://schemas.openxmlformats.org/officeDocument/2006/relationships/printerSettings" Target="../printerSettings/printerSettings56.bin"/></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vmlDrawing" Target="../drawings/vmlDrawing40.vml"/><Relationship Id="rId1" Type="http://schemas.openxmlformats.org/officeDocument/2006/relationships/printerSettings" Target="../printerSettings/printerSettings57.bin"/><Relationship Id="rId4" Type="http://schemas.openxmlformats.org/officeDocument/2006/relationships/comments" Target="../comments15.xml"/></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printerSettings" Target="../printerSettings/printerSettings58.bin"/><Relationship Id="rId1" Type="http://schemas.openxmlformats.org/officeDocument/2006/relationships/hyperlink" Target="http://www.fiercebiotech.com/biotech/genentech-south-korean-pharma-up-to-910m-raf-inhibitor-deal" TargetMode="External"/><Relationship Id="rId5" Type="http://schemas.openxmlformats.org/officeDocument/2006/relationships/comments" Target="../comments16.xml"/><Relationship Id="rId4" Type="http://schemas.openxmlformats.org/officeDocument/2006/relationships/vmlDrawing" Target="../drawings/vmlDrawing43.vm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vmlDrawing" Target="../drawings/vmlDrawing44.vml"/><Relationship Id="rId1" Type="http://schemas.openxmlformats.org/officeDocument/2006/relationships/printerSettings" Target="../printerSettings/printerSettings59.bin"/><Relationship Id="rId4" Type="http://schemas.openxmlformats.org/officeDocument/2006/relationships/comments" Target="../comments17.xml"/></Relationships>
</file>

<file path=xl/worksheets/_rels/sheet74.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vmlDrawing" Target="../drawings/vmlDrawing46.vml"/><Relationship Id="rId1" Type="http://schemas.openxmlformats.org/officeDocument/2006/relationships/printerSettings" Target="../printerSettings/printerSettings60.bin"/><Relationship Id="rId4" Type="http://schemas.openxmlformats.org/officeDocument/2006/relationships/comments" Target="../comments18.xml"/></Relationships>
</file>

<file path=xl/worksheets/_rels/sheet75.xml.rels><?xml version="1.0" encoding="UTF-8" standalone="yes"?>
<Relationships xmlns="http://schemas.openxmlformats.org/package/2006/relationships"><Relationship Id="rId2" Type="http://schemas.openxmlformats.org/officeDocument/2006/relationships/vmlDrawing" Target="../drawings/vmlDrawing48.vml"/><Relationship Id="rId1" Type="http://schemas.openxmlformats.org/officeDocument/2006/relationships/printerSettings" Target="../printerSettings/printerSettings61.bin"/></Relationships>
</file>

<file path=xl/worksheets/_rels/sheet76.xml.rels><?xml version="1.0" encoding="UTF-8" standalone="yes"?>
<Relationships xmlns="http://schemas.openxmlformats.org/package/2006/relationships"><Relationship Id="rId2" Type="http://schemas.openxmlformats.org/officeDocument/2006/relationships/vmlDrawing" Target="../drawings/vmlDrawing49.vml"/><Relationship Id="rId1" Type="http://schemas.openxmlformats.org/officeDocument/2006/relationships/printerSettings" Target="../printerSettings/printerSettings62.bin"/></Relationships>
</file>

<file path=xl/worksheets/_rels/sheet77.xml.rels><?xml version="1.0" encoding="UTF-8" standalone="yes"?>
<Relationships xmlns="http://schemas.openxmlformats.org/package/2006/relationships"><Relationship Id="rId2" Type="http://schemas.openxmlformats.org/officeDocument/2006/relationships/vmlDrawing" Target="../drawings/vmlDrawing50.vml"/><Relationship Id="rId1" Type="http://schemas.openxmlformats.org/officeDocument/2006/relationships/printerSettings" Target="../printerSettings/printerSettings63.bin"/></Relationships>
</file>

<file path=xl/worksheets/_rels/sheet78.xml.rels><?xml version="1.0" encoding="UTF-8" standalone="yes"?>
<Relationships xmlns="http://schemas.openxmlformats.org/package/2006/relationships"><Relationship Id="rId2" Type="http://schemas.openxmlformats.org/officeDocument/2006/relationships/vmlDrawing" Target="../drawings/vmlDrawing51.vml"/><Relationship Id="rId1" Type="http://schemas.openxmlformats.org/officeDocument/2006/relationships/printerSettings" Target="../printerSettings/printerSettings64.bin"/></Relationships>
</file>

<file path=xl/worksheets/_rels/sheet79.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65.bin"/></Relationships>
</file>

<file path=xl/worksheets/_rels/sheet80.xml.rels><?xml version="1.0" encoding="UTF-8" standalone="yes"?>
<Relationships xmlns="http://schemas.openxmlformats.org/package/2006/relationships"><Relationship Id="rId2" Type="http://schemas.openxmlformats.org/officeDocument/2006/relationships/vmlDrawing" Target="../drawings/vmlDrawing52.vml"/><Relationship Id="rId1" Type="http://schemas.openxmlformats.org/officeDocument/2006/relationships/printerSettings" Target="../printerSettings/printerSettings66.bin"/></Relationships>
</file>

<file path=xl/worksheets/_rels/sheet81.xml.rels><?xml version="1.0" encoding="UTF-8" standalone="yes"?>
<Relationships xmlns="http://schemas.openxmlformats.org/package/2006/relationships"><Relationship Id="rId2" Type="http://schemas.openxmlformats.org/officeDocument/2006/relationships/vmlDrawing" Target="../drawings/vmlDrawing53.vml"/><Relationship Id="rId1" Type="http://schemas.openxmlformats.org/officeDocument/2006/relationships/printerSettings" Target="../printerSettings/printerSettings6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2:C13"/>
  <sheetViews>
    <sheetView workbookViewId="0">
      <selection activeCell="C17" sqref="C17"/>
    </sheetView>
  </sheetViews>
  <sheetFormatPr defaultRowHeight="12.75"/>
  <cols>
    <col min="1" max="1" width="6.6640625" style="208" customWidth="1"/>
    <col min="2" max="2" width="46" style="208" bestFit="1" customWidth="1"/>
    <col min="3" max="3" width="52.6640625" style="208" customWidth="1"/>
    <col min="4" max="16384" width="9.33203125" style="208"/>
  </cols>
  <sheetData>
    <row r="2" spans="1:3">
      <c r="A2" s="228" t="s">
        <v>471</v>
      </c>
    </row>
    <row r="3" spans="1:3">
      <c r="A3" s="208" t="s">
        <v>369</v>
      </c>
      <c r="B3" s="208" t="s">
        <v>730</v>
      </c>
      <c r="C3" s="208" t="s">
        <v>472</v>
      </c>
    </row>
    <row r="4" spans="1:3" ht="51">
      <c r="A4" s="209">
        <v>1</v>
      </c>
      <c r="B4" s="208" t="s">
        <v>473</v>
      </c>
      <c r="C4" s="229" t="s">
        <v>474</v>
      </c>
    </row>
    <row r="5" spans="1:3" ht="38.25">
      <c r="A5" s="209">
        <f>+A4+1</f>
        <v>2</v>
      </c>
      <c r="B5" s="208" t="s">
        <v>475</v>
      </c>
      <c r="C5" s="229" t="s">
        <v>564</v>
      </c>
    </row>
    <row r="6" spans="1:3" ht="38.25">
      <c r="A6" s="209">
        <f>+A5+1</f>
        <v>3</v>
      </c>
      <c r="B6" s="208" t="s">
        <v>476</v>
      </c>
      <c r="C6" s="229" t="s">
        <v>565</v>
      </c>
    </row>
    <row r="7" spans="1:3" ht="25.5">
      <c r="A7" s="209">
        <f>+A6+1</f>
        <v>4</v>
      </c>
      <c r="B7" s="208" t="s">
        <v>477</v>
      </c>
      <c r="C7" s="229" t="s">
        <v>566</v>
      </c>
    </row>
    <row r="8" spans="1:3">
      <c r="A8" s="209">
        <f>+A7+1</f>
        <v>5</v>
      </c>
      <c r="B8" s="208" t="s">
        <v>479</v>
      </c>
      <c r="C8" s="230" t="s">
        <v>478</v>
      </c>
    </row>
    <row r="11" spans="1:3">
      <c r="A11" s="228" t="s">
        <v>480</v>
      </c>
    </row>
    <row r="12" spans="1:3">
      <c r="A12" s="208">
        <v>1</v>
      </c>
      <c r="B12" s="208" t="s">
        <v>481</v>
      </c>
    </row>
    <row r="13" spans="1:3">
      <c r="A13" s="208">
        <v>2</v>
      </c>
      <c r="B13" s="208" t="s">
        <v>586</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theme="1"/>
  </sheetPr>
  <dimension ref="A1:D57"/>
  <sheetViews>
    <sheetView workbookViewId="0">
      <selection activeCell="C10" sqref="C10"/>
    </sheetView>
  </sheetViews>
  <sheetFormatPr defaultRowHeight="12.75"/>
  <cols>
    <col min="1" max="1" width="7" style="208" customWidth="1"/>
    <col min="2" max="2" width="32.1640625" style="208" customWidth="1"/>
    <col min="3" max="3" width="56.33203125" style="208" customWidth="1"/>
    <col min="4" max="4" width="20.83203125" style="232" customWidth="1"/>
    <col min="5" max="5" width="10.83203125" style="208" customWidth="1"/>
    <col min="6" max="6" width="9.33203125" style="208"/>
    <col min="7" max="7" width="12.83203125" style="208" customWidth="1"/>
    <col min="8" max="8" width="17.83203125" style="208" bestFit="1" customWidth="1"/>
    <col min="9" max="10" width="12.83203125" style="208" customWidth="1"/>
    <col min="11" max="16384" width="9.33203125" style="208"/>
  </cols>
  <sheetData>
    <row r="1" spans="1:4">
      <c r="A1" s="231" t="s">
        <v>360</v>
      </c>
    </row>
    <row r="3" spans="1:4">
      <c r="B3" s="208" t="s">
        <v>359</v>
      </c>
      <c r="C3" s="233">
        <v>42718</v>
      </c>
      <c r="D3" s="232" t="s">
        <v>492</v>
      </c>
    </row>
    <row r="5" spans="1:4">
      <c r="B5" s="208" t="s">
        <v>364</v>
      </c>
      <c r="C5" s="234" t="s">
        <v>2006</v>
      </c>
    </row>
    <row r="6" spans="1:4">
      <c r="B6" s="208" t="s">
        <v>365</v>
      </c>
      <c r="C6" s="235">
        <v>43496</v>
      </c>
    </row>
    <row r="7" spans="1:4">
      <c r="B7" s="208" t="s">
        <v>464</v>
      </c>
      <c r="C7" s="235">
        <v>43465</v>
      </c>
    </row>
    <row r="8" spans="1:4">
      <c r="B8" s="208" t="s">
        <v>376</v>
      </c>
      <c r="C8" s="234" t="s">
        <v>1704</v>
      </c>
    </row>
    <row r="9" spans="1:4">
      <c r="B9" s="208" t="s">
        <v>368</v>
      </c>
      <c r="C9" s="236">
        <v>0.26500000000000001</v>
      </c>
    </row>
    <row r="10" spans="1:4">
      <c r="B10" s="208" t="s">
        <v>392</v>
      </c>
      <c r="C10" s="234" t="s">
        <v>2007</v>
      </c>
    </row>
    <row r="13" spans="1:4">
      <c r="B13" s="208" t="s">
        <v>363</v>
      </c>
      <c r="C13" s="234"/>
    </row>
    <row r="14" spans="1:4">
      <c r="B14" s="208" t="s">
        <v>366</v>
      </c>
      <c r="C14" s="234"/>
    </row>
    <row r="15" spans="1:4">
      <c r="B15" s="208" t="s">
        <v>367</v>
      </c>
      <c r="C15" s="234"/>
    </row>
    <row r="16" spans="1:4">
      <c r="B16" s="208" t="s">
        <v>361</v>
      </c>
      <c r="C16" s="234"/>
    </row>
    <row r="17" spans="1:4">
      <c r="B17" s="208" t="s">
        <v>362</v>
      </c>
      <c r="C17" s="234"/>
    </row>
    <row r="19" spans="1:4">
      <c r="B19" s="208" t="s">
        <v>567</v>
      </c>
      <c r="C19" s="234" t="s">
        <v>144</v>
      </c>
    </row>
    <row r="20" spans="1:4">
      <c r="B20" s="208" t="s">
        <v>568</v>
      </c>
      <c r="C20" s="234" t="s">
        <v>570</v>
      </c>
    </row>
    <row r="21" spans="1:4">
      <c r="B21" s="208" t="s">
        <v>569</v>
      </c>
      <c r="C21" s="234" t="s">
        <v>0</v>
      </c>
    </row>
    <row r="22" spans="1:4">
      <c r="B22" s="208" t="s">
        <v>572</v>
      </c>
      <c r="C22" s="234" t="s">
        <v>571</v>
      </c>
    </row>
    <row r="23" spans="1:4">
      <c r="B23" s="208" t="s">
        <v>573</v>
      </c>
      <c r="C23" s="234" t="s">
        <v>1374</v>
      </c>
    </row>
    <row r="24" spans="1:4">
      <c r="B24" s="208" t="s">
        <v>1373</v>
      </c>
      <c r="C24" s="234" t="s">
        <v>88</v>
      </c>
    </row>
    <row r="25" spans="1:4">
      <c r="B25" s="208" t="s">
        <v>1449</v>
      </c>
      <c r="C25" s="234" t="s">
        <v>1450</v>
      </c>
    </row>
    <row r="26" spans="1:4">
      <c r="D26" s="237" t="s">
        <v>465</v>
      </c>
    </row>
    <row r="27" spans="1:4">
      <c r="A27" s="238" t="s">
        <v>369</v>
      </c>
      <c r="B27" s="239" t="s">
        <v>108</v>
      </c>
      <c r="C27" s="240" t="s">
        <v>370</v>
      </c>
      <c r="D27" s="241" t="s">
        <v>146</v>
      </c>
    </row>
    <row r="28" spans="1:4">
      <c r="A28" s="242">
        <v>1</v>
      </c>
      <c r="B28" s="243" t="str">
        <f>'Capital IQ Sheet-GPC'!A13</f>
        <v>NasdaqGS:NKTR</v>
      </c>
      <c r="C28" s="244" t="str">
        <f>'Capital IQ Sheet-GPC'!B13</f>
        <v>IQ29929</v>
      </c>
      <c r="D28" s="245">
        <f>IF(B28="","",'Comp.1'!C12)</f>
        <v>6154.5</v>
      </c>
    </row>
    <row r="29" spans="1:4">
      <c r="A29" s="246">
        <f>A28+1</f>
        <v>2</v>
      </c>
      <c r="B29" s="247" t="str">
        <f>'Capital IQ Sheet-GPC'!A14</f>
        <v>NasdaqGM:FATE</v>
      </c>
      <c r="C29" s="248" t="str">
        <f>'Capital IQ Sheet-GPC'!B14</f>
        <v>IQ39268712</v>
      </c>
      <c r="D29" s="249">
        <f>IF(B29="","",'Comp.1'!C13)</f>
        <v>781.8</v>
      </c>
    </row>
    <row r="30" spans="1:4">
      <c r="A30" s="246">
        <f t="shared" ref="A30:A57" si="0">A29+1</f>
        <v>3</v>
      </c>
      <c r="B30" s="247" t="str">
        <f>'Capital IQ Sheet-GPC'!A15</f>
        <v>NasdaqGS:THOR</v>
      </c>
      <c r="C30" s="248" t="str">
        <f>'Capital IQ Sheet-GPC'!B15</f>
        <v>IQ263675832</v>
      </c>
      <c r="D30" s="249">
        <f>IF(B30="","",'Comp.1'!C14)</f>
        <v>458.79999999999995</v>
      </c>
    </row>
    <row r="31" spans="1:4">
      <c r="A31" s="246">
        <f t="shared" si="0"/>
        <v>4</v>
      </c>
      <c r="B31" s="247" t="str">
        <f>'Capital IQ Sheet-GPC'!A16</f>
        <v>NasdaqCM:ZIOP</v>
      </c>
      <c r="C31" s="248" t="str">
        <f>'Capital IQ Sheet-GPC'!B16</f>
        <v>IQ11686323</v>
      </c>
      <c r="D31" s="249">
        <f>IF(B31="","",'Comp.1'!C15)</f>
        <v>445.00000000000006</v>
      </c>
    </row>
    <row r="32" spans="1:4">
      <c r="A32" s="246">
        <f t="shared" si="0"/>
        <v>5</v>
      </c>
      <c r="B32" s="247" t="str">
        <f>'Capital IQ Sheet-GPC'!A17</f>
        <v>NasdaqCM:STML</v>
      </c>
      <c r="C32" s="248" t="str">
        <f>'Capital IQ Sheet-GPC'!B17</f>
        <v>IQ10332207</v>
      </c>
      <c r="D32" s="249">
        <f>IF(B32="","",'Comp.1'!C16)</f>
        <v>355.6</v>
      </c>
    </row>
    <row r="33" spans="1:4">
      <c r="A33" s="246">
        <f t="shared" si="0"/>
        <v>6</v>
      </c>
      <c r="B33" s="247" t="str">
        <f>'Capital IQ Sheet-GPC'!A18</f>
        <v>NasdaqCM:TGTX</v>
      </c>
      <c r="C33" s="248" t="str">
        <f>'Capital IQ Sheet-GPC'!B18</f>
        <v>IQ143627354</v>
      </c>
      <c r="D33" s="249">
        <f>IF(B33="","",'Comp.1'!C17)</f>
        <v>217.40000000000003</v>
      </c>
    </row>
    <row r="34" spans="1:4">
      <c r="A34" s="246">
        <f t="shared" si="0"/>
        <v>7</v>
      </c>
      <c r="B34" s="247" t="str">
        <f>'Capital IQ Sheet-GPC'!A19</f>
        <v>NasdaqGM:XOMA</v>
      </c>
      <c r="C34" s="248" t="str">
        <f>'Capital IQ Sheet-GPC'!B19</f>
        <v>IQ36769</v>
      </c>
      <c r="D34" s="249">
        <f>IF(B34="","",'Comp.1'!C18)</f>
        <v>98.4</v>
      </c>
    </row>
    <row r="35" spans="1:4">
      <c r="A35" s="246">
        <f t="shared" si="0"/>
        <v>8</v>
      </c>
      <c r="B35" s="247" t="str">
        <f>'Capital IQ Sheet-GPC'!A20</f>
        <v>NasdaqGS:FPRX</v>
      </c>
      <c r="C35" s="248" t="str">
        <f>'Capital IQ Sheet-GPC'!B20</f>
        <v>IQ3366199</v>
      </c>
      <c r="D35" s="249">
        <f>IF(B35="","",'Comp.1'!C19)</f>
        <v>77.399999999999977</v>
      </c>
    </row>
    <row r="36" spans="1:4">
      <c r="A36" s="246">
        <f t="shared" si="0"/>
        <v>9</v>
      </c>
      <c r="B36" s="247" t="str">
        <f>'Capital IQ Sheet-GPC'!A21</f>
        <v>NasdaqCM:CUE</v>
      </c>
      <c r="C36" s="248" t="str">
        <f>'Capital IQ Sheet-GPC'!B21</f>
        <v>IQ417883814</v>
      </c>
      <c r="D36" s="249">
        <f>IF(B36="","",'Comp.1'!C20)</f>
        <v>66.599999999999994</v>
      </c>
    </row>
    <row r="37" spans="1:4">
      <c r="A37" s="246">
        <f t="shared" si="0"/>
        <v>10</v>
      </c>
      <c r="B37" s="247" t="str">
        <f>'Capital IQ Sheet-GPC'!A22</f>
        <v>NasdaqCM:ONCS</v>
      </c>
      <c r="C37" s="248" t="str">
        <f>'Capital IQ Sheet-GPC'!B22</f>
        <v>IQ47899619</v>
      </c>
      <c r="D37" s="249">
        <f>IF(B37="","",'Comp.1'!C21)</f>
        <v>28.299999999999997</v>
      </c>
    </row>
    <row r="38" spans="1:4">
      <c r="A38" s="246">
        <f t="shared" si="0"/>
        <v>11</v>
      </c>
      <c r="B38" s="247" t="str">
        <f>'Capital IQ Sheet-GPC'!A23</f>
        <v>NasdaqGS:NK</v>
      </c>
      <c r="C38" s="248" t="str">
        <f>'Capital IQ Sheet-GPC'!B23</f>
        <v>IQ262241549</v>
      </c>
      <c r="D38" s="249">
        <f>IF(B38="","",'Comp.1'!C22)</f>
        <v>8.9999999999999858</v>
      </c>
    </row>
    <row r="39" spans="1:4">
      <c r="A39" s="246">
        <f t="shared" si="0"/>
        <v>12</v>
      </c>
      <c r="B39" s="247" t="str">
        <f>'Capital IQ Sheet-GPC'!A24</f>
        <v>NasdaqGM:CRVS</v>
      </c>
      <c r="C39" s="248" t="str">
        <f>'Capital IQ Sheet-GPC'!B24</f>
        <v>IQ279359732</v>
      </c>
      <c r="D39" s="249">
        <f>IF(B39="","",'Comp.1'!C23)</f>
        <v>-5.7999999999999972</v>
      </c>
    </row>
    <row r="40" spans="1:4">
      <c r="A40" s="246">
        <f t="shared" si="0"/>
        <v>13</v>
      </c>
      <c r="B40" s="247" t="str">
        <f>'Capital IQ Sheet-GPC'!A25</f>
        <v>NasdaqGM:SURF</v>
      </c>
      <c r="C40" s="248" t="str">
        <f>'Capital IQ Sheet-GPC'!B25</f>
        <v>IQ281487796</v>
      </c>
      <c r="D40" s="249">
        <f>IF(B40="","",'Comp.1'!C24)</f>
        <v>-14.200000000000017</v>
      </c>
    </row>
    <row r="41" spans="1:4">
      <c r="A41" s="246">
        <f t="shared" si="0"/>
        <v>14</v>
      </c>
      <c r="B41" s="247" t="str">
        <f>'Capital IQ Sheet-GPC'!A26</f>
        <v>(Invalid Identifier)</v>
      </c>
      <c r="C41" s="248" t="str">
        <f>'Capital IQ Sheet-GPC'!B26</f>
        <v>(Invalid Identifier)</v>
      </c>
      <c r="D41" s="249">
        <f>IF(B41="","",'Comp.1'!C25)</f>
        <v>0</v>
      </c>
    </row>
    <row r="42" spans="1:4">
      <c r="A42" s="246">
        <f t="shared" si="0"/>
        <v>15</v>
      </c>
      <c r="B42" s="247" t="str">
        <f>'Capital IQ Sheet-GPC'!A27</f>
        <v>(Invalid Identifier)</v>
      </c>
      <c r="C42" s="248" t="str">
        <f>'Capital IQ Sheet-GPC'!B27</f>
        <v>(Invalid Identifier)</v>
      </c>
      <c r="D42" s="249">
        <f>IF(B42="","",'Comp.1'!C26)</f>
        <v>0</v>
      </c>
    </row>
    <row r="43" spans="1:4">
      <c r="A43" s="246">
        <f t="shared" si="0"/>
        <v>16</v>
      </c>
      <c r="B43" s="247" t="str">
        <f>'Capital IQ Sheet-GPC'!A28</f>
        <v>(Invalid Identifier)</v>
      </c>
      <c r="C43" s="248" t="str">
        <f>'Capital IQ Sheet-GPC'!B28</f>
        <v>(Invalid Identifier)</v>
      </c>
      <c r="D43" s="249">
        <f>IF(B43="","",'Comp.1'!C27)</f>
        <v>0</v>
      </c>
    </row>
    <row r="44" spans="1:4">
      <c r="A44" s="246">
        <f t="shared" si="0"/>
        <v>17</v>
      </c>
      <c r="B44" s="247" t="str">
        <f>'Capital IQ Sheet-GPC'!A29</f>
        <v>(Invalid Identifier)</v>
      </c>
      <c r="C44" s="248" t="str">
        <f>'Capital IQ Sheet-GPC'!B29</f>
        <v>(Invalid Identifier)</v>
      </c>
      <c r="D44" s="249">
        <f>IF(B44="","",'Comp.1'!C28)</f>
        <v>0</v>
      </c>
    </row>
    <row r="45" spans="1:4">
      <c r="A45" s="246">
        <f t="shared" si="0"/>
        <v>18</v>
      </c>
      <c r="B45" s="247" t="str">
        <f>'Capital IQ Sheet-GPC'!A30</f>
        <v>(Invalid Identifier)</v>
      </c>
      <c r="C45" s="248" t="str">
        <f>'Capital IQ Sheet-GPC'!B30</f>
        <v>(Invalid Identifier)</v>
      </c>
      <c r="D45" s="249">
        <f>IF(B45="","",'Comp.1'!C29)</f>
        <v>0</v>
      </c>
    </row>
    <row r="46" spans="1:4">
      <c r="A46" s="246">
        <f t="shared" si="0"/>
        <v>19</v>
      </c>
      <c r="B46" s="247" t="str">
        <f>'Capital IQ Sheet-GPC'!A31</f>
        <v>(Invalid Identifier)</v>
      </c>
      <c r="C46" s="248" t="str">
        <f>'Capital IQ Sheet-GPC'!B31</f>
        <v>(Invalid Identifier)</v>
      </c>
      <c r="D46" s="249">
        <f>IF(B46="","",'Comp.1'!C30)</f>
        <v>0</v>
      </c>
    </row>
    <row r="47" spans="1:4">
      <c r="A47" s="246">
        <f t="shared" si="0"/>
        <v>20</v>
      </c>
      <c r="B47" s="247" t="str">
        <f>'Capital IQ Sheet-GPC'!A32</f>
        <v>(Invalid Identifier)</v>
      </c>
      <c r="C47" s="248" t="str">
        <f>'Capital IQ Sheet-GPC'!B32</f>
        <v>(Invalid Identifier)</v>
      </c>
      <c r="D47" s="249">
        <f>IF(B47="","",'Comp.1'!C31)</f>
        <v>0</v>
      </c>
    </row>
    <row r="48" spans="1:4">
      <c r="A48" s="246">
        <f t="shared" si="0"/>
        <v>21</v>
      </c>
      <c r="B48" s="247" t="str">
        <f>'Capital IQ Sheet-GPC'!A33</f>
        <v>(Invalid Identifier)</v>
      </c>
      <c r="C48" s="248" t="str">
        <f>'Capital IQ Sheet-GPC'!B33</f>
        <v>(Invalid Identifier)</v>
      </c>
      <c r="D48" s="249">
        <f>IF(B48="","",'Comp.1'!C32)</f>
        <v>0</v>
      </c>
    </row>
    <row r="49" spans="1:4">
      <c r="A49" s="246">
        <f t="shared" si="0"/>
        <v>22</v>
      </c>
      <c r="B49" s="247" t="str">
        <f>'Capital IQ Sheet-GPC'!A34</f>
        <v>(Invalid Identifier)</v>
      </c>
      <c r="C49" s="248" t="str">
        <f>'Capital IQ Sheet-GPC'!B34</f>
        <v>(Invalid Identifier)</v>
      </c>
      <c r="D49" s="249">
        <f>IF(B49="","",'Comp.1'!C33)</f>
        <v>0</v>
      </c>
    </row>
    <row r="50" spans="1:4">
      <c r="A50" s="246">
        <f t="shared" si="0"/>
        <v>23</v>
      </c>
      <c r="B50" s="247" t="str">
        <f>'Capital IQ Sheet-GPC'!A35</f>
        <v>(Invalid Identifier)</v>
      </c>
      <c r="C50" s="248" t="str">
        <f>'Capital IQ Sheet-GPC'!B35</f>
        <v>(Invalid Identifier)</v>
      </c>
      <c r="D50" s="249">
        <f>IF(B50="","",'Comp.1'!C34)</f>
        <v>0</v>
      </c>
    </row>
    <row r="51" spans="1:4">
      <c r="A51" s="246">
        <f t="shared" si="0"/>
        <v>24</v>
      </c>
      <c r="B51" s="247" t="str">
        <f>'Capital IQ Sheet-GPC'!A36</f>
        <v>(Invalid Identifier)</v>
      </c>
      <c r="C51" s="248" t="str">
        <f>'Capital IQ Sheet-GPC'!B36</f>
        <v>(Invalid Identifier)</v>
      </c>
      <c r="D51" s="249">
        <f>IF(B51="","",'Comp.1'!C35)</f>
        <v>0</v>
      </c>
    </row>
    <row r="52" spans="1:4">
      <c r="A52" s="246">
        <f t="shared" si="0"/>
        <v>25</v>
      </c>
      <c r="B52" s="247" t="str">
        <f>'Capital IQ Sheet-GPC'!A37</f>
        <v>(Invalid Identifier)</v>
      </c>
      <c r="C52" s="248" t="str">
        <f>'Capital IQ Sheet-GPC'!B37</f>
        <v>(Invalid Identifier)</v>
      </c>
      <c r="D52" s="249">
        <f>IF(B52="","",'Comp.1'!C36)</f>
        <v>0</v>
      </c>
    </row>
    <row r="53" spans="1:4">
      <c r="A53" s="246">
        <f t="shared" si="0"/>
        <v>26</v>
      </c>
      <c r="B53" s="247" t="str">
        <f>'Capital IQ Sheet-GPC'!A38</f>
        <v>(Invalid Identifier)</v>
      </c>
      <c r="C53" s="248" t="str">
        <f>'Capital IQ Sheet-GPC'!B38</f>
        <v>(Invalid Identifier)</v>
      </c>
      <c r="D53" s="249">
        <f>IF(B53="","",'Comp.1'!C37)</f>
        <v>0</v>
      </c>
    </row>
    <row r="54" spans="1:4">
      <c r="A54" s="246">
        <f t="shared" si="0"/>
        <v>27</v>
      </c>
      <c r="B54" s="247" t="str">
        <f>'Capital IQ Sheet-GPC'!A39</f>
        <v>(Invalid Identifier)</v>
      </c>
      <c r="C54" s="248" t="str">
        <f>'Capital IQ Sheet-GPC'!B39</f>
        <v>(Invalid Identifier)</v>
      </c>
      <c r="D54" s="249">
        <f>IF(B54="","",'Comp.1'!C38)</f>
        <v>0</v>
      </c>
    </row>
    <row r="55" spans="1:4">
      <c r="A55" s="246">
        <f t="shared" si="0"/>
        <v>28</v>
      </c>
      <c r="B55" s="247" t="str">
        <f>'Capital IQ Sheet-GPC'!A40</f>
        <v>(Invalid Identifier)</v>
      </c>
      <c r="C55" s="248" t="str">
        <f>'Capital IQ Sheet-GPC'!B40</f>
        <v>(Invalid Identifier)</v>
      </c>
      <c r="D55" s="249">
        <f>IF(B55="","",'Comp.1'!C39)</f>
        <v>0</v>
      </c>
    </row>
    <row r="56" spans="1:4">
      <c r="A56" s="246">
        <f t="shared" si="0"/>
        <v>29</v>
      </c>
      <c r="B56" s="247" t="str">
        <f>'Capital IQ Sheet-GPC'!A41</f>
        <v>(Invalid Identifier)</v>
      </c>
      <c r="C56" s="248" t="str">
        <f>'Capital IQ Sheet-GPC'!B41</f>
        <v>(Invalid Identifier)</v>
      </c>
      <c r="D56" s="249">
        <f>IF(B56="","",'Comp.1'!C40)</f>
        <v>0</v>
      </c>
    </row>
    <row r="57" spans="1:4">
      <c r="A57" s="250">
        <f t="shared" si="0"/>
        <v>30</v>
      </c>
      <c r="B57" s="251" t="str">
        <f>'Capital IQ Sheet-GPC'!A42</f>
        <v>(Invalid Identifier)</v>
      </c>
      <c r="C57" s="252" t="str">
        <f>'Capital IQ Sheet-GPC'!B42</f>
        <v>(Invalid Identifier)</v>
      </c>
      <c r="D57" s="253">
        <f>IF(B57="","",'Comp.1'!C41)</f>
        <v>0</v>
      </c>
    </row>
  </sheetData>
  <dataValidations count="1">
    <dataValidation type="list" allowBlank="1" showInputMessage="1" showErrorMessage="1" sqref="C10" xr:uid="{00000000-0002-0000-0100-000000000000}">
      <formula1>"New,Recurring"</formula1>
    </dataValidation>
  </dataValidations>
  <pageMargins left="0.5" right="0.5" top="0.5" bottom="0.5" header="0.3" footer="0.3"/>
  <pageSetup orientation="landscape" r:id="rId1"/>
  <headerFooter>
    <oddHeader>&amp;R&amp;"Garamond, Bold"&amp;K000001CONFIDENTIAL</oddHeader>
    <oddFooter>&amp;L&amp;G&amp;R&amp;"Garamond"&amp;K000001Page &amp;P of &amp;N</oddFooter>
  </headerFooter>
  <legacy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9"/>
  <dimension ref="B3:G165"/>
  <sheetViews>
    <sheetView topLeftCell="A54" workbookViewId="0">
      <selection activeCell="F76" sqref="F76"/>
    </sheetView>
  </sheetViews>
  <sheetFormatPr defaultRowHeight="12.75"/>
  <cols>
    <col min="1" max="1" width="9.33203125" style="208"/>
    <col min="2" max="2" width="17" style="208" customWidth="1"/>
    <col min="3" max="3" width="13.33203125" style="208" customWidth="1"/>
    <col min="4" max="4" width="26.5" style="208" customWidth="1"/>
    <col min="5" max="5" width="9.33203125" style="208"/>
    <col min="6" max="6" width="65" style="208" customWidth="1"/>
    <col min="7" max="7" width="46.5" style="208" customWidth="1"/>
    <col min="8" max="16384" width="9.33203125" style="208"/>
  </cols>
  <sheetData>
    <row r="3" spans="2:7">
      <c r="B3" s="211" t="s">
        <v>1412</v>
      </c>
      <c r="D3" s="208" t="s">
        <v>1436</v>
      </c>
    </row>
    <row r="4" spans="2:7">
      <c r="B4" s="211" t="s">
        <v>1418</v>
      </c>
      <c r="D4" s="254">
        <v>42850.427083333336</v>
      </c>
    </row>
    <row r="6" spans="2:7">
      <c r="B6" s="255" t="s">
        <v>1413</v>
      </c>
      <c r="C6" s="255" t="s">
        <v>1414</v>
      </c>
      <c r="D6" s="255" t="s">
        <v>1415</v>
      </c>
      <c r="E6" s="255" t="s">
        <v>1416</v>
      </c>
      <c r="F6" s="255" t="s">
        <v>587</v>
      </c>
      <c r="G6" s="255" t="s">
        <v>1417</v>
      </c>
    </row>
    <row r="7" spans="2:7">
      <c r="B7" s="256"/>
      <c r="C7" s="256"/>
      <c r="D7" s="256"/>
      <c r="E7" s="256"/>
      <c r="F7" s="256"/>
      <c r="G7" s="256"/>
    </row>
    <row r="8" spans="2:7">
      <c r="B8" s="257">
        <v>42772</v>
      </c>
      <c r="C8" s="256" t="s">
        <v>1419</v>
      </c>
      <c r="D8" s="256" t="s">
        <v>1420</v>
      </c>
      <c r="E8" s="256" t="s">
        <v>1421</v>
      </c>
      <c r="F8" s="256" t="s">
        <v>1422</v>
      </c>
      <c r="G8" s="256"/>
    </row>
    <row r="9" spans="2:7" ht="25.5">
      <c r="B9" s="257">
        <v>42772</v>
      </c>
      <c r="C9" s="256" t="s">
        <v>1419</v>
      </c>
      <c r="D9" s="256" t="s">
        <v>1423</v>
      </c>
      <c r="E9" s="256" t="s">
        <v>1424</v>
      </c>
      <c r="F9" s="258" t="s">
        <v>1425</v>
      </c>
      <c r="G9" s="256"/>
    </row>
    <row r="10" spans="2:7">
      <c r="B10" s="259">
        <v>42776</v>
      </c>
      <c r="C10" s="256" t="s">
        <v>1419</v>
      </c>
      <c r="D10" s="256" t="s">
        <v>1426</v>
      </c>
      <c r="E10" s="256" t="s">
        <v>1427</v>
      </c>
      <c r="F10" s="256" t="s">
        <v>1428</v>
      </c>
      <c r="G10" s="256"/>
    </row>
    <row r="11" spans="2:7">
      <c r="B11" s="259">
        <v>42776</v>
      </c>
      <c r="C11" s="256" t="s">
        <v>1419</v>
      </c>
      <c r="D11" s="256" t="s">
        <v>532</v>
      </c>
      <c r="E11" s="256" t="s">
        <v>1429</v>
      </c>
      <c r="F11" s="256" t="s">
        <v>1430</v>
      </c>
      <c r="G11" s="256"/>
    </row>
    <row r="12" spans="2:7">
      <c r="B12" s="259">
        <v>42776</v>
      </c>
      <c r="C12" s="256" t="s">
        <v>1419</v>
      </c>
      <c r="D12" s="256" t="s">
        <v>1431</v>
      </c>
      <c r="E12" s="256" t="s">
        <v>1432</v>
      </c>
      <c r="F12" s="256" t="s">
        <v>1433</v>
      </c>
      <c r="G12" s="256"/>
    </row>
    <row r="13" spans="2:7">
      <c r="B13" s="259">
        <v>42776</v>
      </c>
      <c r="C13" s="256" t="s">
        <v>1419</v>
      </c>
      <c r="D13" s="256" t="s">
        <v>117</v>
      </c>
      <c r="E13" s="256" t="s">
        <v>1434</v>
      </c>
      <c r="F13" s="256" t="s">
        <v>1435</v>
      </c>
      <c r="G13" s="256"/>
    </row>
    <row r="14" spans="2:7">
      <c r="B14" s="259">
        <v>42800</v>
      </c>
      <c r="C14" s="256" t="s">
        <v>1440</v>
      </c>
      <c r="D14" s="256" t="s">
        <v>511</v>
      </c>
      <c r="E14" s="256" t="s">
        <v>1427</v>
      </c>
      <c r="F14" s="256" t="s">
        <v>1443</v>
      </c>
      <c r="G14" s="256"/>
    </row>
    <row r="15" spans="2:7">
      <c r="B15" s="259">
        <v>42800</v>
      </c>
      <c r="C15" s="256" t="s">
        <v>1440</v>
      </c>
      <c r="D15" s="256" t="s">
        <v>1441</v>
      </c>
      <c r="E15" s="256" t="s">
        <v>1427</v>
      </c>
      <c r="F15" s="256" t="s">
        <v>1444</v>
      </c>
      <c r="G15" s="256"/>
    </row>
    <row r="16" spans="2:7">
      <c r="B16" s="259">
        <v>42800</v>
      </c>
      <c r="C16" s="256" t="s">
        <v>1440</v>
      </c>
      <c r="D16" s="256" t="s">
        <v>1442</v>
      </c>
      <c r="E16" s="256" t="s">
        <v>1446</v>
      </c>
      <c r="F16" s="256" t="s">
        <v>1445</v>
      </c>
      <c r="G16" s="256"/>
    </row>
    <row r="17" spans="2:7">
      <c r="B17" s="259">
        <v>42801</v>
      </c>
      <c r="C17" s="256" t="s">
        <v>1440</v>
      </c>
      <c r="D17" s="256" t="s">
        <v>532</v>
      </c>
      <c r="E17" s="256" t="s">
        <v>1448</v>
      </c>
      <c r="F17" s="256" t="s">
        <v>1447</v>
      </c>
      <c r="G17" s="256"/>
    </row>
    <row r="18" spans="2:7">
      <c r="B18" s="259">
        <v>42811</v>
      </c>
      <c r="C18" s="256" t="s">
        <v>1451</v>
      </c>
      <c r="D18" s="256" t="s">
        <v>1452</v>
      </c>
      <c r="E18" s="256" t="s">
        <v>1453</v>
      </c>
      <c r="F18" s="256" t="s">
        <v>1454</v>
      </c>
      <c r="G18" s="256"/>
    </row>
    <row r="19" spans="2:7">
      <c r="B19" s="259">
        <v>42817</v>
      </c>
      <c r="C19" s="256" t="s">
        <v>1440</v>
      </c>
      <c r="D19" s="256" t="s">
        <v>152</v>
      </c>
      <c r="E19" s="256" t="s">
        <v>1455</v>
      </c>
      <c r="F19" s="256" t="s">
        <v>1456</v>
      </c>
      <c r="G19" s="256"/>
    </row>
    <row r="20" spans="2:7">
      <c r="B20" s="259">
        <v>42849</v>
      </c>
      <c r="C20" s="256" t="s">
        <v>1419</v>
      </c>
      <c r="D20" s="256" t="s">
        <v>1442</v>
      </c>
      <c r="E20" s="256" t="s">
        <v>1457</v>
      </c>
      <c r="F20" s="256" t="s">
        <v>1458</v>
      </c>
      <c r="G20" s="256"/>
    </row>
    <row r="21" spans="2:7">
      <c r="B21" s="259">
        <v>42850</v>
      </c>
      <c r="C21" s="256" t="s">
        <v>1419</v>
      </c>
      <c r="D21" s="256" t="s">
        <v>1462</v>
      </c>
      <c r="E21" s="256" t="s">
        <v>1464</v>
      </c>
      <c r="F21" s="256" t="s">
        <v>1463</v>
      </c>
      <c r="G21" s="256"/>
    </row>
    <row r="22" spans="2:7">
      <c r="B22" s="259">
        <v>42878</v>
      </c>
      <c r="C22" s="256" t="s">
        <v>1451</v>
      </c>
      <c r="D22" s="256" t="s">
        <v>1720</v>
      </c>
      <c r="E22" s="256"/>
      <c r="F22" s="256" t="s">
        <v>1721</v>
      </c>
      <c r="G22" s="256"/>
    </row>
    <row r="23" spans="2:7">
      <c r="B23" s="259">
        <v>42878</v>
      </c>
      <c r="C23" s="256" t="s">
        <v>1451</v>
      </c>
      <c r="D23" s="256" t="s">
        <v>1694</v>
      </c>
      <c r="E23" s="256"/>
      <c r="F23" s="256" t="s">
        <v>1728</v>
      </c>
      <c r="G23" s="256"/>
    </row>
    <row r="24" spans="2:7">
      <c r="B24" s="259">
        <v>42878</v>
      </c>
      <c r="C24" s="256" t="s">
        <v>1451</v>
      </c>
      <c r="D24" s="256" t="s">
        <v>1722</v>
      </c>
      <c r="E24" s="256"/>
      <c r="F24" s="256" t="s">
        <v>1723</v>
      </c>
      <c r="G24" s="256"/>
    </row>
    <row r="25" spans="2:7">
      <c r="B25" s="259">
        <v>42878</v>
      </c>
      <c r="C25" s="256" t="s">
        <v>1451</v>
      </c>
      <c r="D25" s="256" t="s">
        <v>1724</v>
      </c>
      <c r="E25" s="256"/>
      <c r="F25" s="256" t="s">
        <v>1725</v>
      </c>
      <c r="G25" s="256"/>
    </row>
    <row r="26" spans="2:7">
      <c r="B26" s="259">
        <v>42878</v>
      </c>
      <c r="C26" s="256" t="s">
        <v>1451</v>
      </c>
      <c r="D26" s="256" t="s">
        <v>117</v>
      </c>
      <c r="E26" s="256"/>
      <c r="F26" s="256" t="s">
        <v>1726</v>
      </c>
      <c r="G26" s="256"/>
    </row>
    <row r="27" spans="2:7">
      <c r="B27" s="259">
        <v>42878</v>
      </c>
      <c r="C27" s="256" t="s">
        <v>1451</v>
      </c>
      <c r="D27" s="256" t="s">
        <v>1698</v>
      </c>
      <c r="E27" s="256"/>
      <c r="F27" s="256" t="s">
        <v>1727</v>
      </c>
      <c r="G27" s="256"/>
    </row>
    <row r="28" spans="2:7">
      <c r="B28" s="259">
        <v>42885</v>
      </c>
      <c r="C28" s="256" t="s">
        <v>1451</v>
      </c>
      <c r="D28" s="256" t="s">
        <v>326</v>
      </c>
      <c r="E28" s="256"/>
      <c r="F28" s="256" t="s">
        <v>1729</v>
      </c>
      <c r="G28" s="256"/>
    </row>
    <row r="29" spans="2:7">
      <c r="B29" s="259">
        <v>42885</v>
      </c>
      <c r="C29" s="256" t="s">
        <v>1451</v>
      </c>
      <c r="D29" s="256" t="s">
        <v>152</v>
      </c>
      <c r="E29" s="256" t="s">
        <v>1730</v>
      </c>
      <c r="F29" s="256" t="s">
        <v>1731</v>
      </c>
      <c r="G29" s="256"/>
    </row>
    <row r="30" spans="2:7">
      <c r="B30" s="259">
        <v>42885</v>
      </c>
      <c r="C30" s="256" t="s">
        <v>1451</v>
      </c>
      <c r="D30" s="256" t="s">
        <v>1732</v>
      </c>
      <c r="E30" s="256"/>
      <c r="F30" s="256" t="s">
        <v>1733</v>
      </c>
      <c r="G30" s="256"/>
    </row>
    <row r="31" spans="2:7">
      <c r="B31" s="259">
        <v>42885</v>
      </c>
      <c r="C31" s="256" t="s">
        <v>1451</v>
      </c>
      <c r="D31" s="256" t="s">
        <v>1732</v>
      </c>
      <c r="E31" s="256"/>
      <c r="F31" s="256" t="s">
        <v>1734</v>
      </c>
      <c r="G31" s="256"/>
    </row>
    <row r="32" spans="2:7">
      <c r="B32" s="259">
        <v>43039</v>
      </c>
      <c r="C32" s="256" t="s">
        <v>1451</v>
      </c>
      <c r="D32" s="256" t="s">
        <v>1026</v>
      </c>
      <c r="E32" s="256"/>
      <c r="F32" s="256" t="s">
        <v>1761</v>
      </c>
      <c r="G32" s="256"/>
    </row>
    <row r="33" spans="2:7">
      <c r="B33" s="259">
        <v>43039</v>
      </c>
      <c r="C33" s="256" t="s">
        <v>1451</v>
      </c>
      <c r="D33" s="256" t="s">
        <v>1762</v>
      </c>
      <c r="E33" s="256"/>
      <c r="F33" s="256" t="s">
        <v>1763</v>
      </c>
      <c r="G33" s="256"/>
    </row>
    <row r="34" spans="2:7">
      <c r="B34" s="259">
        <v>43049</v>
      </c>
      <c r="C34" s="256" t="s">
        <v>1451</v>
      </c>
      <c r="D34" s="256" t="s">
        <v>1764</v>
      </c>
      <c r="E34" s="256"/>
      <c r="F34" s="256" t="s">
        <v>1765</v>
      </c>
      <c r="G34" s="256"/>
    </row>
    <row r="35" spans="2:7">
      <c r="B35" s="259">
        <v>43083</v>
      </c>
      <c r="C35" s="256" t="s">
        <v>1451</v>
      </c>
      <c r="D35" s="256" t="s">
        <v>1838</v>
      </c>
      <c r="E35" s="256"/>
      <c r="F35" s="256" t="s">
        <v>1837</v>
      </c>
      <c r="G35" s="256"/>
    </row>
    <row r="36" spans="2:7">
      <c r="B36" s="259">
        <v>43098</v>
      </c>
      <c r="C36" s="256" t="s">
        <v>1451</v>
      </c>
      <c r="D36" s="256" t="s">
        <v>1732</v>
      </c>
      <c r="E36" s="256"/>
      <c r="F36" s="256" t="s">
        <v>1907</v>
      </c>
      <c r="G36" s="256"/>
    </row>
    <row r="37" spans="2:7">
      <c r="B37" s="259">
        <v>43105</v>
      </c>
      <c r="C37" s="256" t="s">
        <v>1451</v>
      </c>
      <c r="D37" s="256" t="s">
        <v>1732</v>
      </c>
      <c r="E37" s="256"/>
      <c r="F37" s="256" t="s">
        <v>1908</v>
      </c>
      <c r="G37" s="256"/>
    </row>
    <row r="38" spans="2:7">
      <c r="B38" s="259">
        <v>43105</v>
      </c>
      <c r="C38" s="256" t="s">
        <v>1451</v>
      </c>
      <c r="D38" s="256" t="s">
        <v>1913</v>
      </c>
      <c r="E38" s="256"/>
      <c r="F38" s="256" t="s">
        <v>1914</v>
      </c>
      <c r="G38" s="256"/>
    </row>
    <row r="39" spans="2:7">
      <c r="B39" s="259">
        <v>43105</v>
      </c>
      <c r="C39" s="256" t="s">
        <v>1451</v>
      </c>
      <c r="D39" s="256" t="s">
        <v>1722</v>
      </c>
      <c r="E39" s="256"/>
      <c r="F39" s="256" t="s">
        <v>1915</v>
      </c>
      <c r="G39" s="256"/>
    </row>
    <row r="40" spans="2:7">
      <c r="B40" s="259">
        <v>43105</v>
      </c>
      <c r="C40" s="256" t="s">
        <v>1451</v>
      </c>
      <c r="D40" s="256" t="s">
        <v>1694</v>
      </c>
      <c r="E40" s="256"/>
      <c r="F40" s="256" t="s">
        <v>1916</v>
      </c>
      <c r="G40" s="256"/>
    </row>
    <row r="41" spans="2:7">
      <c r="B41" s="259">
        <v>43222</v>
      </c>
      <c r="C41" s="256" t="s">
        <v>1451</v>
      </c>
      <c r="D41" s="256" t="s">
        <v>1917</v>
      </c>
      <c r="E41" s="256"/>
      <c r="F41" s="256" t="s">
        <v>1918</v>
      </c>
      <c r="G41" s="256"/>
    </row>
    <row r="42" spans="2:7">
      <c r="B42" s="259">
        <v>43222</v>
      </c>
      <c r="C42" s="256" t="s">
        <v>1922</v>
      </c>
      <c r="D42" s="256" t="s">
        <v>1735</v>
      </c>
      <c r="E42" s="256"/>
      <c r="F42" s="256" t="s">
        <v>1927</v>
      </c>
      <c r="G42" s="256"/>
    </row>
    <row r="43" spans="2:7">
      <c r="B43" s="259">
        <v>43222</v>
      </c>
      <c r="C43" s="256" t="s">
        <v>1922</v>
      </c>
      <c r="D43" s="256" t="s">
        <v>1735</v>
      </c>
      <c r="E43" s="256" t="s">
        <v>1930</v>
      </c>
      <c r="F43" s="256" t="s">
        <v>1928</v>
      </c>
      <c r="G43" s="256"/>
    </row>
    <row r="44" spans="2:7">
      <c r="B44" s="259">
        <v>43222</v>
      </c>
      <c r="C44" s="256" t="s">
        <v>1922</v>
      </c>
      <c r="D44" s="256" t="s">
        <v>1929</v>
      </c>
      <c r="E44" s="256"/>
      <c r="F44" s="256" t="s">
        <v>1927</v>
      </c>
      <c r="G44" s="256"/>
    </row>
    <row r="45" spans="2:7">
      <c r="B45" s="259">
        <v>43222</v>
      </c>
      <c r="C45" s="256" t="s">
        <v>1922</v>
      </c>
      <c r="D45" s="256" t="s">
        <v>1929</v>
      </c>
      <c r="E45" s="256" t="s">
        <v>1930</v>
      </c>
      <c r="F45" s="256" t="s">
        <v>1928</v>
      </c>
      <c r="G45" s="256"/>
    </row>
    <row r="46" spans="2:7">
      <c r="B46" s="259">
        <v>43222</v>
      </c>
      <c r="C46" s="256" t="s">
        <v>1922</v>
      </c>
      <c r="D46" s="256" t="s">
        <v>1703</v>
      </c>
      <c r="E46" s="256" t="s">
        <v>1932</v>
      </c>
      <c r="F46" s="256" t="s">
        <v>1931</v>
      </c>
      <c r="G46" s="256"/>
    </row>
    <row r="47" spans="2:7">
      <c r="B47" s="259">
        <v>43222</v>
      </c>
      <c r="C47" s="256" t="s">
        <v>1922</v>
      </c>
      <c r="D47" s="256" t="s">
        <v>596</v>
      </c>
      <c r="E47" s="256" t="s">
        <v>1934</v>
      </c>
      <c r="F47" s="256" t="s">
        <v>1933</v>
      </c>
      <c r="G47" s="256"/>
    </row>
    <row r="48" spans="2:7">
      <c r="B48" s="259">
        <v>43222</v>
      </c>
      <c r="C48" s="256" t="s">
        <v>1922</v>
      </c>
      <c r="D48" s="256" t="s">
        <v>1935</v>
      </c>
      <c r="E48" s="256"/>
      <c r="F48" s="256" t="s">
        <v>1936</v>
      </c>
      <c r="G48" s="256"/>
    </row>
    <row r="49" spans="2:7">
      <c r="B49" s="259">
        <v>43222</v>
      </c>
      <c r="C49" s="256" t="s">
        <v>1922</v>
      </c>
      <c r="D49" s="256" t="s">
        <v>326</v>
      </c>
      <c r="E49" s="256"/>
      <c r="F49" s="256" t="s">
        <v>1937</v>
      </c>
      <c r="G49" s="256"/>
    </row>
    <row r="50" spans="2:7">
      <c r="B50" s="259">
        <v>43222</v>
      </c>
      <c r="C50" s="256" t="s">
        <v>1922</v>
      </c>
      <c r="D50" s="256" t="s">
        <v>1935</v>
      </c>
      <c r="E50" s="256"/>
      <c r="F50" s="256" t="s">
        <v>1938</v>
      </c>
      <c r="G50" s="256"/>
    </row>
    <row r="51" spans="2:7">
      <c r="B51" s="259">
        <v>43222</v>
      </c>
      <c r="C51" s="256" t="s">
        <v>1922</v>
      </c>
      <c r="D51" s="256" t="s">
        <v>1939</v>
      </c>
      <c r="E51" s="256"/>
      <c r="F51" s="256" t="s">
        <v>1940</v>
      </c>
      <c r="G51" s="256"/>
    </row>
    <row r="52" spans="2:7">
      <c r="B52" s="259">
        <v>43222</v>
      </c>
      <c r="C52" s="256" t="s">
        <v>1922</v>
      </c>
      <c r="D52" s="256" t="s">
        <v>1420</v>
      </c>
      <c r="E52" s="256"/>
      <c r="F52" s="256" t="s">
        <v>1941</v>
      </c>
      <c r="G52" s="256"/>
    </row>
    <row r="53" spans="2:7">
      <c r="B53" s="259">
        <v>43222</v>
      </c>
      <c r="C53" s="256" t="s">
        <v>1922</v>
      </c>
      <c r="D53" s="256" t="s">
        <v>1942</v>
      </c>
      <c r="E53" s="256"/>
      <c r="F53" s="256" t="s">
        <v>1941</v>
      </c>
      <c r="G53" s="256"/>
    </row>
    <row r="54" spans="2:7">
      <c r="B54" s="259">
        <v>43223</v>
      </c>
      <c r="C54" s="256" t="s">
        <v>1943</v>
      </c>
      <c r="D54" s="256" t="s">
        <v>1944</v>
      </c>
      <c r="E54" s="256"/>
      <c r="F54" s="256" t="s">
        <v>1945</v>
      </c>
      <c r="G54" s="256"/>
    </row>
    <row r="55" spans="2:7">
      <c r="B55" s="259">
        <v>43223</v>
      </c>
      <c r="C55" s="256" t="s">
        <v>1943</v>
      </c>
      <c r="D55" s="256" t="s">
        <v>152</v>
      </c>
      <c r="E55" s="256"/>
      <c r="F55" s="256" t="s">
        <v>1946</v>
      </c>
      <c r="G55" s="256"/>
    </row>
    <row r="56" spans="2:7">
      <c r="B56" s="259">
        <v>43223</v>
      </c>
      <c r="C56" s="256" t="s">
        <v>1943</v>
      </c>
      <c r="D56" s="256" t="s">
        <v>1947</v>
      </c>
      <c r="E56" s="256"/>
      <c r="F56" s="256" t="s">
        <v>1948</v>
      </c>
      <c r="G56" s="256"/>
    </row>
    <row r="57" spans="2:7">
      <c r="B57" s="259">
        <v>43223</v>
      </c>
      <c r="C57" s="256" t="s">
        <v>1943</v>
      </c>
      <c r="D57" s="256" t="s">
        <v>1735</v>
      </c>
      <c r="E57" s="256"/>
      <c r="F57" s="256" t="s">
        <v>1951</v>
      </c>
      <c r="G57" s="256"/>
    </row>
    <row r="58" spans="2:7">
      <c r="B58" s="259">
        <v>43223</v>
      </c>
      <c r="C58" s="256" t="s">
        <v>1943</v>
      </c>
      <c r="D58" s="256" t="s">
        <v>1735</v>
      </c>
      <c r="E58" s="256"/>
      <c r="F58" s="256" t="s">
        <v>1952</v>
      </c>
      <c r="G58" s="256"/>
    </row>
    <row r="59" spans="2:7">
      <c r="B59" s="259">
        <v>43223</v>
      </c>
      <c r="C59" s="256" t="s">
        <v>1943</v>
      </c>
      <c r="D59" s="256" t="s">
        <v>1735</v>
      </c>
      <c r="E59" s="256"/>
      <c r="F59" s="256" t="s">
        <v>1958</v>
      </c>
      <c r="G59" s="256"/>
    </row>
    <row r="60" spans="2:7">
      <c r="B60" s="259">
        <v>43223</v>
      </c>
      <c r="C60" s="256" t="s">
        <v>1943</v>
      </c>
      <c r="D60" s="256" t="s">
        <v>1959</v>
      </c>
      <c r="E60" s="256"/>
      <c r="F60" s="256" t="s">
        <v>1960</v>
      </c>
      <c r="G60" s="256"/>
    </row>
    <row r="61" spans="2:7">
      <c r="B61" s="259">
        <v>43223</v>
      </c>
      <c r="C61" s="256" t="s">
        <v>1943</v>
      </c>
      <c r="D61" s="256" t="s">
        <v>1703</v>
      </c>
      <c r="E61" s="256"/>
      <c r="F61" s="256" t="s">
        <v>1961</v>
      </c>
      <c r="G61" s="256"/>
    </row>
    <row r="62" spans="2:7">
      <c r="B62" s="259">
        <v>43223</v>
      </c>
      <c r="C62" s="256" t="s">
        <v>1943</v>
      </c>
      <c r="D62" s="256" t="s">
        <v>1962</v>
      </c>
      <c r="E62" s="256"/>
      <c r="F62" s="256" t="s">
        <v>1963</v>
      </c>
      <c r="G62" s="256"/>
    </row>
    <row r="63" spans="2:7">
      <c r="B63" s="259">
        <v>43223</v>
      </c>
      <c r="C63" s="256" t="s">
        <v>1943</v>
      </c>
      <c r="D63" s="256" t="s">
        <v>326</v>
      </c>
      <c r="E63" s="256"/>
      <c r="F63" s="256" t="s">
        <v>1964</v>
      </c>
      <c r="G63" s="256"/>
    </row>
    <row r="64" spans="2:7">
      <c r="B64" s="259">
        <v>43223</v>
      </c>
      <c r="C64" s="256" t="s">
        <v>1943</v>
      </c>
      <c r="D64" s="256" t="s">
        <v>1967</v>
      </c>
      <c r="E64" s="256"/>
      <c r="F64" s="256" t="s">
        <v>1968</v>
      </c>
      <c r="G64" s="256"/>
    </row>
    <row r="65" spans="2:7">
      <c r="B65" s="259">
        <v>43223</v>
      </c>
      <c r="C65" s="256" t="s">
        <v>1943</v>
      </c>
      <c r="D65" s="256" t="s">
        <v>1969</v>
      </c>
      <c r="E65" s="256"/>
      <c r="F65" s="256" t="s">
        <v>1970</v>
      </c>
      <c r="G65" s="256"/>
    </row>
    <row r="66" spans="2:7">
      <c r="B66" s="259">
        <v>43223</v>
      </c>
      <c r="C66" s="256" t="s">
        <v>1943</v>
      </c>
      <c r="D66" s="256" t="s">
        <v>117</v>
      </c>
      <c r="E66" s="256"/>
      <c r="F66" s="256" t="s">
        <v>1971</v>
      </c>
      <c r="G66" s="256"/>
    </row>
    <row r="67" spans="2:7">
      <c r="B67" s="259">
        <v>43227</v>
      </c>
      <c r="C67" s="256" t="s">
        <v>1451</v>
      </c>
      <c r="D67" s="256" t="s">
        <v>326</v>
      </c>
      <c r="E67" s="256" t="s">
        <v>1975</v>
      </c>
      <c r="F67" s="256" t="s">
        <v>1976</v>
      </c>
      <c r="G67" s="256"/>
    </row>
    <row r="68" spans="2:7">
      <c r="B68" s="259">
        <v>43245</v>
      </c>
      <c r="C68" s="256" t="s">
        <v>1451</v>
      </c>
      <c r="D68" s="256" t="s">
        <v>326</v>
      </c>
      <c r="E68" s="256"/>
      <c r="F68" s="256" t="s">
        <v>1977</v>
      </c>
      <c r="G68" s="256"/>
    </row>
    <row r="69" spans="2:7">
      <c r="B69" s="259">
        <v>43303</v>
      </c>
      <c r="C69" s="256" t="s">
        <v>1922</v>
      </c>
      <c r="D69" s="256" t="s">
        <v>152</v>
      </c>
      <c r="E69" s="256"/>
      <c r="F69" s="256" t="s">
        <v>1978</v>
      </c>
      <c r="G69" s="256"/>
    </row>
    <row r="70" spans="2:7">
      <c r="B70" s="259">
        <v>43382</v>
      </c>
      <c r="C70" s="256" t="s">
        <v>1419</v>
      </c>
      <c r="D70" s="256" t="s">
        <v>1980</v>
      </c>
      <c r="E70" s="256"/>
      <c r="F70" s="256" t="s">
        <v>1979</v>
      </c>
      <c r="G70" s="256"/>
    </row>
    <row r="71" spans="2:7">
      <c r="B71" s="259">
        <v>43389</v>
      </c>
      <c r="C71" s="256" t="s">
        <v>1981</v>
      </c>
      <c r="D71" s="256" t="s">
        <v>152</v>
      </c>
      <c r="E71" s="256"/>
      <c r="F71" s="256" t="s">
        <v>1982</v>
      </c>
      <c r="G71" s="256"/>
    </row>
    <row r="72" spans="2:7">
      <c r="B72" s="259">
        <v>43389</v>
      </c>
      <c r="C72" s="256" t="s">
        <v>1981</v>
      </c>
      <c r="D72" s="256" t="s">
        <v>1944</v>
      </c>
      <c r="E72" s="256" t="s">
        <v>1984</v>
      </c>
      <c r="F72" s="256" t="s">
        <v>1983</v>
      </c>
      <c r="G72" s="256"/>
    </row>
    <row r="73" spans="2:7">
      <c r="B73" s="259">
        <v>43389</v>
      </c>
      <c r="C73" s="256" t="s">
        <v>1981</v>
      </c>
      <c r="D73" s="256" t="s">
        <v>152</v>
      </c>
      <c r="E73" s="256"/>
      <c r="F73" s="256" t="s">
        <v>1985</v>
      </c>
      <c r="G73" s="256"/>
    </row>
    <row r="74" spans="2:7">
      <c r="B74" s="259">
        <v>43395</v>
      </c>
      <c r="C74" s="256" t="s">
        <v>1981</v>
      </c>
      <c r="D74" s="256" t="s">
        <v>117</v>
      </c>
      <c r="E74" s="256"/>
      <c r="F74" s="256" t="s">
        <v>1986</v>
      </c>
      <c r="G74" s="256"/>
    </row>
    <row r="75" spans="2:7">
      <c r="B75" s="259">
        <v>43395</v>
      </c>
      <c r="C75" s="256" t="s">
        <v>1981</v>
      </c>
      <c r="D75" s="256" t="s">
        <v>1732</v>
      </c>
      <c r="E75" s="256"/>
      <c r="F75" s="256" t="s">
        <v>1988</v>
      </c>
      <c r="G75" s="256"/>
    </row>
    <row r="76" spans="2:7">
      <c r="B76" s="259">
        <v>43395</v>
      </c>
      <c r="C76" s="256" t="s">
        <v>1981</v>
      </c>
      <c r="D76" s="256" t="s">
        <v>1944</v>
      </c>
      <c r="E76" s="256"/>
      <c r="F76" s="256" t="s">
        <v>1989</v>
      </c>
      <c r="G76" s="256"/>
    </row>
    <row r="77" spans="2:7">
      <c r="B77" s="259">
        <v>43425</v>
      </c>
      <c r="C77" s="256" t="s">
        <v>1992</v>
      </c>
      <c r="D77" s="256" t="s">
        <v>1993</v>
      </c>
      <c r="E77" s="256"/>
      <c r="F77" s="256" t="s">
        <v>1994</v>
      </c>
      <c r="G77" s="256"/>
    </row>
    <row r="78" spans="2:7">
      <c r="B78" s="259">
        <v>43434</v>
      </c>
      <c r="C78" s="256" t="s">
        <v>2002</v>
      </c>
      <c r="D78" s="256" t="s">
        <v>1993</v>
      </c>
      <c r="E78" s="256"/>
      <c r="F78" s="256" t="s">
        <v>2003</v>
      </c>
      <c r="G78" s="256"/>
    </row>
    <row r="79" spans="2:7">
      <c r="B79" s="259">
        <v>43494</v>
      </c>
      <c r="C79" s="256" t="s">
        <v>2005</v>
      </c>
      <c r="D79" s="256" t="s">
        <v>117</v>
      </c>
      <c r="E79" s="256"/>
      <c r="F79" s="256" t="s">
        <v>2004</v>
      </c>
      <c r="G79" s="256"/>
    </row>
    <row r="80" spans="2:7">
      <c r="B80" s="256"/>
      <c r="C80" s="256"/>
      <c r="D80" s="256"/>
      <c r="E80" s="256"/>
      <c r="F80" s="256"/>
      <c r="G80" s="256"/>
    </row>
    <row r="81" spans="2:7">
      <c r="B81" s="256"/>
      <c r="C81" s="256"/>
      <c r="D81" s="256"/>
      <c r="E81" s="256"/>
      <c r="F81" s="256"/>
      <c r="G81" s="256"/>
    </row>
    <row r="82" spans="2:7">
      <c r="B82" s="256"/>
      <c r="C82" s="256"/>
      <c r="D82" s="256"/>
      <c r="E82" s="256"/>
      <c r="F82" s="256"/>
      <c r="G82" s="256"/>
    </row>
    <row r="83" spans="2:7">
      <c r="B83" s="256"/>
      <c r="C83" s="256"/>
      <c r="D83" s="256"/>
      <c r="E83" s="256"/>
      <c r="F83" s="256"/>
      <c r="G83" s="256"/>
    </row>
    <row r="84" spans="2:7">
      <c r="B84" s="256"/>
      <c r="C84" s="256"/>
      <c r="D84" s="256"/>
      <c r="E84" s="256"/>
      <c r="F84" s="256"/>
      <c r="G84" s="256"/>
    </row>
    <row r="85" spans="2:7">
      <c r="B85" s="256"/>
      <c r="C85" s="256"/>
      <c r="D85" s="256"/>
      <c r="E85" s="256"/>
      <c r="F85" s="256"/>
      <c r="G85" s="256"/>
    </row>
    <row r="86" spans="2:7">
      <c r="B86" s="256"/>
      <c r="C86" s="256"/>
      <c r="D86" s="256"/>
      <c r="E86" s="256"/>
      <c r="F86" s="256"/>
      <c r="G86" s="256"/>
    </row>
    <row r="87" spans="2:7">
      <c r="B87" s="256"/>
      <c r="C87" s="256"/>
      <c r="D87" s="256"/>
      <c r="E87" s="256"/>
      <c r="F87" s="256"/>
      <c r="G87" s="256"/>
    </row>
    <row r="88" spans="2:7">
      <c r="B88" s="256"/>
      <c r="C88" s="256"/>
      <c r="D88" s="256"/>
      <c r="E88" s="256"/>
      <c r="F88" s="256"/>
      <c r="G88" s="256"/>
    </row>
    <row r="89" spans="2:7">
      <c r="B89" s="256"/>
      <c r="C89" s="256"/>
      <c r="D89" s="256"/>
      <c r="E89" s="256"/>
      <c r="F89" s="256"/>
      <c r="G89" s="256"/>
    </row>
    <row r="90" spans="2:7">
      <c r="B90" s="256"/>
      <c r="C90" s="256"/>
      <c r="D90" s="256"/>
      <c r="E90" s="256"/>
      <c r="F90" s="256"/>
      <c r="G90" s="256"/>
    </row>
    <row r="91" spans="2:7">
      <c r="B91" s="256"/>
      <c r="C91" s="256"/>
      <c r="D91" s="256"/>
      <c r="E91" s="256"/>
      <c r="F91" s="256"/>
      <c r="G91" s="256"/>
    </row>
    <row r="92" spans="2:7">
      <c r="B92" s="256"/>
      <c r="C92" s="256"/>
      <c r="D92" s="256"/>
      <c r="E92" s="256"/>
      <c r="F92" s="256"/>
      <c r="G92" s="256"/>
    </row>
    <row r="93" spans="2:7">
      <c r="B93" s="256"/>
      <c r="C93" s="256"/>
      <c r="D93" s="256"/>
      <c r="E93" s="256"/>
      <c r="F93" s="256"/>
      <c r="G93" s="256"/>
    </row>
    <row r="94" spans="2:7">
      <c r="B94" s="256"/>
      <c r="C94" s="256"/>
      <c r="D94" s="256"/>
      <c r="E94" s="256"/>
      <c r="F94" s="256"/>
      <c r="G94" s="256"/>
    </row>
    <row r="95" spans="2:7">
      <c r="B95" s="256"/>
      <c r="C95" s="256"/>
      <c r="D95" s="256"/>
      <c r="E95" s="256"/>
      <c r="F95" s="256"/>
      <c r="G95" s="256"/>
    </row>
    <row r="96" spans="2:7">
      <c r="B96" s="256"/>
      <c r="C96" s="256"/>
      <c r="D96" s="256"/>
      <c r="E96" s="256"/>
      <c r="F96" s="256"/>
      <c r="G96" s="256"/>
    </row>
    <row r="97" spans="2:7">
      <c r="B97" s="256"/>
      <c r="C97" s="256"/>
      <c r="D97" s="256"/>
      <c r="E97" s="256"/>
      <c r="F97" s="256"/>
      <c r="G97" s="256"/>
    </row>
    <row r="98" spans="2:7">
      <c r="B98" s="256"/>
      <c r="C98" s="256"/>
      <c r="D98" s="256"/>
      <c r="E98" s="256"/>
      <c r="F98" s="256"/>
      <c r="G98" s="256"/>
    </row>
    <row r="99" spans="2:7">
      <c r="B99" s="256"/>
      <c r="C99" s="256"/>
      <c r="D99" s="256"/>
      <c r="E99" s="256"/>
      <c r="F99" s="256"/>
      <c r="G99" s="256"/>
    </row>
    <row r="100" spans="2:7">
      <c r="B100" s="256"/>
      <c r="C100" s="256"/>
      <c r="D100" s="256"/>
      <c r="E100" s="256"/>
      <c r="F100" s="256"/>
      <c r="G100" s="256"/>
    </row>
    <row r="101" spans="2:7">
      <c r="B101" s="256"/>
      <c r="C101" s="256"/>
      <c r="D101" s="256"/>
      <c r="E101" s="256"/>
      <c r="F101" s="256"/>
      <c r="G101" s="256"/>
    </row>
    <row r="102" spans="2:7">
      <c r="B102" s="256"/>
      <c r="C102" s="256"/>
      <c r="D102" s="256"/>
      <c r="E102" s="256"/>
      <c r="F102" s="256"/>
      <c r="G102" s="256"/>
    </row>
    <row r="103" spans="2:7">
      <c r="B103" s="256"/>
      <c r="C103" s="256"/>
      <c r="D103" s="256"/>
      <c r="E103" s="256"/>
      <c r="F103" s="256"/>
      <c r="G103" s="256"/>
    </row>
    <row r="104" spans="2:7">
      <c r="B104" s="256"/>
      <c r="C104" s="256"/>
      <c r="D104" s="256"/>
      <c r="E104" s="256"/>
      <c r="F104" s="256"/>
      <c r="G104" s="256"/>
    </row>
    <row r="105" spans="2:7">
      <c r="B105" s="256"/>
      <c r="C105" s="256"/>
      <c r="D105" s="256"/>
      <c r="E105" s="256"/>
      <c r="F105" s="256"/>
      <c r="G105" s="256"/>
    </row>
    <row r="106" spans="2:7">
      <c r="B106" s="256"/>
      <c r="C106" s="256"/>
      <c r="D106" s="256"/>
      <c r="E106" s="256"/>
      <c r="F106" s="256"/>
      <c r="G106" s="256"/>
    </row>
    <row r="107" spans="2:7">
      <c r="B107" s="256"/>
      <c r="C107" s="256"/>
      <c r="D107" s="256"/>
      <c r="E107" s="256"/>
      <c r="F107" s="256"/>
      <c r="G107" s="256"/>
    </row>
    <row r="108" spans="2:7">
      <c r="B108" s="256"/>
      <c r="C108" s="256"/>
      <c r="D108" s="256"/>
      <c r="E108" s="256"/>
      <c r="F108" s="256"/>
      <c r="G108" s="256"/>
    </row>
    <row r="109" spans="2:7">
      <c r="B109" s="256"/>
      <c r="C109" s="256"/>
      <c r="D109" s="256"/>
      <c r="E109" s="256"/>
      <c r="F109" s="256"/>
      <c r="G109" s="256"/>
    </row>
    <row r="110" spans="2:7">
      <c r="B110" s="256"/>
      <c r="C110" s="256"/>
      <c r="D110" s="256"/>
      <c r="E110" s="256"/>
      <c r="F110" s="256"/>
      <c r="G110" s="256"/>
    </row>
    <row r="111" spans="2:7">
      <c r="B111" s="256"/>
      <c r="C111" s="256"/>
      <c r="D111" s="256"/>
      <c r="E111" s="256"/>
      <c r="F111" s="256"/>
      <c r="G111" s="256"/>
    </row>
    <row r="112" spans="2:7">
      <c r="B112" s="256"/>
      <c r="C112" s="256"/>
      <c r="D112" s="256"/>
      <c r="E112" s="256"/>
      <c r="F112" s="256"/>
      <c r="G112" s="256"/>
    </row>
    <row r="113" spans="2:7">
      <c r="B113" s="256"/>
      <c r="C113" s="256"/>
      <c r="D113" s="256"/>
      <c r="E113" s="256"/>
      <c r="F113" s="256"/>
      <c r="G113" s="256"/>
    </row>
    <row r="114" spans="2:7">
      <c r="B114" s="256"/>
      <c r="C114" s="256"/>
      <c r="D114" s="256"/>
      <c r="E114" s="256"/>
      <c r="F114" s="256"/>
      <c r="G114" s="256"/>
    </row>
    <row r="115" spans="2:7">
      <c r="B115" s="256"/>
      <c r="C115" s="256"/>
      <c r="D115" s="256"/>
      <c r="E115" s="256"/>
      <c r="F115" s="256"/>
      <c r="G115" s="256"/>
    </row>
    <row r="116" spans="2:7">
      <c r="B116" s="256"/>
      <c r="C116" s="256"/>
      <c r="D116" s="256"/>
      <c r="E116" s="256"/>
      <c r="F116" s="256"/>
      <c r="G116" s="256"/>
    </row>
    <row r="117" spans="2:7">
      <c r="B117" s="256"/>
      <c r="C117" s="256"/>
      <c r="D117" s="256"/>
      <c r="E117" s="256"/>
      <c r="F117" s="256"/>
      <c r="G117" s="256"/>
    </row>
    <row r="118" spans="2:7">
      <c r="B118" s="256"/>
      <c r="C118" s="256"/>
      <c r="D118" s="256"/>
      <c r="E118" s="256"/>
      <c r="F118" s="256"/>
      <c r="G118" s="256"/>
    </row>
    <row r="119" spans="2:7">
      <c r="B119" s="256"/>
      <c r="C119" s="256"/>
      <c r="D119" s="256"/>
      <c r="E119" s="256"/>
      <c r="F119" s="256"/>
      <c r="G119" s="256"/>
    </row>
    <row r="120" spans="2:7">
      <c r="B120" s="256"/>
      <c r="C120" s="256"/>
      <c r="D120" s="256"/>
      <c r="E120" s="256"/>
      <c r="F120" s="256"/>
      <c r="G120" s="256"/>
    </row>
    <row r="121" spans="2:7">
      <c r="B121" s="256"/>
      <c r="C121" s="256"/>
      <c r="D121" s="256"/>
      <c r="E121" s="256"/>
      <c r="F121" s="256"/>
      <c r="G121" s="256"/>
    </row>
    <row r="122" spans="2:7">
      <c r="B122" s="256"/>
      <c r="C122" s="256"/>
      <c r="D122" s="256"/>
      <c r="E122" s="256"/>
      <c r="F122" s="256"/>
      <c r="G122" s="256"/>
    </row>
    <row r="123" spans="2:7">
      <c r="B123" s="256"/>
      <c r="C123" s="256"/>
      <c r="D123" s="256"/>
      <c r="E123" s="256"/>
      <c r="F123" s="256"/>
      <c r="G123" s="256"/>
    </row>
    <row r="124" spans="2:7">
      <c r="B124" s="256"/>
      <c r="C124" s="256"/>
      <c r="D124" s="256"/>
      <c r="E124" s="256"/>
      <c r="F124" s="256"/>
      <c r="G124" s="256"/>
    </row>
    <row r="125" spans="2:7">
      <c r="B125" s="256"/>
      <c r="C125" s="256"/>
      <c r="D125" s="256"/>
      <c r="E125" s="256"/>
      <c r="F125" s="256"/>
      <c r="G125" s="256"/>
    </row>
    <row r="126" spans="2:7">
      <c r="B126" s="256"/>
      <c r="C126" s="256"/>
      <c r="D126" s="256"/>
      <c r="E126" s="256"/>
      <c r="F126" s="256"/>
      <c r="G126" s="256"/>
    </row>
    <row r="127" spans="2:7">
      <c r="B127" s="256"/>
      <c r="C127" s="256"/>
      <c r="D127" s="256"/>
      <c r="E127" s="256"/>
      <c r="F127" s="256"/>
      <c r="G127" s="256"/>
    </row>
    <row r="128" spans="2:7">
      <c r="B128" s="256"/>
      <c r="C128" s="256"/>
      <c r="D128" s="256"/>
      <c r="E128" s="256"/>
      <c r="F128" s="256"/>
      <c r="G128" s="256"/>
    </row>
    <row r="129" spans="2:7">
      <c r="B129" s="256"/>
      <c r="C129" s="256"/>
      <c r="D129" s="256"/>
      <c r="E129" s="256"/>
      <c r="F129" s="256"/>
      <c r="G129" s="256"/>
    </row>
    <row r="130" spans="2:7">
      <c r="B130" s="256"/>
      <c r="C130" s="256"/>
      <c r="D130" s="256"/>
      <c r="E130" s="256"/>
      <c r="F130" s="256"/>
      <c r="G130" s="256"/>
    </row>
    <row r="131" spans="2:7">
      <c r="B131" s="256"/>
      <c r="C131" s="256"/>
      <c r="D131" s="256"/>
      <c r="E131" s="256"/>
      <c r="F131" s="256"/>
      <c r="G131" s="256"/>
    </row>
    <row r="132" spans="2:7">
      <c r="B132" s="256"/>
      <c r="C132" s="256"/>
      <c r="D132" s="256"/>
      <c r="E132" s="256"/>
      <c r="F132" s="256"/>
      <c r="G132" s="256"/>
    </row>
    <row r="133" spans="2:7">
      <c r="B133" s="256"/>
      <c r="C133" s="256"/>
      <c r="D133" s="256"/>
      <c r="E133" s="256"/>
      <c r="F133" s="256"/>
      <c r="G133" s="256"/>
    </row>
    <row r="134" spans="2:7">
      <c r="B134" s="256"/>
      <c r="C134" s="256"/>
      <c r="D134" s="256"/>
      <c r="E134" s="256"/>
      <c r="F134" s="256"/>
      <c r="G134" s="256"/>
    </row>
    <row r="135" spans="2:7">
      <c r="B135" s="256"/>
      <c r="C135" s="256"/>
      <c r="D135" s="256"/>
      <c r="E135" s="256"/>
      <c r="F135" s="256"/>
      <c r="G135" s="256"/>
    </row>
    <row r="136" spans="2:7">
      <c r="B136" s="256"/>
      <c r="C136" s="256"/>
      <c r="D136" s="256"/>
      <c r="E136" s="256"/>
      <c r="F136" s="256"/>
      <c r="G136" s="256"/>
    </row>
    <row r="137" spans="2:7">
      <c r="B137" s="256"/>
      <c r="C137" s="256"/>
      <c r="D137" s="256"/>
      <c r="E137" s="256"/>
      <c r="F137" s="256"/>
      <c r="G137" s="256"/>
    </row>
    <row r="138" spans="2:7">
      <c r="B138" s="256"/>
      <c r="C138" s="256"/>
      <c r="D138" s="256"/>
      <c r="E138" s="256"/>
      <c r="F138" s="256"/>
      <c r="G138" s="256"/>
    </row>
    <row r="139" spans="2:7">
      <c r="B139" s="256"/>
      <c r="C139" s="256"/>
      <c r="D139" s="256"/>
      <c r="E139" s="256"/>
      <c r="F139" s="256"/>
      <c r="G139" s="256"/>
    </row>
    <row r="140" spans="2:7">
      <c r="B140" s="256"/>
      <c r="C140" s="256"/>
      <c r="D140" s="256"/>
      <c r="E140" s="256"/>
      <c r="F140" s="256"/>
      <c r="G140" s="256"/>
    </row>
    <row r="141" spans="2:7">
      <c r="B141" s="256"/>
      <c r="C141" s="256"/>
      <c r="D141" s="256"/>
      <c r="E141" s="256"/>
      <c r="F141" s="256"/>
      <c r="G141" s="256"/>
    </row>
    <row r="142" spans="2:7">
      <c r="B142" s="256"/>
      <c r="C142" s="256"/>
      <c r="D142" s="256"/>
      <c r="E142" s="256"/>
      <c r="F142" s="256"/>
      <c r="G142" s="256"/>
    </row>
    <row r="143" spans="2:7">
      <c r="B143" s="256"/>
      <c r="C143" s="256"/>
      <c r="D143" s="256"/>
      <c r="E143" s="256"/>
      <c r="F143" s="256"/>
      <c r="G143" s="256"/>
    </row>
    <row r="144" spans="2:7">
      <c r="B144" s="256"/>
      <c r="C144" s="256"/>
      <c r="D144" s="256"/>
      <c r="E144" s="256"/>
      <c r="F144" s="256"/>
      <c r="G144" s="256"/>
    </row>
    <row r="145" spans="2:7">
      <c r="B145" s="256"/>
      <c r="C145" s="256"/>
      <c r="D145" s="256"/>
      <c r="E145" s="256"/>
      <c r="F145" s="256"/>
      <c r="G145" s="256"/>
    </row>
    <row r="146" spans="2:7">
      <c r="B146" s="256"/>
      <c r="C146" s="256"/>
      <c r="D146" s="256"/>
      <c r="E146" s="256"/>
      <c r="F146" s="256"/>
      <c r="G146" s="256"/>
    </row>
    <row r="147" spans="2:7">
      <c r="B147" s="256"/>
      <c r="C147" s="256"/>
      <c r="D147" s="256"/>
      <c r="E147" s="256"/>
      <c r="F147" s="256"/>
      <c r="G147" s="256"/>
    </row>
    <row r="148" spans="2:7">
      <c r="B148" s="256"/>
      <c r="C148" s="256"/>
      <c r="D148" s="256"/>
      <c r="E148" s="256"/>
      <c r="F148" s="256"/>
      <c r="G148" s="256"/>
    </row>
    <row r="149" spans="2:7">
      <c r="B149" s="256"/>
      <c r="C149" s="256"/>
      <c r="D149" s="256"/>
      <c r="E149" s="256"/>
      <c r="F149" s="256"/>
      <c r="G149" s="256"/>
    </row>
    <row r="150" spans="2:7">
      <c r="B150" s="256"/>
      <c r="C150" s="256"/>
      <c r="D150" s="256"/>
      <c r="E150" s="256"/>
      <c r="F150" s="256"/>
      <c r="G150" s="256"/>
    </row>
    <row r="151" spans="2:7">
      <c r="B151" s="256"/>
      <c r="C151" s="256"/>
      <c r="D151" s="256"/>
      <c r="E151" s="256"/>
      <c r="F151" s="256"/>
      <c r="G151" s="256"/>
    </row>
    <row r="152" spans="2:7">
      <c r="B152" s="256"/>
      <c r="C152" s="256"/>
      <c r="D152" s="256"/>
      <c r="E152" s="256"/>
      <c r="F152" s="256"/>
      <c r="G152" s="256"/>
    </row>
    <row r="153" spans="2:7">
      <c r="B153" s="256"/>
      <c r="C153" s="256"/>
      <c r="D153" s="256"/>
      <c r="E153" s="256"/>
      <c r="F153" s="256"/>
      <c r="G153" s="256"/>
    </row>
    <row r="154" spans="2:7">
      <c r="B154" s="256"/>
      <c r="C154" s="256"/>
      <c r="D154" s="256"/>
      <c r="E154" s="256"/>
      <c r="F154" s="256"/>
      <c r="G154" s="256"/>
    </row>
    <row r="155" spans="2:7">
      <c r="B155" s="256"/>
      <c r="C155" s="256"/>
      <c r="D155" s="256"/>
      <c r="E155" s="256"/>
      <c r="F155" s="256"/>
      <c r="G155" s="256"/>
    </row>
    <row r="156" spans="2:7">
      <c r="B156" s="256"/>
      <c r="C156" s="256"/>
      <c r="D156" s="256"/>
      <c r="E156" s="256"/>
      <c r="F156" s="256"/>
      <c r="G156" s="256"/>
    </row>
    <row r="157" spans="2:7">
      <c r="B157" s="256"/>
      <c r="C157" s="256"/>
      <c r="D157" s="256"/>
      <c r="E157" s="256"/>
      <c r="F157" s="256"/>
      <c r="G157" s="256"/>
    </row>
    <row r="158" spans="2:7">
      <c r="B158" s="256"/>
      <c r="C158" s="256"/>
      <c r="D158" s="256"/>
      <c r="E158" s="256"/>
      <c r="F158" s="256"/>
      <c r="G158" s="256"/>
    </row>
    <row r="159" spans="2:7">
      <c r="B159" s="256"/>
      <c r="C159" s="256"/>
      <c r="D159" s="256"/>
      <c r="E159" s="256"/>
      <c r="F159" s="256"/>
      <c r="G159" s="256"/>
    </row>
    <row r="160" spans="2:7">
      <c r="B160" s="256"/>
      <c r="C160" s="256"/>
      <c r="D160" s="256"/>
      <c r="E160" s="256"/>
      <c r="F160" s="256"/>
      <c r="G160" s="256"/>
    </row>
    <row r="161" spans="2:7">
      <c r="B161" s="256"/>
      <c r="C161" s="256"/>
      <c r="D161" s="256"/>
      <c r="E161" s="256"/>
      <c r="F161" s="256"/>
      <c r="G161" s="256"/>
    </row>
    <row r="162" spans="2:7">
      <c r="B162" s="256"/>
      <c r="C162" s="256"/>
      <c r="D162" s="256"/>
      <c r="E162" s="256"/>
      <c r="F162" s="256"/>
      <c r="G162" s="256"/>
    </row>
    <row r="163" spans="2:7">
      <c r="B163" s="256"/>
      <c r="C163" s="256"/>
      <c r="D163" s="256"/>
      <c r="E163" s="256"/>
      <c r="F163" s="256"/>
      <c r="G163" s="256"/>
    </row>
    <row r="164" spans="2:7">
      <c r="B164" s="256"/>
      <c r="C164" s="256"/>
      <c r="D164" s="256"/>
      <c r="E164" s="256"/>
      <c r="F164" s="256"/>
      <c r="G164" s="256"/>
    </row>
    <row r="165" spans="2:7">
      <c r="B165" s="256"/>
      <c r="C165" s="256"/>
      <c r="D165" s="256"/>
      <c r="E165" s="256"/>
      <c r="F165" s="256"/>
      <c r="G165" s="25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H30"/>
  <sheetViews>
    <sheetView workbookViewId="0"/>
  </sheetViews>
  <sheetFormatPr defaultRowHeight="12.75"/>
  <cols>
    <col min="1" max="1" width="2.83203125" style="208" customWidth="1"/>
    <col min="2" max="2" width="8.6640625" style="208" customWidth="1"/>
    <col min="3" max="8" width="25.83203125" style="208" customWidth="1"/>
    <col min="9" max="9" width="2.83203125" style="208" customWidth="1"/>
    <col min="10" max="16384" width="9.33203125" style="208"/>
  </cols>
  <sheetData>
    <row r="1" spans="2:8" ht="10.7" customHeight="1" thickBot="1">
      <c r="E1" s="209"/>
      <c r="G1" s="209"/>
      <c r="H1" s="209"/>
    </row>
    <row r="2" spans="2:8" ht="16.5" customHeight="1" thickTop="1">
      <c r="B2" s="1253" t="str">
        <f>'MASTER PubCo Inputs'!$C$5</f>
        <v>Medikine, Inc.</v>
      </c>
      <c r="C2" s="1253"/>
      <c r="D2" s="1253"/>
      <c r="E2" s="1254"/>
      <c r="F2" s="1253"/>
      <c r="G2" s="1254"/>
      <c r="H2" s="1254"/>
    </row>
    <row r="3" spans="2:8" ht="16.5" customHeight="1" thickBot="1">
      <c r="B3" s="1255" t="s">
        <v>514</v>
      </c>
      <c r="C3" s="1255"/>
      <c r="D3" s="1255"/>
      <c r="E3" s="1256"/>
      <c r="F3" s="1255"/>
      <c r="G3" s="1256"/>
      <c r="H3" s="1256"/>
    </row>
    <row r="4" spans="2:8" ht="12.75" customHeight="1" thickTop="1">
      <c r="E4" s="209"/>
      <c r="G4" s="209"/>
      <c r="H4" s="209"/>
    </row>
    <row r="6" spans="2:8">
      <c r="B6" s="1198" t="s">
        <v>520</v>
      </c>
    </row>
    <row r="7" spans="2:8">
      <c r="B7" s="335" t="s">
        <v>369</v>
      </c>
      <c r="C7" s="1257" t="s">
        <v>515</v>
      </c>
      <c r="D7" s="1257" t="s">
        <v>521</v>
      </c>
      <c r="E7" s="1257" t="s">
        <v>516</v>
      </c>
      <c r="F7" s="1257" t="s">
        <v>517</v>
      </c>
      <c r="G7" s="1257" t="s">
        <v>518</v>
      </c>
      <c r="H7" s="1258" t="s">
        <v>522</v>
      </c>
    </row>
    <row r="8" spans="2:8">
      <c r="B8" s="208">
        <v>1</v>
      </c>
    </row>
    <row r="9" spans="2:8">
      <c r="B9" s="208">
        <f>+B8+1</f>
        <v>2</v>
      </c>
    </row>
    <row r="10" spans="2:8">
      <c r="B10" s="208">
        <f t="shared" ref="B10:B30" si="0">+B9+1</f>
        <v>3</v>
      </c>
    </row>
    <row r="11" spans="2:8">
      <c r="B11" s="208">
        <f t="shared" si="0"/>
        <v>4</v>
      </c>
    </row>
    <row r="12" spans="2:8">
      <c r="B12" s="208">
        <f t="shared" si="0"/>
        <v>5</v>
      </c>
    </row>
    <row r="13" spans="2:8">
      <c r="B13" s="208">
        <f t="shared" si="0"/>
        <v>6</v>
      </c>
    </row>
    <row r="14" spans="2:8">
      <c r="B14" s="208">
        <f t="shared" si="0"/>
        <v>7</v>
      </c>
    </row>
    <row r="15" spans="2:8">
      <c r="B15" s="208">
        <f t="shared" si="0"/>
        <v>8</v>
      </c>
    </row>
    <row r="16" spans="2:8">
      <c r="B16" s="208">
        <f t="shared" si="0"/>
        <v>9</v>
      </c>
    </row>
    <row r="17" spans="2:8">
      <c r="B17" s="208">
        <f t="shared" si="0"/>
        <v>10</v>
      </c>
    </row>
    <row r="19" spans="2:8">
      <c r="B19" s="1198" t="s">
        <v>519</v>
      </c>
    </row>
    <row r="20" spans="2:8">
      <c r="B20" s="335" t="s">
        <v>369</v>
      </c>
      <c r="C20" s="1257" t="s">
        <v>515</v>
      </c>
      <c r="D20" s="1257" t="s">
        <v>521</v>
      </c>
      <c r="E20" s="1257" t="s">
        <v>516</v>
      </c>
      <c r="F20" s="1257" t="s">
        <v>517</v>
      </c>
      <c r="G20" s="1257" t="s">
        <v>518</v>
      </c>
      <c r="H20" s="1258" t="s">
        <v>497</v>
      </c>
    </row>
    <row r="21" spans="2:8">
      <c r="B21" s="208">
        <v>1</v>
      </c>
    </row>
    <row r="22" spans="2:8">
      <c r="B22" s="208">
        <f t="shared" si="0"/>
        <v>2</v>
      </c>
    </row>
    <row r="23" spans="2:8">
      <c r="B23" s="208">
        <f t="shared" si="0"/>
        <v>3</v>
      </c>
    </row>
    <row r="24" spans="2:8">
      <c r="B24" s="208">
        <f t="shared" si="0"/>
        <v>4</v>
      </c>
    </row>
    <row r="25" spans="2:8">
      <c r="B25" s="208">
        <f t="shared" si="0"/>
        <v>5</v>
      </c>
    </row>
    <row r="26" spans="2:8">
      <c r="B26" s="208">
        <f t="shared" si="0"/>
        <v>6</v>
      </c>
    </row>
    <row r="27" spans="2:8">
      <c r="B27" s="208">
        <f t="shared" si="0"/>
        <v>7</v>
      </c>
    </row>
    <row r="28" spans="2:8">
      <c r="B28" s="208">
        <f t="shared" si="0"/>
        <v>8</v>
      </c>
    </row>
    <row r="29" spans="2:8">
      <c r="B29" s="208">
        <f t="shared" si="0"/>
        <v>9</v>
      </c>
    </row>
    <row r="30" spans="2:8">
      <c r="B30" s="208">
        <f t="shared" si="0"/>
        <v>10</v>
      </c>
    </row>
  </sheetData>
  <conditionalFormatting sqref="B3:G3">
    <cfRule type="cellIs" dxfId="313" priority="2" stopIfTrue="1" operator="equal">
      <formula>"input"</formula>
    </cfRule>
  </conditionalFormatting>
  <conditionalFormatting sqref="H3">
    <cfRule type="cellIs" dxfId="312" priority="1" stopIfTrue="1" operator="equal">
      <formula>"input"</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0">
    <tabColor rgb="FFFF0000"/>
  </sheetPr>
  <dimension ref="B1:I73"/>
  <sheetViews>
    <sheetView showGridLines="0" view="pageBreakPreview" zoomScale="80" zoomScaleNormal="100" zoomScaleSheetLayoutView="80" workbookViewId="0">
      <selection activeCell="E33" sqref="E33"/>
    </sheetView>
  </sheetViews>
  <sheetFormatPr defaultRowHeight="12.75"/>
  <cols>
    <col min="1" max="1" width="4.5" style="208" customWidth="1"/>
    <col min="2" max="2" width="23.1640625" style="208" customWidth="1"/>
    <col min="3" max="3" width="89.6640625" style="208" customWidth="1"/>
    <col min="4" max="4" width="15.1640625" style="209" customWidth="1"/>
    <col min="5" max="5" width="30.83203125" style="208" customWidth="1"/>
    <col min="6" max="6" width="4.5" style="208" customWidth="1"/>
    <col min="7" max="8" width="2.83203125" style="208" customWidth="1"/>
    <col min="9" max="9" width="13.33203125" style="208" customWidth="1"/>
    <col min="10" max="16384" width="9.33203125" style="208"/>
  </cols>
  <sheetData>
    <row r="1" spans="2:9" ht="10.7" customHeight="1" thickBot="1"/>
    <row r="2" spans="2:9" ht="16.5" customHeight="1" thickTop="1">
      <c r="B2" s="216" t="str">
        <f>'MASTER PubCo Inputs'!$C$5</f>
        <v>Medikine, Inc.</v>
      </c>
      <c r="C2" s="216"/>
      <c r="D2" s="220"/>
      <c r="E2" s="216"/>
      <c r="I2" s="211" t="s">
        <v>563</v>
      </c>
    </row>
    <row r="3" spans="2:9" ht="16.5" customHeight="1" thickBot="1">
      <c r="B3" s="444" t="s">
        <v>1701</v>
      </c>
      <c r="C3" s="444"/>
      <c r="D3" s="221"/>
      <c r="E3" s="444"/>
      <c r="I3" s="222" t="s">
        <v>110</v>
      </c>
    </row>
    <row r="4" spans="2:9" ht="12.75" customHeight="1" thickTop="1"/>
    <row r="5" spans="2:9" ht="12.75" customHeight="1"/>
    <row r="6" spans="2:9" ht="12.75" customHeight="1">
      <c r="B6" s="223" t="s">
        <v>515</v>
      </c>
      <c r="C6" s="224" t="s">
        <v>1701</v>
      </c>
      <c r="D6" s="224" t="s">
        <v>110</v>
      </c>
      <c r="E6" s="225" t="s">
        <v>1700</v>
      </c>
    </row>
    <row r="7" spans="2:9" ht="12.75" customHeight="1">
      <c r="B7" s="212"/>
      <c r="C7" s="212"/>
      <c r="D7" s="210"/>
      <c r="E7" s="211"/>
    </row>
    <row r="8" spans="2:9">
      <c r="B8" s="226" t="s">
        <v>1735</v>
      </c>
      <c r="C8" s="213" t="s">
        <v>1736</v>
      </c>
      <c r="D8" s="227" t="str">
        <f>IF('OPM 1'!O92=Checklist!$I$3,"Check","")</f>
        <v/>
      </c>
    </row>
    <row r="9" spans="2:9">
      <c r="B9" s="213"/>
      <c r="C9" s="213"/>
      <c r="D9" s="227"/>
    </row>
    <row r="10" spans="2:9">
      <c r="B10" s="226" t="s">
        <v>1420</v>
      </c>
      <c r="C10" s="213" t="s">
        <v>1719</v>
      </c>
      <c r="D10" s="227" t="str">
        <f>IF('OPM 2'!D20=Checklist!$I$3,"Check","")</f>
        <v/>
      </c>
    </row>
    <row r="11" spans="2:9">
      <c r="B11" s="226"/>
      <c r="C11" s="213"/>
      <c r="D11" s="227"/>
    </row>
    <row r="12" spans="2:9">
      <c r="B12" s="226" t="s">
        <v>1420</v>
      </c>
      <c r="C12" s="213" t="s">
        <v>1911</v>
      </c>
      <c r="D12" s="227" t="str">
        <f>IF('OPM 2'!Q6=Checklist!$I$3,"Check","")</f>
        <v/>
      </c>
    </row>
    <row r="13" spans="2:9">
      <c r="B13" s="226"/>
      <c r="C13" s="213"/>
      <c r="D13" s="227"/>
    </row>
    <row r="14" spans="2:9">
      <c r="B14" s="226" t="s">
        <v>1703</v>
      </c>
      <c r="C14" s="213" t="s">
        <v>1706</v>
      </c>
      <c r="D14" s="227" t="str">
        <f>IF('Hist BS'!D76=Checklist!$I$3,"Check","")</f>
        <v/>
      </c>
    </row>
    <row r="15" spans="2:9">
      <c r="B15" s="213"/>
      <c r="C15" s="213"/>
      <c r="D15" s="227"/>
    </row>
    <row r="16" spans="2:9">
      <c r="B16" s="226" t="s">
        <v>1707</v>
      </c>
      <c r="C16" s="213" t="s">
        <v>1712</v>
      </c>
      <c r="D16" s="227" t="str">
        <f>IF('Beta Calc'!AA8=Checklist!$I$3,"Check","")</f>
        <v/>
      </c>
    </row>
    <row r="17" spans="2:4">
      <c r="B17" s="213"/>
      <c r="C17" s="213"/>
      <c r="D17" s="227"/>
    </row>
    <row r="18" spans="2:4">
      <c r="B18" s="226" t="s">
        <v>1710</v>
      </c>
      <c r="C18" s="213" t="s">
        <v>1709</v>
      </c>
      <c r="D18" s="227" t="str">
        <f>IF('Asset Vol_OPM'!AB47=Checklist!$I$3,"Check","")</f>
        <v/>
      </c>
    </row>
    <row r="19" spans="2:4">
      <c r="B19" s="226"/>
      <c r="C19" s="213"/>
      <c r="D19" s="227"/>
    </row>
    <row r="20" spans="2:4">
      <c r="B20" s="213"/>
      <c r="C20" s="213"/>
      <c r="D20" s="227"/>
    </row>
    <row r="21" spans="2:4">
      <c r="B21" s="226" t="s">
        <v>1766</v>
      </c>
      <c r="C21" s="213" t="s">
        <v>1767</v>
      </c>
      <c r="D21" s="227" t="str">
        <f>IF('Val Summ'!M9=Checklist!$I$3,"Check","")</f>
        <v/>
      </c>
    </row>
    <row r="22" spans="2:4">
      <c r="B22" s="213"/>
      <c r="C22" s="213"/>
      <c r="D22" s="227"/>
    </row>
    <row r="23" spans="2:4">
      <c r="B23" s="226" t="s">
        <v>1766</v>
      </c>
      <c r="C23" s="213" t="s">
        <v>1910</v>
      </c>
      <c r="D23" s="227" t="str">
        <f>IF('Val Summ'!M7=Checklist!$I$3,"Check","")</f>
        <v/>
      </c>
    </row>
    <row r="24" spans="2:4">
      <c r="B24" s="213"/>
      <c r="C24" s="213"/>
      <c r="D24" s="227"/>
    </row>
    <row r="25" spans="2:4">
      <c r="B25" s="226" t="s">
        <v>1711</v>
      </c>
      <c r="C25" s="213" t="s">
        <v>1711</v>
      </c>
      <c r="D25" s="227" t="e">
        <f ca="1">IF('Val Summ'!O3=Checklist!$I$3,"Check","")</f>
        <v>#NAME?</v>
      </c>
    </row>
    <row r="26" spans="2:4">
      <c r="B26" s="213"/>
      <c r="C26" s="213"/>
      <c r="D26" s="227"/>
    </row>
    <row r="27" spans="2:4">
      <c r="B27" s="213"/>
      <c r="C27" s="213"/>
      <c r="D27" s="227"/>
    </row>
    <row r="28" spans="2:4">
      <c r="B28" s="213"/>
      <c r="C28" s="213"/>
      <c r="D28" s="227"/>
    </row>
    <row r="29" spans="2:4">
      <c r="B29" s="213"/>
      <c r="C29" s="213"/>
      <c r="D29" s="227"/>
    </row>
    <row r="30" spans="2:4">
      <c r="B30" s="213"/>
      <c r="C30" s="213"/>
      <c r="D30" s="227"/>
    </row>
    <row r="31" spans="2:4">
      <c r="B31" s="213"/>
      <c r="C31" s="213"/>
      <c r="D31" s="227"/>
    </row>
    <row r="32" spans="2:4">
      <c r="B32" s="213"/>
      <c r="C32" s="213"/>
      <c r="D32" s="227"/>
    </row>
    <row r="33" spans="2:4">
      <c r="B33" s="213"/>
      <c r="C33" s="213"/>
      <c r="D33" s="227"/>
    </row>
    <row r="34" spans="2:4">
      <c r="B34" s="213"/>
      <c r="C34" s="213"/>
      <c r="D34" s="227"/>
    </row>
    <row r="35" spans="2:4">
      <c r="B35" s="213"/>
      <c r="C35" s="213"/>
      <c r="D35" s="227"/>
    </row>
    <row r="36" spans="2:4">
      <c r="B36" s="213"/>
      <c r="C36" s="213"/>
      <c r="D36" s="227"/>
    </row>
    <row r="37" spans="2:4">
      <c r="B37" s="213"/>
      <c r="C37" s="213"/>
      <c r="D37" s="227"/>
    </row>
    <row r="38" spans="2:4">
      <c r="B38" s="213"/>
      <c r="C38" s="213"/>
      <c r="D38" s="227"/>
    </row>
    <row r="39" spans="2:4">
      <c r="B39" s="213"/>
      <c r="C39" s="213"/>
      <c r="D39" s="227"/>
    </row>
    <row r="40" spans="2:4">
      <c r="B40" s="213"/>
      <c r="C40" s="213"/>
      <c r="D40" s="227"/>
    </row>
    <row r="41" spans="2:4">
      <c r="B41" s="213"/>
      <c r="C41" s="213"/>
      <c r="D41" s="227"/>
    </row>
    <row r="42" spans="2:4">
      <c r="B42" s="213"/>
      <c r="C42" s="213"/>
      <c r="D42" s="227"/>
    </row>
    <row r="43" spans="2:4">
      <c r="B43" s="213"/>
      <c r="C43" s="213"/>
      <c r="D43" s="227"/>
    </row>
    <row r="44" spans="2:4">
      <c r="B44" s="213"/>
      <c r="C44" s="213"/>
      <c r="D44" s="227"/>
    </row>
    <row r="45" spans="2:4">
      <c r="B45" s="213"/>
      <c r="C45" s="213"/>
      <c r="D45" s="227"/>
    </row>
    <row r="46" spans="2:4">
      <c r="B46" s="213"/>
      <c r="C46" s="213"/>
      <c r="D46" s="227"/>
    </row>
    <row r="47" spans="2:4">
      <c r="B47" s="213"/>
      <c r="C47" s="213"/>
      <c r="D47" s="227"/>
    </row>
    <row r="48" spans="2:4">
      <c r="B48" s="213"/>
      <c r="C48" s="213"/>
      <c r="D48" s="227"/>
    </row>
    <row r="49" spans="2:4">
      <c r="B49" s="213"/>
      <c r="C49" s="213"/>
      <c r="D49" s="227"/>
    </row>
    <row r="50" spans="2:4">
      <c r="B50" s="213"/>
      <c r="C50" s="213"/>
      <c r="D50" s="227"/>
    </row>
    <row r="51" spans="2:4">
      <c r="B51" s="213"/>
      <c r="C51" s="213"/>
      <c r="D51" s="227"/>
    </row>
    <row r="52" spans="2:4">
      <c r="B52" s="213"/>
      <c r="C52" s="213"/>
      <c r="D52" s="227"/>
    </row>
    <row r="53" spans="2:4">
      <c r="B53" s="213"/>
      <c r="C53" s="213"/>
      <c r="D53" s="227"/>
    </row>
    <row r="54" spans="2:4">
      <c r="B54" s="213"/>
      <c r="C54" s="213"/>
      <c r="D54" s="227"/>
    </row>
    <row r="55" spans="2:4">
      <c r="B55" s="213"/>
      <c r="C55" s="213"/>
      <c r="D55" s="227"/>
    </row>
    <row r="56" spans="2:4">
      <c r="B56" s="213"/>
      <c r="C56" s="213"/>
      <c r="D56" s="227"/>
    </row>
    <row r="57" spans="2:4">
      <c r="B57" s="213"/>
      <c r="C57" s="213"/>
      <c r="D57" s="227"/>
    </row>
    <row r="58" spans="2:4">
      <c r="B58" s="213"/>
      <c r="C58" s="213"/>
      <c r="D58" s="227"/>
    </row>
    <row r="59" spans="2:4">
      <c r="B59" s="213"/>
      <c r="C59" s="213"/>
      <c r="D59" s="227"/>
    </row>
    <row r="60" spans="2:4">
      <c r="B60" s="213"/>
      <c r="C60" s="213"/>
      <c r="D60" s="227"/>
    </row>
    <row r="61" spans="2:4">
      <c r="B61" s="213"/>
      <c r="C61" s="213"/>
      <c r="D61" s="227"/>
    </row>
    <row r="62" spans="2:4">
      <c r="B62" s="213"/>
      <c r="C62" s="213"/>
      <c r="D62" s="227"/>
    </row>
    <row r="63" spans="2:4">
      <c r="B63" s="213"/>
      <c r="C63" s="213"/>
      <c r="D63" s="227"/>
    </row>
    <row r="64" spans="2:4">
      <c r="B64" s="213"/>
      <c r="C64" s="213"/>
      <c r="D64" s="227"/>
    </row>
    <row r="65" spans="2:4">
      <c r="B65" s="213"/>
      <c r="C65" s="213"/>
      <c r="D65" s="227"/>
    </row>
    <row r="66" spans="2:4">
      <c r="B66" s="213"/>
      <c r="C66" s="213"/>
      <c r="D66" s="227"/>
    </row>
    <row r="67" spans="2:4">
      <c r="B67" s="213"/>
      <c r="C67" s="213"/>
      <c r="D67" s="227"/>
    </row>
    <row r="68" spans="2:4">
      <c r="B68" s="213"/>
      <c r="C68" s="213"/>
      <c r="D68" s="227"/>
    </row>
    <row r="69" spans="2:4">
      <c r="B69" s="213"/>
      <c r="C69" s="213"/>
      <c r="D69" s="227"/>
    </row>
    <row r="70" spans="2:4">
      <c r="B70" s="213"/>
      <c r="C70" s="213"/>
      <c r="D70" s="214"/>
    </row>
    <row r="71" spans="2:4">
      <c r="B71" s="213"/>
      <c r="C71" s="213"/>
      <c r="D71" s="214"/>
    </row>
    <row r="72" spans="2:4">
      <c r="B72" s="213"/>
      <c r="C72" s="213"/>
      <c r="D72" s="214"/>
    </row>
    <row r="73" spans="2:4">
      <c r="B73" s="213"/>
      <c r="C73" s="213"/>
      <c r="D73" s="214"/>
    </row>
  </sheetData>
  <conditionalFormatting sqref="B3:E3">
    <cfRule type="cellIs" dxfId="311" priority="45" stopIfTrue="1" operator="equal">
      <formula>"input"</formula>
    </cfRule>
  </conditionalFormatting>
  <conditionalFormatting sqref="B25:C73 B14:D20 B7:C7 B8:D11">
    <cfRule type="expression" dxfId="310" priority="44">
      <formula>OR($B7="Exhibits",$B7="Workpapers")</formula>
    </cfRule>
  </conditionalFormatting>
  <conditionalFormatting sqref="D7 D70:D73">
    <cfRule type="expression" dxfId="309" priority="43">
      <formula>$B7=""</formula>
    </cfRule>
  </conditionalFormatting>
  <conditionalFormatting sqref="D25:D69">
    <cfRule type="expression" dxfId="308" priority="30">
      <formula>OR($B25="Exhibits",$B25="Workpapers")</formula>
    </cfRule>
  </conditionalFormatting>
  <conditionalFormatting sqref="D14:D20 D25:D53 D8:D11">
    <cfRule type="notContainsBlanks" dxfId="307" priority="29">
      <formula>LEN(TRIM(D8))&gt;0</formula>
    </cfRule>
  </conditionalFormatting>
  <conditionalFormatting sqref="D14">
    <cfRule type="expression" dxfId="306" priority="28">
      <formula>OR($B14="Exhibits",$B14="Workpapers")</formula>
    </cfRule>
  </conditionalFormatting>
  <conditionalFormatting sqref="D16">
    <cfRule type="expression" dxfId="305" priority="27">
      <formula>OR($B16="Exhibits",$B16="Workpapers")</formula>
    </cfRule>
  </conditionalFormatting>
  <conditionalFormatting sqref="D25">
    <cfRule type="expression" dxfId="304" priority="24">
      <formula>OR($B25="Exhibits",$B25="Workpapers")</formula>
    </cfRule>
  </conditionalFormatting>
  <conditionalFormatting sqref="B21:C22">
    <cfRule type="expression" dxfId="303" priority="23">
      <formula>OR($B21="Exhibits",$B21="Workpapers")</formula>
    </cfRule>
  </conditionalFormatting>
  <conditionalFormatting sqref="D21:D22">
    <cfRule type="expression" dxfId="302" priority="22">
      <formula>OR($B21="Exhibits",$B21="Workpapers")</formula>
    </cfRule>
  </conditionalFormatting>
  <conditionalFormatting sqref="D21:D22">
    <cfRule type="notContainsBlanks" dxfId="301" priority="21">
      <formula>LEN(TRIM(D21))&gt;0</formula>
    </cfRule>
  </conditionalFormatting>
  <conditionalFormatting sqref="D21">
    <cfRule type="expression" dxfId="300" priority="20">
      <formula>OR($B21="Exhibits",$B21="Workpapers")</formula>
    </cfRule>
  </conditionalFormatting>
  <conditionalFormatting sqref="B23:C24">
    <cfRule type="expression" dxfId="299" priority="11">
      <formula>OR($B23="Exhibits",$B23="Workpapers")</formula>
    </cfRule>
  </conditionalFormatting>
  <conditionalFormatting sqref="D23:D24">
    <cfRule type="expression" dxfId="298" priority="10">
      <formula>OR($B23="Exhibits",$B23="Workpapers")</formula>
    </cfRule>
  </conditionalFormatting>
  <conditionalFormatting sqref="D23:D24">
    <cfRule type="notContainsBlanks" dxfId="297" priority="9">
      <formula>LEN(TRIM(D23))&gt;0</formula>
    </cfRule>
  </conditionalFormatting>
  <conditionalFormatting sqref="D23">
    <cfRule type="expression" dxfId="296" priority="8">
      <formula>OR($B23="Exhibits",$B23="Workpapers")</formula>
    </cfRule>
  </conditionalFormatting>
  <conditionalFormatting sqref="B12:C13">
    <cfRule type="expression" dxfId="295" priority="7">
      <formula>OR($B12="Exhibits",$B12="Workpapers")</formula>
    </cfRule>
  </conditionalFormatting>
  <conditionalFormatting sqref="D12:D13">
    <cfRule type="expression" dxfId="294" priority="6">
      <formula>OR($B12="Exhibits",$B12="Workpapers")</formula>
    </cfRule>
  </conditionalFormatting>
  <conditionalFormatting sqref="D12:D13">
    <cfRule type="notContainsBlanks" dxfId="293" priority="5">
      <formula>LEN(TRIM(D12))&gt;0</formula>
    </cfRule>
  </conditionalFormatting>
  <pageMargins left="0.5" right="0.5" top="0.5" bottom="0.5" header="0.5" footer="0.5"/>
  <pageSetup scale="85" fitToWidth="0"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1"/>
  </sheetPr>
  <dimension ref="A1"/>
  <sheetViews>
    <sheetView showGridLines="0" view="pageBreakPreview" zoomScale="80" zoomScaleNormal="100" zoomScaleSheetLayoutView="80" workbookViewId="0"/>
  </sheetViews>
  <sheetFormatPr defaultRowHeight="12.75"/>
  <cols>
    <col min="1" max="16384" width="9.33203125" style="37"/>
  </cols>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IV2"/>
  <sheetViews>
    <sheetView workbookViewId="0"/>
  </sheetViews>
  <sheetFormatPr defaultRowHeight="12.75"/>
  <sheetData>
    <row r="1" spans="1:256">
      <c r="A1">
        <v>316</v>
      </c>
      <c r="B1" t="s">
        <v>2644</v>
      </c>
      <c r="C1" t="s">
        <v>2645</v>
      </c>
      <c r="D1" t="s">
        <v>2646</v>
      </c>
      <c r="E1" t="s">
        <v>2647</v>
      </c>
      <c r="F1" t="s">
        <v>2648</v>
      </c>
      <c r="G1" t="s">
        <v>2649</v>
      </c>
      <c r="H1" t="s">
        <v>2650</v>
      </c>
      <c r="I1" t="s">
        <v>2651</v>
      </c>
      <c r="J1" t="s">
        <v>2652</v>
      </c>
      <c r="K1" t="s">
        <v>2653</v>
      </c>
      <c r="L1" t="s">
        <v>2654</v>
      </c>
      <c r="M1" t="s">
        <v>2655</v>
      </c>
      <c r="N1" t="s">
        <v>2656</v>
      </c>
      <c r="O1" t="s">
        <v>2657</v>
      </c>
      <c r="P1" t="s">
        <v>2658</v>
      </c>
      <c r="Q1" t="s">
        <v>2659</v>
      </c>
      <c r="R1" t="s">
        <v>2660</v>
      </c>
      <c r="S1" t="s">
        <v>2661</v>
      </c>
      <c r="T1" t="s">
        <v>2662</v>
      </c>
      <c r="U1" t="s">
        <v>2663</v>
      </c>
      <c r="V1" t="s">
        <v>2664</v>
      </c>
      <c r="W1" t="s">
        <v>2665</v>
      </c>
      <c r="X1" t="s">
        <v>2666</v>
      </c>
      <c r="Y1" t="s">
        <v>2667</v>
      </c>
      <c r="Z1" t="s">
        <v>2668</v>
      </c>
      <c r="AA1" t="s">
        <v>2669</v>
      </c>
      <c r="AB1" t="s">
        <v>2670</v>
      </c>
      <c r="AC1" t="s">
        <v>2671</v>
      </c>
      <c r="AD1" t="s">
        <v>2672</v>
      </c>
      <c r="AE1" t="s">
        <v>2673</v>
      </c>
      <c r="AF1" t="s">
        <v>2674</v>
      </c>
      <c r="AG1" t="s">
        <v>2675</v>
      </c>
      <c r="AH1" t="s">
        <v>2676</v>
      </c>
      <c r="AI1" t="s">
        <v>2677</v>
      </c>
      <c r="AJ1" t="s">
        <v>2678</v>
      </c>
      <c r="AK1" t="s">
        <v>2679</v>
      </c>
      <c r="AL1" t="s">
        <v>2680</v>
      </c>
      <c r="AM1" t="s">
        <v>2681</v>
      </c>
      <c r="AN1" t="s">
        <v>2682</v>
      </c>
      <c r="AO1" t="s">
        <v>2683</v>
      </c>
      <c r="AP1" t="s">
        <v>2684</v>
      </c>
      <c r="AQ1" t="s">
        <v>2685</v>
      </c>
      <c r="AR1" t="s">
        <v>2686</v>
      </c>
      <c r="AS1" t="s">
        <v>2687</v>
      </c>
      <c r="AT1" t="s">
        <v>2688</v>
      </c>
      <c r="AU1" t="s">
        <v>2689</v>
      </c>
      <c r="AV1" t="s">
        <v>2690</v>
      </c>
      <c r="AW1" t="s">
        <v>2691</v>
      </c>
      <c r="AX1" t="s">
        <v>2692</v>
      </c>
      <c r="AY1" t="s">
        <v>2693</v>
      </c>
      <c r="AZ1" t="s">
        <v>2694</v>
      </c>
      <c r="BA1" t="s">
        <v>2695</v>
      </c>
      <c r="BB1" t="s">
        <v>2696</v>
      </c>
      <c r="BC1" t="s">
        <v>2697</v>
      </c>
      <c r="BD1" t="s">
        <v>2698</v>
      </c>
      <c r="BE1" t="s">
        <v>2699</v>
      </c>
      <c r="BF1" t="s">
        <v>2700</v>
      </c>
      <c r="BG1" t="s">
        <v>2701</v>
      </c>
      <c r="BH1" t="s">
        <v>2702</v>
      </c>
      <c r="BI1" t="s">
        <v>2703</v>
      </c>
      <c r="BJ1" t="s">
        <v>2704</v>
      </c>
      <c r="BK1" t="s">
        <v>2705</v>
      </c>
      <c r="BL1" t="s">
        <v>2706</v>
      </c>
      <c r="BM1" t="s">
        <v>2707</v>
      </c>
      <c r="BN1" t="s">
        <v>2708</v>
      </c>
      <c r="BO1" t="s">
        <v>2709</v>
      </c>
      <c r="BP1" t="s">
        <v>2710</v>
      </c>
      <c r="BQ1" t="s">
        <v>2711</v>
      </c>
      <c r="BR1" t="s">
        <v>2712</v>
      </c>
      <c r="BS1" t="s">
        <v>2713</v>
      </c>
      <c r="BT1" t="s">
        <v>2714</v>
      </c>
      <c r="BU1" t="s">
        <v>2715</v>
      </c>
      <c r="BV1" t="s">
        <v>2716</v>
      </c>
      <c r="BW1" t="s">
        <v>2717</v>
      </c>
      <c r="BX1" t="s">
        <v>2718</v>
      </c>
      <c r="BY1" t="s">
        <v>2719</v>
      </c>
      <c r="BZ1" t="s">
        <v>2720</v>
      </c>
      <c r="CA1" t="s">
        <v>2721</v>
      </c>
      <c r="CB1" t="s">
        <v>2722</v>
      </c>
      <c r="CC1" t="s">
        <v>2723</v>
      </c>
      <c r="CD1" t="s">
        <v>2724</v>
      </c>
      <c r="CE1" t="s">
        <v>2725</v>
      </c>
      <c r="CF1" t="s">
        <v>2726</v>
      </c>
      <c r="CG1" t="s">
        <v>2727</v>
      </c>
      <c r="CH1" t="s">
        <v>2728</v>
      </c>
      <c r="CI1" t="s">
        <v>2729</v>
      </c>
      <c r="CJ1" t="s">
        <v>2730</v>
      </c>
      <c r="CK1" t="s">
        <v>2731</v>
      </c>
      <c r="CL1" t="s">
        <v>2732</v>
      </c>
      <c r="CM1" t="s">
        <v>2733</v>
      </c>
      <c r="CN1" t="s">
        <v>2734</v>
      </c>
      <c r="CO1" t="s">
        <v>2735</v>
      </c>
      <c r="CP1" t="s">
        <v>2736</v>
      </c>
      <c r="CQ1" t="s">
        <v>2737</v>
      </c>
      <c r="CR1" t="s">
        <v>2738</v>
      </c>
      <c r="CS1" t="s">
        <v>2739</v>
      </c>
      <c r="CT1" t="s">
        <v>2740</v>
      </c>
      <c r="CU1" t="s">
        <v>2741</v>
      </c>
      <c r="CV1" t="s">
        <v>2742</v>
      </c>
      <c r="CW1" t="s">
        <v>2743</v>
      </c>
      <c r="CX1" t="s">
        <v>2744</v>
      </c>
      <c r="CY1" t="s">
        <v>2745</v>
      </c>
      <c r="CZ1" t="s">
        <v>2746</v>
      </c>
      <c r="DA1" t="s">
        <v>2747</v>
      </c>
      <c r="DB1" t="s">
        <v>2748</v>
      </c>
      <c r="DC1" t="s">
        <v>2749</v>
      </c>
      <c r="DD1" t="s">
        <v>2750</v>
      </c>
      <c r="DE1" t="s">
        <v>2751</v>
      </c>
      <c r="DF1" t="s">
        <v>2752</v>
      </c>
      <c r="DG1" t="s">
        <v>2753</v>
      </c>
      <c r="DH1" t="s">
        <v>2754</v>
      </c>
      <c r="DI1" t="s">
        <v>2755</v>
      </c>
      <c r="DJ1" t="s">
        <v>2756</v>
      </c>
      <c r="DK1" t="s">
        <v>2757</v>
      </c>
      <c r="DL1" t="s">
        <v>2758</v>
      </c>
      <c r="DM1" t="s">
        <v>2759</v>
      </c>
      <c r="DN1" t="s">
        <v>2760</v>
      </c>
      <c r="DO1" t="s">
        <v>2761</v>
      </c>
      <c r="DP1" t="s">
        <v>2762</v>
      </c>
      <c r="DQ1" t="s">
        <v>2763</v>
      </c>
      <c r="DR1" t="s">
        <v>2764</v>
      </c>
      <c r="DS1" t="s">
        <v>2765</v>
      </c>
      <c r="DT1" t="s">
        <v>2766</v>
      </c>
      <c r="DU1" t="s">
        <v>2767</v>
      </c>
      <c r="DV1" t="s">
        <v>2768</v>
      </c>
      <c r="DW1" t="s">
        <v>2769</v>
      </c>
      <c r="DX1" t="s">
        <v>2770</v>
      </c>
      <c r="DY1" t="s">
        <v>2771</v>
      </c>
      <c r="DZ1" t="s">
        <v>2772</v>
      </c>
      <c r="EA1" t="s">
        <v>2773</v>
      </c>
      <c r="EB1" t="s">
        <v>2774</v>
      </c>
      <c r="EC1" t="s">
        <v>2775</v>
      </c>
      <c r="ED1" t="s">
        <v>2776</v>
      </c>
      <c r="EE1" t="s">
        <v>2777</v>
      </c>
      <c r="EF1" t="s">
        <v>2778</v>
      </c>
      <c r="EG1" t="s">
        <v>2779</v>
      </c>
      <c r="EH1" t="s">
        <v>2780</v>
      </c>
      <c r="EI1" t="s">
        <v>2781</v>
      </c>
      <c r="EJ1" t="s">
        <v>2782</v>
      </c>
      <c r="EK1" t="s">
        <v>2783</v>
      </c>
      <c r="EL1" t="s">
        <v>2784</v>
      </c>
      <c r="EM1" t="s">
        <v>2785</v>
      </c>
      <c r="EN1" t="s">
        <v>2786</v>
      </c>
      <c r="EO1" t="s">
        <v>2787</v>
      </c>
      <c r="EP1" t="s">
        <v>2788</v>
      </c>
      <c r="EQ1" t="s">
        <v>2789</v>
      </c>
      <c r="ER1" t="s">
        <v>2790</v>
      </c>
      <c r="ES1" t="s">
        <v>2791</v>
      </c>
      <c r="ET1" t="s">
        <v>2792</v>
      </c>
      <c r="EU1" t="s">
        <v>2793</v>
      </c>
      <c r="EV1" t="s">
        <v>2794</v>
      </c>
      <c r="EW1" t="s">
        <v>2795</v>
      </c>
      <c r="EX1" t="s">
        <v>2796</v>
      </c>
      <c r="EY1" t="s">
        <v>2797</v>
      </c>
      <c r="EZ1" t="s">
        <v>2798</v>
      </c>
      <c r="FA1" t="s">
        <v>2799</v>
      </c>
      <c r="FB1" t="s">
        <v>2800</v>
      </c>
      <c r="FC1" t="s">
        <v>2801</v>
      </c>
      <c r="FD1" t="s">
        <v>2802</v>
      </c>
      <c r="FE1" t="s">
        <v>2803</v>
      </c>
      <c r="FF1" t="s">
        <v>2804</v>
      </c>
      <c r="FG1" t="s">
        <v>2805</v>
      </c>
      <c r="FH1" t="s">
        <v>2806</v>
      </c>
      <c r="FI1" t="s">
        <v>2807</v>
      </c>
      <c r="FJ1" t="s">
        <v>2808</v>
      </c>
      <c r="FK1" t="s">
        <v>2809</v>
      </c>
      <c r="FL1" t="s">
        <v>2810</v>
      </c>
      <c r="FM1" t="s">
        <v>2811</v>
      </c>
      <c r="FN1" t="s">
        <v>2812</v>
      </c>
      <c r="FO1" t="s">
        <v>2813</v>
      </c>
      <c r="FP1" t="s">
        <v>2814</v>
      </c>
      <c r="FQ1" t="s">
        <v>2815</v>
      </c>
      <c r="FR1" t="s">
        <v>2816</v>
      </c>
      <c r="FS1" t="s">
        <v>2817</v>
      </c>
      <c r="FT1" t="s">
        <v>2818</v>
      </c>
      <c r="FU1" t="s">
        <v>2819</v>
      </c>
      <c r="FV1" t="s">
        <v>2820</v>
      </c>
      <c r="FW1" t="s">
        <v>2821</v>
      </c>
      <c r="FX1" t="s">
        <v>2822</v>
      </c>
      <c r="FY1" t="s">
        <v>2823</v>
      </c>
      <c r="FZ1" t="s">
        <v>2824</v>
      </c>
      <c r="GA1" t="s">
        <v>2825</v>
      </c>
      <c r="GB1" t="s">
        <v>2826</v>
      </c>
      <c r="GC1" t="s">
        <v>2827</v>
      </c>
      <c r="GD1" t="s">
        <v>2828</v>
      </c>
      <c r="GE1" t="s">
        <v>2829</v>
      </c>
      <c r="GF1" t="s">
        <v>2830</v>
      </c>
      <c r="GG1" t="s">
        <v>2831</v>
      </c>
      <c r="GH1" t="s">
        <v>2832</v>
      </c>
      <c r="GI1" t="s">
        <v>2833</v>
      </c>
      <c r="GJ1" t="s">
        <v>2834</v>
      </c>
      <c r="GK1" t="s">
        <v>2835</v>
      </c>
      <c r="GL1" t="s">
        <v>2836</v>
      </c>
      <c r="GM1" t="s">
        <v>2837</v>
      </c>
      <c r="GN1" t="s">
        <v>2838</v>
      </c>
      <c r="GO1" t="s">
        <v>2839</v>
      </c>
      <c r="GP1" t="s">
        <v>2840</v>
      </c>
      <c r="GQ1" t="s">
        <v>2841</v>
      </c>
      <c r="GR1" t="s">
        <v>2842</v>
      </c>
      <c r="GS1" t="s">
        <v>2843</v>
      </c>
      <c r="GT1" t="s">
        <v>2844</v>
      </c>
      <c r="GU1" t="s">
        <v>2845</v>
      </c>
      <c r="GV1" t="s">
        <v>2846</v>
      </c>
      <c r="GW1" t="s">
        <v>2847</v>
      </c>
      <c r="GX1" t="s">
        <v>2848</v>
      </c>
      <c r="GY1" t="s">
        <v>2849</v>
      </c>
      <c r="GZ1" t="s">
        <v>2850</v>
      </c>
      <c r="HA1" t="s">
        <v>2851</v>
      </c>
      <c r="HB1" t="s">
        <v>2852</v>
      </c>
      <c r="HC1" t="s">
        <v>2853</v>
      </c>
      <c r="HD1" t="s">
        <v>2854</v>
      </c>
      <c r="HE1" t="s">
        <v>2855</v>
      </c>
      <c r="HF1" t="s">
        <v>2856</v>
      </c>
      <c r="HG1" t="s">
        <v>2857</v>
      </c>
      <c r="HH1" t="s">
        <v>2858</v>
      </c>
      <c r="HI1" t="s">
        <v>2859</v>
      </c>
      <c r="HJ1" t="s">
        <v>2860</v>
      </c>
      <c r="HK1" t="s">
        <v>2861</v>
      </c>
      <c r="HL1" t="s">
        <v>2862</v>
      </c>
      <c r="HM1" t="s">
        <v>2863</v>
      </c>
      <c r="HN1" t="s">
        <v>2864</v>
      </c>
      <c r="HO1" t="s">
        <v>2865</v>
      </c>
      <c r="HP1" t="s">
        <v>2866</v>
      </c>
      <c r="HQ1" t="s">
        <v>2867</v>
      </c>
      <c r="HR1" t="s">
        <v>2868</v>
      </c>
      <c r="HS1" t="s">
        <v>2869</v>
      </c>
      <c r="HT1" t="s">
        <v>2870</v>
      </c>
      <c r="HU1" t="s">
        <v>2871</v>
      </c>
      <c r="HV1" t="s">
        <v>2872</v>
      </c>
      <c r="HW1" t="s">
        <v>2873</v>
      </c>
      <c r="HX1" t="s">
        <v>2874</v>
      </c>
      <c r="HY1" t="s">
        <v>2875</v>
      </c>
      <c r="HZ1" t="s">
        <v>2876</v>
      </c>
      <c r="IA1" t="s">
        <v>2877</v>
      </c>
      <c r="IB1" t="s">
        <v>2878</v>
      </c>
      <c r="IC1" t="s">
        <v>2879</v>
      </c>
      <c r="ID1" t="s">
        <v>2880</v>
      </c>
      <c r="IE1" t="s">
        <v>2881</v>
      </c>
      <c r="IF1" t="s">
        <v>2882</v>
      </c>
      <c r="IG1" t="s">
        <v>2883</v>
      </c>
      <c r="IH1" t="s">
        <v>2884</v>
      </c>
      <c r="II1" t="s">
        <v>2885</v>
      </c>
      <c r="IJ1" t="s">
        <v>2886</v>
      </c>
      <c r="IK1" t="s">
        <v>2887</v>
      </c>
      <c r="IL1" t="s">
        <v>2888</v>
      </c>
      <c r="IM1" t="s">
        <v>2889</v>
      </c>
      <c r="IN1" t="s">
        <v>2890</v>
      </c>
      <c r="IO1" t="s">
        <v>2891</v>
      </c>
      <c r="IP1" t="s">
        <v>2892</v>
      </c>
      <c r="IQ1" t="s">
        <v>2893</v>
      </c>
      <c r="IR1" t="s">
        <v>2894</v>
      </c>
      <c r="IS1" t="s">
        <v>2895</v>
      </c>
      <c r="IT1" t="s">
        <v>2896</v>
      </c>
      <c r="IU1" t="s">
        <v>2897</v>
      </c>
      <c r="IV1" t="s">
        <v>2898</v>
      </c>
    </row>
    <row r="2" spans="1:256">
      <c r="A2" t="s">
        <v>2899</v>
      </c>
      <c r="B2" t="s">
        <v>2900</v>
      </c>
      <c r="C2" t="s">
        <v>2901</v>
      </c>
      <c r="D2" t="s">
        <v>2902</v>
      </c>
      <c r="E2" t="s">
        <v>2903</v>
      </c>
      <c r="F2" t="s">
        <v>2904</v>
      </c>
      <c r="G2" t="s">
        <v>2905</v>
      </c>
      <c r="H2" t="s">
        <v>2906</v>
      </c>
      <c r="I2" t="s">
        <v>2907</v>
      </c>
      <c r="J2" t="s">
        <v>2908</v>
      </c>
      <c r="K2" t="s">
        <v>2909</v>
      </c>
      <c r="L2" t="s">
        <v>2910</v>
      </c>
      <c r="M2" t="s">
        <v>2911</v>
      </c>
      <c r="N2" t="s">
        <v>2912</v>
      </c>
      <c r="O2" t="s">
        <v>2913</v>
      </c>
      <c r="P2" t="s">
        <v>2914</v>
      </c>
      <c r="Q2" t="s">
        <v>2915</v>
      </c>
      <c r="R2" t="s">
        <v>2916</v>
      </c>
      <c r="S2" t="s">
        <v>2917</v>
      </c>
      <c r="T2" t="s">
        <v>2918</v>
      </c>
      <c r="U2" t="s">
        <v>2919</v>
      </c>
      <c r="V2" t="s">
        <v>2920</v>
      </c>
      <c r="W2" t="s">
        <v>2921</v>
      </c>
      <c r="X2" t="s">
        <v>2922</v>
      </c>
      <c r="Y2" t="s">
        <v>2923</v>
      </c>
      <c r="Z2" t="s">
        <v>2924</v>
      </c>
      <c r="AA2" t="s">
        <v>2925</v>
      </c>
      <c r="AB2" t="s">
        <v>2926</v>
      </c>
      <c r="AC2" t="s">
        <v>2927</v>
      </c>
      <c r="AD2" t="s">
        <v>2928</v>
      </c>
      <c r="AE2" t="s">
        <v>2929</v>
      </c>
      <c r="AF2" t="s">
        <v>2930</v>
      </c>
      <c r="AG2" t="s">
        <v>2931</v>
      </c>
      <c r="AH2" t="s">
        <v>2932</v>
      </c>
      <c r="AI2" t="s">
        <v>2933</v>
      </c>
      <c r="AJ2" t="s">
        <v>2934</v>
      </c>
      <c r="AK2" t="s">
        <v>2935</v>
      </c>
      <c r="AL2" t="s">
        <v>2936</v>
      </c>
      <c r="AM2" t="s">
        <v>2937</v>
      </c>
      <c r="AN2" t="s">
        <v>2938</v>
      </c>
      <c r="AO2" t="s">
        <v>2939</v>
      </c>
      <c r="AP2" t="s">
        <v>2940</v>
      </c>
      <c r="AQ2" t="s">
        <v>2941</v>
      </c>
      <c r="AR2" t="s">
        <v>2942</v>
      </c>
      <c r="AS2" t="s">
        <v>2943</v>
      </c>
      <c r="AT2" t="s">
        <v>2944</v>
      </c>
      <c r="AU2" t="s">
        <v>2945</v>
      </c>
      <c r="AV2" t="s">
        <v>2946</v>
      </c>
      <c r="AW2" t="s">
        <v>2947</v>
      </c>
      <c r="AX2" t="s">
        <v>2948</v>
      </c>
      <c r="AY2" t="s">
        <v>2949</v>
      </c>
      <c r="AZ2" t="s">
        <v>2950</v>
      </c>
      <c r="BA2" t="s">
        <v>2951</v>
      </c>
      <c r="BB2" t="s">
        <v>2952</v>
      </c>
      <c r="BC2" t="s">
        <v>2953</v>
      </c>
      <c r="BD2" t="s">
        <v>2954</v>
      </c>
      <c r="BE2" t="s">
        <v>2955</v>
      </c>
      <c r="BF2" t="s">
        <v>2956</v>
      </c>
      <c r="BG2" t="s">
        <v>2957</v>
      </c>
      <c r="BH2" t="s">
        <v>2958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pageSetUpPr fitToPage="1"/>
  </sheetPr>
  <dimension ref="A1:Q28"/>
  <sheetViews>
    <sheetView showGridLines="0" tabSelected="1" view="pageBreakPreview" zoomScale="80" zoomScaleNormal="100" zoomScaleSheetLayoutView="80" workbookViewId="0"/>
  </sheetViews>
  <sheetFormatPr defaultColWidth="9.33203125" defaultRowHeight="14.25"/>
  <cols>
    <col min="1" max="1" width="4.5" style="185" customWidth="1"/>
    <col min="2" max="2" width="3.83203125" style="185" customWidth="1"/>
    <col min="3" max="3" width="15.83203125" style="185" customWidth="1"/>
    <col min="4" max="4" width="108.83203125" style="202" customWidth="1"/>
    <col min="5" max="5" width="15.83203125" style="185" customWidth="1"/>
    <col min="6" max="6" width="3.83203125" style="185" customWidth="1"/>
    <col min="7" max="7" width="4.5" style="185" customWidth="1"/>
    <col min="8" max="8" width="9.33203125" style="185"/>
    <col min="9" max="9" width="22.33203125" style="185" bestFit="1" customWidth="1"/>
    <col min="10" max="10" width="19" style="185" bestFit="1" customWidth="1"/>
    <col min="11" max="16384" width="9.33203125" style="185"/>
  </cols>
  <sheetData>
    <row r="1" spans="1:17">
      <c r="A1" s="260"/>
      <c r="B1" s="260"/>
      <c r="C1" s="260"/>
      <c r="D1" s="300"/>
    </row>
    <row r="2" spans="1:17">
      <c r="A2" s="260"/>
      <c r="B2" s="260"/>
      <c r="C2" s="260"/>
      <c r="D2" s="300"/>
      <c r="E2" s="260"/>
      <c r="F2" s="260"/>
      <c r="G2" s="260"/>
    </row>
    <row r="3" spans="1:17">
      <c r="A3" s="260"/>
      <c r="B3" s="260"/>
      <c r="C3" s="260"/>
      <c r="E3" s="260"/>
      <c r="F3" s="260"/>
      <c r="G3" s="260"/>
    </row>
    <row r="4" spans="1:17">
      <c r="A4" s="260"/>
      <c r="B4" s="260"/>
      <c r="C4" s="260"/>
      <c r="E4" s="260"/>
      <c r="F4" s="260"/>
      <c r="G4" s="260"/>
    </row>
    <row r="5" spans="1:17">
      <c r="A5" s="260"/>
      <c r="B5" s="260"/>
      <c r="C5" s="260"/>
      <c r="E5" s="260"/>
      <c r="F5" s="260"/>
      <c r="G5" s="260"/>
    </row>
    <row r="6" spans="1:17">
      <c r="A6" s="260"/>
      <c r="B6" s="301"/>
      <c r="C6" s="302"/>
      <c r="D6" s="303"/>
      <c r="E6" s="302"/>
      <c r="F6" s="302"/>
      <c r="G6" s="260"/>
    </row>
    <row r="7" spans="1:17" ht="15" thickBot="1">
      <c r="A7" s="260"/>
      <c r="B7" s="183"/>
      <c r="C7" s="184"/>
      <c r="D7" s="303"/>
      <c r="E7" s="302"/>
      <c r="F7" s="302"/>
      <c r="G7" s="260"/>
    </row>
    <row r="8" spans="1:17" ht="15" thickTop="1">
      <c r="A8" s="260"/>
      <c r="B8" s="186"/>
      <c r="C8" s="187"/>
      <c r="D8" s="188"/>
      <c r="E8" s="187"/>
      <c r="F8" s="187"/>
      <c r="G8" s="260"/>
    </row>
    <row r="9" spans="1:17" s="192" customFormat="1" ht="39.75">
      <c r="A9" s="260"/>
      <c r="B9" s="189"/>
      <c r="C9" s="190"/>
      <c r="D9" s="190" t="str">
        <f>+'MASTER PubCo Inputs'!C8</f>
        <v>IRC 409A Common Stock Independent Appraisal</v>
      </c>
      <c r="E9" s="191"/>
      <c r="F9" s="191"/>
      <c r="G9" s="260"/>
      <c r="I9" s="193" t="str">
        <f ca="1">IF(COUNTIF(Checklist!D8:D25,"Check")&gt;0,"Check","")</f>
        <v/>
      </c>
    </row>
    <row r="10" spans="1:17">
      <c r="A10" s="260"/>
      <c r="B10" s="194"/>
      <c r="C10" s="195"/>
      <c r="D10" s="196"/>
      <c r="E10" s="195"/>
      <c r="F10" s="195"/>
      <c r="G10" s="260"/>
      <c r="H10" s="260"/>
      <c r="I10" s="260"/>
      <c r="J10" s="260"/>
      <c r="K10" s="260"/>
      <c r="L10" s="260"/>
      <c r="M10" s="260"/>
      <c r="N10" s="260"/>
      <c r="O10" s="260"/>
      <c r="P10" s="260"/>
      <c r="Q10" s="260"/>
    </row>
    <row r="11" spans="1:17" ht="23.25">
      <c r="A11" s="260"/>
      <c r="B11" s="194"/>
      <c r="C11" s="195"/>
      <c r="D11" s="197" t="s">
        <v>371</v>
      </c>
      <c r="E11" s="195"/>
      <c r="F11" s="195"/>
      <c r="G11" s="260"/>
      <c r="H11" s="260"/>
      <c r="I11" s="260"/>
      <c r="J11" s="260"/>
      <c r="K11" s="260"/>
      <c r="L11" s="260"/>
      <c r="M11" s="260"/>
      <c r="N11" s="260"/>
      <c r="O11" s="260"/>
      <c r="P11" s="260"/>
      <c r="Q11" s="260"/>
    </row>
    <row r="12" spans="1:17" ht="19.5">
      <c r="A12" s="260"/>
      <c r="B12" s="194"/>
      <c r="C12" s="195"/>
      <c r="D12" s="198" t="s">
        <v>372</v>
      </c>
      <c r="E12" s="195"/>
      <c r="F12" s="195"/>
      <c r="G12" s="260"/>
      <c r="H12" s="260"/>
      <c r="I12" s="260"/>
      <c r="J12" s="260"/>
      <c r="K12" s="260"/>
      <c r="L12" s="260"/>
      <c r="M12" s="260"/>
      <c r="N12" s="260"/>
      <c r="O12" s="260"/>
      <c r="P12" s="260"/>
      <c r="Q12" s="260"/>
    </row>
    <row r="13" spans="1:17" ht="23.25">
      <c r="A13" s="260"/>
      <c r="B13" s="194"/>
      <c r="C13" s="195"/>
      <c r="D13" s="197" t="str">
        <f>IF('MASTER PubCo Inputs'!C5="","",'MASTER PubCo Inputs'!C5)</f>
        <v>Medikine, Inc.</v>
      </c>
      <c r="E13" s="195"/>
      <c r="F13" s="195"/>
      <c r="G13" s="260"/>
      <c r="H13" s="260"/>
      <c r="I13" s="260"/>
      <c r="J13" s="260"/>
      <c r="K13" s="260"/>
      <c r="L13" s="260"/>
      <c r="M13" s="260"/>
      <c r="N13" s="260"/>
      <c r="O13" s="260"/>
      <c r="P13" s="260"/>
      <c r="Q13" s="260"/>
    </row>
    <row r="14" spans="1:17">
      <c r="A14" s="260"/>
      <c r="B14" s="194"/>
      <c r="C14" s="195"/>
      <c r="D14" s="196"/>
      <c r="E14" s="195"/>
      <c r="F14" s="195"/>
      <c r="G14" s="260"/>
      <c r="H14" s="260"/>
      <c r="I14" s="260"/>
      <c r="J14" s="260"/>
      <c r="K14" s="260"/>
      <c r="L14" s="260"/>
      <c r="M14" s="260"/>
      <c r="N14" s="260"/>
      <c r="O14" s="260"/>
      <c r="P14" s="260"/>
      <c r="Q14" s="260"/>
    </row>
    <row r="15" spans="1:17" ht="23.25">
      <c r="A15" s="260"/>
      <c r="B15" s="194"/>
      <c r="C15" s="195"/>
      <c r="D15" s="197" t="str">
        <f>"Valuation Date as of "&amp;TEXT('MASTER PubCo Inputs'!$C$6,"mmmm d, yyyy")&amp;""</f>
        <v>Valuation Date as of January 31, 2019</v>
      </c>
      <c r="E15" s="195"/>
      <c r="F15" s="195"/>
      <c r="G15" s="260"/>
      <c r="H15" s="260"/>
      <c r="I15" s="260"/>
      <c r="J15" s="260"/>
      <c r="K15" s="260"/>
      <c r="L15" s="260"/>
      <c r="M15" s="260"/>
      <c r="N15" s="260"/>
      <c r="O15" s="260"/>
      <c r="P15" s="260"/>
      <c r="Q15" s="260"/>
    </row>
    <row r="16" spans="1:17" ht="15" thickBot="1">
      <c r="A16" s="260"/>
      <c r="B16" s="199"/>
      <c r="C16" s="200"/>
      <c r="D16" s="201"/>
      <c r="E16" s="200"/>
      <c r="F16" s="200"/>
      <c r="G16" s="260"/>
      <c r="H16" s="260"/>
      <c r="I16" s="260"/>
      <c r="J16" s="260"/>
      <c r="K16" s="260"/>
      <c r="L16" s="260"/>
      <c r="M16" s="260"/>
      <c r="N16" s="260"/>
      <c r="O16" s="260"/>
      <c r="P16" s="260"/>
      <c r="Q16" s="260"/>
    </row>
    <row r="17" spans="1:17" ht="15" thickTop="1">
      <c r="A17" s="260"/>
      <c r="B17" s="260"/>
      <c r="C17" s="260"/>
      <c r="D17" s="300"/>
      <c r="E17" s="260"/>
      <c r="F17" s="260"/>
      <c r="H17" s="260"/>
      <c r="I17" s="260"/>
      <c r="J17" s="260"/>
      <c r="K17" s="260"/>
      <c r="L17" s="260"/>
      <c r="M17" s="260"/>
      <c r="N17" s="260"/>
      <c r="O17" s="260"/>
      <c r="P17" s="260"/>
      <c r="Q17" s="260"/>
    </row>
    <row r="18" spans="1:17">
      <c r="A18" s="260"/>
      <c r="B18" s="260"/>
      <c r="C18" s="260"/>
      <c r="D18" s="300"/>
      <c r="E18" s="260"/>
      <c r="F18" s="260"/>
      <c r="H18" s="260"/>
      <c r="I18" s="260"/>
      <c r="J18" s="260"/>
      <c r="K18" s="260"/>
      <c r="L18" s="260"/>
      <c r="M18" s="260"/>
      <c r="N18" s="260"/>
      <c r="O18" s="260"/>
      <c r="P18" s="260"/>
      <c r="Q18" s="260"/>
    </row>
    <row r="19" spans="1:17" ht="18">
      <c r="A19" s="260"/>
      <c r="B19" s="260"/>
      <c r="C19" s="260"/>
      <c r="D19" s="203" t="s">
        <v>373</v>
      </c>
      <c r="E19" s="260"/>
      <c r="F19" s="260"/>
      <c r="H19" s="260"/>
      <c r="I19" s="260"/>
      <c r="J19" s="260"/>
      <c r="K19" s="260"/>
      <c r="L19" s="260"/>
      <c r="M19" s="260"/>
      <c r="N19" s="260"/>
      <c r="O19" s="260"/>
      <c r="P19" s="260"/>
      <c r="Q19" s="260"/>
    </row>
    <row r="20" spans="1:17" ht="18">
      <c r="A20" s="260"/>
      <c r="B20" s="260"/>
      <c r="C20" s="260"/>
      <c r="D20" s="204" t="str">
        <f ca="1">TEXT(J20,"mmmm d, yyyy")</f>
        <v>February 13, 2019</v>
      </c>
      <c r="E20" s="260"/>
      <c r="F20" s="260"/>
      <c r="H20" s="260"/>
      <c r="I20" s="260" t="s">
        <v>375</v>
      </c>
      <c r="J20" s="261">
        <f ca="1">TODAY()</f>
        <v>43509</v>
      </c>
      <c r="K20" s="260"/>
      <c r="L20" s="260"/>
      <c r="M20" s="260"/>
      <c r="N20" s="260"/>
      <c r="O20" s="260"/>
      <c r="P20" s="260"/>
      <c r="Q20" s="260"/>
    </row>
    <row r="21" spans="1:17">
      <c r="A21" s="260"/>
      <c r="B21" s="260"/>
      <c r="C21" s="260"/>
      <c r="D21" s="300"/>
      <c r="E21" s="260"/>
      <c r="F21" s="260"/>
      <c r="H21" s="260"/>
      <c r="I21" s="260"/>
      <c r="J21" s="260"/>
      <c r="K21" s="260"/>
      <c r="L21" s="260"/>
      <c r="M21" s="260"/>
      <c r="N21" s="260"/>
      <c r="O21" s="260"/>
      <c r="P21" s="260"/>
      <c r="Q21" s="260"/>
    </row>
    <row r="22" spans="1:17">
      <c r="A22" s="260"/>
      <c r="B22" s="260"/>
      <c r="C22" s="260"/>
      <c r="D22" s="300"/>
      <c r="E22" s="260"/>
      <c r="F22" s="260"/>
      <c r="H22" s="260"/>
      <c r="I22" s="260"/>
      <c r="J22" s="260"/>
      <c r="K22" s="260"/>
      <c r="L22" s="260"/>
      <c r="M22" s="260"/>
      <c r="N22" s="260"/>
      <c r="O22" s="260"/>
      <c r="P22" s="260"/>
      <c r="Q22" s="260"/>
    </row>
    <row r="23" spans="1:17">
      <c r="A23" s="260"/>
      <c r="B23" s="260"/>
      <c r="C23" s="260"/>
      <c r="D23" s="300"/>
      <c r="E23" s="260"/>
      <c r="F23" s="260"/>
      <c r="H23" s="260"/>
      <c r="I23" s="260"/>
      <c r="J23" s="260"/>
      <c r="K23" s="260"/>
      <c r="L23" s="260"/>
      <c r="M23" s="260"/>
      <c r="N23" s="260"/>
      <c r="O23" s="260"/>
      <c r="P23" s="260"/>
      <c r="Q23" s="260"/>
    </row>
    <row r="24" spans="1:17">
      <c r="A24" s="260"/>
      <c r="B24" s="260"/>
      <c r="C24" s="260"/>
      <c r="D24" s="300"/>
      <c r="E24" s="260"/>
      <c r="F24" s="260"/>
      <c r="H24" s="260"/>
      <c r="I24" s="260"/>
      <c r="J24" s="260"/>
      <c r="K24" s="260"/>
      <c r="L24" s="260"/>
      <c r="M24" s="260"/>
      <c r="N24" s="260"/>
      <c r="O24" s="260"/>
      <c r="P24" s="260"/>
      <c r="Q24" s="260"/>
    </row>
    <row r="25" spans="1:17" ht="23.25">
      <c r="A25" s="260"/>
      <c r="B25" s="260"/>
      <c r="C25" s="260"/>
      <c r="D25" s="205"/>
      <c r="E25" s="260"/>
      <c r="F25" s="260"/>
      <c r="H25" s="260"/>
      <c r="I25" s="260"/>
      <c r="J25" s="260"/>
      <c r="K25" s="260"/>
      <c r="L25" s="260"/>
      <c r="M25" s="260"/>
      <c r="N25" s="260"/>
      <c r="O25" s="260"/>
      <c r="P25" s="260"/>
      <c r="Q25" s="260"/>
    </row>
    <row r="26" spans="1:17">
      <c r="A26" s="260"/>
      <c r="B26" s="260"/>
      <c r="C26" s="260"/>
      <c r="D26" s="300"/>
      <c r="E26" s="260"/>
      <c r="F26" s="260"/>
      <c r="H26" s="260"/>
      <c r="I26" s="260"/>
      <c r="J26" s="260"/>
      <c r="K26" s="260"/>
      <c r="L26" s="260"/>
      <c r="M26" s="260"/>
      <c r="N26" s="260"/>
      <c r="O26" s="260"/>
      <c r="P26" s="260"/>
      <c r="Q26" s="260"/>
    </row>
    <row r="27" spans="1:17" ht="18">
      <c r="A27" s="260"/>
      <c r="B27" s="260"/>
      <c r="C27" s="260"/>
      <c r="D27" s="206"/>
      <c r="E27" s="260"/>
      <c r="F27" s="260"/>
      <c r="G27" s="260"/>
      <c r="H27" s="260"/>
      <c r="I27" s="260"/>
      <c r="J27" s="260"/>
      <c r="K27" s="260"/>
      <c r="L27" s="260"/>
      <c r="M27" s="260"/>
      <c r="N27" s="260"/>
      <c r="O27" s="260"/>
      <c r="P27" s="260"/>
      <c r="Q27" s="260"/>
    </row>
    <row r="28" spans="1:17" ht="36">
      <c r="A28" s="260"/>
      <c r="B28" s="260"/>
      <c r="C28" s="260"/>
      <c r="D28" s="207" t="s">
        <v>374</v>
      </c>
      <c r="E28" s="260"/>
      <c r="F28" s="260"/>
      <c r="G28" s="260"/>
    </row>
  </sheetData>
  <pageMargins left="0.5" right="0.5" top="0.5" bottom="0.5" header="0.5" footer="0.5"/>
  <pageSetup scale="98" orientation="landscape"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B1:L73"/>
  <sheetViews>
    <sheetView showGridLines="0" view="pageBreakPreview" zoomScale="80" zoomScaleNormal="100" zoomScaleSheetLayoutView="80" workbookViewId="0"/>
  </sheetViews>
  <sheetFormatPr defaultRowHeight="12.75" outlineLevelRow="1" outlineLevelCol="1"/>
  <cols>
    <col min="1" max="1" width="4.5" style="208" customWidth="1"/>
    <col min="2" max="2" width="20.83203125" style="208" customWidth="1"/>
    <col min="3" max="4" width="14.83203125" style="208" customWidth="1"/>
    <col min="5" max="5" width="80.83203125" style="209" customWidth="1"/>
    <col min="6" max="6" width="30.83203125" style="208" customWidth="1"/>
    <col min="7" max="7" width="20.83203125" style="209" hidden="1" customWidth="1" outlineLevel="1"/>
    <col min="8" max="8" width="4.5" style="208" customWidth="1" collapsed="1"/>
    <col min="9" max="10" width="2.83203125" style="208" customWidth="1"/>
    <col min="11" max="11" width="3.33203125" style="208" customWidth="1"/>
    <col min="12" max="16384" width="9.33203125" style="208"/>
  </cols>
  <sheetData>
    <row r="1" spans="2:12" ht="10.7" customHeight="1" thickBot="1"/>
    <row r="2" spans="2:12" ht="16.5" customHeight="1" thickTop="1">
      <c r="B2" s="216" t="str">
        <f>'MASTER PubCo Inputs'!$C$5</f>
        <v>Medikine, Inc.</v>
      </c>
      <c r="C2" s="216"/>
      <c r="D2" s="216"/>
      <c r="E2" s="220"/>
      <c r="F2" s="216"/>
      <c r="G2" s="262"/>
    </row>
    <row r="3" spans="2:12" ht="16.5" customHeight="1" thickBot="1">
      <c r="B3" s="444" t="s">
        <v>511</v>
      </c>
      <c r="C3" s="444"/>
      <c r="D3" s="444"/>
      <c r="E3" s="221"/>
      <c r="F3" s="444"/>
      <c r="G3" s="263"/>
    </row>
    <row r="4" spans="2:12" ht="12.75" customHeight="1" thickTop="1"/>
    <row r="5" spans="2:12" ht="12.75" customHeight="1"/>
    <row r="6" spans="2:12" ht="12.75" customHeight="1">
      <c r="B6" s="210" t="s">
        <v>512</v>
      </c>
      <c r="C6" s="211"/>
      <c r="D6" s="211"/>
      <c r="E6" s="210" t="s">
        <v>575</v>
      </c>
      <c r="F6" s="211"/>
      <c r="G6" s="210"/>
    </row>
    <row r="7" spans="2:12" ht="12.75" customHeight="1">
      <c r="B7" s="212"/>
      <c r="C7" s="211"/>
      <c r="D7" s="211"/>
      <c r="E7" s="210"/>
      <c r="F7" s="211"/>
      <c r="G7" s="210"/>
    </row>
    <row r="8" spans="2:12">
      <c r="B8" s="213" t="str">
        <f>K8&amp;"."&amp;L8</f>
        <v>A.1</v>
      </c>
      <c r="E8" s="214" t="str">
        <f>'Val Summ'!B4</f>
        <v>Valuation Summary</v>
      </c>
      <c r="G8" s="209" t="str">
        <f>"Exhibit "&amp;B8</f>
        <v>Exhibit A.1</v>
      </c>
      <c r="J8" s="208">
        <v>65</v>
      </c>
      <c r="K8" s="208" t="str">
        <f>CHAR(J8)</f>
        <v>A</v>
      </c>
      <c r="L8" s="208">
        <v>1</v>
      </c>
    </row>
    <row r="9" spans="2:12">
      <c r="B9" s="213"/>
      <c r="E9" s="214"/>
      <c r="G9" s="209" t="str">
        <f t="shared" ref="G9:G56" si="0">"Exhibit "&amp;B9</f>
        <v xml:space="preserve">Exhibit </v>
      </c>
    </row>
    <row r="10" spans="2:12">
      <c r="B10" s="213"/>
      <c r="E10" s="214" t="str">
        <f>'Allocation Method &gt;&gt;'!D9</f>
        <v>Allocation Methodology</v>
      </c>
      <c r="G10" s="209" t="str">
        <f t="shared" si="0"/>
        <v xml:space="preserve">Exhibit </v>
      </c>
    </row>
    <row r="11" spans="2:12">
      <c r="B11" s="213" t="str">
        <f t="shared" ref="B11:B57" si="1">K11&amp;"."&amp;L11</f>
        <v>B.1</v>
      </c>
      <c r="E11" s="214" t="str">
        <f>CVM!B4</f>
        <v>Current Value Method ("CVM")</v>
      </c>
      <c r="G11" s="209" t="str">
        <f t="shared" si="0"/>
        <v>Exhibit B.1</v>
      </c>
      <c r="J11" s="208">
        <f>IF(J10="",J8+1,J10)</f>
        <v>66</v>
      </c>
      <c r="K11" s="208" t="str">
        <f>CHAR(J11)</f>
        <v>B</v>
      </c>
      <c r="L11" s="208">
        <f>IF(L10="",1,L10+1)</f>
        <v>1</v>
      </c>
    </row>
    <row r="12" spans="2:12" hidden="1" outlineLevel="1">
      <c r="B12" s="213" t="str">
        <f t="shared" si="1"/>
        <v>B.2</v>
      </c>
      <c r="E12" s="214"/>
      <c r="G12" s="209" t="str">
        <f t="shared" si="0"/>
        <v>Exhibit B.2</v>
      </c>
      <c r="J12" s="208">
        <f>IF(J11="",J10+1,J11)</f>
        <v>66</v>
      </c>
      <c r="K12" s="208" t="str">
        <f t="shared" ref="K12:K46" si="2">CHAR(J12)</f>
        <v>B</v>
      </c>
      <c r="L12" s="208">
        <f>IF(L11="",1,L11+1)</f>
        <v>2</v>
      </c>
    </row>
    <row r="13" spans="2:12" hidden="1" outlineLevel="1">
      <c r="B13" s="213" t="str">
        <f t="shared" si="1"/>
        <v>B.3</v>
      </c>
      <c r="E13" s="214"/>
      <c r="G13" s="209" t="str">
        <f t="shared" si="0"/>
        <v>Exhibit B.3</v>
      </c>
      <c r="J13" s="208">
        <f>IF(J12="",J11+1,J12)</f>
        <v>66</v>
      </c>
      <c r="K13" s="208" t="str">
        <f t="shared" si="2"/>
        <v>B</v>
      </c>
      <c r="L13" s="208">
        <f>IF(L12="",1,L12+1)</f>
        <v>3</v>
      </c>
    </row>
    <row r="14" spans="2:12" hidden="1" outlineLevel="1">
      <c r="B14" s="213" t="str">
        <f t="shared" si="1"/>
        <v>B.4</v>
      </c>
      <c r="E14" s="214"/>
      <c r="G14" s="209" t="str">
        <f t="shared" si="0"/>
        <v>Exhibit B.4</v>
      </c>
      <c r="J14" s="208">
        <f>IF(J13="",J12+1,J13)</f>
        <v>66</v>
      </c>
      <c r="K14" s="208" t="str">
        <f t="shared" si="2"/>
        <v>B</v>
      </c>
      <c r="L14" s="208">
        <f>IF(L13="",1,L13+1)</f>
        <v>4</v>
      </c>
    </row>
    <row r="15" spans="2:12" hidden="1" outlineLevel="1">
      <c r="B15" s="213" t="str">
        <f t="shared" si="1"/>
        <v>B.5</v>
      </c>
      <c r="E15" s="214"/>
      <c r="G15" s="209" t="str">
        <f t="shared" si="0"/>
        <v>Exhibit B.5</v>
      </c>
      <c r="J15" s="208">
        <f>IF(J14="",J13+1,J14)</f>
        <v>66</v>
      </c>
      <c r="K15" s="208" t="str">
        <f t="shared" si="2"/>
        <v>B</v>
      </c>
      <c r="L15" s="208">
        <f>IF(L14="",1,L14+1)</f>
        <v>5</v>
      </c>
    </row>
    <row r="16" spans="2:12" collapsed="1">
      <c r="B16" s="213"/>
      <c r="E16" s="214"/>
      <c r="G16" s="209" t="str">
        <f t="shared" si="0"/>
        <v xml:space="preserve">Exhibit </v>
      </c>
    </row>
    <row r="17" spans="2:12">
      <c r="B17" s="213"/>
      <c r="E17" s="264" t="str">
        <f>'FS &gt;&gt;'!$D$9</f>
        <v>Historical and Forecast Financial Statements</v>
      </c>
      <c r="G17" s="209" t="str">
        <f t="shared" si="0"/>
        <v xml:space="preserve">Exhibit </v>
      </c>
    </row>
    <row r="18" spans="2:12">
      <c r="B18" s="213" t="str">
        <f t="shared" si="1"/>
        <v>C.1</v>
      </c>
      <c r="E18" s="214" t="str">
        <f>Forecast!$B$4</f>
        <v>Financial Forecasts</v>
      </c>
      <c r="G18" s="209" t="str">
        <f t="shared" si="0"/>
        <v>Exhibit C.1</v>
      </c>
      <c r="J18" s="208">
        <f>IF(J17="",J15+1,J17)</f>
        <v>67</v>
      </c>
      <c r="K18" s="208" t="str">
        <f t="shared" si="2"/>
        <v>C</v>
      </c>
      <c r="L18" s="208">
        <f t="shared" ref="L18:L57" si="3">IF(L17="",1,L17+1)</f>
        <v>1</v>
      </c>
    </row>
    <row r="19" spans="2:12">
      <c r="B19" s="213" t="str">
        <f>K19&amp;"."&amp;L19</f>
        <v>C.2</v>
      </c>
      <c r="E19" s="214" t="str">
        <f>'Hist IS'!$B$4</f>
        <v>Historical Income Statement</v>
      </c>
      <c r="G19" s="209" t="str">
        <f>"Exhibit "&amp;B19</f>
        <v>Exhibit C.2</v>
      </c>
      <c r="J19" s="208">
        <f>IF(J18="",J16+1,J18)</f>
        <v>67</v>
      </c>
      <c r="K19" s="208" t="str">
        <f>CHAR(J19)</f>
        <v>C</v>
      </c>
      <c r="L19" s="208">
        <f>IF(L18="",1,L18+1)</f>
        <v>2</v>
      </c>
    </row>
    <row r="20" spans="2:12">
      <c r="B20" s="213" t="str">
        <f t="shared" si="1"/>
        <v>C.3</v>
      </c>
      <c r="E20" s="214" t="str">
        <f>'Hist BS'!$B$4</f>
        <v>Historical Balance Sheet</v>
      </c>
      <c r="G20" s="209" t="str">
        <f t="shared" si="0"/>
        <v>Exhibit C.3</v>
      </c>
      <c r="J20" s="208">
        <f>IF(J19="",J17+1,J19)</f>
        <v>67</v>
      </c>
      <c r="K20" s="208" t="str">
        <f t="shared" si="2"/>
        <v>C</v>
      </c>
      <c r="L20" s="208">
        <f>IF(L19="",1,L19+1)</f>
        <v>3</v>
      </c>
    </row>
    <row r="21" spans="2:12" hidden="1" outlineLevel="1">
      <c r="B21" s="213" t="str">
        <f t="shared" si="1"/>
        <v>C.4</v>
      </c>
      <c r="E21" s="214"/>
      <c r="G21" s="209" t="str">
        <f t="shared" si="0"/>
        <v>Exhibit C.4</v>
      </c>
      <c r="J21" s="208">
        <f>IF(J20="",J18+1,J20)</f>
        <v>67</v>
      </c>
      <c r="K21" s="208" t="str">
        <f t="shared" si="2"/>
        <v>C</v>
      </c>
      <c r="L21" s="208">
        <f>IF(L20="",1,L20+1)</f>
        <v>4</v>
      </c>
    </row>
    <row r="22" spans="2:12" hidden="1" outlineLevel="1">
      <c r="B22" s="213"/>
      <c r="E22" s="214"/>
      <c r="G22" s="209" t="str">
        <f t="shared" si="0"/>
        <v xml:space="preserve">Exhibit </v>
      </c>
    </row>
    <row r="23" spans="2:12" hidden="1" outlineLevel="1">
      <c r="B23" s="213"/>
      <c r="E23" s="214" t="str">
        <f>'Discount Rate FP &gt;&gt;'!$D$9</f>
        <v>Discount Rates</v>
      </c>
      <c r="G23" s="209" t="str">
        <f t="shared" si="0"/>
        <v xml:space="preserve">Exhibit </v>
      </c>
    </row>
    <row r="24" spans="2:12" hidden="1" outlineLevel="1">
      <c r="B24" s="213" t="str">
        <f t="shared" si="1"/>
        <v>D.1</v>
      </c>
      <c r="E24" s="214"/>
      <c r="G24" s="209" t="str">
        <f t="shared" si="0"/>
        <v>Exhibit D.1</v>
      </c>
      <c r="J24" s="208">
        <f>IF(J23="",J21+1,J23)</f>
        <v>68</v>
      </c>
      <c r="K24" s="208" t="str">
        <f t="shared" si="2"/>
        <v>D</v>
      </c>
      <c r="L24" s="208">
        <f t="shared" si="3"/>
        <v>1</v>
      </c>
    </row>
    <row r="25" spans="2:12" hidden="1" outlineLevel="1">
      <c r="B25" s="213" t="str">
        <f t="shared" si="1"/>
        <v>D.2</v>
      </c>
      <c r="E25" s="214"/>
      <c r="G25" s="209" t="str">
        <f t="shared" si="0"/>
        <v>Exhibit D.2</v>
      </c>
      <c r="J25" s="208">
        <f t="shared" ref="J25:J57" si="4">IF(J24="",J23+1,J24)</f>
        <v>68</v>
      </c>
      <c r="K25" s="208" t="str">
        <f t="shared" si="2"/>
        <v>D</v>
      </c>
      <c r="L25" s="208">
        <f t="shared" si="3"/>
        <v>2</v>
      </c>
    </row>
    <row r="26" spans="2:12" hidden="1" outlineLevel="1">
      <c r="B26" s="213" t="str">
        <f t="shared" si="1"/>
        <v>D.3</v>
      </c>
      <c r="E26" s="214"/>
      <c r="G26" s="209" t="str">
        <f t="shared" si="0"/>
        <v>Exhibit D.3</v>
      </c>
      <c r="J26" s="208">
        <f t="shared" si="4"/>
        <v>68</v>
      </c>
      <c r="K26" s="208" t="str">
        <f t="shared" si="2"/>
        <v>D</v>
      </c>
      <c r="L26" s="208">
        <f t="shared" si="3"/>
        <v>3</v>
      </c>
    </row>
    <row r="27" spans="2:12" hidden="1" outlineLevel="1">
      <c r="B27" s="213" t="str">
        <f t="shared" si="1"/>
        <v>D.4</v>
      </c>
      <c r="E27" s="214"/>
      <c r="G27" s="209" t="str">
        <f>"Exhibit "&amp;B27</f>
        <v>Exhibit D.4</v>
      </c>
      <c r="J27" s="208">
        <f t="shared" si="4"/>
        <v>68</v>
      </c>
      <c r="K27" s="208" t="str">
        <f t="shared" si="2"/>
        <v>D</v>
      </c>
      <c r="L27" s="208">
        <f t="shared" si="3"/>
        <v>4</v>
      </c>
    </row>
    <row r="28" spans="2:12" collapsed="1">
      <c r="B28" s="213"/>
      <c r="E28" s="214"/>
      <c r="G28" s="209" t="str">
        <f t="shared" si="0"/>
        <v xml:space="preserve">Exhibit </v>
      </c>
    </row>
    <row r="29" spans="2:12">
      <c r="B29" s="213"/>
      <c r="E29" s="264" t="str">
        <f>'GCM FP &gt;&gt;'!$D$9</f>
        <v>Guideline Comparables Analysis</v>
      </c>
      <c r="G29" s="209" t="str">
        <f t="shared" si="0"/>
        <v xml:space="preserve">Exhibit </v>
      </c>
    </row>
    <row r="30" spans="2:12">
      <c r="B30" s="213" t="str">
        <f t="shared" si="1"/>
        <v>D.1</v>
      </c>
      <c r="E30" s="214" t="str">
        <f>'Comp.1'!$B$4</f>
        <v>Guideline Public Companies' Revenue Multiples</v>
      </c>
      <c r="G30" s="209" t="str">
        <f t="shared" si="0"/>
        <v>Exhibit D.1</v>
      </c>
      <c r="J30" s="208">
        <f>IF(J29="",J21+1,J29)</f>
        <v>68</v>
      </c>
      <c r="K30" s="208" t="str">
        <f t="shared" si="2"/>
        <v>D</v>
      </c>
      <c r="L30" s="208">
        <f t="shared" si="3"/>
        <v>1</v>
      </c>
    </row>
    <row r="31" spans="2:12">
      <c r="B31" s="213" t="str">
        <f t="shared" si="1"/>
        <v>D.2</v>
      </c>
      <c r="E31" s="214" t="str">
        <f>'Comp.2'!$B$4</f>
        <v>Guideline Public Companies' EBITDA Multiples</v>
      </c>
      <c r="G31" s="209" t="str">
        <f t="shared" si="0"/>
        <v>Exhibit D.2</v>
      </c>
      <c r="J31" s="208">
        <f t="shared" si="4"/>
        <v>68</v>
      </c>
      <c r="K31" s="208" t="str">
        <f t="shared" si="2"/>
        <v>D</v>
      </c>
      <c r="L31" s="208">
        <f t="shared" si="3"/>
        <v>2</v>
      </c>
    </row>
    <row r="32" spans="2:12">
      <c r="B32" s="213" t="str">
        <f t="shared" si="1"/>
        <v>D.3</v>
      </c>
      <c r="E32" s="214" t="str">
        <f>'Comp.5'!$B$4</f>
        <v>Guideline Public Companies' Margins &amp; Cash Flow Metrics</v>
      </c>
      <c r="G32" s="209" t="str">
        <f t="shared" si="0"/>
        <v>Exhibit D.3</v>
      </c>
      <c r="J32" s="208">
        <f t="shared" si="4"/>
        <v>68</v>
      </c>
      <c r="K32" s="208" t="str">
        <f t="shared" si="2"/>
        <v>D</v>
      </c>
      <c r="L32" s="208">
        <f t="shared" si="3"/>
        <v>3</v>
      </c>
    </row>
    <row r="33" spans="2:12">
      <c r="B33" s="213" t="str">
        <f t="shared" si="1"/>
        <v>D.4</v>
      </c>
      <c r="E33" s="214" t="str">
        <f>'Comp.6'!$B$4</f>
        <v>Guideline Public Companies' Descriptions</v>
      </c>
      <c r="G33" s="209" t="str">
        <f t="shared" si="0"/>
        <v>Exhibit D.4</v>
      </c>
      <c r="J33" s="208">
        <f t="shared" si="4"/>
        <v>68</v>
      </c>
      <c r="K33" s="208" t="str">
        <f>CHAR(J33)</f>
        <v>D</v>
      </c>
      <c r="L33" s="208">
        <f t="shared" si="3"/>
        <v>4</v>
      </c>
    </row>
    <row r="34" spans="2:12" hidden="1" outlineLevel="1">
      <c r="B34" s="213" t="str">
        <f t="shared" si="1"/>
        <v>D.5</v>
      </c>
      <c r="E34" s="214"/>
      <c r="G34" s="209" t="str">
        <f t="shared" si="0"/>
        <v>Exhibit D.5</v>
      </c>
      <c r="J34" s="208">
        <f t="shared" si="4"/>
        <v>68</v>
      </c>
      <c r="K34" s="208" t="str">
        <f>CHAR(J34)</f>
        <v>D</v>
      </c>
      <c r="L34" s="208">
        <f t="shared" si="3"/>
        <v>5</v>
      </c>
    </row>
    <row r="35" spans="2:12" collapsed="1">
      <c r="B35" s="213"/>
      <c r="E35" s="214"/>
      <c r="G35" s="209" t="str">
        <f t="shared" si="0"/>
        <v xml:space="preserve">Exhibit </v>
      </c>
    </row>
    <row r="36" spans="2:12">
      <c r="B36" s="213"/>
      <c r="E36" s="264" t="str">
        <f>'GTM FP &gt;&gt;'!$D$9</f>
        <v>Guideline Transaction Analysis</v>
      </c>
      <c r="G36" s="209" t="str">
        <f t="shared" si="0"/>
        <v xml:space="preserve">Exhibit </v>
      </c>
    </row>
    <row r="37" spans="2:12">
      <c r="B37" s="213" t="str">
        <f t="shared" si="1"/>
        <v>E.1</v>
      </c>
      <c r="E37" s="214" t="str">
        <f>Trans.1!$B$4</f>
        <v>Guideline Transactions' Multiples Analysis</v>
      </c>
      <c r="G37" s="209" t="str">
        <f t="shared" si="0"/>
        <v>Exhibit E.1</v>
      </c>
      <c r="J37" s="208">
        <f>IF(J36="",J34+1,J36)</f>
        <v>69</v>
      </c>
      <c r="K37" s="208" t="str">
        <f t="shared" si="2"/>
        <v>E</v>
      </c>
      <c r="L37" s="208">
        <f t="shared" si="3"/>
        <v>1</v>
      </c>
    </row>
    <row r="38" spans="2:12">
      <c r="B38" s="213" t="str">
        <f t="shared" si="1"/>
        <v>E.2</v>
      </c>
      <c r="E38" s="214" t="str">
        <f>Trans.2!$B$4</f>
        <v>Guideline Transactions' Target Descriptions</v>
      </c>
      <c r="G38" s="209" t="str">
        <f t="shared" si="0"/>
        <v>Exhibit E.2</v>
      </c>
      <c r="J38" s="208">
        <f t="shared" si="4"/>
        <v>69</v>
      </c>
      <c r="K38" s="208" t="str">
        <f t="shared" si="2"/>
        <v>E</v>
      </c>
      <c r="L38" s="208">
        <f t="shared" si="3"/>
        <v>2</v>
      </c>
    </row>
    <row r="39" spans="2:12" hidden="1" outlineLevel="1">
      <c r="B39" s="213" t="str">
        <f t="shared" si="1"/>
        <v>E.3</v>
      </c>
      <c r="E39" s="214"/>
      <c r="G39" s="209" t="str">
        <f t="shared" si="0"/>
        <v>Exhibit E.3</v>
      </c>
      <c r="J39" s="208">
        <f t="shared" si="4"/>
        <v>69</v>
      </c>
      <c r="K39" s="208" t="str">
        <f t="shared" si="2"/>
        <v>E</v>
      </c>
      <c r="L39" s="208">
        <f t="shared" si="3"/>
        <v>3</v>
      </c>
    </row>
    <row r="40" spans="2:12" collapsed="1">
      <c r="B40" s="213"/>
      <c r="E40" s="214"/>
      <c r="G40" s="209" t="str">
        <f t="shared" si="0"/>
        <v xml:space="preserve">Exhibit </v>
      </c>
    </row>
    <row r="41" spans="2:12">
      <c r="B41" s="213"/>
      <c r="E41" s="214" t="str">
        <f>'Cap Structure FP &gt;&gt;'!$D$9</f>
        <v>Capitalization Summary</v>
      </c>
      <c r="G41" s="209" t="str">
        <f t="shared" si="0"/>
        <v xml:space="preserve">Exhibit </v>
      </c>
    </row>
    <row r="42" spans="2:12">
      <c r="B42" s="213" t="str">
        <f t="shared" si="1"/>
        <v>F.1</v>
      </c>
      <c r="E42" s="214" t="str">
        <f>'Cap Table'!$B$4</f>
        <v xml:space="preserve">Capitalization Table </v>
      </c>
      <c r="G42" s="209" t="str">
        <f t="shared" si="0"/>
        <v>Exhibit F.1</v>
      </c>
      <c r="J42" s="208">
        <f>IF(J41="",J39+1,J41)</f>
        <v>70</v>
      </c>
      <c r="K42" s="208" t="str">
        <f t="shared" si="2"/>
        <v>F</v>
      </c>
      <c r="L42" s="208">
        <f t="shared" si="3"/>
        <v>1</v>
      </c>
    </row>
    <row r="43" spans="2:12">
      <c r="B43" s="213" t="str">
        <f t="shared" si="1"/>
        <v>F.2</v>
      </c>
      <c r="E43" s="214" t="str">
        <f>'Econ Rights'!$B$4</f>
        <v xml:space="preserve">Economic Rights Summary </v>
      </c>
      <c r="G43" s="209" t="str">
        <f t="shared" si="0"/>
        <v>Exhibit F.2</v>
      </c>
      <c r="J43" s="208">
        <f t="shared" si="4"/>
        <v>70</v>
      </c>
      <c r="K43" s="208" t="str">
        <f t="shared" si="2"/>
        <v>F</v>
      </c>
      <c r="L43" s="208">
        <f t="shared" si="3"/>
        <v>2</v>
      </c>
    </row>
    <row r="44" spans="2:12">
      <c r="B44" s="213"/>
      <c r="E44" s="214"/>
      <c r="G44" s="209" t="str">
        <f t="shared" si="0"/>
        <v xml:space="preserve">Exhibit </v>
      </c>
    </row>
    <row r="45" spans="2:12">
      <c r="B45" s="213"/>
      <c r="E45" s="214" t="str">
        <f>+'Support FP &gt;&gt;'!D9</f>
        <v>Appendices</v>
      </c>
      <c r="G45" s="209" t="str">
        <f t="shared" si="0"/>
        <v xml:space="preserve">Exhibit </v>
      </c>
    </row>
    <row r="46" spans="2:12">
      <c r="B46" s="213" t="str">
        <f t="shared" si="1"/>
        <v>G.1</v>
      </c>
      <c r="E46" s="214" t="str">
        <f>'Metrick Gross Value'!$B$4</f>
        <v>Metrick Gross Value Multiple - Probabilities and Exit Multiples for Venture Investments</v>
      </c>
      <c r="G46" s="209" t="str">
        <f t="shared" si="0"/>
        <v>Exhibit G.1</v>
      </c>
      <c r="J46" s="208">
        <f>IF(J45="",J43+1,J45)</f>
        <v>71</v>
      </c>
      <c r="K46" s="208" t="str">
        <f t="shared" si="2"/>
        <v>G</v>
      </c>
      <c r="L46" s="208">
        <v>1</v>
      </c>
    </row>
    <row r="47" spans="2:12">
      <c r="B47" s="213" t="str">
        <f>K47&amp;"."&amp;L47</f>
        <v>G.2</v>
      </c>
      <c r="E47" s="214" t="str">
        <f>'DLOM - CVM'!$B$4</f>
        <v>Discount for Lack of Marketability - CVM</v>
      </c>
      <c r="G47" s="209" t="str">
        <f>"Exhibit "&amp;B47</f>
        <v>Exhibit G.2</v>
      </c>
      <c r="J47" s="208">
        <f t="shared" si="4"/>
        <v>71</v>
      </c>
      <c r="K47" s="208" t="str">
        <f>CHAR(J47)</f>
        <v>G</v>
      </c>
      <c r="L47" s="208">
        <f t="shared" si="3"/>
        <v>2</v>
      </c>
    </row>
    <row r="48" spans="2:12">
      <c r="B48" s="213" t="str">
        <f>K48&amp;"."&amp;L48</f>
        <v>G.3</v>
      </c>
      <c r="E48" s="214" t="str">
        <f>'Asset Vol- CVM'!$B$4</f>
        <v>Asset Volatility - CVM</v>
      </c>
      <c r="G48" s="209" t="str">
        <f>"Exhibit "&amp;B48</f>
        <v>Exhibit G.3</v>
      </c>
      <c r="J48" s="208">
        <f t="shared" si="4"/>
        <v>71</v>
      </c>
      <c r="K48" s="208" t="str">
        <f t="shared" ref="K48:K56" si="5">CHAR(J48)</f>
        <v>G</v>
      </c>
      <c r="L48" s="208">
        <f t="shared" si="3"/>
        <v>3</v>
      </c>
    </row>
    <row r="49" spans="2:12">
      <c r="B49" s="213" t="str">
        <f>K49&amp;"."&amp;L49</f>
        <v>G.4</v>
      </c>
      <c r="E49" s="214" t="str">
        <f>'Equity Vol'!$B$4</f>
        <v>Equity Volatility</v>
      </c>
      <c r="G49" s="209" t="str">
        <f>"Exhibit "&amp;B49</f>
        <v>Exhibit G.4</v>
      </c>
      <c r="J49" s="208">
        <f t="shared" si="4"/>
        <v>71</v>
      </c>
      <c r="K49" s="208" t="str">
        <f t="shared" si="5"/>
        <v>G</v>
      </c>
      <c r="L49" s="208">
        <f t="shared" si="3"/>
        <v>4</v>
      </c>
    </row>
    <row r="50" spans="2:12">
      <c r="B50" s="213" t="str">
        <f>K50&amp;"."&amp;L50</f>
        <v>G.5</v>
      </c>
      <c r="E50" s="214" t="str">
        <f>'Risk-Free Rates'!$B$4</f>
        <v>Risk-Free Rates</v>
      </c>
      <c r="G50" s="209" t="str">
        <f>"Exhibit "&amp;B50</f>
        <v>Exhibit G.5</v>
      </c>
      <c r="J50" s="208">
        <f t="shared" si="4"/>
        <v>71</v>
      </c>
      <c r="K50" s="208" t="str">
        <f t="shared" si="5"/>
        <v>G</v>
      </c>
      <c r="L50" s="208">
        <f t="shared" si="3"/>
        <v>5</v>
      </c>
    </row>
    <row r="51" spans="2:12">
      <c r="B51" s="213" t="str">
        <f>K51&amp;"."&amp;L51</f>
        <v>G.6</v>
      </c>
      <c r="E51" s="214"/>
      <c r="G51" s="209" t="str">
        <f>"Exhibit "&amp;B51</f>
        <v>Exhibit G.6</v>
      </c>
      <c r="J51" s="208">
        <f t="shared" si="4"/>
        <v>71</v>
      </c>
      <c r="K51" s="208" t="str">
        <f t="shared" si="5"/>
        <v>G</v>
      </c>
      <c r="L51" s="208">
        <f t="shared" si="3"/>
        <v>6</v>
      </c>
    </row>
    <row r="52" spans="2:12">
      <c r="B52" s="213" t="str">
        <f t="shared" si="1"/>
        <v>G.7</v>
      </c>
      <c r="E52" s="214"/>
      <c r="G52" s="209" t="str">
        <f t="shared" si="0"/>
        <v>Exhibit G.7</v>
      </c>
      <c r="J52" s="208">
        <f t="shared" si="4"/>
        <v>71</v>
      </c>
      <c r="K52" s="208" t="str">
        <f t="shared" si="5"/>
        <v>G</v>
      </c>
      <c r="L52" s="208">
        <f t="shared" si="3"/>
        <v>7</v>
      </c>
    </row>
    <row r="53" spans="2:12" hidden="1" outlineLevel="1">
      <c r="B53" s="213" t="str">
        <f t="shared" si="1"/>
        <v>G.8</v>
      </c>
      <c r="E53" s="264"/>
      <c r="G53" s="209" t="str">
        <f t="shared" si="0"/>
        <v>Exhibit G.8</v>
      </c>
      <c r="J53" s="208">
        <f t="shared" si="4"/>
        <v>71</v>
      </c>
      <c r="K53" s="208" t="str">
        <f t="shared" si="5"/>
        <v>G</v>
      </c>
      <c r="L53" s="208">
        <f t="shared" si="3"/>
        <v>8</v>
      </c>
    </row>
    <row r="54" spans="2:12" hidden="1" outlineLevel="1">
      <c r="B54" s="213" t="str">
        <f t="shared" si="1"/>
        <v>G.9</v>
      </c>
      <c r="E54" s="264"/>
      <c r="G54" s="209" t="str">
        <f t="shared" si="0"/>
        <v>Exhibit G.9</v>
      </c>
      <c r="J54" s="208">
        <f t="shared" si="4"/>
        <v>71</v>
      </c>
      <c r="K54" s="208" t="str">
        <f t="shared" si="5"/>
        <v>G</v>
      </c>
      <c r="L54" s="208">
        <f t="shared" si="3"/>
        <v>9</v>
      </c>
    </row>
    <row r="55" spans="2:12" hidden="1" outlineLevel="1">
      <c r="B55" s="213" t="str">
        <f t="shared" si="1"/>
        <v>G.10</v>
      </c>
      <c r="E55" s="264"/>
      <c r="G55" s="209" t="str">
        <f t="shared" si="0"/>
        <v>Exhibit G.10</v>
      </c>
      <c r="J55" s="208">
        <f t="shared" si="4"/>
        <v>71</v>
      </c>
      <c r="K55" s="208" t="str">
        <f t="shared" si="5"/>
        <v>G</v>
      </c>
      <c r="L55" s="208">
        <f t="shared" si="3"/>
        <v>10</v>
      </c>
    </row>
    <row r="56" spans="2:12" hidden="1" outlineLevel="1">
      <c r="B56" s="213" t="str">
        <f t="shared" si="1"/>
        <v>G.11</v>
      </c>
      <c r="E56" s="264"/>
      <c r="G56" s="209" t="str">
        <f t="shared" si="0"/>
        <v>Exhibit G.11</v>
      </c>
      <c r="J56" s="208">
        <f t="shared" si="4"/>
        <v>71</v>
      </c>
      <c r="K56" s="208" t="str">
        <f t="shared" si="5"/>
        <v>G</v>
      </c>
      <c r="L56" s="208">
        <f t="shared" si="3"/>
        <v>11</v>
      </c>
    </row>
    <row r="57" spans="2:12" hidden="1" outlineLevel="1">
      <c r="B57" s="213" t="str">
        <f t="shared" si="1"/>
        <v>G.12</v>
      </c>
      <c r="E57" s="264"/>
      <c r="G57" s="209" t="str">
        <f>"Exhibit "&amp;B57</f>
        <v>Exhibit G.12</v>
      </c>
      <c r="J57" s="208">
        <f t="shared" si="4"/>
        <v>71</v>
      </c>
      <c r="K57" s="208" t="str">
        <f>CHAR(J57)</f>
        <v>G</v>
      </c>
      <c r="L57" s="208">
        <f t="shared" si="3"/>
        <v>12</v>
      </c>
    </row>
    <row r="58" spans="2:12" collapsed="1">
      <c r="B58" s="213" t="s">
        <v>551</v>
      </c>
      <c r="E58" s="214"/>
    </row>
    <row r="59" spans="2:12">
      <c r="B59" s="213" t="str">
        <f t="shared" ref="B59:B65" si="6">K59&amp;L59</f>
        <v>#1</v>
      </c>
      <c r="E59" s="214" t="str">
        <f>'Val Summ_OPM'!B4</f>
        <v>Valuation Summary - OPM</v>
      </c>
      <c r="G59" s="209" t="str">
        <f t="shared" ref="G59:G73" si="7">"Workpaper "&amp;B59</f>
        <v>Workpaper #1</v>
      </c>
      <c r="K59" s="208" t="s">
        <v>1410</v>
      </c>
      <c r="L59" s="208">
        <v>1</v>
      </c>
    </row>
    <row r="60" spans="2:12">
      <c r="B60" s="213" t="str">
        <f t="shared" si="6"/>
        <v>#2</v>
      </c>
      <c r="E60" s="214" t="str">
        <f>'OPM 1'!$B$4</f>
        <v>Option Pricing Method - Breakpoints &amp; Allocation</v>
      </c>
      <c r="G60" s="209" t="str">
        <f t="shared" si="7"/>
        <v>Workpaper #2</v>
      </c>
      <c r="K60" s="208" t="str">
        <f>K59</f>
        <v>#</v>
      </c>
      <c r="L60" s="208">
        <f>L59+1</f>
        <v>2</v>
      </c>
    </row>
    <row r="61" spans="2:12">
      <c r="B61" s="213" t="str">
        <f t="shared" si="6"/>
        <v>#3</v>
      </c>
      <c r="E61" s="214" t="str">
        <f>'OPM 2'!$B$4</f>
        <v>Option Pricing Method - Implied Value Per Share</v>
      </c>
      <c r="G61" s="209" t="str">
        <f t="shared" si="7"/>
        <v>Workpaper #3</v>
      </c>
      <c r="K61" s="208" t="str">
        <f>K60</f>
        <v>#</v>
      </c>
      <c r="L61" s="208">
        <f>L60+1</f>
        <v>3</v>
      </c>
    </row>
    <row r="62" spans="2:12">
      <c r="B62" s="213" t="str">
        <f t="shared" si="6"/>
        <v>#4</v>
      </c>
      <c r="E62" s="214" t="str">
        <f>DLOM!$B$4</f>
        <v>Discount for Lack of Marketability</v>
      </c>
      <c r="G62" s="209" t="str">
        <f t="shared" si="7"/>
        <v>Workpaper #4</v>
      </c>
      <c r="K62" s="208" t="str">
        <f>K61</f>
        <v>#</v>
      </c>
      <c r="L62" s="208">
        <f>L61+1</f>
        <v>4</v>
      </c>
    </row>
    <row r="63" spans="2:12">
      <c r="B63" s="213" t="str">
        <f t="shared" si="6"/>
        <v>#5</v>
      </c>
      <c r="E63" s="214" t="str">
        <f>'Asset Vol_OPM'!$B$4</f>
        <v>Asset Volatility - OPM</v>
      </c>
      <c r="G63" s="209" t="str">
        <f t="shared" si="7"/>
        <v>Workpaper #5</v>
      </c>
      <c r="K63" s="208" t="str">
        <f>K62</f>
        <v>#</v>
      </c>
      <c r="L63" s="208">
        <f t="shared" ref="L63:L73" si="8">L62+1</f>
        <v>5</v>
      </c>
    </row>
    <row r="64" spans="2:12">
      <c r="B64" s="213" t="str">
        <f t="shared" si="6"/>
        <v>#6</v>
      </c>
      <c r="E64" s="214" t="str">
        <f>'Asset Vol_OPM DLOM'!$B$4</f>
        <v>Asset Volatility - OPM DLOM</v>
      </c>
      <c r="G64" s="209" t="str">
        <f t="shared" si="7"/>
        <v>Workpaper #6</v>
      </c>
      <c r="K64" s="208" t="s">
        <v>1410</v>
      </c>
      <c r="L64" s="208">
        <f t="shared" si="8"/>
        <v>6</v>
      </c>
    </row>
    <row r="65" spans="2:12">
      <c r="B65" s="213" t="str">
        <f t="shared" si="6"/>
        <v>#7</v>
      </c>
      <c r="E65" s="214" t="str">
        <f>'Risk-Free Rates - OPM'!$B$4</f>
        <v>Risk-Free Rates - OPM</v>
      </c>
      <c r="G65" s="209" t="str">
        <f t="shared" si="7"/>
        <v>Workpaper #7</v>
      </c>
      <c r="K65" s="208" t="s">
        <v>1410</v>
      </c>
      <c r="L65" s="208">
        <f t="shared" si="8"/>
        <v>7</v>
      </c>
    </row>
    <row r="66" spans="2:12">
      <c r="B66" s="213" t="str">
        <f t="shared" ref="B66:B73" si="9">K66&amp;L66</f>
        <v>#8</v>
      </c>
      <c r="E66" s="214" t="str">
        <f>'Market Trends since Prior Val'!$B$4</f>
        <v>Market Trends Since Previous Valuation</v>
      </c>
      <c r="G66" s="209" t="str">
        <f t="shared" si="7"/>
        <v>Workpaper #8</v>
      </c>
      <c r="K66" s="208" t="str">
        <f t="shared" ref="K66:K73" si="10">K65</f>
        <v>#</v>
      </c>
      <c r="L66" s="208">
        <f t="shared" si="8"/>
        <v>8</v>
      </c>
    </row>
    <row r="67" spans="2:12">
      <c r="B67" s="213" t="str">
        <f t="shared" si="9"/>
        <v>#9</v>
      </c>
      <c r="E67" s="214" t="str">
        <f>'Comparative Sheet'!$B$4</f>
        <v>Comparative Sheet</v>
      </c>
      <c r="G67" s="209" t="str">
        <f t="shared" si="7"/>
        <v>Workpaper #9</v>
      </c>
      <c r="K67" s="208" t="str">
        <f t="shared" si="10"/>
        <v>#</v>
      </c>
      <c r="L67" s="208">
        <f t="shared" si="8"/>
        <v>9</v>
      </c>
    </row>
    <row r="68" spans="2:12" outlineLevel="1">
      <c r="B68" s="213" t="str">
        <f t="shared" si="9"/>
        <v>#10</v>
      </c>
      <c r="E68" s="214"/>
      <c r="G68" s="209" t="str">
        <f t="shared" si="7"/>
        <v>Workpaper #10</v>
      </c>
      <c r="K68" s="208" t="str">
        <f t="shared" si="10"/>
        <v>#</v>
      </c>
      <c r="L68" s="208">
        <f t="shared" si="8"/>
        <v>10</v>
      </c>
    </row>
    <row r="69" spans="2:12" outlineLevel="1">
      <c r="B69" s="213" t="str">
        <f t="shared" si="9"/>
        <v>#11</v>
      </c>
      <c r="E69" s="214"/>
      <c r="G69" s="209" t="str">
        <f t="shared" si="7"/>
        <v>Workpaper #11</v>
      </c>
      <c r="K69" s="208" t="str">
        <f t="shared" si="10"/>
        <v>#</v>
      </c>
      <c r="L69" s="208">
        <f t="shared" si="8"/>
        <v>11</v>
      </c>
    </row>
    <row r="70" spans="2:12" outlineLevel="1">
      <c r="B70" s="213" t="str">
        <f t="shared" si="9"/>
        <v>#12</v>
      </c>
      <c r="E70" s="214"/>
      <c r="G70" s="209" t="str">
        <f t="shared" si="7"/>
        <v>Workpaper #12</v>
      </c>
      <c r="K70" s="208" t="str">
        <f t="shared" si="10"/>
        <v>#</v>
      </c>
      <c r="L70" s="208">
        <f t="shared" si="8"/>
        <v>12</v>
      </c>
    </row>
    <row r="71" spans="2:12" outlineLevel="1">
      <c r="B71" s="213" t="str">
        <f t="shared" si="9"/>
        <v>#13</v>
      </c>
      <c r="E71" s="208"/>
      <c r="G71" s="209" t="str">
        <f t="shared" si="7"/>
        <v>Workpaper #13</v>
      </c>
      <c r="K71" s="208" t="str">
        <f t="shared" si="10"/>
        <v>#</v>
      </c>
      <c r="L71" s="208">
        <f t="shared" si="8"/>
        <v>13</v>
      </c>
    </row>
    <row r="72" spans="2:12" outlineLevel="1">
      <c r="B72" s="213" t="str">
        <f t="shared" si="9"/>
        <v>#14</v>
      </c>
      <c r="E72" s="214"/>
      <c r="G72" s="209" t="str">
        <f t="shared" si="7"/>
        <v>Workpaper #14</v>
      </c>
      <c r="K72" s="208" t="str">
        <f t="shared" si="10"/>
        <v>#</v>
      </c>
      <c r="L72" s="208">
        <f t="shared" si="8"/>
        <v>14</v>
      </c>
    </row>
    <row r="73" spans="2:12" outlineLevel="1">
      <c r="B73" s="213" t="str">
        <f t="shared" si="9"/>
        <v>#15</v>
      </c>
      <c r="E73" s="214"/>
      <c r="G73" s="209" t="str">
        <f t="shared" si="7"/>
        <v>Workpaper #15</v>
      </c>
      <c r="K73" s="208" t="str">
        <f t="shared" si="10"/>
        <v>#</v>
      </c>
      <c r="L73" s="208">
        <f t="shared" si="8"/>
        <v>15</v>
      </c>
    </row>
  </sheetData>
  <conditionalFormatting sqref="B3:G3">
    <cfRule type="cellIs" dxfId="292" priority="33" stopIfTrue="1" operator="equal">
      <formula>"input"</formula>
    </cfRule>
  </conditionalFormatting>
  <conditionalFormatting sqref="B7:B18 B20:B46 B65:B73 B52:B58">
    <cfRule type="expression" dxfId="291" priority="30">
      <formula>OR($B7="Exhibits",$B7="Workpapers")</formula>
    </cfRule>
  </conditionalFormatting>
  <conditionalFormatting sqref="E7:E45">
    <cfRule type="expression" dxfId="290" priority="29">
      <formula>$B7=""</formula>
    </cfRule>
  </conditionalFormatting>
  <conditionalFormatting sqref="G8:G18 G20:G46 G65:G73 G52:G56 G58">
    <cfRule type="expression" dxfId="289" priority="28">
      <formula>$B8="Workpapers"</formula>
    </cfRule>
  </conditionalFormatting>
  <conditionalFormatting sqref="E72:E73">
    <cfRule type="expression" dxfId="288" priority="54">
      <formula>$B70=""</formula>
    </cfRule>
  </conditionalFormatting>
  <conditionalFormatting sqref="E46 E52:E54">
    <cfRule type="expression" dxfId="287" priority="58">
      <formula>$B46=""</formula>
    </cfRule>
  </conditionalFormatting>
  <conditionalFormatting sqref="B19">
    <cfRule type="expression" dxfId="286" priority="25">
      <formula>OR($B19="Exhibits",$B19="Workpapers")</formula>
    </cfRule>
  </conditionalFormatting>
  <conditionalFormatting sqref="E19">
    <cfRule type="expression" dxfId="285" priority="24">
      <formula>$B19=""</formula>
    </cfRule>
  </conditionalFormatting>
  <conditionalFormatting sqref="G19">
    <cfRule type="expression" dxfId="284" priority="23">
      <formula>$B19="Workpapers"</formula>
    </cfRule>
  </conditionalFormatting>
  <conditionalFormatting sqref="E68">
    <cfRule type="expression" dxfId="283" priority="60">
      <formula>#REF!=""</formula>
    </cfRule>
  </conditionalFormatting>
  <conditionalFormatting sqref="E69:E70 E58">
    <cfRule type="expression" dxfId="282" priority="62">
      <formula>$B55=""</formula>
    </cfRule>
  </conditionalFormatting>
  <conditionalFormatting sqref="B59:B63">
    <cfRule type="expression" dxfId="281" priority="18">
      <formula>OR($B59="Exhibits",$B59="Workpapers")</formula>
    </cfRule>
  </conditionalFormatting>
  <conditionalFormatting sqref="G59:G63">
    <cfRule type="expression" dxfId="280" priority="17">
      <formula>$B59="Workpapers"</formula>
    </cfRule>
  </conditionalFormatting>
  <conditionalFormatting sqref="E63">
    <cfRule type="expression" dxfId="279" priority="21">
      <formula>$B60=""</formula>
    </cfRule>
  </conditionalFormatting>
  <conditionalFormatting sqref="B64">
    <cfRule type="expression" dxfId="278" priority="16">
      <formula>OR($B64="Exhibits",$B64="Workpapers")</formula>
    </cfRule>
  </conditionalFormatting>
  <conditionalFormatting sqref="G64">
    <cfRule type="expression" dxfId="277" priority="15">
      <formula>$B64="Workpapers"</formula>
    </cfRule>
  </conditionalFormatting>
  <conditionalFormatting sqref="B47:B50">
    <cfRule type="expression" dxfId="276" priority="13">
      <formula>OR($B47="Exhibits",$B47="Workpapers")</formula>
    </cfRule>
  </conditionalFormatting>
  <conditionalFormatting sqref="G47:G50">
    <cfRule type="expression" dxfId="275" priority="12">
      <formula>$B47="Workpapers"</formula>
    </cfRule>
  </conditionalFormatting>
  <conditionalFormatting sqref="E47">
    <cfRule type="expression" dxfId="274" priority="14">
      <formula>$B47=""</formula>
    </cfRule>
  </conditionalFormatting>
  <conditionalFormatting sqref="B51">
    <cfRule type="expression" dxfId="273" priority="10">
      <formula>OR($B51="Exhibits",$B51="Workpapers")</formula>
    </cfRule>
  </conditionalFormatting>
  <conditionalFormatting sqref="G51">
    <cfRule type="expression" dxfId="272" priority="9">
      <formula>$B51="Workpapers"</formula>
    </cfRule>
  </conditionalFormatting>
  <conditionalFormatting sqref="E51">
    <cfRule type="expression" dxfId="271" priority="11">
      <formula>$B51=""</formula>
    </cfRule>
  </conditionalFormatting>
  <conditionalFormatting sqref="G57">
    <cfRule type="expression" dxfId="270" priority="8">
      <formula>$B57="Workpapers"</formula>
    </cfRule>
  </conditionalFormatting>
  <conditionalFormatting sqref="E48">
    <cfRule type="expression" dxfId="269" priority="7">
      <formula>$B48=""</formula>
    </cfRule>
  </conditionalFormatting>
  <conditionalFormatting sqref="E49">
    <cfRule type="expression" dxfId="268" priority="6">
      <formula>$B49=""</formula>
    </cfRule>
  </conditionalFormatting>
  <conditionalFormatting sqref="E47">
    <cfRule type="expression" dxfId="267" priority="5">
      <formula>$B47=""</formula>
    </cfRule>
  </conditionalFormatting>
  <conditionalFormatting sqref="E48">
    <cfRule type="expression" dxfId="266" priority="4">
      <formula>$B48=""</formula>
    </cfRule>
  </conditionalFormatting>
  <conditionalFormatting sqref="E68">
    <cfRule type="expression" dxfId="265" priority="3">
      <formula>$B66=""</formula>
    </cfRule>
  </conditionalFormatting>
  <conditionalFormatting sqref="E67">
    <cfRule type="expression" dxfId="264" priority="2">
      <formula>#REF!=""</formula>
    </cfRule>
  </conditionalFormatting>
  <conditionalFormatting sqref="E67">
    <cfRule type="expression" dxfId="263" priority="1">
      <formula>$B65=""</formula>
    </cfRule>
  </conditionalFormatting>
  <pageMargins left="0.5" right="0.5" top="0.5" bottom="0.5" header="0.5" footer="0.5"/>
  <pageSetup scale="90" fitToWidth="0" fitToHeight="0"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R750"/>
  <sheetViews>
    <sheetView showGridLines="0" view="pageBreakPreview" zoomScale="80" zoomScaleNormal="100" zoomScaleSheetLayoutView="80" workbookViewId="0"/>
  </sheetViews>
  <sheetFormatPr defaultRowHeight="12.75" outlineLevelRow="1"/>
  <cols>
    <col min="1" max="1" width="4.5" style="208" customWidth="1"/>
    <col min="2" max="2" width="63.33203125" style="208" customWidth="1"/>
    <col min="3" max="3" width="2.83203125" style="208" customWidth="1"/>
    <col min="4" max="4" width="22.83203125" style="208" customWidth="1"/>
    <col min="5" max="5" width="2.83203125" style="208" customWidth="1"/>
    <col min="6" max="6" width="22.83203125" style="208" customWidth="1"/>
    <col min="7" max="7" width="2.83203125" style="208" customWidth="1"/>
    <col min="8" max="8" width="25.83203125" style="208" customWidth="1"/>
    <col min="9" max="9" width="2.83203125" style="208" customWidth="1"/>
    <col min="10" max="10" width="25.83203125" style="208" customWidth="1"/>
    <col min="11" max="11" width="4.5" style="208" customWidth="1"/>
    <col min="12" max="12" width="18.1640625" style="208" customWidth="1"/>
    <col min="13" max="14" width="12" style="208" bestFit="1" customWidth="1"/>
    <col min="15" max="15" width="20.83203125" style="208" customWidth="1"/>
    <col min="16" max="16" width="29.1640625" style="208" customWidth="1"/>
    <col min="17" max="17" width="10" style="208" bestFit="1" customWidth="1"/>
    <col min="18" max="18" width="9.6640625" style="208" bestFit="1" customWidth="1"/>
    <col min="19" max="16384" width="9.33203125" style="208"/>
  </cols>
  <sheetData>
    <row r="1" spans="1:18" ht="10.7" customHeight="1" thickBot="1"/>
    <row r="2" spans="1:18" ht="16.5" customHeight="1" thickTop="1">
      <c r="A2" s="215"/>
      <c r="B2" s="216" t="str">
        <f>'MASTER PubCo Inputs'!$C$5</f>
        <v>Medikine, Inc.</v>
      </c>
      <c r="C2" s="216"/>
      <c r="D2" s="216"/>
      <c r="E2" s="216"/>
      <c r="F2" s="216"/>
      <c r="G2" s="216"/>
      <c r="H2" s="216"/>
      <c r="I2" s="216"/>
      <c r="J2" s="216"/>
      <c r="K2" s="215"/>
      <c r="L2" s="265" t="s">
        <v>728</v>
      </c>
      <c r="M2" s="266"/>
      <c r="N2" s="267"/>
      <c r="O2" s="208" t="b">
        <v>1</v>
      </c>
    </row>
    <row r="3" spans="1:18" ht="15.75" customHeight="1">
      <c r="A3" s="215"/>
      <c r="B3" s="217" t="str">
        <f>VLOOKUP(B4,Outline!$E$8:$G$79,COLUMNS(Outline!$E$8:$G$8),FALSE)</f>
        <v>Exhibit A.1</v>
      </c>
      <c r="C3" s="217"/>
      <c r="D3" s="217"/>
      <c r="E3" s="217"/>
      <c r="F3" s="217"/>
      <c r="G3" s="217"/>
      <c r="H3" s="217"/>
      <c r="I3" s="217"/>
      <c r="J3" s="217"/>
      <c r="K3" s="215"/>
      <c r="L3" s="268" t="s">
        <v>158</v>
      </c>
      <c r="M3" s="269" t="s">
        <v>167</v>
      </c>
      <c r="N3" s="270" t="s">
        <v>729</v>
      </c>
      <c r="O3" s="271" t="e">
        <f ca="1">IF(AND(L4=$O$2,M4=$O$2,N4=$O$2,L5=$O$2,M5=$O$2,N5=$O$2,L6=$O$2,M6=$O$2,N6=$O$2),"","Check")</f>
        <v>#NAME?</v>
      </c>
    </row>
    <row r="4" spans="1:18" ht="16.5" customHeight="1" thickBot="1">
      <c r="A4" s="215"/>
      <c r="B4" s="444" t="s">
        <v>145</v>
      </c>
      <c r="C4" s="444"/>
      <c r="D4" s="444"/>
      <c r="E4" s="444"/>
      <c r="F4" s="444"/>
      <c r="G4" s="444"/>
      <c r="H4" s="444"/>
      <c r="I4" s="444"/>
      <c r="J4" s="445" t="str">
        <f>+'MASTER PubCo Inputs'!$C$19</f>
        <v>(in thousands of USD, except price per share)</v>
      </c>
      <c r="K4" s="215"/>
      <c r="L4" s="246" t="e">
        <f ca="1">+'Comp.1'!AE2</f>
        <v>#NAME?</v>
      </c>
      <c r="M4" s="272" t="e">
        <f ca="1">+'Comp.2'!AB2</f>
        <v>#NAME?</v>
      </c>
      <c r="N4" s="273" t="e">
        <f ca="1">+Trans.1!AR3</f>
        <v>#NAME?</v>
      </c>
    </row>
    <row r="5" spans="1:18" ht="14.85" customHeight="1" thickTop="1">
      <c r="L5" s="246" t="e">
        <f ca="1">+'Comp.1'!AE3</f>
        <v>#NAME?</v>
      </c>
      <c r="M5" s="272" t="e">
        <f ca="1">+'Comp.2'!AB3</f>
        <v>#NAME?</v>
      </c>
      <c r="N5" s="273" t="e">
        <f ca="1">+Trans.1!AR4</f>
        <v>#NAME?</v>
      </c>
    </row>
    <row r="6" spans="1:18" ht="14.85" customHeight="1">
      <c r="L6" s="250" t="e">
        <f ca="1">+'Comp.1'!AE4</f>
        <v>#NAME?</v>
      </c>
      <c r="M6" s="274" t="e">
        <f ca="1">+'Comp.2'!AB4</f>
        <v>#NAME?</v>
      </c>
      <c r="N6" s="275" t="e">
        <f ca="1">+Trans.1!AR5</f>
        <v>#NAME?</v>
      </c>
    </row>
    <row r="7" spans="1:18" ht="14.85" customHeight="1">
      <c r="A7" s="229"/>
      <c r="B7" s="276" t="s">
        <v>148</v>
      </c>
      <c r="C7" s="229"/>
      <c r="D7" s="277" t="s">
        <v>147</v>
      </c>
      <c r="E7" s="289"/>
      <c r="F7" s="277" t="s">
        <v>149</v>
      </c>
      <c r="G7" s="229"/>
      <c r="H7" s="278" t="s">
        <v>150</v>
      </c>
      <c r="I7" s="229"/>
      <c r="J7" s="278" t="s">
        <v>70</v>
      </c>
      <c r="K7" s="229"/>
      <c r="L7" s="1567"/>
      <c r="M7" s="1696"/>
    </row>
    <row r="8" spans="1:18" ht="14.85" customHeight="1">
      <c r="M8" s="1510">
        <v>0.08</v>
      </c>
      <c r="N8" s="208" t="s">
        <v>574</v>
      </c>
      <c r="Q8" s="352"/>
      <c r="R8" s="326"/>
    </row>
    <row r="9" spans="1:18" ht="14.85" customHeight="1">
      <c r="B9" s="208" t="s">
        <v>2441</v>
      </c>
      <c r="D9" s="285">
        <f>CVM!D11</f>
        <v>6282</v>
      </c>
      <c r="F9" s="290">
        <f>CVM!D49</f>
        <v>8.1914340585565626E-2</v>
      </c>
      <c r="H9" s="209" t="s">
        <v>153</v>
      </c>
      <c r="J9" s="214" t="str">
        <f>CVM!B3</f>
        <v>Exhibit B.1</v>
      </c>
      <c r="M9" s="294" t="str">
        <f>IF(OR(F12-M8&gt;0.01,F12-M8&lt;-0.01),"Check","")</f>
        <v/>
      </c>
      <c r="N9" s="284" t="s">
        <v>1909</v>
      </c>
      <c r="Q9" s="1700"/>
      <c r="R9" s="326"/>
    </row>
    <row r="10" spans="1:18" ht="14.85" hidden="1" customHeight="1" outlineLevel="1">
      <c r="B10" s="208" t="s">
        <v>151</v>
      </c>
      <c r="D10" s="285">
        <f>'OPM 1'!D9</f>
        <v>13239.134682063337</v>
      </c>
      <c r="F10" s="290">
        <f>+'OPM 2'!L12</f>
        <v>0.52102291820323943</v>
      </c>
      <c r="H10" s="209" t="s">
        <v>2519</v>
      </c>
      <c r="J10" s="214" t="str">
        <f>+'OPM 2'!B3</f>
        <v>Workpaper #3</v>
      </c>
      <c r="M10" s="409"/>
      <c r="N10" s="284"/>
      <c r="Q10" s="1700"/>
      <c r="R10" s="326"/>
    </row>
    <row r="11" spans="1:18" ht="14.85" customHeight="1" collapsed="1">
      <c r="H11" s="209"/>
      <c r="Q11" s="326"/>
      <c r="R11" s="326"/>
    </row>
    <row r="12" spans="1:18" ht="14.85" customHeight="1">
      <c r="B12" s="291" t="s">
        <v>154</v>
      </c>
      <c r="C12" s="292"/>
      <c r="D12" s="292"/>
      <c r="E12" s="292"/>
      <c r="F12" s="293">
        <f>IF(H9="Primary",F9,F10)</f>
        <v>8.1914340585565626E-2</v>
      </c>
      <c r="M12" s="1880" t="s">
        <v>2516</v>
      </c>
      <c r="N12" s="1881"/>
      <c r="O12" s="1882"/>
    </row>
    <row r="13" spans="1:18" ht="14.85" customHeight="1">
      <c r="M13" s="330"/>
      <c r="N13" s="1883" t="s">
        <v>2104</v>
      </c>
      <c r="O13" s="1884">
        <f>'Econ Rights'!$E$12</f>
        <v>1.5</v>
      </c>
    </row>
    <row r="14" spans="1:18" ht="14.85" customHeight="1">
      <c r="A14" s="310"/>
      <c r="B14" s="322"/>
      <c r="C14" s="310"/>
      <c r="D14" s="310"/>
      <c r="E14" s="310"/>
      <c r="F14" s="310"/>
      <c r="G14" s="310"/>
      <c r="H14" s="310"/>
      <c r="I14" s="310"/>
      <c r="J14" s="310"/>
    </row>
    <row r="15" spans="1:18" ht="14.85" customHeight="1">
      <c r="A15" s="323"/>
      <c r="B15" s="1509"/>
      <c r="C15" s="310"/>
      <c r="D15" s="310"/>
      <c r="E15" s="310"/>
      <c r="F15" s="310"/>
      <c r="G15" s="310"/>
      <c r="H15" s="310"/>
      <c r="I15" s="310"/>
      <c r="J15" s="310"/>
    </row>
    <row r="16" spans="1:18" ht="14.85" customHeight="1">
      <c r="A16" s="323"/>
      <c r="B16" s="1509"/>
      <c r="C16" s="310"/>
      <c r="D16" s="310"/>
      <c r="E16" s="310"/>
      <c r="F16" s="310"/>
      <c r="G16" s="310"/>
      <c r="H16" s="310"/>
      <c r="I16" s="310"/>
      <c r="J16" s="310"/>
    </row>
    <row r="17" spans="1:16" ht="14.85" customHeight="1">
      <c r="A17" s="323"/>
      <c r="B17" s="1509"/>
      <c r="C17" s="1849" t="s">
        <v>2556</v>
      </c>
      <c r="D17" s="1847"/>
      <c r="E17" s="1848"/>
      <c r="F17" s="1850">
        <f>F12/$O$13</f>
        <v>5.4609560390377086E-2</v>
      </c>
      <c r="G17" s="310"/>
      <c r="H17" s="310"/>
      <c r="I17" s="310"/>
      <c r="J17" s="310"/>
    </row>
    <row r="18" spans="1:16" ht="14.85" customHeight="1"/>
    <row r="19" spans="1:16" ht="14.85" customHeight="1">
      <c r="B19" s="1791" t="s">
        <v>2518</v>
      </c>
      <c r="C19" s="326"/>
      <c r="D19" s="1791" t="s">
        <v>147</v>
      </c>
      <c r="F19" s="1791" t="s">
        <v>149</v>
      </c>
      <c r="H19" s="1792" t="s">
        <v>2517</v>
      </c>
      <c r="I19" s="1793"/>
      <c r="J19" s="1792" t="s">
        <v>2515</v>
      </c>
      <c r="K19" s="337"/>
      <c r="L19" s="337"/>
    </row>
    <row r="20" spans="1:16" ht="14.85" customHeight="1">
      <c r="K20" s="337"/>
      <c r="L20" s="337"/>
    </row>
    <row r="21" spans="1:16" ht="14.85" customHeight="1">
      <c r="B21" s="208" t="s">
        <v>151</v>
      </c>
      <c r="D21" s="285">
        <f>'OPM 1'!D9</f>
        <v>13239.134682063337</v>
      </c>
      <c r="F21" s="290">
        <f>+'OPM 2'!L12</f>
        <v>0.52102291820323943</v>
      </c>
      <c r="H21" s="290">
        <f>'Econ Rights'!$E$12</f>
        <v>1.5</v>
      </c>
      <c r="J21" s="312">
        <f>F21/H21</f>
        <v>0.34734861213549295</v>
      </c>
      <c r="K21" s="337"/>
      <c r="L21" s="337"/>
    </row>
    <row r="22" spans="1:16" ht="14.85" customHeight="1">
      <c r="J22" s="337"/>
      <c r="K22" s="337"/>
      <c r="L22" s="337"/>
      <c r="P22" s="211" t="s">
        <v>1987</v>
      </c>
    </row>
    <row r="23" spans="1:16" ht="14.85" customHeight="1">
      <c r="B23" s="1791" t="s">
        <v>1696</v>
      </c>
      <c r="N23" s="298" t="str">
        <f>'Asset Vol_OPM'!B4</f>
        <v>Asset Volatility - OPM</v>
      </c>
      <c r="P23" s="299" t="str">
        <f>IF(SUM('Asset Vol_OPM'!$D$50,'Asset Vol_OPM'!$H$50)='Asset Vol_OPM'!$I$50,"","Check")</f>
        <v/>
      </c>
    </row>
    <row r="24" spans="1:16" ht="14.85" customHeight="1">
      <c r="N24" s="1167"/>
      <c r="O24" s="326"/>
      <c r="P24" s="272"/>
    </row>
    <row r="25" spans="1:16" ht="14.85" customHeight="1">
      <c r="B25" s="211" t="s">
        <v>152</v>
      </c>
      <c r="D25" s="285">
        <f>'Comparative Sheet'!D15</f>
        <v>2380</v>
      </c>
      <c r="F25" s="290">
        <f>'Comparative Sheet'!D19</f>
        <v>6.5553848443111032E-2</v>
      </c>
      <c r="H25" s="290">
        <f>'Comparative Sheet'!$D$174</f>
        <v>1</v>
      </c>
      <c r="J25" s="312">
        <f>F25/H25</f>
        <v>6.5553848443111032E-2</v>
      </c>
      <c r="N25" s="1167"/>
      <c r="O25" s="326"/>
      <c r="P25" s="272"/>
    </row>
    <row r="26" spans="1:16" ht="14.85" customHeight="1">
      <c r="B26" s="211"/>
      <c r="H26" s="230"/>
      <c r="N26" s="1167"/>
      <c r="O26" s="326"/>
      <c r="P26" s="272"/>
    </row>
    <row r="27" spans="1:16" ht="14.85" customHeight="1">
      <c r="B27" s="211" t="s">
        <v>485</v>
      </c>
      <c r="D27" s="285">
        <f>'Comparative Sheet'!D82</f>
        <v>3958.5516284679275</v>
      </c>
      <c r="F27" s="1794">
        <v>0.45442079602816182</v>
      </c>
      <c r="H27" s="290">
        <f>'Comparative Sheet'!$D$174</f>
        <v>1</v>
      </c>
      <c r="J27" s="312">
        <f>F27/H27</f>
        <v>0.45442079602816182</v>
      </c>
      <c r="N27" s="1167"/>
      <c r="O27" s="326"/>
      <c r="P27" s="272"/>
    </row>
    <row r="28" spans="1:16" ht="14.85" customHeight="1">
      <c r="N28" s="1167"/>
      <c r="O28" s="326"/>
      <c r="P28" s="272"/>
    </row>
    <row r="29" spans="1:16" ht="14.85" customHeight="1">
      <c r="N29" s="326"/>
      <c r="O29" s="326"/>
      <c r="P29" s="326"/>
    </row>
    <row r="30" spans="1:16" ht="14.85" customHeight="1">
      <c r="B30" s="208" t="s">
        <v>2959</v>
      </c>
      <c r="N30" s="1167"/>
      <c r="O30" s="326"/>
      <c r="P30" s="272"/>
    </row>
    <row r="31" spans="1:16" ht="14.85" customHeight="1"/>
    <row r="32" spans="1:16" ht="14.85" customHeight="1"/>
    <row r="33" ht="14.85" customHeight="1"/>
    <row r="34" ht="14.85" customHeight="1"/>
    <row r="35" ht="14.85" customHeight="1"/>
    <row r="36" ht="14.85" customHeight="1"/>
    <row r="37" ht="14.85" customHeight="1"/>
    <row r="38" ht="14.85" customHeight="1"/>
    <row r="39" ht="14.85" customHeight="1"/>
    <row r="40" ht="14.85" customHeight="1"/>
    <row r="41" ht="14.85" customHeight="1"/>
    <row r="42" ht="14.85" customHeight="1"/>
    <row r="43" ht="14.85" customHeight="1"/>
    <row r="44" ht="14.85" customHeight="1"/>
    <row r="45" ht="14.85" customHeight="1"/>
    <row r="46" ht="14.85" customHeight="1"/>
    <row r="47" ht="14.85" customHeight="1"/>
    <row r="48"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sheetData>
  <conditionalFormatting sqref="B4:I4">
    <cfRule type="cellIs" dxfId="262" priority="6" stopIfTrue="1" operator="equal">
      <formula>"input"</formula>
    </cfRule>
  </conditionalFormatting>
  <conditionalFormatting sqref="J4">
    <cfRule type="cellIs" dxfId="261" priority="3" stopIfTrue="1" operator="equal">
      <formula>"input"</formula>
    </cfRule>
  </conditionalFormatting>
  <conditionalFormatting sqref="J4">
    <cfRule type="cellIs" dxfId="260" priority="4" stopIfTrue="1" operator="equal">
      <formula>"input"</formula>
    </cfRule>
  </conditionalFormatting>
  <pageMargins left="0.5" right="0.5" top="0.5" bottom="0.5" header="0.5" footer="0.5"/>
  <pageSetup scale="85" fitToWidth="0"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theme="3" tint="-0.499984740745262"/>
    <pageSetUpPr fitToPage="1"/>
  </sheetPr>
  <dimension ref="A1:G30"/>
  <sheetViews>
    <sheetView showGridLines="0" view="pageBreakPreview" zoomScale="80" zoomScaleNormal="100" zoomScaleSheetLayoutView="80" workbookViewId="0"/>
  </sheetViews>
  <sheetFormatPr defaultColWidth="9.33203125" defaultRowHeight="14.25"/>
  <cols>
    <col min="1" max="1" width="4.5" style="260" customWidth="1"/>
    <col min="2" max="2" width="3.83203125" style="185" customWidth="1"/>
    <col min="3" max="3" width="15.83203125" style="185" customWidth="1"/>
    <col min="4" max="4" width="108.83203125" style="202" customWidth="1"/>
    <col min="5" max="5" width="15.83203125" style="185" customWidth="1"/>
    <col min="6" max="6" width="3.83203125" style="185" customWidth="1"/>
    <col min="7" max="7" width="4.5" style="185" customWidth="1"/>
    <col min="8" max="8" width="9.33203125" style="185"/>
    <col min="9" max="9" width="16.33203125" style="185" bestFit="1" customWidth="1"/>
    <col min="10" max="10" width="19" style="185" bestFit="1" customWidth="1"/>
    <col min="11" max="16384" width="9.33203125" style="185"/>
  </cols>
  <sheetData>
    <row r="1" spans="1:7">
      <c r="B1" s="260"/>
      <c r="C1" s="260"/>
      <c r="D1" s="300"/>
      <c r="E1" s="260"/>
      <c r="F1" s="260"/>
      <c r="G1" s="260"/>
    </row>
    <row r="2" spans="1:7">
      <c r="B2" s="260"/>
      <c r="C2" s="260"/>
      <c r="D2" s="300"/>
      <c r="E2" s="260"/>
      <c r="F2" s="260"/>
      <c r="G2" s="260"/>
    </row>
    <row r="3" spans="1:7">
      <c r="B3" s="260"/>
      <c r="C3" s="260"/>
      <c r="D3" s="300"/>
      <c r="E3" s="260"/>
      <c r="F3" s="260"/>
      <c r="G3" s="260"/>
    </row>
    <row r="4" spans="1:7">
      <c r="B4" s="260"/>
      <c r="C4" s="260"/>
      <c r="D4" s="300"/>
      <c r="E4" s="260"/>
      <c r="F4" s="260"/>
      <c r="G4" s="260"/>
    </row>
    <row r="5" spans="1:7">
      <c r="B5" s="260"/>
      <c r="C5" s="260"/>
      <c r="D5" s="300"/>
      <c r="E5" s="260"/>
      <c r="F5" s="260"/>
      <c r="G5" s="260"/>
    </row>
    <row r="6" spans="1:7">
      <c r="B6" s="301"/>
      <c r="C6" s="302"/>
      <c r="D6" s="303"/>
      <c r="E6" s="302"/>
      <c r="F6" s="302"/>
      <c r="G6" s="260"/>
    </row>
    <row r="7" spans="1:7" ht="15" thickBot="1">
      <c r="B7" s="301"/>
      <c r="C7" s="302"/>
      <c r="D7" s="303"/>
      <c r="E7" s="302"/>
      <c r="F7" s="302"/>
      <c r="G7" s="260"/>
    </row>
    <row r="8" spans="1:7" ht="15" thickTop="1">
      <c r="B8" s="1244"/>
      <c r="C8" s="582"/>
      <c r="D8" s="1245"/>
      <c r="E8" s="582"/>
      <c r="F8" s="582"/>
      <c r="G8" s="260"/>
    </row>
    <row r="9" spans="1:7" s="192" customFormat="1" ht="39.75">
      <c r="A9" s="260"/>
      <c r="B9" s="189"/>
      <c r="C9" s="191"/>
      <c r="D9" s="218" t="s">
        <v>155</v>
      </c>
      <c r="E9" s="191"/>
      <c r="F9" s="191"/>
    </row>
    <row r="10" spans="1:7" ht="15" thickBot="1">
      <c r="B10" s="1247"/>
      <c r="C10" s="586"/>
      <c r="D10" s="1249"/>
      <c r="E10" s="586"/>
      <c r="F10" s="586"/>
      <c r="G10" s="260"/>
    </row>
    <row r="11" spans="1:7" ht="15" thickTop="1">
      <c r="D11" s="300"/>
      <c r="E11" s="260"/>
      <c r="F11" s="260"/>
      <c r="G11" s="260"/>
    </row>
    <row r="12" spans="1:7">
      <c r="D12" s="300"/>
      <c r="E12" s="260"/>
      <c r="F12" s="260"/>
      <c r="G12" s="260"/>
    </row>
    <row r="13" spans="1:7" ht="18">
      <c r="D13" s="203"/>
      <c r="E13" s="260"/>
      <c r="F13" s="260"/>
      <c r="G13" s="260"/>
    </row>
    <row r="14" spans="1:7" ht="18">
      <c r="D14" s="204"/>
      <c r="E14" s="260"/>
      <c r="F14" s="260"/>
      <c r="G14" s="260"/>
    </row>
    <row r="15" spans="1:7">
      <c r="B15" s="260"/>
      <c r="C15" s="260"/>
      <c r="D15" s="300"/>
      <c r="E15" s="260"/>
      <c r="F15" s="260"/>
      <c r="G15" s="260"/>
    </row>
    <row r="16" spans="1:7">
      <c r="B16" s="260"/>
      <c r="C16" s="260"/>
      <c r="D16" s="300"/>
      <c r="E16" s="260"/>
      <c r="F16" s="260"/>
      <c r="G16" s="260"/>
    </row>
    <row r="17" spans="2:7">
      <c r="B17" s="260"/>
      <c r="C17" s="260"/>
      <c r="D17" s="300"/>
      <c r="E17" s="260"/>
      <c r="F17" s="260"/>
      <c r="G17" s="260"/>
    </row>
    <row r="18" spans="2:7">
      <c r="B18" s="260"/>
      <c r="C18" s="260"/>
      <c r="D18" s="300"/>
      <c r="E18" s="260"/>
      <c r="F18" s="260"/>
      <c r="G18" s="260"/>
    </row>
    <row r="19" spans="2:7" s="260" customFormat="1" ht="12.75">
      <c r="D19" s="300"/>
    </row>
    <row r="20" spans="2:7" s="260" customFormat="1" ht="12.75">
      <c r="D20" s="300"/>
    </row>
    <row r="21" spans="2:7" s="260" customFormat="1" ht="12.75">
      <c r="D21" s="300"/>
    </row>
    <row r="22" spans="2:7" s="260" customFormat="1" ht="12.75">
      <c r="D22" s="300"/>
    </row>
    <row r="23" spans="2:7" s="260" customFormat="1" ht="12.75">
      <c r="D23" s="300"/>
    </row>
    <row r="24" spans="2:7" s="260" customFormat="1" ht="12.75">
      <c r="D24" s="300"/>
    </row>
    <row r="25" spans="2:7" s="260" customFormat="1" ht="12.75">
      <c r="D25" s="300"/>
    </row>
    <row r="26" spans="2:7" s="260" customFormat="1" ht="12.75">
      <c r="D26" s="300"/>
    </row>
    <row r="27" spans="2:7" ht="23.25">
      <c r="B27" s="260"/>
      <c r="C27" s="260"/>
      <c r="D27" s="205"/>
      <c r="E27" s="260"/>
      <c r="F27" s="260"/>
      <c r="G27" s="260"/>
    </row>
    <row r="28" spans="2:7">
      <c r="B28" s="260"/>
      <c r="C28" s="260"/>
      <c r="D28" s="300"/>
      <c r="E28" s="260"/>
      <c r="F28" s="260"/>
      <c r="G28" s="260"/>
    </row>
    <row r="29" spans="2:7" ht="18">
      <c r="B29" s="260"/>
      <c r="C29" s="260"/>
      <c r="D29" s="206"/>
      <c r="E29" s="260"/>
      <c r="F29" s="260"/>
      <c r="G29" s="260"/>
    </row>
    <row r="30" spans="2:7" ht="36">
      <c r="B30" s="260"/>
      <c r="C30" s="260"/>
      <c r="D30" s="207" t="s">
        <v>374</v>
      </c>
      <c r="E30" s="260"/>
      <c r="F30" s="260"/>
      <c r="G30" s="260"/>
    </row>
  </sheetData>
  <pageMargins left="0.5" right="0.5" top="0.5" bottom="0.5" header="0.5" footer="0.5"/>
  <pageSetup scale="98"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L72"/>
  <sheetViews>
    <sheetView showGridLines="0" view="pageBreakPreview" zoomScale="80" zoomScaleNormal="100" zoomScaleSheetLayoutView="80" workbookViewId="0"/>
  </sheetViews>
  <sheetFormatPr defaultRowHeight="12.75" outlineLevelRow="1"/>
  <cols>
    <col min="1" max="1" width="5.1640625" style="208" customWidth="1"/>
    <col min="2" max="2" width="87.5" style="208" customWidth="1"/>
    <col min="3" max="3" width="4.5" style="208" customWidth="1"/>
    <col min="4" max="4" width="37.1640625" style="208" customWidth="1"/>
    <col min="5" max="5" width="2.83203125" style="310" customWidth="1"/>
    <col min="6" max="6" width="34.1640625" style="208" customWidth="1"/>
    <col min="7" max="7" width="4.5" style="208" customWidth="1"/>
    <col min="8" max="8" width="11" style="208" bestFit="1" customWidth="1"/>
    <col min="9" max="9" width="15.83203125" style="208" customWidth="1"/>
    <col min="10" max="10" width="18" style="208" customWidth="1"/>
    <col min="11" max="11" width="15" style="208" customWidth="1"/>
    <col min="12" max="12" width="11.1640625" style="208" customWidth="1"/>
    <col min="13" max="16384" width="9.33203125" style="208"/>
  </cols>
  <sheetData>
    <row r="1" spans="2:12" ht="10.7" customHeight="1" thickBot="1"/>
    <row r="2" spans="2:12" ht="16.5" customHeight="1" thickTop="1">
      <c r="B2" s="216" t="str">
        <f>'MASTER PubCo Inputs'!$C$5</f>
        <v>Medikine, Inc.</v>
      </c>
      <c r="C2" s="216"/>
      <c r="D2" s="216"/>
      <c r="E2" s="216"/>
      <c r="F2" s="216"/>
    </row>
    <row r="3" spans="2:12" ht="15.75" customHeight="1">
      <c r="B3" s="217" t="str">
        <f>VLOOKUP(B4,Outline!$E$8:$G$79,COLUMNS(Outline!$E$8:$G$8),FALSE)</f>
        <v>Exhibit B.1</v>
      </c>
      <c r="C3" s="217"/>
      <c r="D3" s="217"/>
      <c r="E3" s="217"/>
      <c r="F3" s="217"/>
    </row>
    <row r="4" spans="2:12" ht="16.5" customHeight="1" thickBot="1">
      <c r="B4" s="444" t="s">
        <v>2330</v>
      </c>
      <c r="C4" s="444"/>
      <c r="D4" s="444"/>
      <c r="E4" s="444"/>
      <c r="F4" s="445" t="str">
        <f>'MASTER PubCo Inputs'!C20</f>
        <v>(in thousands of USD and shares, except price per share)</v>
      </c>
    </row>
    <row r="5" spans="2:12" ht="12.75" customHeight="1" thickTop="1">
      <c r="B5" s="1533"/>
      <c r="C5" s="1533"/>
      <c r="D5" s="1533"/>
      <c r="E5" s="1533"/>
      <c r="F5" s="1533"/>
      <c r="I5" s="208" t="s">
        <v>2565</v>
      </c>
      <c r="K5" s="230">
        <v>1</v>
      </c>
    </row>
    <row r="6" spans="2:12" ht="15">
      <c r="B6" s="1537"/>
      <c r="C6" s="1533"/>
      <c r="D6" s="1538" t="s">
        <v>1695</v>
      </c>
      <c r="E6" s="1537"/>
      <c r="F6" s="1534" t="s">
        <v>70</v>
      </c>
      <c r="I6" s="208" t="s">
        <v>2564</v>
      </c>
      <c r="K6" s="1164">
        <f>('Econ Rights'!D16*$K$5)+'Econ Rights'!E16</f>
        <v>5235</v>
      </c>
    </row>
    <row r="7" spans="2:12" ht="12.75" customHeight="1"/>
    <row r="8" spans="2:12" ht="12.75" customHeight="1">
      <c r="B8" s="310" t="s">
        <v>2443</v>
      </c>
      <c r="C8" s="310"/>
      <c r="D8" s="1539">
        <f>K6</f>
        <v>5235</v>
      </c>
      <c r="F8" s="214" t="str">
        <f>'Econ Rights'!B3</f>
        <v>Exhibit F.2</v>
      </c>
    </row>
    <row r="9" spans="2:12" ht="12.75" customHeight="1">
      <c r="B9" s="309" t="s">
        <v>355</v>
      </c>
      <c r="C9" s="310"/>
      <c r="D9" s="1846">
        <f>'Metrick Gross Value'!J30</f>
        <v>1.2</v>
      </c>
      <c r="F9" s="214" t="str">
        <f>'Metrick Gross Value'!B3</f>
        <v>Exhibit G.1</v>
      </c>
      <c r="I9" s="208" t="s">
        <v>112</v>
      </c>
      <c r="J9" s="1846">
        <f>'Metrick Gross Value'!J13</f>
        <v>1.4630081300813009</v>
      </c>
    </row>
    <row r="10" spans="2:12" ht="6" customHeight="1">
      <c r="B10" s="280"/>
      <c r="D10" s="1540"/>
      <c r="E10" s="311"/>
      <c r="F10" s="1541"/>
      <c r="G10" s="405"/>
    </row>
    <row r="11" spans="2:12" ht="12.75" customHeight="1">
      <c r="B11" s="1542" t="s">
        <v>2331</v>
      </c>
      <c r="C11" s="1543"/>
      <c r="D11" s="1544">
        <f>D9*D8</f>
        <v>6282</v>
      </c>
      <c r="E11" s="311"/>
      <c r="F11" s="1541"/>
      <c r="G11" s="405"/>
    </row>
    <row r="12" spans="2:12" ht="12.75" customHeight="1">
      <c r="B12" s="1545"/>
      <c r="C12" s="352"/>
      <c r="D12" s="1546"/>
      <c r="E12" s="311"/>
      <c r="F12" s="1541"/>
      <c r="G12" s="405"/>
    </row>
    <row r="13" spans="2:12" ht="12.75" customHeight="1">
      <c r="B13" s="1547" t="s">
        <v>333</v>
      </c>
      <c r="C13" s="209"/>
      <c r="D13" s="209"/>
      <c r="E13" s="1548"/>
      <c r="F13" s="321"/>
      <c r="I13" s="1549" t="s">
        <v>2337</v>
      </c>
      <c r="J13" s="232" t="s">
        <v>2566</v>
      </c>
      <c r="K13" s="1833" t="s">
        <v>2567</v>
      </c>
    </row>
    <row r="14" spans="2:12" ht="12.75" customHeight="1">
      <c r="B14" s="478" t="str">
        <f>'OPM 1'!B19</f>
        <v>Series Seed 1</v>
      </c>
      <c r="C14" s="272"/>
      <c r="D14" s="311">
        <f>IF($D$11&gt;$K14,0,MIN($D$11*$J14,$I14))</f>
        <v>1235</v>
      </c>
      <c r="E14" s="1550"/>
      <c r="F14" s="214" t="str">
        <f>'Econ Rights'!$B$3</f>
        <v>Exhibit F.2</v>
      </c>
      <c r="I14" s="1540">
        <f>'Econ Rights'!$D$16</f>
        <v>1235</v>
      </c>
      <c r="J14" s="312">
        <f>I14/$I$17</f>
        <v>0.23591212989493793</v>
      </c>
      <c r="K14" s="441">
        <f>K22</f>
        <v>11455.687250000001</v>
      </c>
      <c r="L14" s="312"/>
    </row>
    <row r="15" spans="2:12" ht="12.75" customHeight="1">
      <c r="B15" s="478" t="str">
        <f>'OPM 1'!B20</f>
        <v>Series Seed 2</v>
      </c>
      <c r="C15" s="272"/>
      <c r="D15" s="311">
        <f>IF($D$11&gt;$K15,0,MIN($D$11*$J15,$I15))</f>
        <v>4000.0000000000005</v>
      </c>
      <c r="E15" s="1550"/>
      <c r="F15" s="214" t="str">
        <f>'Econ Rights'!$B$3</f>
        <v>Exhibit F.2</v>
      </c>
      <c r="I15" s="1540">
        <f>'Econ Rights'!$E$16</f>
        <v>4000.0000000000005</v>
      </c>
      <c r="J15" s="312">
        <f>I15/$I$17</f>
        <v>0.76408787010506218</v>
      </c>
      <c r="K15" s="441">
        <f>K23</f>
        <v>19227.674500000001</v>
      </c>
      <c r="L15" s="312"/>
    </row>
    <row r="16" spans="2:12" ht="12.75" customHeight="1">
      <c r="B16" s="352"/>
      <c r="C16" s="272"/>
      <c r="D16" s="1551"/>
      <c r="E16" s="1550"/>
      <c r="F16" s="1550"/>
      <c r="J16" s="312"/>
    </row>
    <row r="17" spans="1:11" ht="12.75" customHeight="1">
      <c r="B17" s="1552" t="s">
        <v>460</v>
      </c>
      <c r="C17" s="1553"/>
      <c r="D17" s="1554">
        <f>SUM(D14:D16)</f>
        <v>5235</v>
      </c>
      <c r="E17" s="1550"/>
      <c r="F17" s="1550"/>
      <c r="I17" s="1555">
        <f>SUM(I14:I16)</f>
        <v>5235</v>
      </c>
      <c r="J17" s="1857">
        <f>SUM(J14:J16)</f>
        <v>1</v>
      </c>
    </row>
    <row r="18" spans="1:11" ht="12.75" customHeight="1">
      <c r="B18" s="352"/>
      <c r="C18" s="272"/>
      <c r="D18" s="1551"/>
      <c r="E18" s="1550"/>
      <c r="F18" s="1550"/>
      <c r="I18" s="1556"/>
    </row>
    <row r="19" spans="1:11" ht="12.75" customHeight="1">
      <c r="B19" s="352" t="s">
        <v>356</v>
      </c>
      <c r="C19" s="272"/>
      <c r="D19" s="1551">
        <f>MAX(D11-D17,0)</f>
        <v>1047</v>
      </c>
      <c r="E19" s="1550"/>
      <c r="F19" s="1550"/>
      <c r="I19" s="1556"/>
      <c r="J19" s="1835">
        <f>'Val Summ'!M8</f>
        <v>0.08</v>
      </c>
    </row>
    <row r="20" spans="1:11" ht="12.75" customHeight="1">
      <c r="B20" s="352"/>
      <c r="C20" s="272"/>
      <c r="D20" s="1551"/>
      <c r="E20" s="1550"/>
      <c r="F20" s="1550"/>
    </row>
    <row r="21" spans="1:11" ht="12.75" customHeight="1">
      <c r="B21" s="211" t="s">
        <v>2332</v>
      </c>
      <c r="C21" s="209"/>
      <c r="D21" s="209"/>
      <c r="E21" s="1548"/>
      <c r="F21" s="1548"/>
      <c r="J21" s="1557" t="s">
        <v>2333</v>
      </c>
      <c r="K21" s="1833" t="s">
        <v>2567</v>
      </c>
    </row>
    <row r="22" spans="1:11" ht="12.75" customHeight="1">
      <c r="B22" s="478" t="str">
        <f>'OPM 1'!B25</f>
        <v>Series Seed 1</v>
      </c>
      <c r="C22" s="209"/>
      <c r="D22" s="1549">
        <f>IF(AND($D$19&gt;0,$D$11&gt;=K22),I22,0)</f>
        <v>0</v>
      </c>
      <c r="E22" s="1548"/>
      <c r="H22" s="312">
        <f t="shared" ref="H22:H27" si="0">I22/$I$29</f>
        <v>0.12638166305425744</v>
      </c>
      <c r="I22" s="1540">
        <f>'Cap Table'!$D$21</f>
        <v>1646.6666666666665</v>
      </c>
      <c r="J22" s="1536"/>
      <c r="K22" s="1540">
        <f>'OPM 1'!I40</f>
        <v>11455.687250000001</v>
      </c>
    </row>
    <row r="23" spans="1:11" ht="12.75" customHeight="1">
      <c r="B23" s="478" t="str">
        <f>'OPM 1'!B26</f>
        <v>Series Seed 2</v>
      </c>
      <c r="C23" s="209"/>
      <c r="D23" s="1549">
        <f>IF(AND($D$19&gt;0,$D$11&gt;=K23),I23,0)</f>
        <v>0</v>
      </c>
      <c r="E23" s="1548"/>
      <c r="H23" s="312">
        <f t="shared" si="0"/>
        <v>0.20466666081661128</v>
      </c>
      <c r="I23" s="1540">
        <f>'Cap Table'!$E$21</f>
        <v>2666.666666666667</v>
      </c>
      <c r="J23" s="1536"/>
      <c r="K23" s="1540">
        <f>'OPM 1'!J40</f>
        <v>19227.674500000001</v>
      </c>
    </row>
    <row r="24" spans="1:11" s="297" customFormat="1" ht="12.75" customHeight="1">
      <c r="A24" s="310"/>
      <c r="B24" s="478" t="str">
        <f>'OPM 1'!B27</f>
        <v>Options at $0.07 Strike Price</v>
      </c>
      <c r="C24" s="1558"/>
      <c r="D24" s="1549">
        <f>+IF($J$19&lt;J24,0,I24)</f>
        <v>1306</v>
      </c>
      <c r="E24" s="1548"/>
      <c r="F24" s="310"/>
      <c r="G24" s="310"/>
      <c r="H24" s="312">
        <f t="shared" si="0"/>
        <v>0.10023549713493536</v>
      </c>
      <c r="I24" s="1540">
        <f>'Cap Table'!$D$25</f>
        <v>1306</v>
      </c>
      <c r="J24" s="1559">
        <f>'Cap Table'!E25</f>
        <v>7.0000000000000007E-2</v>
      </c>
      <c r="K24" s="1199"/>
    </row>
    <row r="25" spans="1:11" s="297" customFormat="1" ht="12.75" customHeight="1">
      <c r="A25" s="310"/>
      <c r="B25" s="478" t="str">
        <f>'OPM 1'!B28</f>
        <v>Options at $0.05 Strike Price</v>
      </c>
      <c r="C25" s="1558"/>
      <c r="D25" s="1549">
        <f>+IF($J$19&lt;J25,0,I25)</f>
        <v>400</v>
      </c>
      <c r="E25" s="1560"/>
      <c r="F25" s="1561"/>
      <c r="G25" s="310"/>
      <c r="H25" s="312">
        <f t="shared" si="0"/>
        <v>3.0699999122491689E-2</v>
      </c>
      <c r="I25" s="1540">
        <f>'Cap Table'!$D$26</f>
        <v>400</v>
      </c>
      <c r="J25" s="1559">
        <f>'Cap Table'!E26</f>
        <v>0.05</v>
      </c>
    </row>
    <row r="26" spans="1:11" ht="12.75" customHeight="1">
      <c r="B26" s="478" t="str">
        <f>'OPM 1'!B29</f>
        <v>Expected Options Grant</v>
      </c>
      <c r="C26" s="209"/>
      <c r="D26" s="1549">
        <f>+IF($J$19&lt;J26,0,I26)</f>
        <v>394</v>
      </c>
      <c r="E26" s="1560"/>
      <c r="F26" s="1561"/>
      <c r="H26" s="312">
        <f t="shared" si="0"/>
        <v>3.0239499135654314E-2</v>
      </c>
      <c r="I26" s="1540">
        <f>'Cap Table'!$D$27</f>
        <v>394</v>
      </c>
      <c r="J26" s="1559">
        <f>'Cap Table'!E27</f>
        <v>0.08</v>
      </c>
    </row>
    <row r="27" spans="1:11" ht="12.75" customHeight="1">
      <c r="B27" s="478" t="str">
        <f>'OPM 1'!B30</f>
        <v>Common Stock</v>
      </c>
      <c r="C27" s="209"/>
      <c r="D27" s="1549">
        <f>IF($D$11&gt;$D$17, $I$27,0)</f>
        <v>6615.9830000000002</v>
      </c>
      <c r="E27" s="1560"/>
      <c r="F27" s="1561"/>
      <c r="H27" s="312">
        <f t="shared" si="0"/>
        <v>0.50777668073604987</v>
      </c>
      <c r="I27" s="1540">
        <f>'Cap Table'!$F$11</f>
        <v>6615.9830000000002</v>
      </c>
      <c r="J27" s="1540"/>
      <c r="K27" s="286"/>
    </row>
    <row r="28" spans="1:11" ht="12.75" customHeight="1">
      <c r="B28" s="309"/>
      <c r="C28" s="1558"/>
      <c r="D28" s="1539"/>
      <c r="E28" s="1560"/>
      <c r="F28" s="1560"/>
      <c r="J28" s="1536"/>
    </row>
    <row r="29" spans="1:11" ht="12.75" customHeight="1">
      <c r="B29" s="1543" t="s">
        <v>159</v>
      </c>
      <c r="C29" s="1553"/>
      <c r="D29" s="1554">
        <f>SUM(D22:D27)</f>
        <v>8715.9830000000002</v>
      </c>
      <c r="E29" s="1550"/>
      <c r="F29" s="1550"/>
      <c r="H29" s="1165">
        <f>SUM(H22:H28)</f>
        <v>1</v>
      </c>
      <c r="I29" s="1554">
        <f>SUM(I22:I28)</f>
        <v>13029.316333333334</v>
      </c>
    </row>
    <row r="30" spans="1:11" ht="12.75" customHeight="1">
      <c r="B30" s="352"/>
      <c r="C30" s="272"/>
      <c r="D30" s="1551"/>
      <c r="E30" s="1550"/>
      <c r="F30" s="1550"/>
      <c r="I30" s="1856" t="str">
        <f>IF(I29&lt;&gt;'Cap Table'!$H$21,"Check","")</f>
        <v/>
      </c>
    </row>
    <row r="31" spans="1:11" ht="12.75" customHeight="1">
      <c r="B31" s="326" t="s">
        <v>357</v>
      </c>
      <c r="C31" s="272"/>
      <c r="D31" s="1551">
        <f>SUMPRODUCT(D24:D26,J24:J26)</f>
        <v>142.94</v>
      </c>
      <c r="E31" s="1550"/>
      <c r="F31" s="1550"/>
    </row>
    <row r="32" spans="1:11" ht="12.75" customHeight="1">
      <c r="B32" s="352"/>
      <c r="C32" s="272"/>
      <c r="D32" s="1551"/>
      <c r="E32" s="1550"/>
      <c r="F32" s="1550"/>
    </row>
    <row r="33" spans="2:10" ht="12.75" customHeight="1">
      <c r="B33" s="352" t="s">
        <v>2334</v>
      </c>
      <c r="C33" s="272"/>
      <c r="D33" s="1551"/>
      <c r="E33" s="1550"/>
      <c r="F33" s="1550"/>
      <c r="H33" s="1562"/>
    </row>
    <row r="34" spans="2:10" ht="12.75" customHeight="1">
      <c r="B34" s="280" t="str">
        <f t="shared" ref="B34:B39" si="1">B22</f>
        <v>Series Seed 1</v>
      </c>
      <c r="C34" s="272"/>
      <c r="D34" s="1563">
        <f>IF($D22&gt;0,D14+SUM($D$19,$D$31)*D22/$D$29,D14)</f>
        <v>1235</v>
      </c>
      <c r="E34" s="282"/>
      <c r="F34" s="1564"/>
    </row>
    <row r="35" spans="2:10" ht="12.75" customHeight="1">
      <c r="B35" s="280" t="str">
        <f t="shared" si="1"/>
        <v>Series Seed 2</v>
      </c>
      <c r="C35" s="272"/>
      <c r="D35" s="1563">
        <f>IF($D23&gt;0,D15+SUM($D$19,$D$31)*D23/$D$29,D15)</f>
        <v>4000.0000000000005</v>
      </c>
      <c r="E35" s="1550"/>
      <c r="F35" s="1564"/>
    </row>
    <row r="36" spans="2:10" ht="12.75" customHeight="1">
      <c r="B36" s="280" t="str">
        <f t="shared" si="1"/>
        <v>Options at $0.07 Strike Price</v>
      </c>
      <c r="C36" s="272"/>
      <c r="D36" s="1563">
        <f>IF($D24&gt;0,SUM($D$19,$D$31)*D24/$D$29,0)</f>
        <v>178.30021467458118</v>
      </c>
      <c r="E36" s="1550"/>
      <c r="F36" s="1564"/>
      <c r="I36" s="298"/>
    </row>
    <row r="37" spans="2:10" ht="12.75" customHeight="1">
      <c r="B37" s="280" t="str">
        <f t="shared" si="1"/>
        <v>Options at $0.05 Strike Price</v>
      </c>
      <c r="C37" s="272"/>
      <c r="D37" s="1563">
        <f>IF($D25&gt;0,SUM($D$19,$D$31)*D25/$D$29,0)</f>
        <v>54.609560390377077</v>
      </c>
      <c r="E37" s="1550"/>
      <c r="F37" s="1550"/>
    </row>
    <row r="38" spans="2:10" ht="12.75" customHeight="1">
      <c r="B38" s="280" t="str">
        <f t="shared" si="1"/>
        <v>Expected Options Grant</v>
      </c>
      <c r="C38" s="272"/>
      <c r="D38" s="1563">
        <f>IF($D26&gt;0,SUM($D$19,$D$31)*D26/$D$29,0)</f>
        <v>53.790416984521428</v>
      </c>
      <c r="E38" s="1550"/>
      <c r="F38" s="1550"/>
      <c r="I38" s="298"/>
    </row>
    <row r="39" spans="2:10" ht="12.75" customHeight="1">
      <c r="B39" s="280" t="str">
        <f t="shared" si="1"/>
        <v>Common Stock</v>
      </c>
      <c r="C39" s="272"/>
      <c r="D39" s="1563">
        <f>IF($D27&gt;0,SUM($D$19,$D$31)*D27/$D$29,0)</f>
        <v>903.23980795052046</v>
      </c>
      <c r="E39" s="1550"/>
      <c r="F39" s="1550"/>
    </row>
    <row r="40" spans="2:10" ht="12.75" customHeight="1">
      <c r="B40" s="1623" t="s">
        <v>159</v>
      </c>
      <c r="C40" s="1624"/>
      <c r="D40" s="1834">
        <f>SUM(D34:D39)</f>
        <v>6424.94</v>
      </c>
      <c r="E40" s="1550"/>
      <c r="F40" s="1550"/>
      <c r="I40" s="1704" t="str">
        <f>IF((D40-D31)=D11,"","Check")</f>
        <v/>
      </c>
    </row>
    <row r="41" spans="2:10" ht="12.75" customHeight="1">
      <c r="B41" s="280"/>
      <c r="C41" s="272"/>
      <c r="D41" s="1563"/>
      <c r="E41" s="1550"/>
      <c r="F41" s="1550"/>
    </row>
    <row r="42" spans="2:10" ht="12.75" customHeight="1">
      <c r="B42" s="231" t="s">
        <v>2442</v>
      </c>
      <c r="C42" s="272"/>
      <c r="D42" s="1625">
        <f>IF($D$27&gt;0,$D$39/$D$27,0)</f>
        <v>0.13652390097594272</v>
      </c>
      <c r="E42" s="1550"/>
      <c r="F42" s="1550"/>
    </row>
    <row r="43" spans="2:10" ht="12.75" customHeight="1">
      <c r="B43" s="280"/>
      <c r="C43" s="272"/>
      <c r="D43" s="1563"/>
      <c r="E43" s="1550"/>
      <c r="F43" s="1550"/>
    </row>
    <row r="44" spans="2:10" ht="12.75" customHeight="1">
      <c r="B44" s="1565" t="s">
        <v>1718</v>
      </c>
      <c r="C44" s="209"/>
      <c r="D44" s="1535">
        <f>'DLOM - CVM'!H67</f>
        <v>0.4</v>
      </c>
      <c r="E44" s="1566"/>
      <c r="F44" s="342" t="str">
        <f>'DLOM - CVM'!B3</f>
        <v>Exhibit G.2</v>
      </c>
    </row>
    <row r="45" spans="2:10" ht="12.75" hidden="1" customHeight="1" outlineLevel="1">
      <c r="B45" s="1565" t="s">
        <v>2335</v>
      </c>
      <c r="C45" s="209"/>
      <c r="D45" s="1851">
        <f>'Control Premium Summary'!I38*$J$45</f>
        <v>0</v>
      </c>
      <c r="E45" s="1566"/>
      <c r="F45" s="342" t="s">
        <v>2336</v>
      </c>
      <c r="I45" s="208" t="s">
        <v>2559</v>
      </c>
      <c r="J45" s="208">
        <v>0</v>
      </c>
    </row>
    <row r="46" spans="2:10" ht="12.75" customHeight="1" collapsed="1">
      <c r="B46" s="280"/>
      <c r="C46" s="209"/>
      <c r="D46" s="209"/>
      <c r="E46" s="348"/>
      <c r="F46" s="348"/>
    </row>
    <row r="47" spans="2:10" ht="12.75" customHeight="1">
      <c r="B47" s="1543" t="s">
        <v>2561</v>
      </c>
      <c r="C47" s="1567"/>
      <c r="D47" s="1568">
        <f>D42*(1-D44)*(1-D45)</f>
        <v>8.1914340585565626E-2</v>
      </c>
      <c r="E47" s="1569"/>
      <c r="F47" s="1569"/>
    </row>
    <row r="48" spans="2:10" ht="12.75" customHeight="1"/>
    <row r="49" spans="1:9" ht="12.75" customHeight="1">
      <c r="B49" s="1570" t="s">
        <v>2561</v>
      </c>
      <c r="C49" s="1571"/>
      <c r="D49" s="1572">
        <f>D47</f>
        <v>8.1914340585565626E-2</v>
      </c>
      <c r="I49" s="324">
        <f>D49</f>
        <v>8.1914340585565626E-2</v>
      </c>
    </row>
    <row r="50" spans="1:9" ht="12.75" customHeight="1">
      <c r="B50" s="338"/>
      <c r="C50" s="338"/>
      <c r="D50" s="1573"/>
    </row>
    <row r="51" spans="1:9" ht="12.75" customHeight="1">
      <c r="B51" s="295"/>
      <c r="E51" s="208"/>
    </row>
    <row r="52" spans="1:9" ht="12.75" customHeight="1">
      <c r="A52" s="1574"/>
    </row>
    <row r="53" spans="1:9" ht="12.75" customHeight="1"/>
    <row r="54" spans="1:9" ht="12.75" customHeight="1">
      <c r="B54" s="208" t="s">
        <v>563</v>
      </c>
    </row>
    <row r="55" spans="1:9" ht="12.75" customHeight="1">
      <c r="B55" s="1411" t="s">
        <v>2558</v>
      </c>
    </row>
    <row r="56" spans="1:9" ht="12.75" customHeight="1">
      <c r="B56" s="315">
        <v>0</v>
      </c>
    </row>
    <row r="57" spans="1:9" ht="12.75" customHeight="1">
      <c r="B57" s="316">
        <v>1</v>
      </c>
    </row>
    <row r="58" spans="1:9" ht="12.75" customHeight="1"/>
    <row r="59" spans="1:9" ht="12.75" customHeight="1"/>
    <row r="60" spans="1:9" ht="12.75" customHeight="1"/>
    <row r="61" spans="1:9" ht="12.75" customHeight="1"/>
    <row r="62" spans="1:9" ht="12.75" customHeight="1"/>
    <row r="63" spans="1:9" ht="12.75" customHeight="1"/>
    <row r="64" spans="1:9" ht="12.75" customHeight="1"/>
    <row r="65" spans="4:4" ht="12.75" customHeight="1"/>
    <row r="66" spans="4:4" ht="12.75" customHeight="1"/>
    <row r="67" spans="4:4" ht="12.75" customHeight="1"/>
    <row r="72" spans="4:4">
      <c r="D72" s="230"/>
    </row>
  </sheetData>
  <conditionalFormatting sqref="C6 B4:F5">
    <cfRule type="cellIs" dxfId="259" priority="2" stopIfTrue="1" operator="equal">
      <formula>"input"</formula>
    </cfRule>
  </conditionalFormatting>
  <conditionalFormatting sqref="F4">
    <cfRule type="cellIs" dxfId="258" priority="1" stopIfTrue="1" operator="equal">
      <formula>"input"</formula>
    </cfRule>
  </conditionalFormatting>
  <dataValidations count="1">
    <dataValidation type="list" allowBlank="1" showInputMessage="1" showErrorMessage="1" sqref="J45 K5" xr:uid="{00000000-0002-0000-0B00-000000000000}">
      <formula1>$B$56:$B$57</formula1>
    </dataValidation>
  </dataValidations>
  <pageMargins left="0.5" right="0.5" top="0.5" bottom="0.5" header="0.5" footer="0.5"/>
  <pageSetup scale="88" fitToWidth="0"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tabColor theme="3" tint="-0.499984740745262"/>
    <pageSetUpPr fitToPage="1"/>
  </sheetPr>
  <dimension ref="B6:G30"/>
  <sheetViews>
    <sheetView showGridLines="0" view="pageBreakPreview" zoomScale="80" zoomScaleNormal="100" zoomScaleSheetLayoutView="80" workbookViewId="0">
      <selection activeCell="D11" sqref="D11"/>
    </sheetView>
  </sheetViews>
  <sheetFormatPr defaultColWidth="9.33203125" defaultRowHeight="12.75"/>
  <cols>
    <col min="1" max="1" width="4.5" style="260" customWidth="1"/>
    <col min="2" max="2" width="3.83203125" style="260" customWidth="1"/>
    <col min="3" max="3" width="15.83203125" style="260" customWidth="1"/>
    <col min="4" max="4" width="108.83203125" style="300" customWidth="1"/>
    <col min="5" max="5" width="15.83203125" style="260" customWidth="1"/>
    <col min="6" max="6" width="3.83203125" style="260" customWidth="1"/>
    <col min="7" max="7" width="4.5" style="260" customWidth="1"/>
    <col min="8" max="8" width="2.83203125" style="260" customWidth="1"/>
    <col min="9" max="9" width="9.33203125" style="260"/>
    <col min="10" max="10" width="16.33203125" style="260" bestFit="1" customWidth="1"/>
    <col min="11" max="11" width="19" style="260" bestFit="1" customWidth="1"/>
    <col min="12" max="16384" width="9.33203125" style="260"/>
  </cols>
  <sheetData>
    <row r="6" spans="2:7">
      <c r="C6" s="442"/>
      <c r="D6" s="443"/>
      <c r="E6" s="442"/>
      <c r="F6" s="442"/>
      <c r="G6" s="442"/>
    </row>
    <row r="7" spans="2:7" ht="13.5" thickBot="1">
      <c r="C7" s="442"/>
      <c r="D7" s="443"/>
      <c r="E7" s="442"/>
      <c r="F7" s="442"/>
      <c r="G7" s="442"/>
    </row>
    <row r="8" spans="2:7" ht="15" thickTop="1">
      <c r="B8" s="582"/>
      <c r="C8" s="582"/>
      <c r="D8" s="188"/>
      <c r="E8" s="582"/>
      <c r="F8" s="582"/>
      <c r="G8" s="442"/>
    </row>
    <row r="9" spans="2:7" ht="30">
      <c r="B9" s="584"/>
      <c r="C9" s="584"/>
      <c r="D9" s="218" t="s">
        <v>2110</v>
      </c>
      <c r="E9" s="584"/>
      <c r="F9" s="584"/>
      <c r="G9" s="442"/>
    </row>
    <row r="10" spans="2:7" ht="15" thickBot="1">
      <c r="B10" s="586"/>
      <c r="C10" s="586"/>
      <c r="D10" s="201"/>
      <c r="E10" s="586"/>
      <c r="F10" s="586"/>
      <c r="G10" s="442"/>
    </row>
    <row r="11" spans="2:7" ht="13.5" thickTop="1">
      <c r="G11" s="442"/>
    </row>
    <row r="12" spans="2:7">
      <c r="G12" s="442"/>
    </row>
    <row r="13" spans="2:7" ht="18">
      <c r="D13" s="203"/>
      <c r="G13" s="442"/>
    </row>
    <row r="14" spans="2:7" ht="18">
      <c r="D14" s="204"/>
    </row>
    <row r="27" spans="4:4" ht="23.25">
      <c r="D27" s="205"/>
    </row>
    <row r="29" spans="4:4" ht="18">
      <c r="D29" s="206"/>
    </row>
    <row r="30" spans="4:4" ht="36">
      <c r="D30" s="207" t="s">
        <v>374</v>
      </c>
    </row>
  </sheetData>
  <pageMargins left="0.5" right="0.5" top="0.5" bottom="0.5" header="0.5" footer="0.5"/>
  <pageSetup scale="98"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8"/>
  <dimension ref="B1:M764"/>
  <sheetViews>
    <sheetView showGridLines="0" view="pageBreakPreview" zoomScale="80" zoomScaleNormal="100" zoomScaleSheetLayoutView="80" workbookViewId="0">
      <selection activeCell="D11" sqref="D11"/>
    </sheetView>
  </sheetViews>
  <sheetFormatPr defaultRowHeight="12.75" outlineLevelRow="1" outlineLevelCol="1"/>
  <cols>
    <col min="1" max="1" width="4.5" style="208" customWidth="1"/>
    <col min="2" max="2" width="70.83203125" style="208" customWidth="1"/>
    <col min="3" max="3" width="1.83203125" style="208" customWidth="1"/>
    <col min="4" max="5" width="35.83203125" style="208" customWidth="1"/>
    <col min="6" max="6" width="4.5" style="208" customWidth="1"/>
    <col min="7" max="7" width="4.5" style="208" hidden="1" customWidth="1" outlineLevel="1"/>
    <col min="8" max="8" width="70.83203125" style="208" hidden="1" customWidth="1" outlineLevel="1"/>
    <col min="9" max="9" width="1.83203125" style="208" hidden="1" customWidth="1" outlineLevel="1"/>
    <col min="10" max="11" width="35.83203125" style="208" hidden="1" customWidth="1" outlineLevel="1"/>
    <col min="12" max="12" width="4.5" style="208" hidden="1" customWidth="1" outlineLevel="1"/>
    <col min="13" max="13" width="9.33203125" style="208" collapsed="1"/>
    <col min="14" max="16384" width="9.33203125" style="208"/>
  </cols>
  <sheetData>
    <row r="1" spans="2:11" ht="10.7" customHeight="1" thickBot="1"/>
    <row r="2" spans="2:11" ht="16.5" customHeight="1" thickTop="1">
      <c r="B2" s="216" t="str">
        <f>'MASTER PubCo Inputs'!$C$5</f>
        <v>Medikine, Inc.</v>
      </c>
      <c r="C2" s="216"/>
      <c r="D2" s="216"/>
      <c r="E2" s="216"/>
      <c r="F2" s="215"/>
      <c r="G2" s="215"/>
      <c r="H2" s="216" t="str">
        <f>'MASTER PubCo Inputs'!$C$5</f>
        <v>Medikine, Inc.</v>
      </c>
      <c r="I2" s="216"/>
      <c r="J2" s="216"/>
      <c r="K2" s="216"/>
    </row>
    <row r="3" spans="2:11" ht="15.75" customHeight="1">
      <c r="B3" s="217" t="str">
        <f>VLOOKUP(B4,Outline!$E$8:$G$79,COLUMNS(Outline!$E$8:$G$8),FALSE)</f>
        <v>Exhibit C.1</v>
      </c>
      <c r="C3" s="217"/>
      <c r="D3" s="217"/>
      <c r="E3" s="217"/>
      <c r="F3" s="215"/>
      <c r="G3" s="215"/>
      <c r="H3" s="217" t="str">
        <f>B3</f>
        <v>Exhibit C.1</v>
      </c>
      <c r="I3" s="217"/>
      <c r="J3" s="217"/>
      <c r="K3" s="217"/>
    </row>
    <row r="4" spans="2:11" ht="16.5" customHeight="1" thickBot="1">
      <c r="B4" s="444" t="s">
        <v>2111</v>
      </c>
      <c r="C4" s="444"/>
      <c r="D4" s="444"/>
      <c r="E4" s="445" t="str">
        <f>+'MASTER PubCo Inputs'!$C$21</f>
        <v>(in thousands of USD)</v>
      </c>
      <c r="F4" s="215"/>
      <c r="G4" s="215"/>
      <c r="H4" s="444" t="str">
        <f>$B$4&amp;" - Common Size"</f>
        <v>Financial Forecasts - Common Size</v>
      </c>
      <c r="I4" s="444"/>
      <c r="J4" s="444"/>
      <c r="K4" s="444"/>
    </row>
    <row r="5" spans="2:11" s="326" customFormat="1" ht="14.85" customHeight="1" thickTop="1">
      <c r="B5" s="208"/>
      <c r="C5" s="208"/>
      <c r="D5" s="208"/>
      <c r="E5" s="208"/>
      <c r="F5" s="208"/>
      <c r="H5" s="208"/>
      <c r="I5" s="208"/>
    </row>
    <row r="6" spans="2:11" s="326" customFormat="1" ht="14.85" customHeight="1">
      <c r="B6" s="208"/>
      <c r="C6" s="208"/>
      <c r="D6" s="208"/>
      <c r="E6" s="208"/>
      <c r="F6" s="208"/>
      <c r="H6" s="208"/>
      <c r="I6" s="208"/>
    </row>
    <row r="7" spans="2:11" ht="14.85" customHeight="1">
      <c r="E7" s="446"/>
    </row>
    <row r="8" spans="2:11" ht="14.85" customHeight="1">
      <c r="B8" s="310"/>
      <c r="C8" s="447"/>
      <c r="D8" s="1525" t="s">
        <v>588</v>
      </c>
      <c r="E8" s="1526"/>
      <c r="I8" s="451"/>
      <c r="J8" s="1525" t="s">
        <v>588</v>
      </c>
      <c r="K8" s="1526"/>
    </row>
    <row r="9" spans="2:11" ht="14.85" customHeight="1">
      <c r="B9" s="354"/>
      <c r="C9" s="326"/>
      <c r="D9" s="1527">
        <f>YEAR('MASTER PubCo Inputs'!$C$6)</f>
        <v>2019</v>
      </c>
      <c r="E9" s="1528">
        <f>D9+1</f>
        <v>2020</v>
      </c>
      <c r="H9" s="455"/>
      <c r="I9" s="288"/>
      <c r="J9" s="1529">
        <f>YEAR('MASTER PubCo Inputs'!$C$6)</f>
        <v>2019</v>
      </c>
      <c r="K9" s="1528">
        <f>J9+1</f>
        <v>2020</v>
      </c>
    </row>
    <row r="10" spans="2:11" ht="14.85" customHeight="1">
      <c r="D10" s="232"/>
      <c r="E10" s="232"/>
      <c r="J10" s="232"/>
      <c r="K10" s="232"/>
    </row>
    <row r="11" spans="2:11" ht="14.85" customHeight="1">
      <c r="B11" s="208" t="s">
        <v>169</v>
      </c>
      <c r="D11" s="456" t="s">
        <v>170</v>
      </c>
      <c r="E11" s="456" t="s">
        <v>170</v>
      </c>
      <c r="H11" s="208" t="str">
        <f>B11</f>
        <v>Time in Period</v>
      </c>
      <c r="J11" s="232" t="str">
        <f>+D11</f>
        <v>1 Year</v>
      </c>
      <c r="K11" s="232" t="str">
        <f>+E11</f>
        <v>1 Year</v>
      </c>
    </row>
    <row r="12" spans="2:11" ht="14.85" customHeight="1">
      <c r="D12" s="457"/>
      <c r="E12" s="457"/>
    </row>
    <row r="13" spans="2:11" ht="14.85" customHeight="1">
      <c r="B13" s="208" t="s">
        <v>2557</v>
      </c>
      <c r="D13" s="306">
        <f>SUM('$4M Oper Plan MM 112018'!I21:T21)/1000</f>
        <v>2203.6990000000001</v>
      </c>
      <c r="E13" s="306">
        <f>SUM('$4M Oper Plan MM 112018'!V21:AG21)/1000</f>
        <v>187.49700000000001</v>
      </c>
      <c r="H13" s="208" t="str">
        <f>B13</f>
        <v>Grant Revenue</v>
      </c>
      <c r="J13" s="458">
        <f>IF(ISERROR(D13/D$13), "n/a", D13/D$13)</f>
        <v>1</v>
      </c>
      <c r="K13" s="458">
        <f>IF(ISERROR(E13/E$13), "n/a", E13/E$13)</f>
        <v>1</v>
      </c>
    </row>
    <row r="14" spans="2:11" ht="14.85" customHeight="1">
      <c r="D14" s="457"/>
      <c r="E14" s="457"/>
    </row>
    <row r="15" spans="2:11" ht="14.85" customHeight="1">
      <c r="B15" s="280" t="s">
        <v>171</v>
      </c>
      <c r="D15" s="306">
        <v>0</v>
      </c>
      <c r="E15" s="306">
        <v>0</v>
      </c>
      <c r="H15" s="280" t="str">
        <f>B15</f>
        <v>Cost of Sales (Goods Sold)</v>
      </c>
      <c r="J15" s="458">
        <f>IF(ISERROR(D15/D$13), "n/a", D15/D$13)</f>
        <v>0</v>
      </c>
      <c r="K15" s="458">
        <f>IF(ISERROR(E15/E$13), "n/a", E15/E$13)</f>
        <v>0</v>
      </c>
    </row>
    <row r="16" spans="2:11" ht="14.85" customHeight="1">
      <c r="B16" s="288"/>
      <c r="C16" s="288"/>
      <c r="D16" s="459"/>
      <c r="E16" s="459"/>
      <c r="H16" s="288"/>
      <c r="I16" s="288"/>
      <c r="J16" s="288"/>
      <c r="K16" s="288"/>
    </row>
    <row r="17" spans="2:11" ht="14.85" customHeight="1">
      <c r="B17" s="208" t="s">
        <v>160</v>
      </c>
      <c r="D17" s="306">
        <f>D13+D15</f>
        <v>2203.6990000000001</v>
      </c>
      <c r="E17" s="306">
        <f>E13+E15</f>
        <v>187.49700000000001</v>
      </c>
      <c r="H17" s="208" t="str">
        <f>B17</f>
        <v>Gross Profit</v>
      </c>
      <c r="J17" s="458">
        <f>IF(ISERROR(D17/D$13), "n/a", D17/D$13)</f>
        <v>1</v>
      </c>
      <c r="K17" s="458">
        <f>IF(ISERROR(E17/E$13), "n/a", E17/E$13)</f>
        <v>1</v>
      </c>
    </row>
    <row r="18" spans="2:11" ht="14.85" customHeight="1">
      <c r="D18" s="457"/>
      <c r="E18" s="457"/>
    </row>
    <row r="19" spans="2:11" ht="14.85" customHeight="1">
      <c r="B19" s="208" t="s">
        <v>161</v>
      </c>
      <c r="D19" s="457"/>
      <c r="E19" s="457"/>
      <c r="H19" s="208" t="str">
        <f t="shared" ref="H19:H24" si="0">B19</f>
        <v>Operating Expenses</v>
      </c>
    </row>
    <row r="20" spans="2:11" ht="14.85" customHeight="1">
      <c r="B20" s="280" t="s">
        <v>162</v>
      </c>
      <c r="D20" s="306">
        <f>-SUM('$4M Oper Plan MM 112018'!I32:T32)/1000-D22</f>
        <v>-1689.2700346666661</v>
      </c>
      <c r="E20" s="306">
        <f>-SUM('$4M Oper Plan MM 112018'!V32:AG32)/1000-E22</f>
        <v>-1865.7568903600009</v>
      </c>
      <c r="H20" s="280" t="str">
        <f t="shared" si="0"/>
        <v>General &amp; Administrative</v>
      </c>
      <c r="J20" s="458">
        <f t="shared" ref="J20:K24" si="1">IF(ISERROR(D20/D$13), "n/a", D20/D$13)</f>
        <v>-0.76656114771875195</v>
      </c>
      <c r="K20" s="458">
        <f t="shared" si="1"/>
        <v>-9.9508626290554023</v>
      </c>
    </row>
    <row r="21" spans="2:11" ht="14.85" hidden="1" customHeight="1" outlineLevel="1">
      <c r="B21" s="280" t="s">
        <v>163</v>
      </c>
      <c r="D21" s="418">
        <v>0</v>
      </c>
      <c r="E21" s="418">
        <v>0</v>
      </c>
      <c r="H21" s="280" t="str">
        <f t="shared" si="0"/>
        <v>Sales &amp; Marketing</v>
      </c>
      <c r="J21" s="458">
        <f t="shared" si="1"/>
        <v>0</v>
      </c>
      <c r="K21" s="458">
        <f t="shared" si="1"/>
        <v>0</v>
      </c>
    </row>
    <row r="22" spans="2:11" ht="14.85" customHeight="1" collapsed="1">
      <c r="B22" s="280" t="s">
        <v>164</v>
      </c>
      <c r="D22" s="306">
        <f>-SUM('$4M Oper Plan MM 112018'!I27:T27)/1000</f>
        <v>-410</v>
      </c>
      <c r="E22" s="306">
        <f>-SUM('$4M Oper Plan MM 112018'!V27:AG27)/1000</f>
        <v>-360</v>
      </c>
      <c r="H22" s="280" t="str">
        <f t="shared" si="0"/>
        <v>Research &amp; Development</v>
      </c>
      <c r="J22" s="458">
        <f t="shared" si="1"/>
        <v>-0.18605081728493772</v>
      </c>
      <c r="K22" s="458">
        <f t="shared" si="1"/>
        <v>-1.9200307204915277</v>
      </c>
    </row>
    <row r="23" spans="2:11" ht="14.85" hidden="1" customHeight="1" outlineLevel="1">
      <c r="B23" s="280" t="s">
        <v>165</v>
      </c>
      <c r="D23" s="418">
        <v>0</v>
      </c>
      <c r="E23" s="418">
        <v>0</v>
      </c>
      <c r="H23" s="280" t="str">
        <f t="shared" si="0"/>
        <v>Depreciation &amp; Amortization</v>
      </c>
      <c r="J23" s="458">
        <f t="shared" si="1"/>
        <v>0</v>
      </c>
      <c r="K23" s="458">
        <f t="shared" si="1"/>
        <v>0</v>
      </c>
    </row>
    <row r="24" spans="2:11" ht="14.85" hidden="1" customHeight="1" outlineLevel="1">
      <c r="B24" s="280" t="s">
        <v>166</v>
      </c>
      <c r="D24" s="418">
        <v>0</v>
      </c>
      <c r="E24" s="418">
        <v>0</v>
      </c>
      <c r="H24" s="280" t="str">
        <f t="shared" si="0"/>
        <v>Other Expenses</v>
      </c>
      <c r="J24" s="458">
        <f t="shared" si="1"/>
        <v>0</v>
      </c>
      <c r="K24" s="458">
        <f t="shared" si="1"/>
        <v>0</v>
      </c>
    </row>
    <row r="25" spans="2:11" collapsed="1">
      <c r="B25" s="288"/>
      <c r="C25" s="288"/>
      <c r="D25" s="459"/>
      <c r="E25" s="459"/>
      <c r="H25" s="288"/>
      <c r="I25" s="288"/>
      <c r="J25" s="288"/>
      <c r="K25" s="288"/>
    </row>
    <row r="26" spans="2:11" ht="14.85" customHeight="1">
      <c r="B26" s="231" t="s">
        <v>159</v>
      </c>
      <c r="D26" s="306">
        <f>SUM(D20:D24)</f>
        <v>-2099.2700346666661</v>
      </c>
      <c r="E26" s="306">
        <f>SUM(E20:E24)</f>
        <v>-2225.7568903600009</v>
      </c>
      <c r="H26" s="231" t="str">
        <f>B26</f>
        <v>Total</v>
      </c>
      <c r="J26" s="458">
        <f>IF(ISERROR(D26/D$13), "n/a", D26/D$13)</f>
        <v>-0.95261196500368972</v>
      </c>
      <c r="K26" s="458">
        <f>IF(ISERROR(E26/E$13), "n/a", E26/E$13)</f>
        <v>-11.870893349546929</v>
      </c>
    </row>
    <row r="27" spans="2:11" ht="14.85" customHeight="1">
      <c r="D27" s="457"/>
      <c r="E27" s="457"/>
    </row>
    <row r="28" spans="2:11" ht="14.85" customHeight="1">
      <c r="B28" s="208" t="s">
        <v>172</v>
      </c>
      <c r="D28" s="306">
        <f>D17+D26</f>
        <v>104.42896533333396</v>
      </c>
      <c r="E28" s="306">
        <f>E17+E26</f>
        <v>-2038.2598903600008</v>
      </c>
      <c r="H28" s="208" t="str">
        <f>B28</f>
        <v>Operating Income</v>
      </c>
      <c r="J28" s="458">
        <f>IF(ISERROR(D28/D$13), "n/a", D28/D$13)</f>
        <v>4.7388034996310273E-2</v>
      </c>
      <c r="K28" s="458">
        <f>IF(ISERROR(E28/E$13), "n/a", E28/E$13)</f>
        <v>-10.870893349546929</v>
      </c>
    </row>
    <row r="29" spans="2:11" ht="14.85" hidden="1" customHeight="1" outlineLevel="1">
      <c r="D29" s="457"/>
      <c r="E29" s="457"/>
    </row>
    <row r="30" spans="2:11" ht="14.85" hidden="1" customHeight="1" outlineLevel="1">
      <c r="B30" s="280" t="s">
        <v>173</v>
      </c>
      <c r="D30" s="418">
        <v>0</v>
      </c>
      <c r="E30" s="418">
        <v>0</v>
      </c>
      <c r="H30" s="280" t="str">
        <f>B30</f>
        <v>Interest Income/Expense, Net</v>
      </c>
      <c r="J30" s="458">
        <f t="shared" ref="J30:K32" si="2">IF(ISERROR(D30/D$13), "n/a", D30/D$13)</f>
        <v>0</v>
      </c>
      <c r="K30" s="458">
        <f t="shared" si="2"/>
        <v>0</v>
      </c>
    </row>
    <row r="31" spans="2:11" ht="14.85" hidden="1" customHeight="1" outlineLevel="1">
      <c r="B31" s="280" t="s">
        <v>174</v>
      </c>
      <c r="D31" s="418">
        <v>0</v>
      </c>
      <c r="E31" s="418">
        <v>0</v>
      </c>
      <c r="H31" s="280" t="str">
        <f>B31</f>
        <v>Other Income/Expense, Net</v>
      </c>
      <c r="J31" s="458">
        <f t="shared" si="2"/>
        <v>0</v>
      </c>
      <c r="K31" s="458">
        <f t="shared" si="2"/>
        <v>0</v>
      </c>
    </row>
    <row r="32" spans="2:11" ht="14.85" hidden="1" customHeight="1" outlineLevel="1">
      <c r="B32" s="280" t="s">
        <v>175</v>
      </c>
      <c r="D32" s="418">
        <v>0</v>
      </c>
      <c r="E32" s="418">
        <v>0</v>
      </c>
      <c r="H32" s="280" t="str">
        <f>B32</f>
        <v>Nonrecurring Loss</v>
      </c>
      <c r="J32" s="458">
        <f t="shared" si="2"/>
        <v>0</v>
      </c>
      <c r="K32" s="458">
        <f t="shared" si="2"/>
        <v>0</v>
      </c>
    </row>
    <row r="33" spans="2:11" ht="14.85" customHeight="1" collapsed="1">
      <c r="B33" s="288"/>
      <c r="C33" s="288"/>
      <c r="D33" s="459"/>
      <c r="E33" s="459"/>
      <c r="H33" s="288"/>
      <c r="I33" s="288"/>
      <c r="J33" s="288"/>
      <c r="K33" s="288"/>
    </row>
    <row r="34" spans="2:11" ht="14.85" customHeight="1">
      <c r="B34" s="231" t="s">
        <v>176</v>
      </c>
      <c r="D34" s="306">
        <f>SUM(D28:D32)</f>
        <v>104.42896533333396</v>
      </c>
      <c r="E34" s="306">
        <f>SUM(E28:E32)</f>
        <v>-2038.2598903600008</v>
      </c>
      <c r="H34" s="231" t="str">
        <f>B34</f>
        <v>Pre-Tax Income (Loss)</v>
      </c>
      <c r="J34" s="458">
        <f>IF(ISERROR(D34/D$13), "n/a", D34/D$13)</f>
        <v>4.7388034996310273E-2</v>
      </c>
      <c r="K34" s="458">
        <f>IF(ISERROR(E34/E$13), "n/a", E34/E$13)</f>
        <v>-10.870893349546929</v>
      </c>
    </row>
    <row r="35" spans="2:11" ht="14.85" hidden="1" customHeight="1" outlineLevel="1">
      <c r="D35" s="457"/>
      <c r="E35" s="457"/>
    </row>
    <row r="36" spans="2:11" ht="14.85" hidden="1" customHeight="1" outlineLevel="1">
      <c r="B36" s="280" t="s">
        <v>177</v>
      </c>
      <c r="D36" s="418">
        <v>0</v>
      </c>
      <c r="E36" s="418">
        <v>0</v>
      </c>
      <c r="H36" s="280" t="str">
        <f>B36</f>
        <v>Income Taxes</v>
      </c>
      <c r="J36" s="458">
        <f>IF(ISERROR(D36/D$13), "n/a", D36/D$13)</f>
        <v>0</v>
      </c>
      <c r="K36" s="458">
        <f>IF(ISERROR(E36/E$13), "n/a", E36/E$13)</f>
        <v>0</v>
      </c>
    </row>
    <row r="37" spans="2:11" ht="14.85" customHeight="1" collapsed="1">
      <c r="B37" s="288"/>
      <c r="C37" s="288"/>
      <c r="D37" s="459"/>
      <c r="E37" s="459"/>
      <c r="H37" s="288"/>
      <c r="I37" s="288"/>
      <c r="J37" s="288"/>
      <c r="K37" s="288"/>
    </row>
    <row r="38" spans="2:11" ht="14.85" customHeight="1">
      <c r="B38" s="352" t="s">
        <v>178</v>
      </c>
      <c r="C38" s="352"/>
      <c r="D38" s="460">
        <f>D34+D36</f>
        <v>104.42896533333396</v>
      </c>
      <c r="E38" s="460">
        <f>E34+E36</f>
        <v>-2038.2598903600008</v>
      </c>
      <c r="F38" s="326"/>
      <c r="G38" s="326"/>
      <c r="H38" s="352" t="str">
        <f>B38</f>
        <v>Net Income (Loss)</v>
      </c>
      <c r="I38" s="352"/>
      <c r="J38" s="461">
        <f>IF(ISERROR(D38/D$13), "n/a", D38/D$13)</f>
        <v>4.7388034996310273E-2</v>
      </c>
      <c r="K38" s="461">
        <f>IF(ISERROR(E38/E$13), "n/a", E38/E$13)</f>
        <v>-10.870893349546929</v>
      </c>
    </row>
    <row r="39" spans="2:11" ht="14.85" customHeight="1">
      <c r="D39" s="457"/>
      <c r="E39" s="457"/>
    </row>
    <row r="40" spans="2:11" ht="14.85" customHeight="1">
      <c r="B40" s="211" t="s">
        <v>179</v>
      </c>
      <c r="D40" s="457"/>
      <c r="E40" s="457"/>
      <c r="H40" s="211" t="str">
        <f>B40</f>
        <v>Other Items:</v>
      </c>
    </row>
    <row r="41" spans="2:11" ht="14.85" hidden="1" customHeight="1" outlineLevel="1">
      <c r="B41" s="280" t="s">
        <v>180</v>
      </c>
      <c r="D41" s="418"/>
      <c r="E41" s="418"/>
      <c r="H41" s="280" t="str">
        <f>B41</f>
        <v>Capital Expenditures</v>
      </c>
      <c r="J41" s="458">
        <f>IF(ISERROR(D41/D$13), "n/a", D41/D$13)</f>
        <v>0</v>
      </c>
      <c r="K41" s="458">
        <f>IF(ISERROR(E41/E$13), "n/a", E41/E$13)</f>
        <v>0</v>
      </c>
    </row>
    <row r="42" spans="2:11" ht="14.85" hidden="1" customHeight="1" outlineLevel="1">
      <c r="D42" s="457"/>
      <c r="E42" s="457"/>
    </row>
    <row r="43" spans="2:11" ht="14.85" customHeight="1" collapsed="1">
      <c r="B43" s="280" t="s">
        <v>167</v>
      </c>
      <c r="D43" s="306">
        <f>D28-D23</f>
        <v>104.42896533333396</v>
      </c>
      <c r="E43" s="306">
        <f>E28-E23</f>
        <v>-2038.2598903600008</v>
      </c>
      <c r="H43" s="280" t="str">
        <f>B43</f>
        <v>EBITDA</v>
      </c>
      <c r="J43" s="458">
        <f>IF(ISERROR(D43/D$13), "n/a", D43/D$13)</f>
        <v>4.7388034996310273E-2</v>
      </c>
      <c r="K43" s="458">
        <f>IF(ISERROR(E43/E$13), "n/a", E43/E$13)</f>
        <v>-10.870893349546929</v>
      </c>
    </row>
    <row r="44" spans="2:11" ht="14.85" customHeight="1"/>
    <row r="45" spans="2:11" ht="14.85" customHeight="1">
      <c r="B45" s="295"/>
    </row>
    <row r="46" spans="2:11" ht="14.85" customHeight="1">
      <c r="B46" s="463"/>
    </row>
    <row r="47" spans="2:11" ht="14.85" customHeight="1">
      <c r="B47" s="463" t="s">
        <v>110</v>
      </c>
      <c r="D47" s="402">
        <f>(SUM('$4M Oper Plan MM 112018'!I34:T34)/1000)-D43</f>
        <v>-7.2475359047530219E-13</v>
      </c>
      <c r="E47" s="402">
        <f>(SUM('$4M Oper Plan MM 112018'!V34:AG34)/1000)-E43</f>
        <v>0</v>
      </c>
    </row>
    <row r="48" spans="2:11"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4:E4 J4:K4">
    <cfRule type="cellIs" dxfId="257" priority="4" stopIfTrue="1" operator="equal">
      <formula>"input"</formula>
    </cfRule>
  </conditionalFormatting>
  <conditionalFormatting sqref="H4:I4">
    <cfRule type="cellIs" dxfId="256" priority="3" stopIfTrue="1" operator="equal">
      <formula>"input"</formula>
    </cfRule>
  </conditionalFormatting>
  <conditionalFormatting sqref="E4">
    <cfRule type="cellIs" dxfId="255" priority="2" stopIfTrue="1" operator="equal">
      <formula>"input"</formula>
    </cfRule>
  </conditionalFormatting>
  <conditionalFormatting sqref="E4">
    <cfRule type="cellIs" dxfId="254" priority="1" stopIfTrue="1" operator="equal">
      <formula>"input"</formula>
    </cfRule>
  </conditionalFormatting>
  <pageMargins left="0.5" right="0.5" top="0.5" bottom="0.5" header="0.5" footer="0.5"/>
  <pageSetup fitToWidth="0" fitToHeight="0" orientation="landscape" r:id="rId1"/>
  <colBreaks count="1" manualBreakCount="1">
    <brk id="6" max="43" man="1"/>
  </colBreaks>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dimension ref="A1:O764"/>
  <sheetViews>
    <sheetView showGridLines="0" view="pageBreakPreview" zoomScale="80" zoomScaleNormal="100" zoomScaleSheetLayoutView="80" workbookViewId="0">
      <selection activeCell="D11" sqref="D11"/>
    </sheetView>
  </sheetViews>
  <sheetFormatPr defaultRowHeight="12.75" outlineLevelRow="1"/>
  <cols>
    <col min="1" max="1" width="4.5" style="208" customWidth="1"/>
    <col min="2" max="2" width="51.1640625" style="208" customWidth="1"/>
    <col min="3" max="3" width="1.83203125" style="208" customWidth="1"/>
    <col min="4" max="7" width="24.83203125" style="208" customWidth="1"/>
    <col min="8" max="9" width="4.5" style="208" customWidth="1"/>
    <col min="10" max="10" width="51.1640625" style="208" customWidth="1"/>
    <col min="11" max="11" width="1.83203125" style="208" customWidth="1"/>
    <col min="12" max="15" width="24.83203125" style="208" customWidth="1"/>
    <col min="16" max="16" width="4.5" style="208" customWidth="1"/>
    <col min="17" max="16384" width="9.33203125" style="208"/>
  </cols>
  <sheetData>
    <row r="1" spans="2:15" ht="10.7" customHeight="1" thickBot="1"/>
    <row r="2" spans="2:15" ht="16.5" customHeight="1" thickTop="1">
      <c r="B2" s="216" t="str">
        <f>'MASTER PubCo Inputs'!$C$5</f>
        <v>Medikine, Inc.</v>
      </c>
      <c r="C2" s="216"/>
      <c r="D2" s="216"/>
      <c r="E2" s="216"/>
      <c r="F2" s="216"/>
      <c r="G2" s="216"/>
      <c r="H2" s="215"/>
      <c r="I2" s="215"/>
      <c r="J2" s="216" t="str">
        <f>'MASTER PubCo Inputs'!$C$5</f>
        <v>Medikine, Inc.</v>
      </c>
      <c r="K2" s="216"/>
      <c r="L2" s="216"/>
      <c r="M2" s="216"/>
      <c r="N2" s="216"/>
      <c r="O2" s="216"/>
    </row>
    <row r="3" spans="2:15" ht="15.75" customHeight="1">
      <c r="B3" s="217" t="str">
        <f>VLOOKUP(B4,Outline!$E$8:$G$79,COLUMNS(Outline!$E$8:$G$8),FALSE)</f>
        <v>Exhibit C.2</v>
      </c>
      <c r="C3" s="217"/>
      <c r="D3" s="217"/>
      <c r="E3" s="217"/>
      <c r="F3" s="217"/>
      <c r="G3" s="217"/>
      <c r="H3" s="215"/>
      <c r="I3" s="215"/>
      <c r="J3" s="217" t="str">
        <f>B3</f>
        <v>Exhibit C.2</v>
      </c>
      <c r="K3" s="217"/>
      <c r="L3" s="217"/>
      <c r="M3" s="217"/>
      <c r="N3" s="217"/>
      <c r="O3" s="217"/>
    </row>
    <row r="4" spans="2:15" ht="16.5" customHeight="1" thickBot="1">
      <c r="B4" s="444" t="s">
        <v>156</v>
      </c>
      <c r="C4" s="444"/>
      <c r="D4" s="444"/>
      <c r="E4" s="444"/>
      <c r="F4" s="444"/>
      <c r="G4" s="445" t="str">
        <f>+'MASTER PubCo Inputs'!$C$21</f>
        <v>(in thousands of USD)</v>
      </c>
      <c r="H4" s="215"/>
      <c r="I4" s="215"/>
      <c r="J4" s="444" t="str">
        <f>$B$4&amp;" - Common Size"</f>
        <v>Historical Income Statement - Common Size</v>
      </c>
      <c r="K4" s="444"/>
      <c r="L4" s="444"/>
      <c r="M4" s="444"/>
      <c r="N4" s="444"/>
      <c r="O4" s="444"/>
    </row>
    <row r="5" spans="2:15" s="326" customFormat="1" ht="14.85" customHeight="1" thickTop="1">
      <c r="B5" s="208"/>
      <c r="C5" s="208"/>
      <c r="D5" s="208"/>
      <c r="E5" s="208"/>
      <c r="F5" s="208"/>
      <c r="G5" s="208"/>
      <c r="H5" s="208"/>
      <c r="J5" s="208"/>
      <c r="K5" s="208"/>
    </row>
    <row r="6" spans="2:15" s="326" customFormat="1" ht="14.85" customHeight="1">
      <c r="B6" s="208"/>
      <c r="C6" s="208"/>
      <c r="D6" s="208"/>
      <c r="E6" s="208"/>
      <c r="F6" s="208"/>
      <c r="G6" s="208"/>
      <c r="H6" s="208"/>
      <c r="J6" s="208"/>
      <c r="K6" s="208"/>
    </row>
    <row r="7" spans="2:15" ht="14.85" customHeight="1"/>
    <row r="8" spans="2:15" ht="14.85" customHeight="1">
      <c r="C8" s="447"/>
      <c r="D8" s="448" t="s">
        <v>588</v>
      </c>
      <c r="E8" s="449"/>
      <c r="F8" s="449"/>
      <c r="G8" s="1894"/>
      <c r="K8" s="451"/>
      <c r="L8" s="448" t="s">
        <v>588</v>
      </c>
      <c r="M8" s="449"/>
      <c r="N8" s="449"/>
      <c r="O8" s="1894"/>
    </row>
    <row r="9" spans="2:15" ht="14.85" customHeight="1">
      <c r="B9" s="354"/>
      <c r="C9" s="326"/>
      <c r="D9" s="453">
        <f>E9-1</f>
        <v>2015</v>
      </c>
      <c r="E9" s="454">
        <f>F9-1</f>
        <v>2016</v>
      </c>
      <c r="F9" s="454">
        <f>G9-1</f>
        <v>2017</v>
      </c>
      <c r="G9" s="1895">
        <f>YEAR('MASTER PubCo Inputs'!C7)</f>
        <v>2018</v>
      </c>
      <c r="J9" s="455"/>
      <c r="K9" s="288"/>
      <c r="L9" s="454">
        <f>+D9</f>
        <v>2015</v>
      </c>
      <c r="M9" s="454">
        <f>+E9</f>
        <v>2016</v>
      </c>
      <c r="N9" s="454">
        <f>+F9</f>
        <v>2017</v>
      </c>
      <c r="O9" s="1895">
        <f>+G9</f>
        <v>2018</v>
      </c>
    </row>
    <row r="10" spans="2:15" ht="14.85" customHeight="1">
      <c r="D10" s="232"/>
      <c r="E10" s="232"/>
      <c r="F10" s="232"/>
      <c r="G10" s="296" t="s">
        <v>224</v>
      </c>
      <c r="L10" s="232"/>
      <c r="M10" s="232"/>
      <c r="N10" s="232"/>
      <c r="O10" s="232"/>
    </row>
    <row r="11" spans="2:15" ht="14.85" customHeight="1">
      <c r="B11" s="208" t="s">
        <v>169</v>
      </c>
      <c r="D11" s="456" t="s">
        <v>170</v>
      </c>
      <c r="E11" s="456" t="s">
        <v>170</v>
      </c>
      <c r="F11" s="456" t="s">
        <v>170</v>
      </c>
      <c r="G11" s="456" t="s">
        <v>170</v>
      </c>
      <c r="J11" s="208" t="str">
        <f>B11</f>
        <v>Time in Period</v>
      </c>
      <c r="L11" s="232" t="str">
        <f>+D11</f>
        <v>1 Year</v>
      </c>
      <c r="M11" s="232" t="str">
        <f>+E11</f>
        <v>1 Year</v>
      </c>
      <c r="N11" s="232" t="str">
        <f>+F11</f>
        <v>1 Year</v>
      </c>
      <c r="O11" s="232" t="str">
        <f>+G11</f>
        <v>1 Year</v>
      </c>
    </row>
    <row r="12" spans="2:15" ht="14.85" customHeight="1">
      <c r="D12" s="457"/>
      <c r="E12" s="457"/>
      <c r="F12" s="457"/>
      <c r="G12" s="457"/>
    </row>
    <row r="13" spans="2:15" ht="14.85" customHeight="1">
      <c r="B13" s="208" t="s">
        <v>2140</v>
      </c>
      <c r="D13" s="306">
        <f>IS_2015!G5/1000</f>
        <v>452.75809999999996</v>
      </c>
      <c r="E13" s="306">
        <f>IS_2016!G5/1000</f>
        <v>337.59001000000001</v>
      </c>
      <c r="F13" s="306">
        <f>IS_2017!G5/1000</f>
        <v>4.3499999999999996</v>
      </c>
      <c r="G13" s="306">
        <f>IS_2018!G6/1000</f>
        <v>840.89884999999992</v>
      </c>
      <c r="J13" s="208" t="str">
        <f>B13</f>
        <v>Total Income</v>
      </c>
      <c r="L13" s="458">
        <f>IF(ISERROR(D13/D$13), "n/a", D13/D$13)</f>
        <v>1</v>
      </c>
      <c r="M13" s="458">
        <f>IF(ISERROR(E13/E$13), "n/a", E13/E$13)</f>
        <v>1</v>
      </c>
      <c r="N13" s="458">
        <f>IF(ISERROR(F13/F$13), "n/a", F13/F$13)</f>
        <v>1</v>
      </c>
      <c r="O13" s="458">
        <f>IF(ISERROR(G13/G$13), "n/a", G13/G$13)</f>
        <v>1</v>
      </c>
    </row>
    <row r="14" spans="2:15" ht="14.85" hidden="1" customHeight="1" outlineLevel="1">
      <c r="D14" s="457"/>
      <c r="E14" s="457"/>
      <c r="F14" s="457"/>
      <c r="G14" s="457"/>
    </row>
    <row r="15" spans="2:15" ht="14.85" hidden="1" customHeight="1" outlineLevel="1">
      <c r="B15" s="280" t="s">
        <v>171</v>
      </c>
      <c r="D15" s="306">
        <v>0</v>
      </c>
      <c r="E15" s="306">
        <v>0</v>
      </c>
      <c r="F15" s="306">
        <v>0</v>
      </c>
      <c r="G15" s="306">
        <v>0</v>
      </c>
      <c r="J15" s="280" t="str">
        <f>B15</f>
        <v>Cost of Sales (Goods Sold)</v>
      </c>
      <c r="L15" s="458">
        <f>IF(ISERROR(D15/D$13), "n/a", D15/D$13)</f>
        <v>0</v>
      </c>
      <c r="M15" s="458">
        <f>IF(ISERROR(E15/E$13), "n/a", E15/E$13)</f>
        <v>0</v>
      </c>
      <c r="N15" s="458">
        <f>IF(ISERROR(F15/F$13), "n/a", F15/F$13)</f>
        <v>0</v>
      </c>
      <c r="O15" s="458">
        <f>IF(ISERROR(G15/G$13), "n/a", G15/G$13)</f>
        <v>0</v>
      </c>
    </row>
    <row r="16" spans="2:15" ht="14.85" customHeight="1" collapsed="1">
      <c r="B16" s="288"/>
      <c r="C16" s="288"/>
      <c r="D16" s="459"/>
      <c r="E16" s="459"/>
      <c r="F16" s="459"/>
      <c r="G16" s="459"/>
      <c r="J16" s="288"/>
      <c r="K16" s="288"/>
      <c r="L16" s="288"/>
      <c r="M16" s="288"/>
      <c r="N16" s="288"/>
      <c r="O16" s="288"/>
    </row>
    <row r="17" spans="2:15" ht="14.85" customHeight="1">
      <c r="B17" s="208" t="s">
        <v>160</v>
      </c>
      <c r="D17" s="306">
        <f>D13+D15</f>
        <v>452.75809999999996</v>
      </c>
      <c r="E17" s="306">
        <f>E13+E15</f>
        <v>337.59001000000001</v>
      </c>
      <c r="F17" s="306">
        <f>F13+F15</f>
        <v>4.3499999999999996</v>
      </c>
      <c r="G17" s="306">
        <f>G13+G15</f>
        <v>840.89884999999992</v>
      </c>
      <c r="J17" s="208" t="str">
        <f>B17</f>
        <v>Gross Profit</v>
      </c>
      <c r="L17" s="458">
        <f>IF(ISERROR(D17/D$13), "n/a", D17/D$13)</f>
        <v>1</v>
      </c>
      <c r="M17" s="458">
        <f>IF(ISERROR(E17/E$13), "n/a", E17/E$13)</f>
        <v>1</v>
      </c>
      <c r="N17" s="458">
        <f>IF(ISERROR(F17/F$13), "n/a", F17/F$13)</f>
        <v>1</v>
      </c>
      <c r="O17" s="458">
        <f>IF(ISERROR(G17/G$13), "n/a", G17/G$13)</f>
        <v>1</v>
      </c>
    </row>
    <row r="18" spans="2:15" ht="14.85" customHeight="1">
      <c r="D18" s="457"/>
      <c r="E18" s="457"/>
      <c r="F18" s="457"/>
      <c r="G18" s="457"/>
    </row>
    <row r="19" spans="2:15" ht="14.85" customHeight="1">
      <c r="B19" s="208" t="s">
        <v>161</v>
      </c>
      <c r="D19" s="457"/>
      <c r="E19" s="457"/>
      <c r="F19" s="457"/>
      <c r="G19" s="457"/>
      <c r="J19" s="208" t="str">
        <f t="shared" ref="J19:J24" si="0">B19</f>
        <v>Operating Expenses</v>
      </c>
    </row>
    <row r="20" spans="2:15" ht="14.85" customHeight="1">
      <c r="B20" s="280" t="s">
        <v>162</v>
      </c>
      <c r="D20" s="418">
        <f>-IS_2015!G38/1000-SUM(D22:D23)</f>
        <v>-262.98640999999998</v>
      </c>
      <c r="E20" s="418">
        <f>-IS_2016!G45/1000-SUM(E21:E24)</f>
        <v>-423.45001999999999</v>
      </c>
      <c r="F20" s="418">
        <f>-IS_2017!G48/1000-SUM(F21:F24)</f>
        <v>-742.60838999999999</v>
      </c>
      <c r="G20" s="418">
        <f>-IS_2018!G52/1000-SUM(G21:G24)</f>
        <v>-970.1902399999999</v>
      </c>
      <c r="J20" s="280" t="str">
        <f t="shared" si="0"/>
        <v>General &amp; Administrative</v>
      </c>
      <c r="L20" s="458">
        <f t="shared" ref="L20:O24" si="1">IF(ISERROR(D20/D$13), "n/a", D20/D$13)</f>
        <v>-0.58085412497313693</v>
      </c>
      <c r="M20" s="458">
        <f t="shared" si="1"/>
        <v>-1.2543322001738144</v>
      </c>
      <c r="N20" s="458">
        <f t="shared" si="1"/>
        <v>-170.71457241379312</v>
      </c>
      <c r="O20" s="458">
        <f t="shared" si="1"/>
        <v>-1.1537537957151445</v>
      </c>
    </row>
    <row r="21" spans="2:15" ht="14.85" customHeight="1">
      <c r="B21" s="280" t="s">
        <v>163</v>
      </c>
      <c r="D21" s="418">
        <v>0</v>
      </c>
      <c r="E21" s="418">
        <v>0</v>
      </c>
      <c r="F21" s="418">
        <v>0</v>
      </c>
      <c r="G21" s="418">
        <f>-IS_2018!G9/1000</f>
        <v>-0.48673</v>
      </c>
      <c r="J21" s="280" t="str">
        <f t="shared" si="0"/>
        <v>Sales &amp; Marketing</v>
      </c>
      <c r="L21" s="458">
        <f t="shared" si="1"/>
        <v>0</v>
      </c>
      <c r="M21" s="458">
        <f t="shared" si="1"/>
        <v>0</v>
      </c>
      <c r="N21" s="458">
        <f t="shared" si="1"/>
        <v>0</v>
      </c>
      <c r="O21" s="458">
        <f t="shared" si="1"/>
        <v>-5.7882110315646176E-4</v>
      </c>
    </row>
    <row r="22" spans="2:15" ht="14.85" customHeight="1">
      <c r="B22" s="280" t="s">
        <v>164</v>
      </c>
      <c r="D22" s="418">
        <f>-SUM(IS_2015!G9,IS_2015!G29)/1000</f>
        <v>-76.47475</v>
      </c>
      <c r="E22" s="418">
        <f>-SUM(IS_2016!G31,IS_2016!G9)/1000</f>
        <v>-148.40257</v>
      </c>
      <c r="F22" s="418">
        <f>-SUM(IS_2017!G9,IS_2017!G33)/1000</f>
        <v>-301.75743999999997</v>
      </c>
      <c r="G22" s="418">
        <f>-IS_2018!G37/1000</f>
        <v>-280.81047999999998</v>
      </c>
      <c r="J22" s="280" t="str">
        <f t="shared" si="0"/>
        <v>Research &amp; Development</v>
      </c>
      <c r="L22" s="458">
        <f t="shared" si="1"/>
        <v>-0.16890862913330543</v>
      </c>
      <c r="M22" s="458">
        <f t="shared" si="1"/>
        <v>-0.4395940804054006</v>
      </c>
      <c r="N22" s="458">
        <f t="shared" si="1"/>
        <v>-69.369526436781612</v>
      </c>
      <c r="O22" s="458">
        <f t="shared" si="1"/>
        <v>-0.33394085388510164</v>
      </c>
    </row>
    <row r="23" spans="2:15" ht="14.85" customHeight="1">
      <c r="B23" s="280" t="s">
        <v>165</v>
      </c>
      <c r="D23" s="418">
        <f>-IS_2015!G10/1000</f>
        <v>-5.5009700000000006</v>
      </c>
      <c r="E23" s="418">
        <f>-IS_2016!G10/1000</f>
        <v>-5.6599200000000005</v>
      </c>
      <c r="F23" s="418">
        <v>0</v>
      </c>
      <c r="G23" s="418">
        <v>0</v>
      </c>
      <c r="J23" s="280" t="str">
        <f t="shared" si="0"/>
        <v>Depreciation &amp; Amortization</v>
      </c>
      <c r="L23" s="458">
        <f t="shared" si="1"/>
        <v>-1.2149909631655405E-2</v>
      </c>
      <c r="M23" s="458">
        <f t="shared" si="1"/>
        <v>-1.6765661993374745E-2</v>
      </c>
      <c r="N23" s="458">
        <f t="shared" si="1"/>
        <v>0</v>
      </c>
      <c r="O23" s="458">
        <f t="shared" si="1"/>
        <v>0</v>
      </c>
    </row>
    <row r="24" spans="2:15" ht="14.85" hidden="1" customHeight="1" outlineLevel="1">
      <c r="B24" s="280" t="s">
        <v>166</v>
      </c>
      <c r="D24" s="418">
        <v>0</v>
      </c>
      <c r="E24" s="418">
        <v>0</v>
      </c>
      <c r="F24" s="418">
        <v>0</v>
      </c>
      <c r="G24" s="418">
        <v>0</v>
      </c>
      <c r="J24" s="280" t="str">
        <f t="shared" si="0"/>
        <v>Other Expenses</v>
      </c>
      <c r="L24" s="458">
        <f t="shared" si="1"/>
        <v>0</v>
      </c>
      <c r="M24" s="458">
        <f t="shared" si="1"/>
        <v>0</v>
      </c>
      <c r="N24" s="458">
        <f t="shared" si="1"/>
        <v>0</v>
      </c>
      <c r="O24" s="458">
        <f t="shared" si="1"/>
        <v>0</v>
      </c>
    </row>
    <row r="25" spans="2:15" ht="14.85" customHeight="1" collapsed="1">
      <c r="B25" s="288"/>
      <c r="C25" s="288"/>
      <c r="D25" s="459"/>
      <c r="E25" s="459"/>
      <c r="F25" s="459"/>
      <c r="G25" s="459"/>
      <c r="J25" s="288"/>
      <c r="K25" s="288"/>
      <c r="L25" s="288"/>
      <c r="M25" s="288"/>
      <c r="N25" s="288"/>
      <c r="O25" s="288"/>
    </row>
    <row r="26" spans="2:15" ht="14.85" customHeight="1">
      <c r="B26" s="231" t="s">
        <v>159</v>
      </c>
      <c r="D26" s="306">
        <f>SUM(D20:D24)</f>
        <v>-344.96212999999995</v>
      </c>
      <c r="E26" s="306">
        <f>SUM(E20:E24)</f>
        <v>-577.51251000000002</v>
      </c>
      <c r="F26" s="306">
        <f>SUM(F20:F24)</f>
        <v>-1044.36583</v>
      </c>
      <c r="G26" s="306">
        <f>SUM(G20:G24)</f>
        <v>-1251.4874499999999</v>
      </c>
      <c r="J26" s="231" t="str">
        <f>B26</f>
        <v>Total</v>
      </c>
      <c r="L26" s="458">
        <f>IF(ISERROR(D26/D$13), "n/a", D26/D$13)</f>
        <v>-0.76191266373809763</v>
      </c>
      <c r="M26" s="458">
        <f>IF(ISERROR(E26/E$13), "n/a", E26/E$13)</f>
        <v>-1.7106919425725897</v>
      </c>
      <c r="N26" s="458">
        <f>IF(ISERROR(F26/F$13), "n/a", F26/F$13)</f>
        <v>-240.08409885057472</v>
      </c>
      <c r="O26" s="458">
        <f>IF(ISERROR(G26/G$13), "n/a", G26/G$13)</f>
        <v>-1.4882734707034027</v>
      </c>
    </row>
    <row r="27" spans="2:15" ht="14.85" customHeight="1">
      <c r="D27" s="457"/>
      <c r="E27" s="457"/>
      <c r="F27" s="457"/>
      <c r="G27" s="457"/>
    </row>
    <row r="28" spans="2:15" ht="14.85" customHeight="1">
      <c r="B28" s="208" t="s">
        <v>172</v>
      </c>
      <c r="D28" s="306">
        <f>D17+D26</f>
        <v>107.79597000000001</v>
      </c>
      <c r="E28" s="306">
        <f>E17+E26</f>
        <v>-239.92250000000001</v>
      </c>
      <c r="F28" s="306">
        <f>F17+F26</f>
        <v>-1040.0158300000001</v>
      </c>
      <c r="G28" s="306">
        <f>G17+G26</f>
        <v>-410.58859999999993</v>
      </c>
      <c r="J28" s="208" t="str">
        <f>B28</f>
        <v>Operating Income</v>
      </c>
      <c r="L28" s="458">
        <f>IF(ISERROR(D28/D$13), "n/a", D28/D$13)</f>
        <v>0.23808733626190237</v>
      </c>
      <c r="M28" s="458">
        <f>IF(ISERROR(E28/E$13), "n/a", E28/E$13)</f>
        <v>-0.71069194257258983</v>
      </c>
      <c r="N28" s="458">
        <f>IF(ISERROR(F28/F$13), "n/a", F28/F$13)</f>
        <v>-239.08409885057475</v>
      </c>
      <c r="O28" s="458">
        <f>IF(ISERROR(G28/G$13), "n/a", G28/G$13)</f>
        <v>-0.48827347070340266</v>
      </c>
    </row>
    <row r="29" spans="2:15" ht="14.85" customHeight="1">
      <c r="D29" s="457"/>
      <c r="E29" s="457"/>
      <c r="F29" s="457"/>
      <c r="G29" s="457"/>
    </row>
    <row r="30" spans="2:15" ht="14.85" hidden="1" customHeight="1" outlineLevel="1">
      <c r="B30" s="280" t="s">
        <v>173</v>
      </c>
      <c r="D30" s="418"/>
      <c r="E30" s="418"/>
      <c r="F30" s="418"/>
      <c r="G30" s="418"/>
      <c r="J30" s="280" t="str">
        <f>B30</f>
        <v>Interest Income/Expense, Net</v>
      </c>
      <c r="L30" s="458">
        <f t="shared" ref="L30:O32" si="2">IF(ISERROR(D30/D$13), "n/a", D30/D$13)</f>
        <v>0</v>
      </c>
      <c r="M30" s="458">
        <f t="shared" si="2"/>
        <v>0</v>
      </c>
      <c r="N30" s="458">
        <f t="shared" si="2"/>
        <v>0</v>
      </c>
      <c r="O30" s="458">
        <f t="shared" si="2"/>
        <v>0</v>
      </c>
    </row>
    <row r="31" spans="2:15" ht="14.85" customHeight="1" collapsed="1">
      <c r="B31" s="280" t="s">
        <v>174</v>
      </c>
      <c r="D31" s="418">
        <f>IS_2015!G44/1000</f>
        <v>-7.1773100000000003</v>
      </c>
      <c r="E31" s="418">
        <v>0</v>
      </c>
      <c r="F31" s="418">
        <v>0</v>
      </c>
      <c r="G31" s="418">
        <v>0</v>
      </c>
      <c r="J31" s="280" t="str">
        <f>B31</f>
        <v>Other Income/Expense, Net</v>
      </c>
      <c r="L31" s="458">
        <f t="shared" si="2"/>
        <v>-1.5852416555330543E-2</v>
      </c>
      <c r="M31" s="458">
        <f t="shared" si="2"/>
        <v>0</v>
      </c>
      <c r="N31" s="458">
        <f t="shared" si="2"/>
        <v>0</v>
      </c>
      <c r="O31" s="458">
        <f t="shared" si="2"/>
        <v>0</v>
      </c>
    </row>
    <row r="32" spans="2:15" ht="14.85" hidden="1" customHeight="1" outlineLevel="1">
      <c r="B32" s="280" t="s">
        <v>175</v>
      </c>
      <c r="D32" s="418"/>
      <c r="E32" s="418"/>
      <c r="F32" s="418"/>
      <c r="G32" s="418"/>
      <c r="J32" s="280" t="str">
        <f>B32</f>
        <v>Nonrecurring Loss</v>
      </c>
      <c r="L32" s="458">
        <f t="shared" si="2"/>
        <v>0</v>
      </c>
      <c r="M32" s="458">
        <f t="shared" si="2"/>
        <v>0</v>
      </c>
      <c r="N32" s="458">
        <f t="shared" si="2"/>
        <v>0</v>
      </c>
      <c r="O32" s="458">
        <f t="shared" si="2"/>
        <v>0</v>
      </c>
    </row>
    <row r="33" spans="1:15" ht="14.85" customHeight="1" collapsed="1">
      <c r="B33" s="288"/>
      <c r="C33" s="288"/>
      <c r="D33" s="459"/>
      <c r="E33" s="459"/>
      <c r="F33" s="459"/>
      <c r="G33" s="459"/>
      <c r="J33" s="288"/>
      <c r="K33" s="288"/>
      <c r="L33" s="288"/>
      <c r="M33" s="288"/>
      <c r="N33" s="288"/>
      <c r="O33" s="288"/>
    </row>
    <row r="34" spans="1:15" ht="14.85" customHeight="1">
      <c r="B34" s="231" t="s">
        <v>176</v>
      </c>
      <c r="D34" s="306">
        <f>SUM(D28:D32)</f>
        <v>100.61866000000001</v>
      </c>
      <c r="E34" s="306">
        <f>SUM(E28:E32)</f>
        <v>-239.92250000000001</v>
      </c>
      <c r="F34" s="306">
        <f>SUM(F28:F32)</f>
        <v>-1040.0158300000001</v>
      </c>
      <c r="G34" s="306">
        <f>SUM(G28:G32)</f>
        <v>-410.58859999999993</v>
      </c>
      <c r="J34" s="231" t="str">
        <f>B34</f>
        <v>Pre-Tax Income (Loss)</v>
      </c>
      <c r="L34" s="458">
        <f>IF(ISERROR(D34/D$13), "n/a", D34/D$13)</f>
        <v>0.22223491970657183</v>
      </c>
      <c r="M34" s="458">
        <f>IF(ISERROR(E34/E$13), "n/a", E34/E$13)</f>
        <v>-0.71069194257258983</v>
      </c>
      <c r="N34" s="458">
        <f>IF(ISERROR(F34/F$13), "n/a", F34/F$13)</f>
        <v>-239.08409885057475</v>
      </c>
      <c r="O34" s="458">
        <f>IF(ISERROR(G34/G$13), "n/a", G34/G$13)</f>
        <v>-0.48827347070340266</v>
      </c>
    </row>
    <row r="35" spans="1:15" ht="14.85" customHeight="1">
      <c r="D35" s="457"/>
      <c r="E35" s="457"/>
      <c r="F35" s="457"/>
      <c r="G35" s="457"/>
    </row>
    <row r="36" spans="1:15" ht="14.85" hidden="1" customHeight="1" outlineLevel="1">
      <c r="B36" s="280" t="s">
        <v>177</v>
      </c>
      <c r="D36" s="418">
        <v>0</v>
      </c>
      <c r="E36" s="418">
        <v>0</v>
      </c>
      <c r="F36" s="418">
        <v>0</v>
      </c>
      <c r="G36" s="418">
        <v>0</v>
      </c>
      <c r="J36" s="280" t="str">
        <f>B36</f>
        <v>Income Taxes</v>
      </c>
      <c r="L36" s="458">
        <f>IF(ISERROR(D36/D$13), "n/a", D36/D$13)</f>
        <v>0</v>
      </c>
      <c r="M36" s="458">
        <f>IF(ISERROR(E36/E$13), "n/a", E36/E$13)</f>
        <v>0</v>
      </c>
      <c r="N36" s="458">
        <f>IF(ISERROR(F36/F$13), "n/a", F36/F$13)</f>
        <v>0</v>
      </c>
      <c r="O36" s="458">
        <f>IF(ISERROR(G36/G$13), "n/a", G36/G$13)</f>
        <v>0</v>
      </c>
    </row>
    <row r="37" spans="1:15" ht="14.85" hidden="1" customHeight="1" outlineLevel="1">
      <c r="B37" s="288"/>
      <c r="C37" s="288"/>
      <c r="D37" s="459"/>
      <c r="E37" s="459"/>
      <c r="F37" s="459"/>
      <c r="G37" s="459"/>
      <c r="J37" s="288"/>
      <c r="K37" s="288"/>
      <c r="L37" s="288"/>
      <c r="M37" s="288"/>
      <c r="N37" s="288"/>
      <c r="O37" s="288"/>
    </row>
    <row r="38" spans="1:15" ht="14.85" customHeight="1" collapsed="1">
      <c r="B38" s="352" t="s">
        <v>178</v>
      </c>
      <c r="C38" s="352"/>
      <c r="D38" s="460">
        <f>D34+D36</f>
        <v>100.61866000000001</v>
      </c>
      <c r="E38" s="460">
        <f>E34+E36</f>
        <v>-239.92250000000001</v>
      </c>
      <c r="F38" s="460">
        <f>F34+F36</f>
        <v>-1040.0158300000001</v>
      </c>
      <c r="G38" s="460">
        <f>G34+G36</f>
        <v>-410.58859999999993</v>
      </c>
      <c r="H38" s="326"/>
      <c r="I38" s="326"/>
      <c r="J38" s="352" t="str">
        <f>B38</f>
        <v>Net Income (Loss)</v>
      </c>
      <c r="K38" s="352"/>
      <c r="L38" s="461">
        <f>IF(ISERROR(D38/D$13), "n/a", D38/D$13)</f>
        <v>0.22223491970657183</v>
      </c>
      <c r="M38" s="461">
        <f>IF(ISERROR(E38/E$13), "n/a", E38/E$13)</f>
        <v>-0.71069194257258983</v>
      </c>
      <c r="N38" s="461">
        <f>IF(ISERROR(F38/F$13), "n/a", F38/F$13)</f>
        <v>-239.08409885057475</v>
      </c>
      <c r="O38" s="461">
        <f>IF(ISERROR(G38/G$13), "n/a", G38/G$13)</f>
        <v>-0.48827347070340266</v>
      </c>
    </row>
    <row r="39" spans="1:15" ht="14.85" customHeight="1">
      <c r="D39" s="457"/>
      <c r="E39" s="457"/>
      <c r="F39" s="462"/>
      <c r="G39" s="457"/>
    </row>
    <row r="40" spans="1:15" ht="14.85" customHeight="1">
      <c r="B40" s="211" t="s">
        <v>179</v>
      </c>
      <c r="D40" s="457"/>
      <c r="E40" s="457"/>
      <c r="F40" s="457"/>
      <c r="G40" s="457"/>
      <c r="J40" s="211" t="str">
        <f>B40</f>
        <v>Other Items:</v>
      </c>
    </row>
    <row r="41" spans="1:15" ht="14.85" hidden="1" customHeight="1" outlineLevel="1">
      <c r="B41" s="280" t="s">
        <v>180</v>
      </c>
      <c r="D41" s="593" t="s">
        <v>13</v>
      </c>
      <c r="E41" s="593" t="s">
        <v>13</v>
      </c>
      <c r="F41" s="593" t="s">
        <v>13</v>
      </c>
      <c r="G41" s="593" t="s">
        <v>13</v>
      </c>
      <c r="J41" s="280" t="str">
        <f>B41</f>
        <v>Capital Expenditures</v>
      </c>
      <c r="L41" s="458" t="str">
        <f>IF(ISERROR(D41/D$13), "n/a", D41/D$13)</f>
        <v>n/a</v>
      </c>
      <c r="M41" s="458" t="str">
        <f>IF(ISERROR(E41/E$13), "n/a", E41/E$13)</f>
        <v>n/a</v>
      </c>
      <c r="N41" s="458" t="str">
        <f>IF(ISERROR(F41/F$13), "n/a", F41/F$13)</f>
        <v>n/a</v>
      </c>
      <c r="O41" s="458" t="str">
        <f>IF(ISERROR(G41/G$13), "n/a", G41/G$13)</f>
        <v>n/a</v>
      </c>
    </row>
    <row r="42" spans="1:15" ht="14.85" hidden="1" customHeight="1" outlineLevel="1">
      <c r="D42" s="457"/>
      <c r="E42" s="457"/>
      <c r="F42" s="457"/>
      <c r="G42" s="457"/>
    </row>
    <row r="43" spans="1:15" ht="14.85" customHeight="1" collapsed="1">
      <c r="B43" s="280" t="s">
        <v>167</v>
      </c>
      <c r="D43" s="306">
        <f>D28-D23</f>
        <v>113.29694000000001</v>
      </c>
      <c r="E43" s="306">
        <f>E28-E23</f>
        <v>-234.26258000000001</v>
      </c>
      <c r="F43" s="306">
        <f>F28-F23</f>
        <v>-1040.0158300000001</v>
      </c>
      <c r="G43" s="306">
        <f>G28-G23</f>
        <v>-410.58859999999993</v>
      </c>
      <c r="J43" s="280" t="str">
        <f>B43</f>
        <v>EBITDA</v>
      </c>
      <c r="L43" s="458">
        <f>IF(ISERROR(D43/D$13), "n/a", D43/D$13)</f>
        <v>0.25023724589355778</v>
      </c>
      <c r="M43" s="458">
        <f>IF(ISERROR(E43/E$13), "n/a", E43/E$13)</f>
        <v>-0.69392628057921502</v>
      </c>
      <c r="N43" s="458">
        <f>IF(ISERROR(F43/F$13), "n/a", F43/F$13)</f>
        <v>-239.08409885057475</v>
      </c>
      <c r="O43" s="458">
        <f>IF(ISERROR(G43/G$13), "n/a", G43/G$13)</f>
        <v>-0.48827347070340266</v>
      </c>
    </row>
    <row r="44" spans="1:15" ht="14.85" customHeight="1"/>
    <row r="45" spans="1:15" ht="14.85" customHeight="1">
      <c r="B45" s="295" t="s">
        <v>86</v>
      </c>
    </row>
    <row r="46" spans="1:15" ht="26.25" customHeight="1">
      <c r="A46" s="806" t="str">
        <f>G10</f>
        <v>(1)</v>
      </c>
      <c r="B46" s="1899" t="str">
        <f>"Reflects financial information as of "&amp;TEXT(DATE(G9,12,31),"MMMM D, YYYY")&amp;" which Management indicated was the latest available as of the Valuation Date."</f>
        <v>Reflects financial information as of December 31, 2018 which Management indicated was the latest available as of the Valuation Date.</v>
      </c>
      <c r="C46" s="1899"/>
      <c r="D46" s="1899"/>
      <c r="E46" s="1899"/>
      <c r="F46" s="1899"/>
      <c r="G46" s="1899"/>
    </row>
    <row r="47" spans="1:15" ht="14.85" customHeight="1">
      <c r="B47" s="463"/>
    </row>
    <row r="48" spans="1:15" ht="14.85" customHeight="1"/>
    <row r="49" spans="2:7" ht="14.85" customHeight="1">
      <c r="B49" s="208" t="s">
        <v>110</v>
      </c>
      <c r="D49" s="433">
        <f>D38-IS_2015!G45/1000</f>
        <v>0</v>
      </c>
      <c r="E49" s="433">
        <f>E38-IS_2016!G52/1000</f>
        <v>0</v>
      </c>
      <c r="F49" s="298">
        <f>F38-IS_2017!G55/1000</f>
        <v>0</v>
      </c>
      <c r="G49" s="298">
        <f>G38-(IS_2018!G59/1000)</f>
        <v>0</v>
      </c>
    </row>
    <row r="50" spans="2:7" ht="14.85" customHeight="1"/>
    <row r="51" spans="2:7" ht="14.85" customHeight="1"/>
    <row r="52" spans="2:7" ht="14.85" customHeight="1"/>
    <row r="53" spans="2:7" ht="14.85" customHeight="1"/>
    <row r="54" spans="2:7" ht="14.85" customHeight="1"/>
    <row r="55" spans="2:7" ht="14.85" customHeight="1"/>
    <row r="56" spans="2:7" ht="14.85" customHeight="1"/>
    <row r="57" spans="2:7" ht="14.85" customHeight="1"/>
    <row r="58" spans="2:7" ht="14.85" customHeight="1"/>
    <row r="59" spans="2:7" ht="14.85" customHeight="1"/>
    <row r="60" spans="2:7" ht="14.85" customHeight="1"/>
    <row r="61" spans="2:7" ht="14.85" customHeight="1"/>
    <row r="62" spans="2:7" ht="14.85" customHeight="1"/>
    <row r="63" spans="2:7" ht="14.85" customHeight="1"/>
    <row r="64" spans="2:7"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mergeCells count="1">
    <mergeCell ref="B46:G46"/>
  </mergeCells>
  <conditionalFormatting sqref="L4:O4 G4">
    <cfRule type="cellIs" dxfId="253" priority="6" stopIfTrue="1" operator="equal">
      <formula>"input"</formula>
    </cfRule>
  </conditionalFormatting>
  <conditionalFormatting sqref="K4">
    <cfRule type="cellIs" dxfId="252" priority="5" stopIfTrue="1" operator="equal">
      <formula>"input"</formula>
    </cfRule>
  </conditionalFormatting>
  <conditionalFormatting sqref="B4:F4">
    <cfRule type="cellIs" dxfId="251" priority="9" stopIfTrue="1" operator="equal">
      <formula>"input"</formula>
    </cfRule>
  </conditionalFormatting>
  <conditionalFormatting sqref="G4">
    <cfRule type="cellIs" dxfId="250" priority="4" stopIfTrue="1" operator="equal">
      <formula>"input"</formula>
    </cfRule>
  </conditionalFormatting>
  <conditionalFormatting sqref="G4">
    <cfRule type="cellIs" dxfId="249" priority="3" stopIfTrue="1" operator="equal">
      <formula>"input"</formula>
    </cfRule>
  </conditionalFormatting>
  <conditionalFormatting sqref="J4">
    <cfRule type="cellIs" dxfId="248" priority="1" stopIfTrue="1" operator="equal">
      <formula>"input"</formula>
    </cfRule>
  </conditionalFormatting>
  <pageMargins left="0.5" right="0.5" top="0.5" bottom="0.5" header="0.5" footer="0.5"/>
  <pageSetup scale="95" fitToWidth="0" fitToHeight="0" orientation="landscape" r:id="rId1"/>
  <colBreaks count="1" manualBreakCount="1">
    <brk id="8" max="45" man="1"/>
  </colBreaks>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O767"/>
  <sheetViews>
    <sheetView showGridLines="0" view="pageBreakPreview" zoomScale="80" zoomScaleNormal="100" zoomScaleSheetLayoutView="80" workbookViewId="0">
      <selection activeCell="D11" sqref="D11"/>
    </sheetView>
  </sheetViews>
  <sheetFormatPr defaultRowHeight="12.75" outlineLevelRow="1"/>
  <cols>
    <col min="1" max="1" width="4.5" style="208" customWidth="1"/>
    <col min="2" max="2" width="62" style="208" customWidth="1"/>
    <col min="3" max="3" width="2.83203125" style="208" customWidth="1"/>
    <col min="4" max="7" width="29.83203125" style="208" customWidth="1"/>
    <col min="8" max="9" width="4.5" style="208" customWidth="1"/>
    <col min="10" max="10" width="62" style="208" customWidth="1"/>
    <col min="11" max="11" width="2.83203125" style="208" customWidth="1"/>
    <col min="12" max="15" width="29.83203125" style="208" customWidth="1"/>
    <col min="16" max="16" width="4.5" style="208" customWidth="1"/>
    <col min="17" max="16384" width="9.33203125" style="208"/>
  </cols>
  <sheetData>
    <row r="1" spans="2:15" ht="10.7" customHeight="1" thickBot="1"/>
    <row r="2" spans="2:15" ht="16.5" customHeight="1" thickTop="1">
      <c r="B2" s="216" t="str">
        <f>'MASTER PubCo Inputs'!$C$5</f>
        <v>Medikine, Inc.</v>
      </c>
      <c r="C2" s="216"/>
      <c r="D2" s="216"/>
      <c r="E2" s="216"/>
      <c r="F2" s="216"/>
      <c r="G2" s="216"/>
      <c r="H2" s="215"/>
      <c r="I2" s="215"/>
      <c r="J2" s="216" t="str">
        <f>'MASTER PubCo Inputs'!$C$5</f>
        <v>Medikine, Inc.</v>
      </c>
      <c r="K2" s="216"/>
      <c r="L2" s="216"/>
      <c r="M2" s="216"/>
      <c r="N2" s="216"/>
      <c r="O2" s="216"/>
    </row>
    <row r="3" spans="2:15" ht="15.75" customHeight="1">
      <c r="B3" s="217" t="str">
        <f>VLOOKUP(B4,Outline!$E$8:$G$79,COLUMNS(Outline!$E$8:$G$8),FALSE)</f>
        <v>Exhibit C.3</v>
      </c>
      <c r="C3" s="217"/>
      <c r="D3" s="217"/>
      <c r="E3" s="217"/>
      <c r="F3" s="217"/>
      <c r="G3" s="217"/>
      <c r="H3" s="215"/>
      <c r="I3" s="215"/>
      <c r="J3" s="217" t="str">
        <f>B3</f>
        <v>Exhibit C.3</v>
      </c>
      <c r="K3" s="217"/>
      <c r="L3" s="217"/>
      <c r="M3" s="217"/>
      <c r="N3" s="217"/>
      <c r="O3" s="217"/>
    </row>
    <row r="4" spans="2:15" ht="16.5" customHeight="1" thickBot="1">
      <c r="B4" s="444" t="s">
        <v>157</v>
      </c>
      <c r="C4" s="444"/>
      <c r="D4" s="444"/>
      <c r="E4" s="444"/>
      <c r="F4" s="444"/>
      <c r="G4" s="445" t="str">
        <f>+'MASTER PubCo Inputs'!$C$21</f>
        <v>(in thousands of USD)</v>
      </c>
      <c r="H4" s="215"/>
      <c r="I4" s="215"/>
      <c r="J4" s="444" t="str">
        <f>$B$4&amp;" - Common Size"</f>
        <v>Historical Balance Sheet - Common Size</v>
      </c>
      <c r="K4" s="444"/>
      <c r="L4" s="444"/>
      <c r="M4" s="444"/>
      <c r="N4" s="444"/>
      <c r="O4" s="444"/>
    </row>
    <row r="5" spans="2:15" s="326" customFormat="1" ht="14.85" customHeight="1" thickTop="1">
      <c r="B5" s="208"/>
      <c r="C5" s="208"/>
      <c r="D5" s="208"/>
      <c r="E5" s="208"/>
      <c r="F5" s="208"/>
      <c r="G5" s="208"/>
      <c r="H5" s="208"/>
      <c r="J5" s="208"/>
      <c r="K5" s="208"/>
    </row>
    <row r="6" spans="2:15" s="326" customFormat="1" ht="14.85" customHeight="1">
      <c r="B6" s="208"/>
      <c r="C6" s="208"/>
      <c r="D6" s="208"/>
      <c r="E6" s="208"/>
      <c r="F6" s="208"/>
      <c r="G6" s="208"/>
      <c r="H6" s="208"/>
      <c r="J6" s="208"/>
      <c r="K6" s="208"/>
    </row>
    <row r="7" spans="2:15" ht="14.85" customHeight="1">
      <c r="D7" s="464" t="s">
        <v>589</v>
      </c>
      <c r="E7" s="465"/>
      <c r="F7" s="465"/>
      <c r="G7" s="466"/>
      <c r="L7" s="464" t="s">
        <v>589</v>
      </c>
      <c r="M7" s="465"/>
      <c r="N7" s="465"/>
      <c r="O7" s="466"/>
    </row>
    <row r="8" spans="2:15" ht="14.85" customHeight="1">
      <c r="B8" s="354"/>
      <c r="D8" s="467">
        <f>'Hist IS'!D9</f>
        <v>2015</v>
      </c>
      <c r="E8" s="468">
        <f>'Hist IS'!E9</f>
        <v>2016</v>
      </c>
      <c r="F8" s="468">
        <f>'Hist IS'!F9</f>
        <v>2017</v>
      </c>
      <c r="G8" s="469">
        <f>'Hist IS'!G9</f>
        <v>2018</v>
      </c>
      <c r="J8" s="354"/>
      <c r="L8" s="467">
        <f>+D8</f>
        <v>2015</v>
      </c>
      <c r="M8" s="468">
        <f>+E8</f>
        <v>2016</v>
      </c>
      <c r="N8" s="468">
        <f>+F8</f>
        <v>2017</v>
      </c>
      <c r="O8" s="469">
        <f>+G8</f>
        <v>2018</v>
      </c>
    </row>
    <row r="9" spans="2:15" ht="14.85" customHeight="1">
      <c r="G9" s="296" t="s">
        <v>224</v>
      </c>
      <c r="L9" s="232"/>
      <c r="M9" s="232"/>
      <c r="N9" s="232"/>
      <c r="O9" s="232"/>
    </row>
    <row r="10" spans="2:15" ht="14.85" customHeight="1">
      <c r="B10" s="304" t="s">
        <v>182</v>
      </c>
      <c r="C10" s="470"/>
      <c r="D10" s="470"/>
      <c r="E10" s="470"/>
      <c r="F10" s="470"/>
      <c r="G10" s="1896"/>
      <c r="J10" s="304" t="s">
        <v>182</v>
      </c>
      <c r="K10" s="470"/>
      <c r="L10" s="471"/>
      <c r="M10" s="471"/>
      <c r="N10" s="471"/>
      <c r="O10" s="1898"/>
    </row>
    <row r="11" spans="2:15" ht="14.85" customHeight="1"/>
    <row r="12" spans="2:15" ht="14.85" customHeight="1">
      <c r="B12" s="208" t="s">
        <v>183</v>
      </c>
      <c r="J12" s="208" t="str">
        <f t="shared" ref="J12:J18" si="0">B12</f>
        <v>Current Assets</v>
      </c>
    </row>
    <row r="13" spans="2:15" ht="14.85" customHeight="1">
      <c r="B13" s="280" t="s">
        <v>184</v>
      </c>
      <c r="D13" s="306">
        <f>+BS_2015!F6/1000</f>
        <v>154.22502</v>
      </c>
      <c r="E13" s="306">
        <f>BS_2016!F6/1000</f>
        <v>483.08143999999999</v>
      </c>
      <c r="F13" s="306">
        <f>BS_2017!F6/1000</f>
        <v>94.725610000000003</v>
      </c>
      <c r="G13" s="306">
        <f>BS_2018!F6/1000</f>
        <v>3684.1360099999997</v>
      </c>
      <c r="J13" s="280" t="str">
        <f t="shared" si="0"/>
        <v>Cash &amp; Equivalents</v>
      </c>
      <c r="L13" s="458">
        <f t="shared" ref="L13:O18" si="1">IF(ISERROR(D13/D$29), "n/a", D13/D$29)</f>
        <v>3.8451110438505913</v>
      </c>
      <c r="M13" s="458">
        <f t="shared" si="1"/>
        <v>0.96617857073998881</v>
      </c>
      <c r="N13" s="458">
        <f t="shared" si="1"/>
        <v>0.84852169169367786</v>
      </c>
      <c r="O13" s="458">
        <f t="shared" si="1"/>
        <v>0.99595241929173506</v>
      </c>
    </row>
    <row r="14" spans="2:15" ht="14.85" hidden="1" customHeight="1" outlineLevel="1">
      <c r="B14" s="280" t="s">
        <v>207</v>
      </c>
      <c r="D14" s="306">
        <v>0</v>
      </c>
      <c r="E14" s="306">
        <v>0</v>
      </c>
      <c r="F14" s="306">
        <v>0</v>
      </c>
      <c r="G14" s="306">
        <v>0</v>
      </c>
      <c r="J14" s="280" t="str">
        <f t="shared" si="0"/>
        <v>Short-Term Investments</v>
      </c>
      <c r="L14" s="458">
        <f t="shared" si="1"/>
        <v>0</v>
      </c>
      <c r="M14" s="458">
        <f t="shared" si="1"/>
        <v>0</v>
      </c>
      <c r="N14" s="458">
        <f t="shared" si="1"/>
        <v>0</v>
      </c>
      <c r="O14" s="458">
        <f t="shared" si="1"/>
        <v>0</v>
      </c>
    </row>
    <row r="15" spans="2:15" ht="14.85" hidden="1" customHeight="1" outlineLevel="1">
      <c r="B15" s="280" t="s">
        <v>185</v>
      </c>
      <c r="D15" s="306">
        <v>0</v>
      </c>
      <c r="E15" s="306">
        <v>0</v>
      </c>
      <c r="F15" s="306">
        <v>0</v>
      </c>
      <c r="G15" s="306">
        <v>0</v>
      </c>
      <c r="J15" s="280" t="str">
        <f t="shared" si="0"/>
        <v>Accounts Receivable</v>
      </c>
      <c r="L15" s="458">
        <f t="shared" si="1"/>
        <v>0</v>
      </c>
      <c r="M15" s="458">
        <f t="shared" si="1"/>
        <v>0</v>
      </c>
      <c r="N15" s="458">
        <f t="shared" si="1"/>
        <v>0</v>
      </c>
      <c r="O15" s="458">
        <f t="shared" si="1"/>
        <v>0</v>
      </c>
    </row>
    <row r="16" spans="2:15" ht="14.85" hidden="1" customHeight="1" outlineLevel="1">
      <c r="B16" s="280" t="s">
        <v>186</v>
      </c>
      <c r="D16" s="306">
        <v>0</v>
      </c>
      <c r="E16" s="306">
        <v>0</v>
      </c>
      <c r="F16" s="306">
        <v>0</v>
      </c>
      <c r="G16" s="306">
        <v>0</v>
      </c>
      <c r="J16" s="280" t="str">
        <f t="shared" si="0"/>
        <v>Inventory</v>
      </c>
      <c r="L16" s="458">
        <f t="shared" si="1"/>
        <v>0</v>
      </c>
      <c r="M16" s="458">
        <f t="shared" si="1"/>
        <v>0</v>
      </c>
      <c r="N16" s="458">
        <f t="shared" si="1"/>
        <v>0</v>
      </c>
      <c r="O16" s="458">
        <f t="shared" si="1"/>
        <v>0</v>
      </c>
    </row>
    <row r="17" spans="2:15" ht="14.85" customHeight="1" collapsed="1">
      <c r="B17" s="280" t="s">
        <v>187</v>
      </c>
      <c r="D17" s="306">
        <f>+BS_2015!F8/1000</f>
        <v>-136.68600000000001</v>
      </c>
      <c r="E17" s="306">
        <f>BS_2016!F8/1000</f>
        <v>0</v>
      </c>
      <c r="F17" s="306">
        <f>BS_2017!F8/1000</f>
        <v>0</v>
      </c>
      <c r="G17" s="306">
        <f>BS_2018!F8/1000</f>
        <v>0</v>
      </c>
      <c r="J17" s="280" t="str">
        <f t="shared" si="0"/>
        <v>Prepaid Expenses</v>
      </c>
      <c r="L17" s="458">
        <f t="shared" si="1"/>
        <v>-3.4078312853502104</v>
      </c>
      <c r="M17" s="458">
        <f t="shared" si="1"/>
        <v>0</v>
      </c>
      <c r="N17" s="458">
        <f t="shared" si="1"/>
        <v>0</v>
      </c>
      <c r="O17" s="458">
        <f t="shared" si="1"/>
        <v>0</v>
      </c>
    </row>
    <row r="18" spans="2:15" ht="14.85" hidden="1" customHeight="1" outlineLevel="1">
      <c r="B18" s="280" t="s">
        <v>188</v>
      </c>
      <c r="D18" s="306">
        <v>0</v>
      </c>
      <c r="E18" s="306">
        <v>0</v>
      </c>
      <c r="F18" s="306">
        <v>0</v>
      </c>
      <c r="G18" s="306">
        <v>0</v>
      </c>
      <c r="J18" s="280" t="str">
        <f t="shared" si="0"/>
        <v>Other Current Assets</v>
      </c>
      <c r="L18" s="458">
        <f t="shared" si="1"/>
        <v>0</v>
      </c>
      <c r="M18" s="458">
        <f t="shared" si="1"/>
        <v>0</v>
      </c>
      <c r="N18" s="458">
        <f t="shared" si="1"/>
        <v>0</v>
      </c>
      <c r="O18" s="458">
        <f t="shared" si="1"/>
        <v>0</v>
      </c>
    </row>
    <row r="19" spans="2:15" ht="14.85" customHeight="1" collapsed="1">
      <c r="B19" s="472"/>
      <c r="C19" s="288"/>
      <c r="D19" s="459"/>
      <c r="E19" s="459"/>
      <c r="F19" s="459"/>
      <c r="G19" s="459"/>
      <c r="J19" s="472"/>
      <c r="K19" s="288"/>
      <c r="L19" s="288"/>
      <c r="M19" s="288"/>
      <c r="N19" s="288"/>
      <c r="O19" s="288"/>
    </row>
    <row r="20" spans="2:15" ht="14.85" customHeight="1">
      <c r="B20" s="231" t="s">
        <v>192</v>
      </c>
      <c r="D20" s="306">
        <f>SUM(D13:D18)</f>
        <v>17.539019999999994</v>
      </c>
      <c r="E20" s="306">
        <f>SUM(E13:E18)</f>
        <v>483.08143999999999</v>
      </c>
      <c r="F20" s="306">
        <f>SUM(F13:F18)</f>
        <v>94.725610000000003</v>
      </c>
      <c r="G20" s="306">
        <f>SUM(G13:G18)</f>
        <v>3684.1360099999997</v>
      </c>
      <c r="J20" s="231" t="str">
        <f>B20</f>
        <v>Total Current Assets</v>
      </c>
      <c r="L20" s="458">
        <f>IF(ISERROR(D20/D$29), "n/a", D20/D$29)</f>
        <v>0.43727975850038059</v>
      </c>
      <c r="M20" s="458">
        <f>IF(ISERROR(E20/E$29), "n/a", E20/E$29)</f>
        <v>0.96617857073998881</v>
      </c>
      <c r="N20" s="458">
        <f>IF(ISERROR(F20/F$29), "n/a", F20/F$29)</f>
        <v>0.84852169169367786</v>
      </c>
      <c r="O20" s="458">
        <f>IF(ISERROR(G20/G$29), "n/a", G20/G$29)</f>
        <v>0.99595241929173506</v>
      </c>
    </row>
    <row r="21" spans="2:15" ht="14.85" customHeight="1">
      <c r="D21" s="457"/>
      <c r="E21" s="457"/>
      <c r="F21" s="457"/>
      <c r="G21" s="457"/>
    </row>
    <row r="22" spans="2:15" ht="14.85" customHeight="1">
      <c r="B22" s="473" t="s">
        <v>189</v>
      </c>
      <c r="D22" s="306">
        <f>+BS_2015!F20/1000</f>
        <v>11.454360000000001</v>
      </c>
      <c r="E22" s="306">
        <f>BS_2016!F20/1000</f>
        <v>5.7944399999999998</v>
      </c>
      <c r="F22" s="306">
        <f>BS_2017!$F$20/1000</f>
        <v>5.7944399999999998</v>
      </c>
      <c r="G22" s="306">
        <f>BS_2018!$F$20/1000</f>
        <v>3.8564400000000001</v>
      </c>
      <c r="J22" s="473" t="str">
        <f t="shared" ref="J22:J27" si="2">B22</f>
        <v>Net Fixed Assets</v>
      </c>
      <c r="L22" s="458">
        <f t="shared" ref="L22:O27" si="3">IF(ISERROR(D22/D$29), "n/a", D22/D$29)</f>
        <v>0.28557808672185914</v>
      </c>
      <c r="M22" s="458">
        <f t="shared" si="3"/>
        <v>1.1589068206467674E-2</v>
      </c>
      <c r="N22" s="458">
        <f t="shared" si="3"/>
        <v>5.1904738657449809E-2</v>
      </c>
      <c r="O22" s="458">
        <f t="shared" si="3"/>
        <v>1.0425322890979312E-3</v>
      </c>
    </row>
    <row r="23" spans="2:15" ht="14.85" hidden="1" customHeight="1" outlineLevel="1">
      <c r="B23" s="473" t="s">
        <v>190</v>
      </c>
      <c r="D23" s="306">
        <v>0</v>
      </c>
      <c r="E23" s="306">
        <v>0</v>
      </c>
      <c r="F23" s="306">
        <v>0</v>
      </c>
      <c r="G23" s="306">
        <v>0</v>
      </c>
      <c r="J23" s="473" t="str">
        <f t="shared" si="2"/>
        <v>Intangible Assets</v>
      </c>
      <c r="L23" s="458">
        <f t="shared" si="3"/>
        <v>0</v>
      </c>
      <c r="M23" s="458">
        <f t="shared" si="3"/>
        <v>0</v>
      </c>
      <c r="N23" s="458">
        <f t="shared" si="3"/>
        <v>0</v>
      </c>
      <c r="O23" s="458">
        <f t="shared" si="3"/>
        <v>0</v>
      </c>
    </row>
    <row r="24" spans="2:15" ht="14.85" hidden="1" customHeight="1" outlineLevel="1">
      <c r="B24" s="473" t="s">
        <v>205</v>
      </c>
      <c r="D24" s="306">
        <v>0</v>
      </c>
      <c r="E24" s="306">
        <v>0</v>
      </c>
      <c r="F24" s="306">
        <v>0</v>
      </c>
      <c r="G24" s="306">
        <v>0</v>
      </c>
      <c r="J24" s="473" t="str">
        <f t="shared" si="2"/>
        <v>Goodwill</v>
      </c>
      <c r="L24" s="458">
        <f t="shared" si="3"/>
        <v>0</v>
      </c>
      <c r="M24" s="458">
        <f t="shared" si="3"/>
        <v>0</v>
      </c>
      <c r="N24" s="458">
        <f t="shared" si="3"/>
        <v>0</v>
      </c>
      <c r="O24" s="458">
        <f t="shared" si="3"/>
        <v>0</v>
      </c>
    </row>
    <row r="25" spans="2:15" ht="14.85" hidden="1" customHeight="1" outlineLevel="1">
      <c r="B25" s="473" t="s">
        <v>206</v>
      </c>
      <c r="D25" s="306">
        <v>0</v>
      </c>
      <c r="E25" s="306">
        <v>0</v>
      </c>
      <c r="F25" s="306">
        <v>0</v>
      </c>
      <c r="G25" s="306">
        <v>0</v>
      </c>
      <c r="J25" s="473" t="str">
        <f t="shared" si="2"/>
        <v>Deferred Financing Cost</v>
      </c>
      <c r="L25" s="458">
        <f t="shared" si="3"/>
        <v>0</v>
      </c>
      <c r="M25" s="458">
        <f t="shared" si="3"/>
        <v>0</v>
      </c>
      <c r="N25" s="458">
        <f t="shared" si="3"/>
        <v>0</v>
      </c>
      <c r="O25" s="458">
        <f t="shared" si="3"/>
        <v>0</v>
      </c>
    </row>
    <row r="26" spans="2:15" ht="14.85" hidden="1" customHeight="1" outlineLevel="1">
      <c r="B26" s="473" t="s">
        <v>208</v>
      </c>
      <c r="D26" s="306">
        <v>0</v>
      </c>
      <c r="E26" s="306">
        <v>0</v>
      </c>
      <c r="F26" s="306">
        <v>0</v>
      </c>
      <c r="G26" s="306">
        <v>0</v>
      </c>
      <c r="J26" s="473" t="str">
        <f t="shared" si="2"/>
        <v>Long-Term Investments</v>
      </c>
      <c r="L26" s="458">
        <f t="shared" si="3"/>
        <v>0</v>
      </c>
      <c r="M26" s="458">
        <f t="shared" si="3"/>
        <v>0</v>
      </c>
      <c r="N26" s="458">
        <f t="shared" si="3"/>
        <v>0</v>
      </c>
      <c r="O26" s="458">
        <f t="shared" si="3"/>
        <v>0</v>
      </c>
    </row>
    <row r="27" spans="2:15" ht="14.85" customHeight="1" collapsed="1">
      <c r="B27" s="473" t="s">
        <v>191</v>
      </c>
      <c r="D27" s="306">
        <f>+BS_2015!F23/1000</f>
        <v>11.116</v>
      </c>
      <c r="E27" s="306">
        <f>BS_2016!$F$23/1000</f>
        <v>11.116</v>
      </c>
      <c r="F27" s="306">
        <f>BS_2017!$F$23/1000</f>
        <v>11.116</v>
      </c>
      <c r="G27" s="306">
        <f>BS_2018!$F$23/1000</f>
        <v>11.116</v>
      </c>
      <c r="J27" s="473" t="str">
        <f t="shared" si="2"/>
        <v>Other Assets</v>
      </c>
      <c r="L27" s="458">
        <f t="shared" si="3"/>
        <v>0.27714215477776022</v>
      </c>
      <c r="M27" s="458">
        <f t="shared" si="3"/>
        <v>2.2232361053543509E-2</v>
      </c>
      <c r="N27" s="458">
        <f t="shared" si="3"/>
        <v>9.9573569648872387E-2</v>
      </c>
      <c r="O27" s="458">
        <f t="shared" si="3"/>
        <v>3.0050484191670563E-3</v>
      </c>
    </row>
    <row r="28" spans="2:15" ht="14.85" customHeight="1">
      <c r="B28" s="288"/>
      <c r="C28" s="288"/>
      <c r="D28" s="459"/>
      <c r="E28" s="459"/>
      <c r="F28" s="459"/>
      <c r="G28" s="459"/>
      <c r="J28" s="288"/>
      <c r="K28" s="288"/>
      <c r="L28" s="288"/>
      <c r="M28" s="288"/>
      <c r="N28" s="288"/>
      <c r="O28" s="288"/>
    </row>
    <row r="29" spans="2:15" ht="14.85" customHeight="1">
      <c r="B29" s="307" t="s">
        <v>193</v>
      </c>
      <c r="C29" s="211"/>
      <c r="D29" s="474">
        <f>SUM(D20:D27)</f>
        <v>40.109379999999994</v>
      </c>
      <c r="E29" s="474">
        <f>SUM(E20:E27)</f>
        <v>499.99187999999998</v>
      </c>
      <c r="F29" s="474">
        <f>SUM(F20:F27)</f>
        <v>111.63605</v>
      </c>
      <c r="G29" s="474">
        <f>SUM(G20:G27)</f>
        <v>3699.1084499999997</v>
      </c>
      <c r="J29" s="307" t="str">
        <f>B29</f>
        <v>Total Assets</v>
      </c>
      <c r="K29" s="211"/>
      <c r="L29" s="475">
        <f>IF(ISERROR(D29/D$29), "n/a", D29/D$29)</f>
        <v>1</v>
      </c>
      <c r="M29" s="475">
        <f>IF(ISERROR(E29/E$29), "n/a", E29/E$29)</f>
        <v>1</v>
      </c>
      <c r="N29" s="475">
        <f>IF(ISERROR(F29/F$29), "n/a", F29/F$29)</f>
        <v>1</v>
      </c>
      <c r="O29" s="475">
        <f>IF(ISERROR(G29/G$29), "n/a", G29/G$29)</f>
        <v>1</v>
      </c>
    </row>
    <row r="30" spans="2:15" ht="14.85" customHeight="1">
      <c r="D30" s="457"/>
      <c r="E30" s="457"/>
      <c r="F30" s="457"/>
      <c r="G30" s="457"/>
    </row>
    <row r="31" spans="2:15" ht="14.85" customHeight="1">
      <c r="B31" s="304" t="s">
        <v>194</v>
      </c>
      <c r="C31" s="470"/>
      <c r="D31" s="305"/>
      <c r="E31" s="305"/>
      <c r="F31" s="305"/>
      <c r="G31" s="1897"/>
      <c r="J31" s="304" t="s">
        <v>194</v>
      </c>
      <c r="K31" s="470"/>
      <c r="L31" s="471"/>
      <c r="M31" s="471"/>
      <c r="N31" s="471"/>
      <c r="O31" s="1898"/>
    </row>
    <row r="32" spans="2:15" ht="14.85" customHeight="1">
      <c r="D32" s="457"/>
      <c r="E32" s="457"/>
      <c r="F32" s="457"/>
      <c r="G32" s="457"/>
    </row>
    <row r="33" spans="2:15" ht="14.85" customHeight="1">
      <c r="B33" s="208" t="s">
        <v>195</v>
      </c>
      <c r="D33" s="306"/>
      <c r="E33" s="457"/>
      <c r="F33" s="457"/>
      <c r="G33" s="457"/>
      <c r="J33" s="208" t="str">
        <f>B33</f>
        <v>Current Liabilities</v>
      </c>
    </row>
    <row r="34" spans="2:15" ht="14.85" customHeight="1">
      <c r="B34" s="280" t="s">
        <v>196</v>
      </c>
      <c r="D34" s="306">
        <f>+BS_2015!F30/1000</f>
        <v>0.19500000000000001</v>
      </c>
      <c r="E34" s="306">
        <f>BS_2016!$F$30/1000</f>
        <v>0</v>
      </c>
      <c r="F34" s="306">
        <f>BS_2017!$F$30/1000</f>
        <v>0</v>
      </c>
      <c r="G34" s="306">
        <f>BS_2018!$F$30/1000</f>
        <v>0</v>
      </c>
      <c r="J34" s="280" t="str">
        <f>B34</f>
        <v>Accounts Payable</v>
      </c>
      <c r="L34" s="458">
        <f t="shared" ref="L34:O37" si="4">IF(ISERROR(D34/D$29), "n/a", D34/D$29)</f>
        <v>4.8617056658567153E-3</v>
      </c>
      <c r="M34" s="458">
        <f t="shared" si="4"/>
        <v>0</v>
      </c>
      <c r="N34" s="458">
        <f t="shared" si="4"/>
        <v>0</v>
      </c>
      <c r="O34" s="458">
        <f t="shared" si="4"/>
        <v>0</v>
      </c>
    </row>
    <row r="35" spans="2:15" ht="14.85" hidden="1" customHeight="1" outlineLevel="1">
      <c r="B35" s="280" t="s">
        <v>198</v>
      </c>
      <c r="D35" s="306">
        <v>0</v>
      </c>
      <c r="E35" s="306">
        <v>0</v>
      </c>
      <c r="F35" s="306">
        <v>0</v>
      </c>
      <c r="G35" s="306">
        <v>0</v>
      </c>
      <c r="J35" s="280" t="str">
        <f>B35</f>
        <v>Accrued Expenses</v>
      </c>
      <c r="L35" s="458">
        <f t="shared" si="4"/>
        <v>0</v>
      </c>
      <c r="M35" s="458">
        <f t="shared" si="4"/>
        <v>0</v>
      </c>
      <c r="N35" s="458">
        <f t="shared" si="4"/>
        <v>0</v>
      </c>
      <c r="O35" s="458">
        <f t="shared" si="4"/>
        <v>0</v>
      </c>
    </row>
    <row r="36" spans="2:15" ht="14.85" hidden="1" customHeight="1" outlineLevel="1">
      <c r="B36" s="280" t="s">
        <v>197</v>
      </c>
      <c r="D36" s="306">
        <v>0</v>
      </c>
      <c r="E36" s="306">
        <v>0</v>
      </c>
      <c r="F36" s="306">
        <v>0</v>
      </c>
      <c r="G36" s="306">
        <v>0</v>
      </c>
      <c r="J36" s="280" t="str">
        <f>B36</f>
        <v>Current Maturities</v>
      </c>
      <c r="L36" s="458">
        <f t="shared" si="4"/>
        <v>0</v>
      </c>
      <c r="M36" s="458">
        <f t="shared" si="4"/>
        <v>0</v>
      </c>
      <c r="N36" s="458">
        <f t="shared" si="4"/>
        <v>0</v>
      </c>
      <c r="O36" s="458">
        <f t="shared" si="4"/>
        <v>0</v>
      </c>
    </row>
    <row r="37" spans="2:15" ht="14.85" customHeight="1" collapsed="1">
      <c r="B37" s="280" t="s">
        <v>199</v>
      </c>
      <c r="D37" s="306">
        <v>0</v>
      </c>
      <c r="E37" s="306">
        <v>0</v>
      </c>
      <c r="F37" s="306">
        <f>BS_2017!F33/1000</f>
        <v>116.66</v>
      </c>
      <c r="G37" s="306">
        <v>0</v>
      </c>
      <c r="J37" s="280" t="str">
        <f>B37</f>
        <v>Other Current Liabilities</v>
      </c>
      <c r="L37" s="458">
        <f t="shared" si="4"/>
        <v>0</v>
      </c>
      <c r="M37" s="458">
        <f t="shared" si="4"/>
        <v>0</v>
      </c>
      <c r="N37" s="458">
        <f t="shared" si="4"/>
        <v>1.0450029358795836</v>
      </c>
      <c r="O37" s="458">
        <f t="shared" si="4"/>
        <v>0</v>
      </c>
    </row>
    <row r="38" spans="2:15" ht="14.85" customHeight="1">
      <c r="B38" s="288"/>
      <c r="C38" s="288"/>
      <c r="D38" s="459"/>
      <c r="E38" s="459"/>
      <c r="F38" s="459"/>
      <c r="G38" s="459"/>
      <c r="J38" s="288"/>
      <c r="K38" s="288"/>
      <c r="L38" s="288"/>
      <c r="M38" s="288"/>
      <c r="N38" s="288"/>
      <c r="O38" s="288"/>
    </row>
    <row r="39" spans="2:15" ht="14.85" customHeight="1">
      <c r="B39" s="231" t="s">
        <v>200</v>
      </c>
      <c r="D39" s="306">
        <f>SUM(D34:D37)</f>
        <v>0.19500000000000001</v>
      </c>
      <c r="E39" s="306">
        <f>SUM(E34:E37)</f>
        <v>0</v>
      </c>
      <c r="F39" s="306">
        <f>SUM(F34:F37)</f>
        <v>116.66</v>
      </c>
      <c r="G39" s="306">
        <f>SUM(G34:G37)</f>
        <v>0</v>
      </c>
      <c r="J39" s="231" t="str">
        <f>B39</f>
        <v>Total Current Liabilities</v>
      </c>
      <c r="L39" s="458">
        <f>IF(ISERROR(D39/D$29), "n/a", D39/D$29)</f>
        <v>4.8617056658567153E-3</v>
      </c>
      <c r="M39" s="458">
        <f>IF(ISERROR(E39/E$29), "n/a", E39/E$29)</f>
        <v>0</v>
      </c>
      <c r="N39" s="458">
        <f>IF(ISERROR(F39/F$29), "n/a", F39/F$29)</f>
        <v>1.0450029358795836</v>
      </c>
      <c r="O39" s="458">
        <f>IF(ISERROR(G39/G$29), "n/a", G39/G$29)</f>
        <v>0</v>
      </c>
    </row>
    <row r="40" spans="2:15" ht="14.85" hidden="1" customHeight="1" outlineLevel="1">
      <c r="D40" s="457"/>
      <c r="E40" s="457"/>
      <c r="F40" s="457"/>
      <c r="G40" s="457"/>
    </row>
    <row r="41" spans="2:15" ht="14.85" hidden="1" customHeight="1" outlineLevel="1">
      <c r="B41" s="280" t="s">
        <v>201</v>
      </c>
      <c r="D41" s="306">
        <v>0</v>
      </c>
      <c r="E41" s="306">
        <v>0</v>
      </c>
      <c r="F41" s="306">
        <v>0</v>
      </c>
      <c r="G41" s="306">
        <v>0</v>
      </c>
      <c r="J41" s="280" t="str">
        <f>B41</f>
        <v>Long-Term Debt, Net of Current Portion</v>
      </c>
      <c r="L41" s="458">
        <f t="shared" ref="L41:O43" si="5">IF(ISERROR(D41/D$29), "n/a", D41/D$29)</f>
        <v>0</v>
      </c>
      <c r="M41" s="458">
        <f t="shared" si="5"/>
        <v>0</v>
      </c>
      <c r="N41" s="458">
        <f t="shared" si="5"/>
        <v>0</v>
      </c>
      <c r="O41" s="458">
        <f t="shared" si="5"/>
        <v>0</v>
      </c>
    </row>
    <row r="42" spans="2:15" ht="14.85" hidden="1" customHeight="1" outlineLevel="1">
      <c r="B42" s="280" t="s">
        <v>202</v>
      </c>
      <c r="D42" s="306"/>
      <c r="E42" s="306"/>
      <c r="F42" s="306"/>
      <c r="G42" s="306"/>
      <c r="J42" s="280" t="str">
        <f>B42</f>
        <v>Deferred Liabilities</v>
      </c>
      <c r="L42" s="458">
        <f t="shared" si="5"/>
        <v>0</v>
      </c>
      <c r="M42" s="458">
        <f t="shared" si="5"/>
        <v>0</v>
      </c>
      <c r="N42" s="458">
        <f t="shared" si="5"/>
        <v>0</v>
      </c>
      <c r="O42" s="458">
        <f t="shared" si="5"/>
        <v>0</v>
      </c>
    </row>
    <row r="43" spans="2:15" ht="14.85" hidden="1" customHeight="1" outlineLevel="1">
      <c r="B43" s="280" t="s">
        <v>203</v>
      </c>
      <c r="D43" s="306"/>
      <c r="E43" s="306"/>
      <c r="F43" s="306"/>
      <c r="G43" s="306"/>
      <c r="J43" s="280" t="str">
        <f>B43</f>
        <v>Other Long-Term Liabilities</v>
      </c>
      <c r="L43" s="458">
        <f t="shared" si="5"/>
        <v>0</v>
      </c>
      <c r="M43" s="458">
        <f t="shared" si="5"/>
        <v>0</v>
      </c>
      <c r="N43" s="458">
        <f t="shared" si="5"/>
        <v>0</v>
      </c>
      <c r="O43" s="458">
        <f t="shared" si="5"/>
        <v>0</v>
      </c>
    </row>
    <row r="44" spans="2:15" ht="14.85" customHeight="1" collapsed="1">
      <c r="B44" s="288"/>
      <c r="C44" s="288"/>
      <c r="D44" s="459"/>
      <c r="E44" s="459"/>
      <c r="F44" s="459"/>
      <c r="G44" s="459"/>
      <c r="J44" s="288"/>
      <c r="K44" s="288"/>
      <c r="L44" s="288"/>
      <c r="M44" s="288"/>
      <c r="N44" s="288"/>
      <c r="O44" s="288"/>
    </row>
    <row r="45" spans="2:15" ht="14.85" customHeight="1">
      <c r="B45" s="231" t="s">
        <v>204</v>
      </c>
      <c r="D45" s="306">
        <f>SUM(D39:D43)</f>
        <v>0.19500000000000001</v>
      </c>
      <c r="E45" s="306">
        <f>SUM(E39:E43)</f>
        <v>0</v>
      </c>
      <c r="F45" s="306">
        <f>SUM(F39:F43)</f>
        <v>116.66</v>
      </c>
      <c r="G45" s="306">
        <f>SUM(G39:G43)</f>
        <v>0</v>
      </c>
      <c r="J45" s="231" t="str">
        <f>B45</f>
        <v>Total Liabilities</v>
      </c>
      <c r="L45" s="458">
        <f>IF(ISERROR(D45/D$29), "n/a", D45/D$29)</f>
        <v>4.8617056658567153E-3</v>
      </c>
      <c r="M45" s="458">
        <f>IF(ISERROR(E45/E$29), "n/a", E45/E$29)</f>
        <v>0</v>
      </c>
      <c r="N45" s="458">
        <f>IF(ISERROR(F45/F$29), "n/a", F45/F$29)</f>
        <v>1.0450029358795836</v>
      </c>
      <c r="O45" s="458">
        <f>IF(ISERROR(G45/G$29), "n/a", G45/G$29)</f>
        <v>0</v>
      </c>
    </row>
    <row r="46" spans="2:15" ht="14.85" customHeight="1">
      <c r="D46" s="457"/>
      <c r="E46" s="457"/>
      <c r="F46" s="457"/>
      <c r="G46" s="457"/>
    </row>
    <row r="47" spans="2:15" ht="14.85" customHeight="1">
      <c r="B47" s="208" t="s">
        <v>214</v>
      </c>
      <c r="D47" s="457"/>
      <c r="E47" s="457"/>
      <c r="F47" s="457"/>
      <c r="G47" s="457"/>
      <c r="J47" s="208" t="str">
        <f t="shared" ref="J47:J52" si="6">B47</f>
        <v>Shareholders' Equity</v>
      </c>
    </row>
    <row r="48" spans="2:15" ht="14.85" customHeight="1">
      <c r="B48" s="280" t="s">
        <v>209</v>
      </c>
      <c r="D48" s="306">
        <v>0</v>
      </c>
      <c r="E48" s="306">
        <f>BS_2016!$F$34/1000</f>
        <v>2E-3</v>
      </c>
      <c r="F48" s="306">
        <f>BS_2017!$F$37/1000</f>
        <v>2E-3</v>
      </c>
      <c r="G48" s="306">
        <f>BS_2018!$F$37/1000</f>
        <v>2E-3</v>
      </c>
      <c r="J48" s="280" t="str">
        <f t="shared" si="6"/>
        <v>Common</v>
      </c>
      <c r="L48" s="458">
        <f t="shared" ref="L48:O52" si="7">IF(ISERROR(D48/D$29), "n/a", D48/D$29)</f>
        <v>0</v>
      </c>
      <c r="M48" s="458">
        <f t="shared" si="7"/>
        <v>4.0000649610549677E-6</v>
      </c>
      <c r="N48" s="458">
        <f t="shared" si="7"/>
        <v>1.7915359778494493E-5</v>
      </c>
      <c r="O48" s="458">
        <f t="shared" si="7"/>
        <v>5.4067082028914295E-7</v>
      </c>
    </row>
    <row r="49" spans="1:15" ht="14.85" customHeight="1">
      <c r="B49" s="280" t="s">
        <v>210</v>
      </c>
      <c r="D49" s="306">
        <f>+BS_2015!F34/1000</f>
        <v>2E-3</v>
      </c>
      <c r="E49" s="306">
        <f>BS_2016!$F$36/1000</f>
        <v>700</v>
      </c>
      <c r="F49" s="306">
        <f>BS_2017!$F$39/1000</f>
        <v>1235</v>
      </c>
      <c r="G49" s="306">
        <f>(BS_2018!$F$39+BS_2018!$F$40)/1000</f>
        <v>5234.9989999999998</v>
      </c>
      <c r="J49" s="280" t="str">
        <f t="shared" si="6"/>
        <v xml:space="preserve">Preferred </v>
      </c>
      <c r="L49" s="458">
        <f t="shared" si="7"/>
        <v>4.9863647854940674E-5</v>
      </c>
      <c r="M49" s="458">
        <f t="shared" si="7"/>
        <v>1.4000227363692388</v>
      </c>
      <c r="N49" s="458">
        <f t="shared" si="7"/>
        <v>11.062734663220349</v>
      </c>
      <c r="O49" s="458">
        <f t="shared" si="7"/>
        <v>1.4152056017714214</v>
      </c>
    </row>
    <row r="50" spans="1:15" ht="14.85" hidden="1" customHeight="1" outlineLevel="1">
      <c r="B50" s="280" t="s">
        <v>211</v>
      </c>
      <c r="D50" s="306">
        <v>0</v>
      </c>
      <c r="E50" s="306">
        <v>0</v>
      </c>
      <c r="F50" s="306">
        <v>0</v>
      </c>
      <c r="G50" s="306">
        <v>0</v>
      </c>
      <c r="J50" s="280" t="str">
        <f t="shared" si="6"/>
        <v>Additional Paid In Capital</v>
      </c>
      <c r="L50" s="458">
        <f t="shared" si="7"/>
        <v>0</v>
      </c>
      <c r="M50" s="458">
        <f t="shared" si="7"/>
        <v>0</v>
      </c>
      <c r="N50" s="458">
        <f t="shared" si="7"/>
        <v>0</v>
      </c>
      <c r="O50" s="458">
        <f t="shared" si="7"/>
        <v>0</v>
      </c>
    </row>
    <row r="51" spans="1:15" ht="14.85" hidden="1" customHeight="1" outlineLevel="1">
      <c r="B51" s="280" t="s">
        <v>213</v>
      </c>
      <c r="D51" s="306">
        <v>0</v>
      </c>
      <c r="E51" s="306">
        <v>0</v>
      </c>
      <c r="F51" s="306">
        <v>0</v>
      </c>
      <c r="G51" s="306">
        <v>0</v>
      </c>
      <c r="J51" s="280" t="str">
        <f t="shared" si="6"/>
        <v>Treasury Stock</v>
      </c>
      <c r="L51" s="458">
        <f t="shared" si="7"/>
        <v>0</v>
      </c>
      <c r="M51" s="458">
        <f t="shared" si="7"/>
        <v>0</v>
      </c>
      <c r="N51" s="458">
        <f t="shared" si="7"/>
        <v>0</v>
      </c>
      <c r="O51" s="458">
        <f t="shared" si="7"/>
        <v>0</v>
      </c>
    </row>
    <row r="52" spans="1:15" ht="14.85" customHeight="1" collapsed="1">
      <c r="B52" s="280" t="s">
        <v>212</v>
      </c>
      <c r="D52" s="306">
        <f>(BS_2015!F35+BS_2015!F36)/1000</f>
        <v>39.912380000000006</v>
      </c>
      <c r="E52" s="306">
        <f>(BS_2016!$F$35+BS_2016!$F$37)/1000</f>
        <v>-200.01012</v>
      </c>
      <c r="F52" s="306">
        <f>(BS_2017!$F$38+BS_2017!$F$40)/1000</f>
        <v>-1240.02595</v>
      </c>
      <c r="G52" s="306">
        <f>(BS_2018!$F$38+BS_2018!$F$41)/1000</f>
        <v>-1535.8925499999998</v>
      </c>
      <c r="J52" s="280" t="str">
        <f t="shared" si="6"/>
        <v>Retained Earnings</v>
      </c>
      <c r="L52" s="458">
        <f t="shared" si="7"/>
        <v>0.99508843068628861</v>
      </c>
      <c r="M52" s="458">
        <f t="shared" si="7"/>
        <v>-0.40002673643419973</v>
      </c>
      <c r="N52" s="458">
        <f t="shared" si="7"/>
        <v>-11.107755514459711</v>
      </c>
      <c r="O52" s="458">
        <f t="shared" si="7"/>
        <v>-0.41520614244224169</v>
      </c>
    </row>
    <row r="53" spans="1:15" ht="14.85" customHeight="1">
      <c r="B53" s="288"/>
      <c r="C53" s="288"/>
      <c r="D53" s="459"/>
      <c r="E53" s="459"/>
      <c r="F53" s="459"/>
      <c r="G53" s="459"/>
      <c r="J53" s="288"/>
      <c r="K53" s="288"/>
      <c r="L53" s="288"/>
      <c r="M53" s="288"/>
      <c r="N53" s="288"/>
      <c r="O53" s="288"/>
    </row>
    <row r="54" spans="1:15" ht="14.85" customHeight="1">
      <c r="B54" s="231" t="s">
        <v>216</v>
      </c>
      <c r="D54" s="306">
        <f>SUM(D48:D52)</f>
        <v>39.914380000000008</v>
      </c>
      <c r="E54" s="306">
        <f>SUM(E48:E52)</f>
        <v>499.99187999999992</v>
      </c>
      <c r="F54" s="306">
        <f>SUM(F48:F52)</f>
        <v>-5.0239500000000135</v>
      </c>
      <c r="G54" s="306">
        <f>SUM(G48:G52)</f>
        <v>3699.1084500000006</v>
      </c>
      <c r="J54" s="231" t="str">
        <f>B54</f>
        <v>Total Shareholders' Equity</v>
      </c>
      <c r="L54" s="458">
        <f>IF(ISERROR(D54/D$29), "n/a", D54/D$29)</f>
        <v>0.99513829433414358</v>
      </c>
      <c r="M54" s="458">
        <f>IF(ISERROR(E54/E$29), "n/a", E54/E$29)</f>
        <v>0.99999999999999989</v>
      </c>
      <c r="N54" s="458">
        <f>IF(ISERROR(F54/F$29), "n/a", F54/F$29)</f>
        <v>-4.5002935879583823E-2</v>
      </c>
      <c r="O54" s="458">
        <f>IF(ISERROR(G54/G$29), "n/a", G54/G$29)</f>
        <v>1.0000000000000002</v>
      </c>
    </row>
    <row r="55" spans="1:15" ht="14.85" customHeight="1">
      <c r="D55" s="457"/>
      <c r="E55" s="457"/>
      <c r="F55" s="457"/>
      <c r="G55" s="457"/>
      <c r="L55" s="288"/>
      <c r="M55" s="288"/>
      <c r="N55" s="288"/>
      <c r="O55" s="288"/>
    </row>
    <row r="56" spans="1:15" ht="14.85" customHeight="1">
      <c r="B56" s="476" t="s">
        <v>215</v>
      </c>
      <c r="C56" s="476"/>
      <c r="D56" s="477">
        <f>D54+D45</f>
        <v>40.109380000000009</v>
      </c>
      <c r="E56" s="477">
        <f>E54+E45</f>
        <v>499.99187999999992</v>
      </c>
      <c r="F56" s="477">
        <f>F54+F45</f>
        <v>111.63604999999998</v>
      </c>
      <c r="G56" s="477">
        <f>G54+G45</f>
        <v>3699.1084500000006</v>
      </c>
      <c r="J56" s="476" t="str">
        <f>B56</f>
        <v>Total Liabilities &amp; Shareholders' Equity</v>
      </c>
      <c r="K56" s="476"/>
      <c r="L56" s="475">
        <f>IF(ISERROR(D56/D$29), "n/a", D56/D$29)</f>
        <v>1.0000000000000004</v>
      </c>
      <c r="M56" s="475">
        <f>IF(ISERROR(E56/E$29), "n/a", E56/E$29)</f>
        <v>0.99999999999999989</v>
      </c>
      <c r="N56" s="475">
        <f>IF(ISERROR(F56/F$29), "n/a", F56/F$29)</f>
        <v>0.99999999999999989</v>
      </c>
      <c r="O56" s="475">
        <f>IF(ISERROR(G56/G$29), "n/a", G56/G$29)</f>
        <v>1.0000000000000002</v>
      </c>
    </row>
    <row r="57" spans="1:15" ht="14.85" customHeight="1">
      <c r="B57" s="352"/>
      <c r="C57" s="352"/>
      <c r="D57" s="1508"/>
      <c r="E57" s="1508"/>
      <c r="F57" s="1508"/>
      <c r="G57" s="1508"/>
      <c r="J57" s="352"/>
      <c r="K57" s="352"/>
      <c r="L57" s="475"/>
      <c r="M57" s="475"/>
      <c r="N57" s="475"/>
      <c r="O57" s="475"/>
    </row>
    <row r="58" spans="1:15" ht="14.85" customHeight="1">
      <c r="B58" s="295" t="s">
        <v>86</v>
      </c>
      <c r="C58" s="352"/>
      <c r="D58" s="1508"/>
      <c r="E58" s="1508"/>
      <c r="F58" s="1508"/>
      <c r="G58" s="1508"/>
      <c r="J58" s="352"/>
      <c r="K58" s="352"/>
      <c r="L58" s="475"/>
      <c r="M58" s="475"/>
      <c r="N58" s="475"/>
      <c r="O58" s="475"/>
    </row>
    <row r="59" spans="1:15" ht="14.85" customHeight="1">
      <c r="A59" s="806" t="str">
        <f>G9</f>
        <v>(1)</v>
      </c>
      <c r="B59" s="1900" t="str">
        <f>'Hist IS'!B46:G46</f>
        <v>Reflects financial information as of December 31, 2018 which Management indicated was the latest available as of the Valuation Date.</v>
      </c>
      <c r="C59" s="1900"/>
      <c r="D59" s="1900"/>
      <c r="E59" s="1900"/>
      <c r="F59" s="1900"/>
      <c r="G59" s="1900"/>
      <c r="J59" s="352"/>
      <c r="K59" s="352"/>
      <c r="L59" s="475"/>
      <c r="M59" s="475"/>
      <c r="N59" s="475"/>
      <c r="O59" s="475"/>
    </row>
    <row r="60" spans="1:15" ht="14.85" customHeight="1"/>
    <row r="61" spans="1:15" ht="14.85" customHeight="1">
      <c r="B61" s="291" t="s">
        <v>218</v>
      </c>
      <c r="C61" s="292"/>
      <c r="D61" s="292"/>
      <c r="E61" s="292"/>
      <c r="F61" s="292"/>
      <c r="G61" s="292"/>
    </row>
    <row r="62" spans="1:15" ht="14.85" customHeight="1"/>
    <row r="63" spans="1:15" ht="14.85" customHeight="1">
      <c r="B63" s="208" t="s">
        <v>221</v>
      </c>
      <c r="D63" s="311">
        <f>D13</f>
        <v>154.22502</v>
      </c>
      <c r="E63" s="311">
        <f>E13</f>
        <v>483.08143999999999</v>
      </c>
      <c r="F63" s="311">
        <f>F13</f>
        <v>94.725610000000003</v>
      </c>
      <c r="G63" s="311">
        <f>G13</f>
        <v>3684.1360099999997</v>
      </c>
    </row>
    <row r="64" spans="1:15" ht="14.85" customHeight="1">
      <c r="B64" s="478" t="s">
        <v>220</v>
      </c>
      <c r="C64" s="479" t="s">
        <v>224</v>
      </c>
      <c r="D64" s="480">
        <f>-D63</f>
        <v>-154.22502</v>
      </c>
      <c r="E64" s="480">
        <f>-E63</f>
        <v>-483.08143999999999</v>
      </c>
      <c r="F64" s="480">
        <f>-F63</f>
        <v>-94.725610000000003</v>
      </c>
      <c r="G64" s="480">
        <f>-G63</f>
        <v>-3684.1360099999997</v>
      </c>
    </row>
    <row r="65" spans="1:15" s="355" customFormat="1" ht="14.85" customHeight="1">
      <c r="B65" s="481"/>
      <c r="C65" s="380"/>
      <c r="D65" s="482"/>
      <c r="E65" s="482"/>
      <c r="F65" s="482"/>
      <c r="G65" s="482"/>
      <c r="J65" s="208"/>
      <c r="K65" s="208"/>
      <c r="L65" s="208"/>
      <c r="M65" s="208"/>
      <c r="N65" s="208"/>
      <c r="O65" s="208"/>
    </row>
    <row r="66" spans="1:15" ht="14.85" customHeight="1">
      <c r="B66" s="211" t="s">
        <v>219</v>
      </c>
      <c r="C66" s="211"/>
      <c r="D66" s="308">
        <f>SUM(D63:D64)</f>
        <v>0</v>
      </c>
      <c r="E66" s="308">
        <f>SUM(E63:E64)</f>
        <v>0</v>
      </c>
      <c r="F66" s="308">
        <f>SUM(F63:F64)</f>
        <v>0</v>
      </c>
      <c r="G66" s="308">
        <f>SUM(G63:G64)</f>
        <v>0</v>
      </c>
    </row>
    <row r="67" spans="1:15" ht="14.85" customHeight="1"/>
    <row r="68" spans="1:15" ht="14.85" customHeight="1">
      <c r="B68" s="211" t="s">
        <v>222</v>
      </c>
      <c r="C68" s="211"/>
      <c r="D68" s="308">
        <f>D41+D36</f>
        <v>0</v>
      </c>
      <c r="E68" s="308">
        <f>E41+E36</f>
        <v>0</v>
      </c>
      <c r="F68" s="308">
        <f>F41+F36</f>
        <v>0</v>
      </c>
      <c r="G68" s="308">
        <f>G41+G36</f>
        <v>0</v>
      </c>
    </row>
    <row r="69" spans="1:15" ht="14.85" customHeight="1"/>
    <row r="70" spans="1:15" ht="14.85" customHeight="1">
      <c r="B70" s="295" t="s">
        <v>86</v>
      </c>
    </row>
    <row r="71" spans="1:15" ht="14.85" customHeight="1">
      <c r="B71" s="463" t="s">
        <v>581</v>
      </c>
    </row>
    <row r="72" spans="1:15" ht="14.85" customHeight="1">
      <c r="B72" s="463" t="s">
        <v>181</v>
      </c>
    </row>
    <row r="73" spans="1:15" ht="14.85" customHeight="1"/>
    <row r="74" spans="1:15" ht="14.85" customHeight="1"/>
    <row r="75" spans="1:15" ht="14.85" customHeight="1">
      <c r="A75" s="208">
        <v>0</v>
      </c>
      <c r="B75" s="483" t="s">
        <v>217</v>
      </c>
      <c r="C75" s="421"/>
      <c r="D75" s="484">
        <f>D56-D29</f>
        <v>0</v>
      </c>
      <c r="E75" s="484">
        <f>E56-E29</f>
        <v>0</v>
      </c>
      <c r="F75" s="484">
        <f>F56-F29</f>
        <v>0</v>
      </c>
      <c r="G75" s="484">
        <f>G56-G29</f>
        <v>0</v>
      </c>
      <c r="J75" s="352"/>
      <c r="K75" s="352"/>
      <c r="L75" s="326"/>
    </row>
    <row r="76" spans="1:15" ht="14.85" customHeight="1">
      <c r="B76" s="485" t="s">
        <v>1705</v>
      </c>
      <c r="D76" s="486" t="str">
        <f>IF(AND(D75=$A$75,E75=$A$75,F75=$A$75,G75=$A$75),"","Check")</f>
        <v/>
      </c>
    </row>
    <row r="77" spans="1:15" ht="14.85" customHeight="1"/>
    <row r="78" spans="1:15" ht="14.85" customHeight="1"/>
    <row r="79" spans="1:15" ht="14.85" customHeight="1"/>
    <row r="80" spans="1:15"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row r="765" ht="14.85" customHeight="1"/>
    <row r="766" ht="14.85" customHeight="1"/>
    <row r="767" ht="14.85" customHeight="1"/>
  </sheetData>
  <mergeCells count="1">
    <mergeCell ref="B59:G59"/>
  </mergeCells>
  <conditionalFormatting sqref="K4:O4">
    <cfRule type="cellIs" dxfId="247" priority="6" stopIfTrue="1" operator="equal">
      <formula>"input"</formula>
    </cfRule>
  </conditionalFormatting>
  <conditionalFormatting sqref="B4:F4">
    <cfRule type="cellIs" dxfId="246" priority="9" stopIfTrue="1" operator="equal">
      <formula>"input"</formula>
    </cfRule>
  </conditionalFormatting>
  <conditionalFormatting sqref="J4">
    <cfRule type="cellIs" dxfId="245" priority="3" stopIfTrue="1" operator="equal">
      <formula>"input"</formula>
    </cfRule>
  </conditionalFormatting>
  <conditionalFormatting sqref="G4">
    <cfRule type="cellIs" dxfId="244" priority="2" stopIfTrue="1" operator="equal">
      <formula>"input"</formula>
    </cfRule>
  </conditionalFormatting>
  <conditionalFormatting sqref="G4">
    <cfRule type="cellIs" dxfId="243" priority="1" stopIfTrue="1" operator="equal">
      <formula>"input"</formula>
    </cfRule>
  </conditionalFormatting>
  <pageMargins left="0.5" right="0.5" top="0.5" bottom="0.5" header="0.5" footer="0.5"/>
  <pageSetup scale="80" fitToWidth="0" fitToHeight="0" orientation="landscape" r:id="rId1"/>
  <colBreaks count="1" manualBreakCount="1">
    <brk id="8" max="58" man="1"/>
  </colBreaks>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5">
    <tabColor theme="3" tint="-0.499984740745262"/>
    <pageSetUpPr fitToPage="1"/>
  </sheetPr>
  <dimension ref="B6:F30"/>
  <sheetViews>
    <sheetView showGridLines="0" view="pageBreakPreview" zoomScale="80" zoomScaleNormal="100" zoomScaleSheetLayoutView="80" workbookViewId="0">
      <selection activeCell="D11" sqref="D11"/>
    </sheetView>
  </sheetViews>
  <sheetFormatPr defaultColWidth="9.33203125" defaultRowHeight="12.75"/>
  <cols>
    <col min="1" max="1" width="4.5" style="260" customWidth="1"/>
    <col min="2" max="2" width="3.83203125" style="260" customWidth="1"/>
    <col min="3" max="3" width="15.83203125" style="260" customWidth="1"/>
    <col min="4" max="4" width="108.83203125" style="300" customWidth="1"/>
    <col min="5" max="5" width="15.83203125" style="260" customWidth="1"/>
    <col min="6" max="6" width="3.83203125" style="260" customWidth="1"/>
    <col min="7" max="7" width="4.5" style="260" customWidth="1"/>
    <col min="8" max="8" width="9.33203125" style="260"/>
    <col min="9" max="9" width="16.33203125" style="260" bestFit="1" customWidth="1"/>
    <col min="10" max="10" width="19" style="260" bestFit="1" customWidth="1"/>
    <col min="11" max="16384" width="9.33203125" style="260"/>
  </cols>
  <sheetData>
    <row r="6" spans="2:6">
      <c r="B6" s="301"/>
      <c r="C6" s="442"/>
      <c r="D6" s="443"/>
      <c r="E6" s="442"/>
      <c r="F6" s="442"/>
    </row>
    <row r="7" spans="2:6" ht="13.5" thickBot="1">
      <c r="B7" s="301"/>
      <c r="C7" s="442"/>
      <c r="D7" s="443"/>
      <c r="E7" s="442"/>
      <c r="F7" s="442"/>
    </row>
    <row r="8" spans="2:6" ht="15" thickTop="1">
      <c r="B8" s="581"/>
      <c r="C8" s="582"/>
      <c r="D8" s="188"/>
      <c r="E8" s="187"/>
      <c r="F8" s="187"/>
    </row>
    <row r="9" spans="2:6" ht="39.75">
      <c r="B9" s="583"/>
      <c r="C9" s="584"/>
      <c r="D9" s="218" t="s">
        <v>2462</v>
      </c>
      <c r="E9" s="191"/>
      <c r="F9" s="191"/>
    </row>
    <row r="10" spans="2:6" ht="15" thickBot="1">
      <c r="B10" s="585"/>
      <c r="C10" s="586"/>
      <c r="D10" s="201"/>
      <c r="E10" s="200"/>
      <c r="F10" s="200"/>
    </row>
    <row r="11" spans="2:6" ht="13.5" thickTop="1"/>
    <row r="13" spans="2:6" ht="18">
      <c r="D13" s="203"/>
    </row>
    <row r="14" spans="2:6" ht="18">
      <c r="D14" s="204"/>
    </row>
    <row r="27" spans="4:4" ht="23.25">
      <c r="D27" s="205"/>
    </row>
    <row r="29" spans="4:4" ht="18">
      <c r="D29" s="206"/>
    </row>
    <row r="30" spans="4:4" ht="36">
      <c r="D30" s="207" t="s">
        <v>374</v>
      </c>
    </row>
  </sheetData>
  <pageMargins left="0.5" right="0.5" top="0.5" bottom="0.5" header="0.5" footer="0.5"/>
  <pageSetup scale="98" orientation="landscape"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dimension ref="A1:AN767"/>
  <sheetViews>
    <sheetView showGridLines="0" view="pageBreakPreview" zoomScale="80" zoomScaleNormal="100" zoomScaleSheetLayoutView="80" workbookViewId="0">
      <selection activeCell="D11" sqref="D11"/>
    </sheetView>
  </sheetViews>
  <sheetFormatPr defaultRowHeight="12.75" outlineLevelRow="1" outlineLevelCol="1"/>
  <cols>
    <col min="1" max="1" width="4.5" style="208" customWidth="1"/>
    <col min="2" max="2" width="35.83203125" style="208" customWidth="1"/>
    <col min="3" max="3" width="15.83203125" style="208" customWidth="1"/>
    <col min="4" max="4" width="2.83203125" style="208" customWidth="1"/>
    <col min="5" max="5" width="41.1640625" style="208" customWidth="1"/>
    <col min="6" max="6" width="16.5" style="208" customWidth="1"/>
    <col min="7" max="7" width="2.83203125" style="208" hidden="1" customWidth="1" outlineLevel="1"/>
    <col min="8" max="10" width="18.83203125" style="208" hidden="1" customWidth="1" outlineLevel="1"/>
    <col min="11" max="11" width="2.83203125" style="208" customWidth="1" collapsed="1"/>
    <col min="12" max="13" width="18.83203125" style="208" hidden="1" customWidth="1" outlineLevel="1"/>
    <col min="14" max="14" width="11.6640625" style="208" customWidth="1" collapsed="1"/>
    <col min="15" max="16" width="11.6640625" style="208" customWidth="1"/>
    <col min="17" max="17" width="2.83203125" style="208" customWidth="1"/>
    <col min="18" max="19" width="12.83203125" style="208" hidden="1" customWidth="1" outlineLevel="1"/>
    <col min="20" max="20" width="12.1640625" style="208" customWidth="1" collapsed="1"/>
    <col min="21" max="21" width="2.83203125" style="208" customWidth="1"/>
    <col min="22" max="23" width="12.83203125" style="208" hidden="1" customWidth="1" outlineLevel="1"/>
    <col min="24" max="24" width="11.1640625" style="208" customWidth="1" collapsed="1"/>
    <col min="25" max="26" width="11.1640625" style="208" customWidth="1"/>
    <col min="27" max="27" width="4.5" style="208" customWidth="1"/>
    <col min="28" max="32" width="13.6640625" style="208" customWidth="1"/>
    <col min="33" max="33" width="13.6640625" style="297" customWidth="1"/>
    <col min="34" max="35" width="13.6640625" style="208" customWidth="1"/>
    <col min="36" max="36" width="1.83203125" style="208" customWidth="1"/>
    <col min="37" max="37" width="15.33203125" style="208" bestFit="1" customWidth="1"/>
    <col min="38" max="38" width="70.83203125" style="208" customWidth="1"/>
    <col min="39" max="39" width="1.83203125" style="208" customWidth="1"/>
    <col min="40" max="41" width="30.83203125" style="208" customWidth="1"/>
    <col min="42" max="16384" width="9.33203125" style="208"/>
  </cols>
  <sheetData>
    <row r="1" spans="2:40" ht="10.7" customHeight="1" thickBot="1">
      <c r="AB1" s="596"/>
      <c r="AC1" s="597" t="s">
        <v>726</v>
      </c>
      <c r="AD1" s="597" t="s">
        <v>727</v>
      </c>
      <c r="AE1" s="598" t="s">
        <v>110</v>
      </c>
    </row>
    <row r="2" spans="2:40" ht="16.5" customHeight="1" thickTop="1">
      <c r="B2" s="216" t="str">
        <f>'MASTER PubCo Inputs'!$C$5</f>
        <v>Medikine, Inc.</v>
      </c>
      <c r="C2" s="216"/>
      <c r="D2" s="216"/>
      <c r="E2" s="216"/>
      <c r="F2" s="216"/>
      <c r="G2" s="216"/>
      <c r="H2" s="216"/>
      <c r="I2" s="216"/>
      <c r="J2" s="216"/>
      <c r="K2" s="216"/>
      <c r="L2" s="216"/>
      <c r="M2" s="216"/>
      <c r="N2" s="216"/>
      <c r="O2" s="216"/>
      <c r="P2" s="216"/>
      <c r="Q2" s="216"/>
      <c r="R2" s="216"/>
      <c r="S2" s="216"/>
      <c r="T2" s="216"/>
      <c r="U2" s="216"/>
      <c r="V2" s="216"/>
      <c r="W2" s="216"/>
      <c r="X2" s="216"/>
      <c r="Y2" s="216"/>
      <c r="Z2" s="216"/>
      <c r="AB2" s="599" t="str">
        <f>+C8</f>
        <v>Enterprise Value</v>
      </c>
      <c r="AC2" s="600" t="e">
        <f ca="1">SUM('GPC Linked'!H13:H42)</f>
        <v>#NAME?</v>
      </c>
      <c r="AD2" s="600">
        <f>+SUM('Capital IQ Sheet-GPC'!H13:H42)</f>
        <v>8672.6785499999987</v>
      </c>
      <c r="AE2" s="327" t="e">
        <f ca="1">AC2=AD2</f>
        <v>#NAME?</v>
      </c>
      <c r="AK2" s="532" t="s">
        <v>87</v>
      </c>
      <c r="AL2" s="533">
        <f>'MASTER PubCo Inputs'!$C$6</f>
        <v>43496</v>
      </c>
    </row>
    <row r="3" spans="2:40" ht="15.75" customHeight="1">
      <c r="B3" s="217" t="str">
        <f>VLOOKUP(B4,Outline!$E$8:$G$79,COLUMNS(Outline!$E$8:$G$8),FALSE)</f>
        <v>Exhibit D.1</v>
      </c>
      <c r="C3" s="217"/>
      <c r="D3" s="217"/>
      <c r="E3" s="217"/>
      <c r="F3" s="217"/>
      <c r="G3" s="217"/>
      <c r="H3" s="217"/>
      <c r="I3" s="217"/>
      <c r="J3" s="217"/>
      <c r="K3" s="217"/>
      <c r="L3" s="217"/>
      <c r="M3" s="217"/>
      <c r="N3" s="217"/>
      <c r="O3" s="217"/>
      <c r="P3" s="217"/>
      <c r="Q3" s="217"/>
      <c r="R3" s="217"/>
      <c r="S3" s="217"/>
      <c r="T3" s="217"/>
      <c r="U3" s="217"/>
      <c r="V3" s="217"/>
      <c r="W3" s="217"/>
      <c r="X3" s="217"/>
      <c r="Y3" s="217"/>
      <c r="Z3" s="217"/>
      <c r="AB3" s="599" t="str">
        <f>+J8</f>
        <v>LTM</v>
      </c>
      <c r="AC3" s="600" t="e">
        <f ca="1">+SUM('GPC Linked'!Q13:Q42)</f>
        <v>#NAME?</v>
      </c>
      <c r="AD3" s="600">
        <f>+SUM('Capital IQ Sheet-GPC'!Q13:Q42)</f>
        <v>1376.4863799999998</v>
      </c>
      <c r="AE3" s="327" t="e">
        <f ca="1">AC3=AD3</f>
        <v>#NAME?</v>
      </c>
      <c r="AK3" s="534" t="s">
        <v>378</v>
      </c>
      <c r="AL3" s="601" t="s">
        <v>380</v>
      </c>
    </row>
    <row r="4" spans="2:40" ht="16.5" customHeight="1" thickBot="1">
      <c r="B4" s="444" t="s">
        <v>600</v>
      </c>
      <c r="C4" s="444"/>
      <c r="D4" s="444"/>
      <c r="E4" s="444"/>
      <c r="F4" s="444"/>
      <c r="G4" s="444"/>
      <c r="H4" s="444"/>
      <c r="I4" s="444"/>
      <c r="J4" s="444"/>
      <c r="K4" s="444"/>
      <c r="L4" s="444"/>
      <c r="M4" s="445"/>
      <c r="N4" s="445"/>
      <c r="O4" s="445"/>
      <c r="P4" s="445"/>
      <c r="Q4" s="445"/>
      <c r="R4" s="445"/>
      <c r="S4" s="445"/>
      <c r="T4" s="445"/>
      <c r="U4" s="445"/>
      <c r="V4" s="445"/>
      <c r="W4" s="445"/>
      <c r="X4" s="445"/>
      <c r="Y4" s="445"/>
      <c r="Z4" s="445" t="str">
        <f>+'MASTER PubCo Inputs'!$C$24</f>
        <v>(in millions of USD)</v>
      </c>
      <c r="AB4" s="602">
        <f>+N8</f>
        <v>2019</v>
      </c>
      <c r="AC4" s="603" t="e">
        <f ca="1">+SUM('GPC Linked'!T13:T42)</f>
        <v>#NAME?</v>
      </c>
      <c r="AD4" s="603">
        <f>+SUM('Capital IQ Sheet-GPC'!T13:T42)</f>
        <v>442.10577999999998</v>
      </c>
      <c r="AE4" s="440" t="e">
        <f ca="1">AC4=AD4</f>
        <v>#NAME?</v>
      </c>
      <c r="AK4" s="534" t="s">
        <v>379</v>
      </c>
      <c r="AL4" s="601" t="s">
        <v>381</v>
      </c>
    </row>
    <row r="5" spans="2:40" ht="14.85" customHeight="1" thickTop="1">
      <c r="B5" s="577"/>
      <c r="C5" s="577"/>
      <c r="AK5" s="339" t="s">
        <v>89</v>
      </c>
      <c r="AL5" s="604" t="s">
        <v>90</v>
      </c>
    </row>
    <row r="6" spans="2:40" ht="14.25" customHeight="1">
      <c r="H6" s="1614" t="s">
        <v>286</v>
      </c>
      <c r="I6" s="1615"/>
      <c r="J6" s="1616"/>
      <c r="L6" s="605" t="s">
        <v>286</v>
      </c>
      <c r="M6" s="606"/>
      <c r="N6" s="605" t="s">
        <v>286</v>
      </c>
      <c r="O6" s="606"/>
      <c r="P6" s="607"/>
      <c r="R6" s="608" t="s">
        <v>286</v>
      </c>
      <c r="S6" s="609"/>
      <c r="T6" s="610"/>
      <c r="U6" s="347"/>
      <c r="V6" s="608" t="s">
        <v>286</v>
      </c>
      <c r="W6" s="611"/>
      <c r="X6" s="605" t="s">
        <v>286</v>
      </c>
      <c r="Y6" s="606"/>
      <c r="Z6" s="607"/>
      <c r="AB6" s="612" t="s">
        <v>784</v>
      </c>
      <c r="AC6" s="613">
        <v>100</v>
      </c>
      <c r="AD6" s="612" t="s">
        <v>785</v>
      </c>
      <c r="AE6" s="613">
        <v>0</v>
      </c>
    </row>
    <row r="7" spans="2:40" ht="27" customHeight="1">
      <c r="H7" s="614" t="s">
        <v>592</v>
      </c>
      <c r="I7" s="614"/>
      <c r="J7" s="615" t="s">
        <v>591</v>
      </c>
      <c r="K7" s="452"/>
      <c r="L7" s="614" t="s">
        <v>590</v>
      </c>
      <c r="M7" s="449"/>
      <c r="N7" s="1891" t="s">
        <v>590</v>
      </c>
      <c r="O7" s="449"/>
      <c r="P7" s="450"/>
      <c r="R7" s="614" t="s">
        <v>287</v>
      </c>
      <c r="S7" s="449"/>
      <c r="T7" s="615" t="s">
        <v>287</v>
      </c>
      <c r="U7" s="452"/>
      <c r="V7" s="614" t="s">
        <v>287</v>
      </c>
      <c r="W7" s="449"/>
      <c r="X7" s="614" t="s">
        <v>287</v>
      </c>
      <c r="Y7" s="449"/>
      <c r="Z7" s="450"/>
      <c r="AB7" s="587" t="s">
        <v>91</v>
      </c>
      <c r="AC7" s="588"/>
      <c r="AD7" s="588"/>
      <c r="AE7" s="588"/>
      <c r="AF7" s="588"/>
      <c r="AG7" s="616"/>
      <c r="AH7" s="588"/>
      <c r="AI7" s="589"/>
    </row>
    <row r="8" spans="2:40" s="229" customFormat="1" ht="54.95" customHeight="1">
      <c r="B8" s="617" t="s">
        <v>597</v>
      </c>
      <c r="C8" s="546" t="s">
        <v>146</v>
      </c>
      <c r="D8" s="289"/>
      <c r="E8" s="618" t="s">
        <v>2444</v>
      </c>
      <c r="F8" s="619" t="s">
        <v>1912</v>
      </c>
      <c r="G8" s="289"/>
      <c r="H8" s="620" t="s">
        <v>297</v>
      </c>
      <c r="I8" s="621" t="s">
        <v>284</v>
      </c>
      <c r="J8" s="622" t="s">
        <v>285</v>
      </c>
      <c r="K8" s="623"/>
      <c r="L8" s="624">
        <f>M8-1</f>
        <v>2017</v>
      </c>
      <c r="M8" s="625">
        <f>N8-1</f>
        <v>2018</v>
      </c>
      <c r="N8" s="626">
        <f>YEAR($AL$2)</f>
        <v>2019</v>
      </c>
      <c r="O8" s="627">
        <f>N8+1</f>
        <v>2020</v>
      </c>
      <c r="P8" s="628">
        <f>O8+1</f>
        <v>2021</v>
      </c>
      <c r="Q8" s="289"/>
      <c r="R8" s="620" t="str">
        <f>H8</f>
        <v>LTM-2</v>
      </c>
      <c r="S8" s="621" t="str">
        <f>I8</f>
        <v>LTM-1</v>
      </c>
      <c r="T8" s="622" t="str">
        <f>J8</f>
        <v>LTM</v>
      </c>
      <c r="U8" s="623"/>
      <c r="V8" s="626">
        <f>L8</f>
        <v>2017</v>
      </c>
      <c r="W8" s="625">
        <f>M8</f>
        <v>2018</v>
      </c>
      <c r="X8" s="626">
        <f>N8</f>
        <v>2019</v>
      </c>
      <c r="Y8" s="627">
        <f>O8</f>
        <v>2020</v>
      </c>
      <c r="Z8" s="628">
        <f>P8</f>
        <v>2021</v>
      </c>
      <c r="AB8" s="629" t="s">
        <v>94</v>
      </c>
      <c r="AC8" s="630" t="s">
        <v>95</v>
      </c>
      <c r="AD8" s="630" t="s">
        <v>96</v>
      </c>
      <c r="AE8" s="630" t="s">
        <v>97</v>
      </c>
      <c r="AF8" s="630" t="s">
        <v>98</v>
      </c>
      <c r="AG8" s="631" t="s">
        <v>99</v>
      </c>
      <c r="AH8" s="630" t="s">
        <v>100</v>
      </c>
      <c r="AI8" s="632" t="s">
        <v>101</v>
      </c>
      <c r="AK8" s="550" t="s">
        <v>108</v>
      </c>
      <c r="AN8" s="229" t="s">
        <v>2446</v>
      </c>
    </row>
    <row r="9" spans="2:40" ht="14.85" customHeight="1">
      <c r="H9" s="326"/>
      <c r="I9" s="326"/>
      <c r="J9" s="326"/>
      <c r="K9" s="326"/>
      <c r="L9" s="326"/>
      <c r="M9" s="326"/>
      <c r="N9" s="326"/>
      <c r="O9" s="326"/>
      <c r="P9" s="326"/>
      <c r="U9" s="347"/>
    </row>
    <row r="10" spans="2:40" ht="14.85" customHeight="1">
      <c r="B10" s="633" t="s">
        <v>382</v>
      </c>
      <c r="C10" s="354"/>
      <c r="D10" s="354"/>
      <c r="E10" s="354"/>
      <c r="F10" s="354"/>
      <c r="G10" s="354"/>
      <c r="H10" s="354"/>
      <c r="I10" s="354"/>
      <c r="J10" s="354"/>
      <c r="K10" s="354"/>
      <c r="L10" s="354"/>
      <c r="M10" s="354"/>
      <c r="N10" s="354"/>
      <c r="O10" s="354"/>
      <c r="P10" s="354"/>
      <c r="Q10" s="560"/>
      <c r="R10" s="354"/>
      <c r="S10" s="354"/>
      <c r="T10" s="354"/>
      <c r="U10" s="354"/>
      <c r="V10" s="354"/>
      <c r="W10" s="354"/>
      <c r="X10" s="354"/>
      <c r="Y10" s="354"/>
      <c r="Z10" s="354"/>
      <c r="AK10" s="559"/>
    </row>
    <row r="11" spans="2:40" s="560" customFormat="1" ht="14.85" customHeight="1">
      <c r="B11" s="354"/>
      <c r="C11" s="354"/>
      <c r="D11" s="354"/>
      <c r="E11" s="354"/>
      <c r="F11" s="354"/>
      <c r="G11" s="354"/>
      <c r="H11" s="354"/>
      <c r="I11" s="354"/>
      <c r="J11" s="354"/>
      <c r="K11" s="354"/>
      <c r="L11" s="354"/>
      <c r="M11" s="354"/>
      <c r="N11" s="354"/>
      <c r="O11" s="354"/>
      <c r="P11" s="354"/>
      <c r="R11" s="354"/>
      <c r="S11" s="354"/>
      <c r="T11" s="354"/>
      <c r="U11" s="354"/>
      <c r="V11" s="354"/>
      <c r="W11" s="354"/>
      <c r="X11" s="354"/>
      <c r="Y11" s="354"/>
      <c r="Z11" s="354"/>
      <c r="AB11" s="208"/>
      <c r="AC11" s="208"/>
      <c r="AD11" s="208"/>
      <c r="AE11" s="208"/>
      <c r="AF11" s="208"/>
      <c r="AG11" s="297"/>
      <c r="AH11" s="208"/>
      <c r="AI11" s="208"/>
    </row>
    <row r="12" spans="2:40" ht="29.25" customHeight="1">
      <c r="B12" s="805" t="str">
        <f>'Capital IQ Sheet-GPC'!C13</f>
        <v>Nektar Therapeutics</v>
      </c>
      <c r="C12" s="691">
        <f>'Beta Calc'!R10</f>
        <v>6154.5</v>
      </c>
      <c r="D12" s="805"/>
      <c r="E12" s="1888" t="s">
        <v>2632</v>
      </c>
      <c r="F12" s="805" t="s">
        <v>494</v>
      </c>
      <c r="G12" s="805"/>
      <c r="H12" s="691">
        <f>'Capital IQ Sheet-GPC'!O13</f>
        <v>167.4</v>
      </c>
      <c r="I12" s="691">
        <f>'Capital IQ Sheet-GPC'!P13</f>
        <v>249.7</v>
      </c>
      <c r="J12" s="691">
        <f>'Capital IQ Sheet-GPC'!Q13</f>
        <v>1248.963</v>
      </c>
      <c r="K12" s="1889"/>
      <c r="L12" s="691">
        <f>'Capital IQ Sheet-GPC'!R13</f>
        <v>307.7</v>
      </c>
      <c r="M12" s="691" t="str">
        <f>'Capital IQ Sheet-GPC'!S13</f>
        <v xml:space="preserve"> n/a </v>
      </c>
      <c r="N12" s="691">
        <f>'Capital IQ Sheet-GPC'!T13</f>
        <v>329.55178000000001</v>
      </c>
      <c r="O12" s="691">
        <f>'Capital IQ Sheet-GPC'!U13</f>
        <v>245.3</v>
      </c>
      <c r="P12" s="691">
        <f>'Capital IQ Sheet-GPC'!V13</f>
        <v>492.6</v>
      </c>
      <c r="Q12" s="805"/>
      <c r="R12" s="1890">
        <f>IF(ISERROR($C12/H12), "n/a", $C12/H12)</f>
        <v>36.76523297491039</v>
      </c>
      <c r="S12" s="1890">
        <f>IF(ISERROR($C12/I12), "n/a", $C12/I12)</f>
        <v>24.647577092511014</v>
      </c>
      <c r="T12" s="1890">
        <f>IFERROR(IF(($C12/J12)&gt;$AC$6, "NM", IF(($C12/J12)&lt;$AE$6, "NM", $C12/J12)),"n/a")</f>
        <v>4.9276880099730738</v>
      </c>
      <c r="U12" s="805"/>
      <c r="V12" s="1890">
        <f>IFERROR(IF(($C12/L12)&gt;$AC$6, "NM", IF(($C12/L12)&lt;$AE$6, "NM", $C12/L12)),"n/a")</f>
        <v>20.001624959376016</v>
      </c>
      <c r="W12" s="1890" t="str">
        <f>IFERROR(IF(($C12/M12)&gt;$AC$6, "NM", IF(($C12/M12)&lt;$AE$6, "NM", $C12/M12)),"n/a")</f>
        <v>n/a</v>
      </c>
      <c r="X12" s="1890">
        <f>IFERROR(IF(($C12/N12)&gt;$AC$6, "NM", IF(($C12/N12)&lt;$AE$6, "NM", $C12/N12)),"n/a")</f>
        <v>18.675365673946594</v>
      </c>
      <c r="Y12" s="1890">
        <f>IFERROR(IF(($C12/O12)&gt;$AC$6, "NM", IF(($C12/O12)&lt;$AE$6, "NM", $C12/O12)),"n/a")</f>
        <v>25.089686098654706</v>
      </c>
      <c r="Z12" s="1890">
        <f>IFERROR(IF(($C12/P12)&gt;$AC$6, "NM", IF(($C12/P12)&lt;$AE$6, "NM", $C12/P12)),"n/a")</f>
        <v>12.493909866017052</v>
      </c>
      <c r="AB12" s="283">
        <f>'Beta Calc'!K10</f>
        <v>7328.4</v>
      </c>
      <c r="AC12" s="283">
        <f>'Beta Calc'!L10</f>
        <v>246.5</v>
      </c>
      <c r="AD12" s="283" t="str">
        <f>'Beta Calc'!M10</f>
        <v xml:space="preserve"> n/a </v>
      </c>
      <c r="AE12" s="283" t="str">
        <f>'Beta Calc'!N10</f>
        <v xml:space="preserve"> n/a </v>
      </c>
      <c r="AF12" s="283">
        <f>SUM(AC12:AE12)</f>
        <v>246.5</v>
      </c>
      <c r="AG12" s="634">
        <f>SUM(AB12:AE12)</f>
        <v>7574.9</v>
      </c>
      <c r="AH12" s="283">
        <f>'Beta Calc'!Q10</f>
        <v>1420.4</v>
      </c>
      <c r="AI12" s="378">
        <f>IF(ISERROR(AG12-AH12), "n/a", AG12-AH12)</f>
        <v>6154.5</v>
      </c>
      <c r="AK12" s="557" t="str">
        <f>IF('MASTER PubCo Inputs'!C28="","",'MASTER PubCo Inputs'!C28)</f>
        <v>IQ29929</v>
      </c>
      <c r="AL12" s="1576" t="str">
        <f>'Capital IQ Sheet-GPC'!AP13</f>
        <v>Nektar Therapeutics, a research-based biopharmaceutical company, discovers and develops drug candidates for cancer, auto-immune disease, and chronic pain in the United States. The company offers ONZEALD, a topoisomerase I inhibitor that is in Phase III clinical trial for advanced metastatic breast cancer in patients with brain metastases; NKTR-181, an orally-available mu-opioid analgesic molecule, which is in Phase III clinical trial for moderate to severe chronic pain; NKTR-214, a cytokine immunostimulatory therapy that is in Phase I/II to treat cancer; NKTR-358, which is in Phase I to treat autoimmune diseases; and NKTR-262 for solid tumors, as well as NKTR-255 that is under research/preclinical stage for immuno-oncology. It is also developing MOVANTIK for opioid-induced constipation in adult patients with chronic non-cancer pain, and who have an inadequate response to laxatives; ADYNOVATE for hemophilia A; Somavert to treat acromegaly; and Neulasta for treating neutropenia. In addition, the company develops PEG-INTRON for the treatment of hepatitis-C; Macugen for age-related macular degeneration; CIMZIA to treat rheumatoid arthritis, Crohn’s disease, and psoriasis/ankylosing spondylitis; and MIRCERA for anemia related to chronic kidney disease in patients on and not on dialysis. Further, it is developing SEMPRANA to treat migraine; dapirolizumab pegol for systemic lupus erythematosus; PEGPH20 for ancreatic, non-small cell lung cancer, and other tumor types; and longer-acting blood clotting proteins for hemophilia. The company has collaboration agreement with AstraZeneca AB, Shire plc, Pfizer Inc., Amgen Inc., Merck &amp; Co., Inc., Valeant Pharmaceuticals International, Inc., UCB Pharma S.A., F. Hoffmann-La Roche Ltd, Allergan, Inc., Halozyme Therapeutics, Inc., Baxalta Incorporated, Bristol-Myers Squibb Company, and Takeda Pharmaceutical Company Limited. The company was founded in 1990 and is headquartered in San Francisco, California.</v>
      </c>
      <c r="AN12" s="208" t="s">
        <v>2445</v>
      </c>
    </row>
    <row r="13" spans="2:40" ht="14.85" customHeight="1">
      <c r="B13" s="805" t="str">
        <f>'Capital IQ Sheet-GPC'!C14</f>
        <v>Fate Therapeutics, Inc.</v>
      </c>
      <c r="C13" s="691">
        <f>'Beta Calc'!R11</f>
        <v>781.8</v>
      </c>
      <c r="D13" s="805"/>
      <c r="E13" s="1888" t="s">
        <v>2630</v>
      </c>
      <c r="F13" s="805" t="s">
        <v>501</v>
      </c>
      <c r="G13" s="805"/>
      <c r="H13" s="691">
        <f>'Capital IQ Sheet-GPC'!O14</f>
        <v>4.5</v>
      </c>
      <c r="I13" s="691">
        <f>'Capital IQ Sheet-GPC'!P14</f>
        <v>4.0999999999999996</v>
      </c>
      <c r="J13" s="691">
        <f>'Capital IQ Sheet-GPC'!Q14</f>
        <v>4.1059999999999999</v>
      </c>
      <c r="K13" s="1889"/>
      <c r="L13" s="691">
        <f>'Capital IQ Sheet-GPC'!R14</f>
        <v>4.0999999999999996</v>
      </c>
      <c r="M13" s="691" t="str">
        <f>'Capital IQ Sheet-GPC'!S14</f>
        <v xml:space="preserve"> n/a </v>
      </c>
      <c r="N13" s="691">
        <f>'Capital IQ Sheet-GPC'!T14</f>
        <v>2.9464000000000001</v>
      </c>
      <c r="O13" s="691">
        <f>'Capital IQ Sheet-GPC'!U14</f>
        <v>13.4</v>
      </c>
      <c r="P13" s="691">
        <f>'Capital IQ Sheet-GPC'!V14</f>
        <v>208.8</v>
      </c>
      <c r="Q13" s="805"/>
      <c r="R13" s="1890">
        <f t="shared" ref="R13:R24" si="0">IF(ISERROR($C13/H13), "n/a", $C13/H13)</f>
        <v>173.73333333333332</v>
      </c>
      <c r="S13" s="1890">
        <f t="shared" ref="S13:S24" si="1">IF(ISERROR($C13/I13), "n/a", $C13/I13)</f>
        <v>190.6829268292683</v>
      </c>
      <c r="T13" s="1890" t="str">
        <f t="shared" ref="T13:T24" si="2">IFERROR(IF(($C13/J13)&gt;$AC$6, "NM", IF(($C13/J13)&lt;$AE$6, "NM", $C13/J13)),"n/a")</f>
        <v>NM</v>
      </c>
      <c r="U13" s="805"/>
      <c r="V13" s="1890" t="str">
        <f t="shared" ref="V13:V24" si="3">IFERROR(IF(($C13/L13)&gt;$AC$6, "NM", IF(($C13/L13)&lt;$AE$6, "NM", $C13/L13)),"n/a")</f>
        <v>NM</v>
      </c>
      <c r="W13" s="1890" t="str">
        <f t="shared" ref="W13:W24" si="4">IFERROR(IF(($C13/M13)&gt;$AC$6, "NM", IF(($C13/M13)&lt;$AE$6, "NM", $C13/M13)),"n/a")</f>
        <v>n/a</v>
      </c>
      <c r="X13" s="1890" t="str">
        <f t="shared" ref="X13:X24" si="5">IFERROR(IF(($C13/N13)&gt;$AC$6, "NM", IF(($C13/N13)&lt;$AE$6, "NM", $C13/N13)),"n/a")</f>
        <v>NM</v>
      </c>
      <c r="Y13" s="1890">
        <f t="shared" ref="Y13:Y24" si="6">IFERROR(IF(($C13/O13)&gt;$AC$6, "NM", IF(($C13/O13)&lt;$AE$6, "NM", $C13/O13)),"n/a")</f>
        <v>58.343283582089548</v>
      </c>
      <c r="Z13" s="1890">
        <f t="shared" ref="Z13:Z24" si="7">IFERROR(IF(($C13/P13)&gt;$AC$6, "NM", IF(($C13/P13)&lt;$AE$6, "NM", $C13/P13)),"n/a")</f>
        <v>3.7442528735632181</v>
      </c>
      <c r="AB13" s="283">
        <f>'Beta Calc'!K11</f>
        <v>978.1</v>
      </c>
      <c r="AC13" s="283">
        <f>'Beta Calc'!L11</f>
        <v>14.9</v>
      </c>
      <c r="AD13" s="283">
        <f>'Beta Calc'!M11</f>
        <v>0</v>
      </c>
      <c r="AE13" s="283" t="str">
        <f>'Beta Calc'!N11</f>
        <v xml:space="preserve"> n/a </v>
      </c>
      <c r="AF13" s="283">
        <f t="shared" ref="AF13:AF24" si="8">SUM(AC13:AE13)</f>
        <v>14.9</v>
      </c>
      <c r="AG13" s="634">
        <f t="shared" ref="AG13:AG24" si="9">SUM(AB13:AE13)</f>
        <v>993</v>
      </c>
      <c r="AH13" s="283">
        <f>'Beta Calc'!Q11</f>
        <v>211.2</v>
      </c>
      <c r="AI13" s="378">
        <f t="shared" ref="AI13:AI24" si="10">IF(ISERROR(AG13-AH13), "n/a", AG13-AH13)</f>
        <v>781.8</v>
      </c>
      <c r="AK13" s="557" t="str">
        <f>IF('MASTER PubCo Inputs'!C29="","",'MASTER PubCo Inputs'!C29)</f>
        <v>IQ39268712</v>
      </c>
      <c r="AL13" s="1885" t="str">
        <f>'Capital IQ Sheet-GPC'!AP14</f>
        <v>Fate Therapeutics, Inc., a clinical-stage biopharmaceutical company, develops programmed cellular immunotherapies for cancer and immune disorders worldwide. Its immuno-oncology product candidates include FATE-NK100, a natural killer (NK) cell cancer immunotherapy that consists of adaptive memory NK cells; FT500 induced pluripotent stem cells (iPSC)-derived NK cell product candidate for the treatment of advanced solid tumors; FT516 engineered iPSC-derived NK cell product candidate for the treatment of hematologic/solid tumors; and FT819 engineered chimeric antigen receptor 19 iPSC-derived T-cell product candidate for hematologic/solid tumors. The company’s immuno-regulation product candidates comprise ProTmune, an investigational programmed cellular immunotherapy for use as a next-generation allogeneic hematopoietic cell transplantation cell graft; ToleraCyte for the treatment of autoimmune and inflammatory diseases; and FT300 iPSC-derived myeloid derived suppressor cell product candidate for the treatment of autoimmune diseases. Fate Therapeutics, Inc. has a research collaboration and license agreement with Memorial Sloan Kettering Cancer Center to develop off-the-shelf engineered T-cell product candidates; a research collaboration partnership with the University of California San Diego to develop off-the-shelf chimeric antigen receptor-targeted natural killer cell cancer immunotherapies. It also has a strategic research collaboration and license agreement with Juno Therapeutics, Inc. to identify small molecule modulators that enhance the function of T cells; and a collaboration agreement with ONO Pharmaceutical Co., Ltd. for the development and commercialization of two off-the-shelf CAR-T cell product candidates. Fate Therapeutics, Inc. was founded in 2007 and is headquartered in San Diego, California.</v>
      </c>
      <c r="AN13" s="208" t="s">
        <v>2445</v>
      </c>
    </row>
    <row r="14" spans="2:40" ht="14.85" customHeight="1">
      <c r="B14" s="805" t="str">
        <f>'Capital IQ Sheet-GPC'!C15</f>
        <v>Synthorx, Inc.</v>
      </c>
      <c r="C14" s="691">
        <f>'Beta Calc'!R12</f>
        <v>458.79999999999995</v>
      </c>
      <c r="D14" s="805"/>
      <c r="E14" s="1888" t="s">
        <v>2960</v>
      </c>
      <c r="F14" s="805" t="s">
        <v>732</v>
      </c>
      <c r="G14" s="805"/>
      <c r="H14" s="691" t="str">
        <f>'Capital IQ Sheet-GPC'!O15</f>
        <v xml:space="preserve"> n/a </v>
      </c>
      <c r="I14" s="691" t="str">
        <f>'Capital IQ Sheet-GPC'!P15</f>
        <v xml:space="preserve"> n/a </v>
      </c>
      <c r="J14" s="691">
        <f>'Capital IQ Sheet-GPC'!Q15</f>
        <v>0</v>
      </c>
      <c r="K14" s="1889"/>
      <c r="L14" s="691" t="str">
        <f>'Capital IQ Sheet-GPC'!R15</f>
        <v xml:space="preserve"> n/a </v>
      </c>
      <c r="M14" s="691" t="str">
        <f>'Capital IQ Sheet-GPC'!S15</f>
        <v xml:space="preserve"> n/a </v>
      </c>
      <c r="N14" s="691" t="str">
        <f>'Capital IQ Sheet-GPC'!T15</f>
        <v>n/a</v>
      </c>
      <c r="O14" s="691" t="str">
        <f>'Capital IQ Sheet-GPC'!U15</f>
        <v xml:space="preserve"> n/a </v>
      </c>
      <c r="P14" s="691" t="str">
        <f>'Capital IQ Sheet-GPC'!V15</f>
        <v xml:space="preserve"> n/a </v>
      </c>
      <c r="Q14" s="805"/>
      <c r="R14" s="1890" t="str">
        <f t="shared" si="0"/>
        <v>n/a</v>
      </c>
      <c r="S14" s="1890" t="str">
        <f t="shared" si="1"/>
        <v>n/a</v>
      </c>
      <c r="T14" s="1890" t="str">
        <f t="shared" si="2"/>
        <v>n/a</v>
      </c>
      <c r="U14" s="805"/>
      <c r="V14" s="1890" t="str">
        <f t="shared" si="3"/>
        <v>n/a</v>
      </c>
      <c r="W14" s="1890" t="str">
        <f t="shared" si="4"/>
        <v>n/a</v>
      </c>
      <c r="X14" s="1890" t="str">
        <f t="shared" si="5"/>
        <v>n/a</v>
      </c>
      <c r="Y14" s="1890" t="str">
        <f t="shared" si="6"/>
        <v>n/a</v>
      </c>
      <c r="Z14" s="1890" t="str">
        <f t="shared" si="7"/>
        <v>n/a</v>
      </c>
      <c r="AB14" s="283">
        <f>'Beta Calc'!K12</f>
        <v>441.9</v>
      </c>
      <c r="AC14" s="283" t="str">
        <f>'Beta Calc'!L12</f>
        <v xml:space="preserve"> -   </v>
      </c>
      <c r="AD14" s="283">
        <f>'Beta Calc'!M12</f>
        <v>37.5</v>
      </c>
      <c r="AE14" s="283" t="str">
        <f>'Beta Calc'!N12</f>
        <v xml:space="preserve"> n/a </v>
      </c>
      <c r="AF14" s="283">
        <f t="shared" si="8"/>
        <v>37.5</v>
      </c>
      <c r="AG14" s="634">
        <f t="shared" si="9"/>
        <v>479.4</v>
      </c>
      <c r="AH14" s="283">
        <f>'Beta Calc'!Q12</f>
        <v>20.6</v>
      </c>
      <c r="AI14" s="378">
        <f t="shared" si="10"/>
        <v>458.79999999999995</v>
      </c>
      <c r="AK14" s="557" t="str">
        <f>IF('MASTER PubCo Inputs'!C30="","",'MASTER PubCo Inputs'!C30)</f>
        <v>IQ263675832</v>
      </c>
      <c r="AL14" s="1885" t="str">
        <f>'Capital IQ Sheet-GPC'!AP15</f>
        <v>Synthorx, Inc., a biotechnology company, discovers and develops protein therapeutics. The company’s lead product candidate is THOR-707, a variant of IL-2 that is in development in various tumor types as a single agent and in combination with an immune checkpoint inhibitor. The company was founded in 2014 and is headquartered in La Jolla, California.</v>
      </c>
      <c r="AN14" s="208" t="s">
        <v>2445</v>
      </c>
    </row>
    <row r="15" spans="2:40" ht="14.85" customHeight="1">
      <c r="B15" s="805" t="str">
        <f>'Capital IQ Sheet-GPC'!C16</f>
        <v>ZIOPHARM Oncology, Inc.</v>
      </c>
      <c r="C15" s="691">
        <f>'Beta Calc'!R13</f>
        <v>445.00000000000006</v>
      </c>
      <c r="D15" s="805"/>
      <c r="E15" s="1888" t="s">
        <v>2642</v>
      </c>
      <c r="F15" s="805" t="s">
        <v>501</v>
      </c>
      <c r="G15" s="805"/>
      <c r="H15" s="691">
        <f>'Capital IQ Sheet-GPC'!O16</f>
        <v>7.2</v>
      </c>
      <c r="I15" s="691">
        <f>'Capital IQ Sheet-GPC'!P16</f>
        <v>6.4</v>
      </c>
      <c r="J15" s="691">
        <f>'Capital IQ Sheet-GPC'!Q16</f>
        <v>1.7430000000000001</v>
      </c>
      <c r="K15" s="1889"/>
      <c r="L15" s="691">
        <f>'Capital IQ Sheet-GPC'!R16</f>
        <v>6.4</v>
      </c>
      <c r="M15" s="691" t="str">
        <f>'Capital IQ Sheet-GPC'!S16</f>
        <v xml:space="preserve"> n/a </v>
      </c>
      <c r="N15" s="691">
        <f>'Capital IQ Sheet-GPC'!T16</f>
        <v>5.7240000000000002</v>
      </c>
      <c r="O15" s="691">
        <f>'Capital IQ Sheet-GPC'!U16</f>
        <v>6.4</v>
      </c>
      <c r="P15" s="691">
        <f>'Capital IQ Sheet-GPC'!V16</f>
        <v>6.4</v>
      </c>
      <c r="Q15" s="805"/>
      <c r="R15" s="1890">
        <f t="shared" si="0"/>
        <v>61.805555555555564</v>
      </c>
      <c r="S15" s="1890">
        <f t="shared" si="1"/>
        <v>69.53125</v>
      </c>
      <c r="T15" s="1890" t="str">
        <f t="shared" si="2"/>
        <v>NM</v>
      </c>
      <c r="U15" s="805"/>
      <c r="V15" s="1890">
        <f t="shared" si="3"/>
        <v>69.53125</v>
      </c>
      <c r="W15" s="1890" t="str">
        <f t="shared" si="4"/>
        <v>n/a</v>
      </c>
      <c r="X15" s="1890">
        <f t="shared" si="5"/>
        <v>77.742837176799455</v>
      </c>
      <c r="Y15" s="1890">
        <f t="shared" si="6"/>
        <v>69.53125</v>
      </c>
      <c r="Z15" s="1890">
        <f t="shared" si="7"/>
        <v>69.53125</v>
      </c>
      <c r="AB15" s="283">
        <f>'Beta Calc'!K13</f>
        <v>316.3</v>
      </c>
      <c r="AC15" s="283" t="str">
        <f>'Beta Calc'!L13</f>
        <v xml:space="preserve"> -   </v>
      </c>
      <c r="AD15" s="283">
        <f>'Beta Calc'!M13</f>
        <v>160.4</v>
      </c>
      <c r="AE15" s="283" t="str">
        <f>'Beta Calc'!N13</f>
        <v xml:space="preserve"> n/a </v>
      </c>
      <c r="AF15" s="283">
        <f t="shared" si="8"/>
        <v>160.4</v>
      </c>
      <c r="AG15" s="634">
        <f t="shared" si="9"/>
        <v>476.70000000000005</v>
      </c>
      <c r="AH15" s="283">
        <f>'Beta Calc'!Q13</f>
        <v>31.7</v>
      </c>
      <c r="AI15" s="378">
        <f t="shared" si="10"/>
        <v>445.00000000000006</v>
      </c>
      <c r="AK15" s="557" t="str">
        <f>IF('MASTER PubCo Inputs'!C31="","",'MASTER PubCo Inputs'!C31)</f>
        <v>IQ11686323</v>
      </c>
      <c r="AL15" s="1885" t="str">
        <f>'Capital IQ Sheet-GPC'!AP16</f>
        <v>ZIOPHARM Oncology, Inc., a biotechnology company, focuses on acquiring, developing, and commercializing a portfolio of immuno-oncology therapies for treating heterogenous solid tumors and unknown antigens. The company develops two immuno-oncology platform technologies, including Controlled IL-12, which delivers interleukin 12 or IL-12, a master regular of the immune system, in a controlled and safe manner to focus the patient’s immune system to cancer; and Sleeping Beauty (SB), which is based on the genetic engineering of T-cells using the (SB) system to rapidly reprogram T-cells outside of the body for infusion. Its lead gene therapy product candidate is Ad-RTS-hIL-12 plus veledimex, which is in Phase I clinical trial, a gene therapy product candidate to treat patients with recurrent glioblastoma. The company is also developing chimeric antigen receptor (CAR) T-cell and T-cell receptor T-cell therapies. ZIOPHARM Oncology, Inc. has collaboration agreements with Precigen, Inc., MD Anderson Cancer Center, the National Cancer Institute, and Ares Trading S.A. The company is headquartered in Boston, Massachusetts.</v>
      </c>
      <c r="AN15" s="208" t="s">
        <v>2445</v>
      </c>
    </row>
    <row r="16" spans="2:40" ht="14.85" customHeight="1">
      <c r="B16" s="805" t="str">
        <f>'Capital IQ Sheet-GPC'!C17</f>
        <v>Stemline Therapeutics, Inc.</v>
      </c>
      <c r="C16" s="691">
        <f>'Beta Calc'!R14</f>
        <v>355.6</v>
      </c>
      <c r="D16" s="805"/>
      <c r="E16" s="1888" t="s">
        <v>2633</v>
      </c>
      <c r="F16" s="805" t="s">
        <v>989</v>
      </c>
      <c r="G16" s="805"/>
      <c r="H16" s="691">
        <f>'Capital IQ Sheet-GPC'!O17</f>
        <v>0.9</v>
      </c>
      <c r="I16" s="691">
        <f>'Capital IQ Sheet-GPC'!P17</f>
        <v>1.2</v>
      </c>
      <c r="J16" s="691">
        <f>'Capital IQ Sheet-GPC'!Q17</f>
        <v>0.5</v>
      </c>
      <c r="K16" s="1889"/>
      <c r="L16" s="691">
        <f>'Capital IQ Sheet-GPC'!R17</f>
        <v>0.9</v>
      </c>
      <c r="M16" s="691" t="str">
        <f>'Capital IQ Sheet-GPC'!S17</f>
        <v xml:space="preserve"> n/a </v>
      </c>
      <c r="N16" s="691">
        <f>'Capital IQ Sheet-GPC'!T17</f>
        <v>29.422440000000002</v>
      </c>
      <c r="O16" s="691">
        <f>'Capital IQ Sheet-GPC'!U17</f>
        <v>156.80000000000001</v>
      </c>
      <c r="P16" s="691">
        <f>'Capital IQ Sheet-GPC'!V17</f>
        <v>230.4</v>
      </c>
      <c r="Q16" s="805"/>
      <c r="R16" s="1890">
        <f t="shared" si="0"/>
        <v>395.11111111111114</v>
      </c>
      <c r="S16" s="1890">
        <f t="shared" si="1"/>
        <v>296.33333333333337</v>
      </c>
      <c r="T16" s="1890" t="str">
        <f t="shared" si="2"/>
        <v>NM</v>
      </c>
      <c r="U16" s="805"/>
      <c r="V16" s="1890" t="str">
        <f t="shared" si="3"/>
        <v>NM</v>
      </c>
      <c r="W16" s="1890" t="str">
        <f t="shared" si="4"/>
        <v>n/a</v>
      </c>
      <c r="X16" s="1890">
        <f t="shared" si="5"/>
        <v>12.086013260626922</v>
      </c>
      <c r="Y16" s="1890">
        <f t="shared" si="6"/>
        <v>2.2678571428571428</v>
      </c>
      <c r="Z16" s="1890">
        <f t="shared" si="7"/>
        <v>1.5434027777777779</v>
      </c>
      <c r="AB16" s="283">
        <f>'Beta Calc'!K14</f>
        <v>434.2</v>
      </c>
      <c r="AC16" s="283" t="str">
        <f>'Beta Calc'!L14</f>
        <v xml:space="preserve"> -   </v>
      </c>
      <c r="AD16" s="283" t="str">
        <f>'Beta Calc'!M14</f>
        <v xml:space="preserve"> n/a </v>
      </c>
      <c r="AE16" s="283" t="str">
        <f>'Beta Calc'!N14</f>
        <v xml:space="preserve"> n/a </v>
      </c>
      <c r="AF16" s="283">
        <f t="shared" si="8"/>
        <v>0</v>
      </c>
      <c r="AG16" s="634">
        <f t="shared" si="9"/>
        <v>434.2</v>
      </c>
      <c r="AH16" s="283">
        <f>'Beta Calc'!Q14</f>
        <v>78.599999999999994</v>
      </c>
      <c r="AI16" s="378">
        <f t="shared" si="10"/>
        <v>355.6</v>
      </c>
      <c r="AK16" s="557" t="str">
        <f>IF('MASTER PubCo Inputs'!C32="","",'MASTER PubCo Inputs'!C32)</f>
        <v>IQ10332207</v>
      </c>
      <c r="AL16" s="1885" t="str">
        <f>'Capital IQ Sheet-GPC'!AP17</f>
        <v>Stemline Therapeutics, Inc., a clinical stage biopharmaceutical company, focuses on the discovery, acquisition, development, and commercialization of proprietary oncology therapeutics in the United States and internationally. The company develops SL-401, a targeted therapy directed to the interleukin-3 receptor (IL-3R), which has completed Phase II clinical trial for patients with blastic plasmacytoid dendritic cell neoplasm; is in Phase I/II clinical trials for patients with myeloproliferative neoplasms, chronic myelomonocytic leukemia, myelofibrosis, and acute myeloid leukemia; and is in Phase I clinical trial in combination with other agents for patients with relapsed/refractory multiple myeloma. It also develops SL-801, a novel oral small molecule reversible inhibitor of nuclear transport protein, which is in Phase I clinical trial for the treatment of solid and hematologic cancers; and SL-701, an immunotherapy that has completed Phase II clinical trial to attack brain cancer. The company's preclinical pipeline products include SL-501, a next generation IL-3R-targeted therapy; SL-101, a single chain monoclonal antibody fragment for the treatment of hematologic cancers; and SL-901, a small molecule kinase inhibitor. Stemline Therapeutics, Inc. was founded in 2003 and is based in New York, New York.</v>
      </c>
      <c r="AN16" s="208" t="s">
        <v>2445</v>
      </c>
    </row>
    <row r="17" spans="2:40" ht="27.75" customHeight="1">
      <c r="B17" s="805" t="str">
        <f>'Capital IQ Sheet-GPC'!C18</f>
        <v>TG Therapeutics, Inc.</v>
      </c>
      <c r="C17" s="691">
        <f>'Beta Calc'!R15</f>
        <v>217.40000000000003</v>
      </c>
      <c r="D17" s="805"/>
      <c r="E17" s="1888" t="s">
        <v>2637</v>
      </c>
      <c r="F17" s="805" t="s">
        <v>732</v>
      </c>
      <c r="G17" s="805"/>
      <c r="H17" s="691">
        <f>'Capital IQ Sheet-GPC'!O18</f>
        <v>0.2</v>
      </c>
      <c r="I17" s="691">
        <f>'Capital IQ Sheet-GPC'!P18</f>
        <v>0.2</v>
      </c>
      <c r="J17" s="691">
        <f>'Capital IQ Sheet-GPC'!Q18</f>
        <v>0.15237999999999999</v>
      </c>
      <c r="K17" s="1889"/>
      <c r="L17" s="691">
        <f>'Capital IQ Sheet-GPC'!R18</f>
        <v>0.2</v>
      </c>
      <c r="M17" s="691" t="str">
        <f>'Capital IQ Sheet-GPC'!S18</f>
        <v xml:space="preserve"> n/a </v>
      </c>
      <c r="N17" s="691">
        <f>'Capital IQ Sheet-GPC'!T18</f>
        <v>0.1636</v>
      </c>
      <c r="O17" s="691">
        <f>'Capital IQ Sheet-GPC'!U18</f>
        <v>17.600000000000001</v>
      </c>
      <c r="P17" s="691">
        <f>'Capital IQ Sheet-GPC'!V18</f>
        <v>106</v>
      </c>
      <c r="Q17" s="805"/>
      <c r="R17" s="1890">
        <f t="shared" si="0"/>
        <v>1087</v>
      </c>
      <c r="S17" s="1890">
        <f t="shared" si="1"/>
        <v>1087</v>
      </c>
      <c r="T17" s="1890" t="str">
        <f t="shared" si="2"/>
        <v>NM</v>
      </c>
      <c r="U17" s="805"/>
      <c r="V17" s="1890" t="str">
        <f t="shared" si="3"/>
        <v>NM</v>
      </c>
      <c r="W17" s="1890" t="str">
        <f t="shared" si="4"/>
        <v>n/a</v>
      </c>
      <c r="X17" s="1890" t="str">
        <f t="shared" si="5"/>
        <v>NM</v>
      </c>
      <c r="Y17" s="1890">
        <f t="shared" si="6"/>
        <v>12.352272727272728</v>
      </c>
      <c r="Z17" s="1890">
        <f t="shared" si="7"/>
        <v>2.0509433962264154</v>
      </c>
      <c r="AB17" s="283">
        <f>'Beta Calc'!K15</f>
        <v>315</v>
      </c>
      <c r="AC17" s="283">
        <f>'Beta Calc'!L15</f>
        <v>0.1</v>
      </c>
      <c r="AD17" s="283" t="str">
        <f>'Beta Calc'!M15</f>
        <v xml:space="preserve"> n/a </v>
      </c>
      <c r="AE17" s="283" t="str">
        <f>'Beta Calc'!N15</f>
        <v xml:space="preserve"> n/a </v>
      </c>
      <c r="AF17" s="283">
        <f t="shared" si="8"/>
        <v>0.1</v>
      </c>
      <c r="AG17" s="634">
        <f t="shared" si="9"/>
        <v>315.10000000000002</v>
      </c>
      <c r="AH17" s="283">
        <f>'Beta Calc'!Q15</f>
        <v>97.7</v>
      </c>
      <c r="AI17" s="378">
        <f t="shared" si="10"/>
        <v>217.40000000000003</v>
      </c>
      <c r="AK17" s="557" t="str">
        <f>IF('MASTER PubCo Inputs'!C33="","",'MASTER PubCo Inputs'!C33)</f>
        <v>IQ143627354</v>
      </c>
      <c r="AL17" s="1885" t="str">
        <f>'Capital IQ Sheet-GPC'!AP18</f>
        <v>TG Therapeutics, Inc., a biopharmaceutical company, focuses on the acquisition, development, and commercialization of novel treatments for B-cell malignancies and autoimmune diseases in the United States. It develops TG-1101 (ublituximab), a chimeric, glycoengineered monoclonal antibody that targets an epitope on the CD20 antigen found on the surface of B-lymphocytes developed to aid in the depletion of circulating B-cells; and TG-1101 in combination with TGR-1202 for relapsed/refractory chronic lymphocytic leukemia. The company also develops TGR-1202, an orally available phosphoinositide-3-kinase delta inhibitor with nanomolar potency to the delta isoform and high selectivity over the alpha, beta, and gamma isoforms, as well as for hematologic malignancies. In addition, it develops a pre-clinical program to develop interleukin-1 receptor-associated kinase 4 (IRAK4) inhibitors; bromodomain and extra terminal (BET) inhibitor program for cancer treatment; and anti-PD-L1 and anti-GITR antibody research programs that are in pre-clinical development stage in the field of hematological malignancies. The company has license agreements with LFB Biotechnologies S.A.S, GTC Biotherapeutics, LFB/GTC LLC, and Ildong Pharmaceutical Co. Ltd. for the development and commercialization of TG-1101 (ublituximab); Rhizen Pharmaceuticals, SA for the development and commercialization of TGR-1202; Ligand Pharmaceuticals Incorporated for the development and commercialization of IRAK4 inhibitor technology; Checkpoint Therapeutics, Inc. for the development and commercialization of anti-PD-L1 and anti-GITR antibody research programs; and Jubilant Biosys for the development and commercialization of BET inhibitor program. TG Therapeutics, Inc. was incorporated in 1993 and is headquartered in New York, New York.</v>
      </c>
      <c r="AN17" s="208" t="s">
        <v>2445</v>
      </c>
    </row>
    <row r="18" spans="2:40" ht="14.85" customHeight="1">
      <c r="B18" s="805" t="str">
        <f>'Capital IQ Sheet-GPC'!C19</f>
        <v>XOMA Corporation</v>
      </c>
      <c r="C18" s="691">
        <f>'Beta Calc'!R16</f>
        <v>98.4</v>
      </c>
      <c r="D18" s="805"/>
      <c r="E18" s="1888" t="s">
        <v>2635</v>
      </c>
      <c r="F18" s="805" t="s">
        <v>732</v>
      </c>
      <c r="G18" s="805"/>
      <c r="H18" s="691">
        <f>'Capital IQ Sheet-GPC'!O19</f>
        <v>53.2</v>
      </c>
      <c r="I18" s="691">
        <f>'Capital IQ Sheet-GPC'!P19</f>
        <v>47.9</v>
      </c>
      <c r="J18" s="691">
        <f>'Capital IQ Sheet-GPC'!Q19</f>
        <v>8.9710000000000001</v>
      </c>
      <c r="K18" s="1889"/>
      <c r="L18" s="691">
        <f>'Capital IQ Sheet-GPC'!R19</f>
        <v>52.7</v>
      </c>
      <c r="M18" s="691" t="str">
        <f>'Capital IQ Sheet-GPC'!S19</f>
        <v xml:space="preserve"> n/a </v>
      </c>
      <c r="N18" s="691">
        <f>'Capital IQ Sheet-GPC'!T19</f>
        <v>9.5020000000000007</v>
      </c>
      <c r="O18" s="691">
        <f>'Capital IQ Sheet-GPC'!U19</f>
        <v>11.6</v>
      </c>
      <c r="P18" s="691">
        <f>'Capital IQ Sheet-GPC'!V19</f>
        <v>23.5</v>
      </c>
      <c r="Q18" s="805"/>
      <c r="R18" s="1890">
        <f t="shared" si="0"/>
        <v>1.8496240601503759</v>
      </c>
      <c r="S18" s="1890">
        <f t="shared" si="1"/>
        <v>2.0542797494780793</v>
      </c>
      <c r="T18" s="1890">
        <f t="shared" si="2"/>
        <v>10.96867684762011</v>
      </c>
      <c r="U18" s="805"/>
      <c r="V18" s="1890">
        <f t="shared" si="3"/>
        <v>1.8671726755218216</v>
      </c>
      <c r="W18" s="1890" t="str">
        <f t="shared" si="4"/>
        <v>n/a</v>
      </c>
      <c r="X18" s="1890">
        <f t="shared" si="5"/>
        <v>10.355714586402863</v>
      </c>
      <c r="Y18" s="1890">
        <f t="shared" si="6"/>
        <v>8.4827586206896566</v>
      </c>
      <c r="Z18" s="1890">
        <f t="shared" si="7"/>
        <v>4.1872340425531913</v>
      </c>
      <c r="AB18" s="283">
        <f>'Beta Calc'!K16</f>
        <v>104.8</v>
      </c>
      <c r="AC18" s="283">
        <f>'Beta Calc'!L16</f>
        <v>22</v>
      </c>
      <c r="AD18" s="283" t="str">
        <f>'Beta Calc'!M16</f>
        <v xml:space="preserve"> n/a </v>
      </c>
      <c r="AE18" s="283" t="str">
        <f>'Beta Calc'!N16</f>
        <v xml:space="preserve"> n/a </v>
      </c>
      <c r="AF18" s="283">
        <f t="shared" si="8"/>
        <v>22</v>
      </c>
      <c r="AG18" s="634">
        <f t="shared" si="9"/>
        <v>126.8</v>
      </c>
      <c r="AH18" s="283">
        <f>'Beta Calc'!Q16</f>
        <v>28.4</v>
      </c>
      <c r="AI18" s="378">
        <f t="shared" si="10"/>
        <v>98.4</v>
      </c>
      <c r="AK18" s="557" t="str">
        <f>IF('MASTER PubCo Inputs'!C34="","",'MASTER PubCo Inputs'!C34)</f>
        <v>IQ36769</v>
      </c>
      <c r="AL18" s="1885" t="str">
        <f>'Capital IQ Sheet-GPC'!AP19</f>
        <v>XOMA Corporation engages in the discovery, development, and licensing of therapeutic antibodies in the United States, Europe, and the Asia Pacific. The company has a portfolio of monoclonal antibodies and technologies to license to pharmaceutical and biotechnology companies to further their clinical development. Its proprietary product candidates include X213, an allosteric inhibitor of prolactin action; XMetA, an insulin receptor-activating antibody designed to provide long-acting reduction of hyperglycemia in Type 2 diabetic patients; and other preclinical product candidates, such as interleukin 2, a therapy for metastatic melanoma and renal cell carcinoma, as well as anti-parathyroid receptor to address unmet medical needs. The company also licenses antibody discovery, optimization, and development technologies. It has research and development collaboration and licensing agreements with Novartis AG; Takeda Pharmaceutical Company Limited; and Pfizer Inc. XOMA Corporation was founded in 1981 and is headquartered in Emeryville, California.</v>
      </c>
      <c r="AN18" s="208" t="s">
        <v>2445</v>
      </c>
    </row>
    <row r="19" spans="2:40" ht="27.75" customHeight="1">
      <c r="B19" s="805" t="str">
        <f>'Capital IQ Sheet-GPC'!C20</f>
        <v>Five Prime Therapeutics, Inc.</v>
      </c>
      <c r="C19" s="691">
        <f>'Beta Calc'!R17</f>
        <v>77.399999999999977</v>
      </c>
      <c r="D19" s="805"/>
      <c r="E19" s="1888" t="s">
        <v>2638</v>
      </c>
      <c r="F19" s="805" t="s">
        <v>494</v>
      </c>
      <c r="G19" s="805"/>
      <c r="H19" s="691">
        <f>'Capital IQ Sheet-GPC'!O20</f>
        <v>385.8</v>
      </c>
      <c r="I19" s="691">
        <f>'Capital IQ Sheet-GPC'!P20</f>
        <v>34.6</v>
      </c>
      <c r="J19" s="691">
        <f>'Capital IQ Sheet-GPC'!Q20</f>
        <v>59.055</v>
      </c>
      <c r="K19" s="1889"/>
      <c r="L19" s="691">
        <f>'Capital IQ Sheet-GPC'!R20</f>
        <v>39.5</v>
      </c>
      <c r="M19" s="691" t="str">
        <f>'Capital IQ Sheet-GPC'!S20</f>
        <v xml:space="preserve"> n/a </v>
      </c>
      <c r="N19" s="691">
        <f>'Capital IQ Sheet-GPC'!T20</f>
        <v>54.212890000000002</v>
      </c>
      <c r="O19" s="691">
        <f>'Capital IQ Sheet-GPC'!U20</f>
        <v>58.2</v>
      </c>
      <c r="P19" s="691">
        <f>'Capital IQ Sheet-GPC'!V20</f>
        <v>101.4</v>
      </c>
      <c r="Q19" s="805"/>
      <c r="R19" s="1890">
        <f t="shared" si="0"/>
        <v>0.20062208398133741</v>
      </c>
      <c r="S19" s="1890">
        <f t="shared" si="1"/>
        <v>2.2369942196531785</v>
      </c>
      <c r="T19" s="1890">
        <f t="shared" si="2"/>
        <v>1.3106426212852422</v>
      </c>
      <c r="U19" s="805"/>
      <c r="V19" s="1890">
        <f t="shared" si="3"/>
        <v>1.9594936708860753</v>
      </c>
      <c r="W19" s="1890" t="str">
        <f t="shared" si="4"/>
        <v>n/a</v>
      </c>
      <c r="X19" s="1890">
        <f t="shared" si="5"/>
        <v>1.4277047395923732</v>
      </c>
      <c r="Y19" s="1890">
        <f t="shared" si="6"/>
        <v>1.3298969072164943</v>
      </c>
      <c r="Z19" s="1890">
        <f t="shared" si="7"/>
        <v>0.7633136094674553</v>
      </c>
      <c r="AB19" s="283">
        <f>'Beta Calc'!K17</f>
        <v>399</v>
      </c>
      <c r="AC19" s="283" t="str">
        <f>'Beta Calc'!L17</f>
        <v xml:space="preserve"> -   </v>
      </c>
      <c r="AD19" s="283" t="str">
        <f>'Beta Calc'!M17</f>
        <v xml:space="preserve"> n/a </v>
      </c>
      <c r="AE19" s="283" t="str">
        <f>'Beta Calc'!N17</f>
        <v xml:space="preserve"> n/a </v>
      </c>
      <c r="AF19" s="283">
        <f t="shared" si="8"/>
        <v>0</v>
      </c>
      <c r="AG19" s="634">
        <f t="shared" si="9"/>
        <v>399</v>
      </c>
      <c r="AH19" s="283">
        <f>'Beta Calc'!Q17</f>
        <v>321.60000000000002</v>
      </c>
      <c r="AI19" s="378">
        <f t="shared" si="10"/>
        <v>77.399999999999977</v>
      </c>
      <c r="AK19" s="557" t="str">
        <f>IF('MASTER PubCo Inputs'!C35="","",'MASTER PubCo Inputs'!C35)</f>
        <v>IQ3366199</v>
      </c>
      <c r="AL19" s="1885" t="str">
        <f>'Capital IQ Sheet-GPC'!AP20</f>
        <v>Five Prime Therapeutics, Inc., a clinical-stage biotechnology company, focuses on the discovery and development of immuno-oncology protein therapeutics. The company’s product candidates include Cabiralizumab, an antibody that inhibits colony stimulating factor-1 receptor that is in Phase Ia/Ib clinical trials for the treatment of various cancers in combination with nivolumab; and is in Phase I/II clinical trials for the treatment of pigmented villonodular synovitis tumor. Its product candidates also comprise Bemarituzumab, an antibody that inhibits fibroblast growth factor receptor IIb, which is in Phase I clinical trials to treat patients with gastric or gastroesophageal junction and bladder cancer; and FPA150, a CD8 T cell checkpoint inhibitor antibody that targets B7-H4 as a monotherapy in various cancers. The company’s FP-1039 is in Phase Ib clinical trials to treat patients with malignant pleural mesothelioma. Its preclinical product candidates include FPA150, a CD8 T cell checkpoint inhibitor antibody; FPA154, a tetravalent agonistic antibody that activates glucocorticoid-induced tumor necrosis factor receptor; and FPT155, a CD80-Fc fusion protein, which modulates signaling pathways. The company has license and collaboration agreements with Bristol-Myers Squibb Company, GlaxoSmithKline LLC, INBRX 110 LP, UCB Pharma S.A., and Zai Lab (Shanghai) Co., Ltd.; collaboration agreement with Roche; and license agreements with bluebird bio, Inc., Galaxy Biotech, LLC, BioWa, Inc. and Lonza Sales AG. Five Prime Therapeutics, Inc. was founded in 2001 and is headquartered in South San Francisco, California.</v>
      </c>
      <c r="AN19" s="208" t="s">
        <v>2445</v>
      </c>
    </row>
    <row r="20" spans="2:40" ht="14.85" customHeight="1">
      <c r="B20" s="805" t="str">
        <f>'Capital IQ Sheet-GPC'!C21</f>
        <v>Cue Biopharma, Inc.</v>
      </c>
      <c r="C20" s="691">
        <f>'Beta Calc'!R18</f>
        <v>66.599999999999994</v>
      </c>
      <c r="D20" s="805"/>
      <c r="E20" s="1888" t="s">
        <v>2629</v>
      </c>
      <c r="F20" s="805" t="s">
        <v>732</v>
      </c>
      <c r="G20" s="805"/>
      <c r="H20" s="691" t="str">
        <f>'Capital IQ Sheet-GPC'!O21</f>
        <v xml:space="preserve"> n/a </v>
      </c>
      <c r="I20" s="691" t="str">
        <f>'Capital IQ Sheet-GPC'!P21</f>
        <v xml:space="preserve"> n/a </v>
      </c>
      <c r="J20" s="691">
        <f>'Capital IQ Sheet-GPC'!Q21</f>
        <v>0.81200000000000006</v>
      </c>
      <c r="K20" s="1889"/>
      <c r="L20" s="691" t="str">
        <f>'Capital IQ Sheet-GPC'!R21</f>
        <v xml:space="preserve"> n/a </v>
      </c>
      <c r="M20" s="691" t="str">
        <f>'Capital IQ Sheet-GPC'!S21</f>
        <v xml:space="preserve"> n/a </v>
      </c>
      <c r="N20" s="691">
        <f>'Capital IQ Sheet-GPC'!T21</f>
        <v>0.9</v>
      </c>
      <c r="O20" s="691">
        <f>'Capital IQ Sheet-GPC'!U21</f>
        <v>0.1</v>
      </c>
      <c r="P20" s="691" t="str">
        <f>'Capital IQ Sheet-GPC'!V21</f>
        <v xml:space="preserve"> n/a </v>
      </c>
      <c r="Q20" s="805"/>
      <c r="R20" s="1890" t="str">
        <f t="shared" si="0"/>
        <v>n/a</v>
      </c>
      <c r="S20" s="1890" t="str">
        <f t="shared" si="1"/>
        <v>n/a</v>
      </c>
      <c r="T20" s="1890">
        <f t="shared" si="2"/>
        <v>82.019704433497523</v>
      </c>
      <c r="U20" s="805"/>
      <c r="V20" s="1890" t="str">
        <f t="shared" si="3"/>
        <v>n/a</v>
      </c>
      <c r="W20" s="1890" t="str">
        <f t="shared" si="4"/>
        <v>n/a</v>
      </c>
      <c r="X20" s="1890">
        <f t="shared" si="5"/>
        <v>73.999999999999986</v>
      </c>
      <c r="Y20" s="1890" t="str">
        <f t="shared" si="6"/>
        <v>NM</v>
      </c>
      <c r="Z20" s="1890" t="str">
        <f t="shared" si="7"/>
        <v>n/a</v>
      </c>
      <c r="AB20" s="283">
        <f>'Beta Calc'!K18</f>
        <v>105.8</v>
      </c>
      <c r="AC20" s="283" t="str">
        <f>'Beta Calc'!L18</f>
        <v xml:space="preserve"> -   </v>
      </c>
      <c r="AD20" s="283" t="str">
        <f>'Beta Calc'!M18</f>
        <v xml:space="preserve"> n/a </v>
      </c>
      <c r="AE20" s="283" t="str">
        <f>'Beta Calc'!N18</f>
        <v xml:space="preserve"> n/a </v>
      </c>
      <c r="AF20" s="283">
        <f t="shared" si="8"/>
        <v>0</v>
      </c>
      <c r="AG20" s="634">
        <f t="shared" si="9"/>
        <v>105.8</v>
      </c>
      <c r="AH20" s="283">
        <f>'Beta Calc'!Q18</f>
        <v>39.200000000000003</v>
      </c>
      <c r="AI20" s="378">
        <f t="shared" si="10"/>
        <v>66.599999999999994</v>
      </c>
      <c r="AK20" s="557" t="str">
        <f>IF('MASTER PubCo Inputs'!C36="","",'MASTER PubCo Inputs'!C36)</f>
        <v>IQ417883814</v>
      </c>
      <c r="AL20" s="1885" t="str">
        <f>'Capital IQ Sheet-GPC'!AP21</f>
        <v>Cue Biopharma, Inc., a biopharmaceutical company, develops biologic drugs for the selective modulation of the human immune system to treat a range of cancers and autoimmune disorders. The company’s lead drug candidate includes CUE-101, a variant form of the cytokine Interleukin-2 and a T cell antigen to target and activate T cells specific to human papilloma virus related cancers. Its biologics drug candidates also comprise CUE-100 series to improve various tumor specific T cells; and CUE-200 series to reinvigorate exhausted T cells. The company also offers MOD costimulatory optimization and discovery platform and viraTope T cell epitope discovery platform to develop novel biologics for addressing new indications in oncology and autoimmune disorders. Cue Biopharma, Inc. has collaboration agreements with Merck &amp; Co. for the research and development of its proprietary biologics that target autoimmune disease indications; and Albert Einstein College of Medicine to develop Immuno-STAT biologics for chronic infectious diseases. It also has a strategic collaboration with LG Chem Life Sciences for Immuno- STATs biologics in oncology. The company was formerly known as Imagen Biopharma, Inc. and changed its name to Cue Biopharma, Inc. in October 2016. Cue Biopharma, Inc. was incorporated in 2014 and is based in Cambridge, Massachusetts.</v>
      </c>
      <c r="AN20" s="208" t="s">
        <v>2445</v>
      </c>
    </row>
    <row r="21" spans="2:40" ht="28.5" customHeight="1">
      <c r="B21" s="805" t="str">
        <f>'Capital IQ Sheet-GPC'!C22</f>
        <v>OncoSec Medical Incorporated</v>
      </c>
      <c r="C21" s="691">
        <f>'Beta Calc'!R19</f>
        <v>28.299999999999997</v>
      </c>
      <c r="D21" s="805"/>
      <c r="E21" s="1888" t="s">
        <v>2639</v>
      </c>
      <c r="F21" s="805" t="s">
        <v>494</v>
      </c>
      <c r="G21" s="805"/>
      <c r="H21" s="691" t="str">
        <f>'Capital IQ Sheet-GPC'!O22</f>
        <v xml:space="preserve"> n/a </v>
      </c>
      <c r="I21" s="691" t="str">
        <f>'Capital IQ Sheet-GPC'!P22</f>
        <v xml:space="preserve"> n/a </v>
      </c>
      <c r="J21" s="691">
        <f>'Capital IQ Sheet-GPC'!Q22</f>
        <v>0</v>
      </c>
      <c r="K21" s="1889"/>
      <c r="L21" s="691" t="str">
        <f>'Capital IQ Sheet-GPC'!R22</f>
        <v xml:space="preserve"> n/a </v>
      </c>
      <c r="M21" s="691" t="str">
        <f>'Capital IQ Sheet-GPC'!S22</f>
        <v xml:space="preserve"> n/a </v>
      </c>
      <c r="N21" s="691" t="str">
        <f>'Capital IQ Sheet-GPC'!T22</f>
        <v>n/a</v>
      </c>
      <c r="O21" s="691">
        <f>'Capital IQ Sheet-GPC'!U22</f>
        <v>22.8</v>
      </c>
      <c r="P21" s="691">
        <f>'Capital IQ Sheet-GPC'!V22</f>
        <v>69</v>
      </c>
      <c r="Q21" s="805"/>
      <c r="R21" s="1890" t="str">
        <f t="shared" si="0"/>
        <v>n/a</v>
      </c>
      <c r="S21" s="1890" t="str">
        <f t="shared" si="1"/>
        <v>n/a</v>
      </c>
      <c r="T21" s="1890" t="str">
        <f t="shared" si="2"/>
        <v>n/a</v>
      </c>
      <c r="U21" s="805"/>
      <c r="V21" s="1890" t="str">
        <f t="shared" si="3"/>
        <v>n/a</v>
      </c>
      <c r="W21" s="1890" t="str">
        <f t="shared" si="4"/>
        <v>n/a</v>
      </c>
      <c r="X21" s="1890" t="str">
        <f t="shared" si="5"/>
        <v>n/a</v>
      </c>
      <c r="Y21" s="1890">
        <f t="shared" si="6"/>
        <v>1.2412280701754383</v>
      </c>
      <c r="Z21" s="1890">
        <f t="shared" si="7"/>
        <v>0.41014492753623183</v>
      </c>
      <c r="AB21" s="283">
        <f>'Beta Calc'!K19</f>
        <v>56.8</v>
      </c>
      <c r="AC21" s="283" t="str">
        <f>'Beta Calc'!L19</f>
        <v xml:space="preserve"> -   </v>
      </c>
      <c r="AD21" s="283" t="str">
        <f>'Beta Calc'!M19</f>
        <v xml:space="preserve"> n/a </v>
      </c>
      <c r="AE21" s="283" t="str">
        <f>'Beta Calc'!N19</f>
        <v xml:space="preserve"> n/a </v>
      </c>
      <c r="AF21" s="283">
        <f t="shared" si="8"/>
        <v>0</v>
      </c>
      <c r="AG21" s="634">
        <f t="shared" si="9"/>
        <v>56.8</v>
      </c>
      <c r="AH21" s="283">
        <f>'Beta Calc'!Q19</f>
        <v>28.5</v>
      </c>
      <c r="AI21" s="378">
        <f t="shared" si="10"/>
        <v>28.299999999999997</v>
      </c>
      <c r="AK21" s="557" t="str">
        <f>IF('MASTER PubCo Inputs'!C37="","",'MASTER PubCo Inputs'!C37)</f>
        <v>IQ47899619</v>
      </c>
      <c r="AL21" s="1885" t="str">
        <f>'Capital IQ Sheet-GPC'!AP22</f>
        <v>OncoSec Medical Incorporated, a biotechnology company, focuses on the development of cytokine-based intratumoral immunotherapies to stimulate the body’s immune system to target and attack cancer. Its lead product candidate is ImmunoPulse IL-12 that uses electroporation device to deliver a DNA-encoded interleukin-12 for reversing the immunosuppressive microenvironment in the treated tumor. The company is also developing ImmunoPulse IL-12 with KEYTRUDA in patients with advanced melanoma that is in the Phase IIb clinical trials (PISCES/KEYNOTE-695) and advanced or metastatic triple negative breast cancer (TNBC), which is in the Phase II clinical trials (OMS-141/KEYNOTE-890); ImmunoPulse IL-12 and KEYTRUDA in patients with advanced or metastatic melanoma that has completed Phase II clinical trials; and ImmunoPulse IL-12 monotherapy in patients with metastatic melanoma, which has completed the Phase II clinical trials. In addition, it undertakes the phase II monotherapy biomarker study in patients with advanced or metastatic TNBC. Further, the company has completed Phase I neoadjuvant clinical trial of ImmunoPulse IL-12 in combination with an anti-PD-1 in surgically resectable melanoma. Additionally, it is developing new DNA-encoded therapeutic candidates and tumor indications. OncoSec Medical Incorporated has clinical trial collaborations with Merck &amp; Co., Inc. and its subsidiary in connection with the PISCES/KEYNOTE-695 and OMS-141/KEYNOTE-890 studies; and a collaboration with the GOG Foundation, Inc. to conduct a registration-enabled study of tavokinogene telseplasmid in women with recurrent/persistent cervical cancer. The company was formerly known as NetVentory Solutions Inc. and changed its name to OncoSec Medical Incorporated in March 2011. OncoSec Medical Incorporated was incorporated in 2008 and is headquartered in Pennington, New Jersey.</v>
      </c>
      <c r="AN21" s="208" t="s">
        <v>2445</v>
      </c>
    </row>
    <row r="22" spans="2:40" ht="14.85" customHeight="1">
      <c r="B22" s="805" t="str">
        <f>'Capital IQ Sheet-GPC'!C23</f>
        <v>NantKwest, Inc.</v>
      </c>
      <c r="C22" s="691">
        <f>'Beta Calc'!R20</f>
        <v>8.9999999999999858</v>
      </c>
      <c r="D22" s="805"/>
      <c r="E22" s="1888" t="s">
        <v>2631</v>
      </c>
      <c r="F22" s="805" t="s">
        <v>1222</v>
      </c>
      <c r="G22" s="805"/>
      <c r="H22" s="691">
        <f>'Capital IQ Sheet-GPC'!O23</f>
        <v>0</v>
      </c>
      <c r="I22" s="691">
        <f>'Capital IQ Sheet-GPC'!P23</f>
        <v>0</v>
      </c>
      <c r="J22" s="691">
        <f>'Capital IQ Sheet-GPC'!Q23</f>
        <v>5.1999999999999998E-2</v>
      </c>
      <c r="K22" s="1889"/>
      <c r="L22" s="691">
        <f>'Capital IQ Sheet-GPC'!R23</f>
        <v>0</v>
      </c>
      <c r="M22" s="691" t="str">
        <f>'Capital IQ Sheet-GPC'!S23</f>
        <v xml:space="preserve"> n/a </v>
      </c>
      <c r="N22" s="691">
        <f>'Capital IQ Sheet-GPC'!T23</f>
        <v>1.6E-2</v>
      </c>
      <c r="O22" s="691" t="str">
        <f>'Capital IQ Sheet-GPC'!U23</f>
        <v xml:space="preserve"> n/a </v>
      </c>
      <c r="P22" s="691" t="str">
        <f>'Capital IQ Sheet-GPC'!V23</f>
        <v xml:space="preserve"> n/a </v>
      </c>
      <c r="Q22" s="805"/>
      <c r="R22" s="1890" t="str">
        <f t="shared" si="0"/>
        <v>n/a</v>
      </c>
      <c r="S22" s="1890" t="str">
        <f t="shared" si="1"/>
        <v>n/a</v>
      </c>
      <c r="T22" s="1890" t="str">
        <f t="shared" si="2"/>
        <v>NM</v>
      </c>
      <c r="U22" s="805"/>
      <c r="V22" s="1890" t="str">
        <f t="shared" si="3"/>
        <v>n/a</v>
      </c>
      <c r="W22" s="1890" t="str">
        <f t="shared" si="4"/>
        <v>n/a</v>
      </c>
      <c r="X22" s="1890" t="str">
        <f t="shared" si="5"/>
        <v>NM</v>
      </c>
      <c r="Y22" s="1890" t="str">
        <f t="shared" si="6"/>
        <v>n/a</v>
      </c>
      <c r="Z22" s="1890" t="str">
        <f t="shared" si="7"/>
        <v>n/a</v>
      </c>
      <c r="AB22" s="283">
        <f>'Beta Calc'!K20</f>
        <v>85.6</v>
      </c>
      <c r="AC22" s="283">
        <f>'Beta Calc'!L20</f>
        <v>7.3</v>
      </c>
      <c r="AD22" s="283" t="str">
        <f>'Beta Calc'!M20</f>
        <v xml:space="preserve"> n/a </v>
      </c>
      <c r="AE22" s="283" t="str">
        <f>'Beta Calc'!N20</f>
        <v xml:space="preserve"> n/a </v>
      </c>
      <c r="AF22" s="283">
        <f t="shared" si="8"/>
        <v>7.3</v>
      </c>
      <c r="AG22" s="634">
        <f t="shared" si="9"/>
        <v>92.899999999999991</v>
      </c>
      <c r="AH22" s="283">
        <f>'Beta Calc'!Q20</f>
        <v>83.9</v>
      </c>
      <c r="AI22" s="378">
        <f t="shared" si="10"/>
        <v>8.9999999999999858</v>
      </c>
      <c r="AK22" s="557" t="str">
        <f>IF('MASTER PubCo Inputs'!C38="","",'MASTER PubCo Inputs'!C38)</f>
        <v>IQ262241549</v>
      </c>
      <c r="AL22" s="1885" t="str">
        <f>'Capital IQ Sheet-GPC'!AP23</f>
        <v>NantKwest, Inc., a clinical-stage immunotherapy biotechnology company, develops immunotherapeutic treatments for cancer, infectious diseases, and inflammatory diseases in the United States. The company develops activated natural killer cell, a natural killer cell-line and genetically modified derivative capable of killing cancer and virally infected cells; and NANT cancer vaccine, a personalized therapy that utilizes its off-the-shelf natural killer cells. It is also developing high-affinity natural killer product candidates primarily for the treatment of various cancers; and target activated natural killer product candidates to treat hematological malignancies and solid tumors. NantKwest, Inc. has a co-development agreement with Altor Bio Science Corporation to collaborate on the development of therapeutic applications combining the company’s proprietary natural killer cells with Altor's ALT-801 and/or ALT-803 products. The company was formerly known as Conkwest, Inc. and changed its name to NantKwest, Inc. in July 2015. NantKwest, Inc. was founded in 2002 and is headquartered in San Diego, California.</v>
      </c>
      <c r="AN22" s="208" t="s">
        <v>2445</v>
      </c>
    </row>
    <row r="23" spans="2:40" ht="25.5" customHeight="1">
      <c r="B23" s="805" t="str">
        <f>'Capital IQ Sheet-GPC'!C24</f>
        <v>Corvus Pharmaceuticals, Inc.</v>
      </c>
      <c r="C23" s="691">
        <f>'Beta Calc'!R21</f>
        <v>-5.7999999999999972</v>
      </c>
      <c r="D23" s="805"/>
      <c r="E23" s="1888" t="s">
        <v>2628</v>
      </c>
      <c r="F23" s="805" t="s">
        <v>732</v>
      </c>
      <c r="G23" s="805"/>
      <c r="H23" s="691" t="str">
        <f>'Capital IQ Sheet-GPC'!O24</f>
        <v xml:space="preserve"> n/a </v>
      </c>
      <c r="I23" s="691" t="str">
        <f>'Capital IQ Sheet-GPC'!P24</f>
        <v xml:space="preserve"> n/a </v>
      </c>
      <c r="J23" s="691">
        <f>'Capital IQ Sheet-GPC'!Q24</f>
        <v>0</v>
      </c>
      <c r="K23" s="1889"/>
      <c r="L23" s="691" t="str">
        <f>'Capital IQ Sheet-GPC'!R24</f>
        <v xml:space="preserve"> n/a </v>
      </c>
      <c r="M23" s="691" t="str">
        <f>'Capital IQ Sheet-GPC'!S24</f>
        <v xml:space="preserve"> n/a </v>
      </c>
      <c r="N23" s="691" t="str">
        <f>'Capital IQ Sheet-GPC'!T24</f>
        <v>n/a</v>
      </c>
      <c r="O23" s="691" t="str">
        <f>'Capital IQ Sheet-GPC'!U24</f>
        <v xml:space="preserve"> n/a </v>
      </c>
      <c r="P23" s="691" t="str">
        <f>'Capital IQ Sheet-GPC'!V24</f>
        <v xml:space="preserve"> n/a </v>
      </c>
      <c r="Q23" s="805"/>
      <c r="R23" s="1890" t="str">
        <f t="shared" si="0"/>
        <v>n/a</v>
      </c>
      <c r="S23" s="1890" t="str">
        <f t="shared" si="1"/>
        <v>n/a</v>
      </c>
      <c r="T23" s="1890" t="str">
        <f t="shared" si="2"/>
        <v>n/a</v>
      </c>
      <c r="U23" s="805"/>
      <c r="V23" s="1890" t="str">
        <f t="shared" si="3"/>
        <v>n/a</v>
      </c>
      <c r="W23" s="1890" t="str">
        <f t="shared" si="4"/>
        <v>n/a</v>
      </c>
      <c r="X23" s="1890" t="str">
        <f t="shared" si="5"/>
        <v>n/a</v>
      </c>
      <c r="Y23" s="1890" t="str">
        <f t="shared" si="6"/>
        <v>n/a</v>
      </c>
      <c r="Z23" s="1890" t="str">
        <f t="shared" si="7"/>
        <v>n/a</v>
      </c>
      <c r="AA23" s="1952" t="s">
        <v>224</v>
      </c>
      <c r="AB23" s="283">
        <f>'Beta Calc'!K21</f>
        <v>116.8</v>
      </c>
      <c r="AC23" s="283" t="str">
        <f>'Beta Calc'!L21</f>
        <v xml:space="preserve"> -   </v>
      </c>
      <c r="AD23" s="283" t="str">
        <f>'Beta Calc'!M21</f>
        <v xml:space="preserve"> n/a </v>
      </c>
      <c r="AE23" s="283" t="str">
        <f>'Beta Calc'!N21</f>
        <v xml:space="preserve"> n/a </v>
      </c>
      <c r="AF23" s="283">
        <f t="shared" si="8"/>
        <v>0</v>
      </c>
      <c r="AG23" s="634">
        <f t="shared" si="9"/>
        <v>116.8</v>
      </c>
      <c r="AH23" s="283">
        <f>'Beta Calc'!Q21</f>
        <v>122.6</v>
      </c>
      <c r="AI23" s="378">
        <f t="shared" si="10"/>
        <v>-5.7999999999999972</v>
      </c>
      <c r="AK23" s="557" t="str">
        <f>IF('MASTER PubCo Inputs'!C39="","",'MASTER PubCo Inputs'!C39)</f>
        <v>IQ279359732</v>
      </c>
      <c r="AL23" s="1885" t="str">
        <f>'Capital IQ Sheet-GPC'!AP24</f>
        <v>Corvus Pharmaceuticals, Inc., a clinical stage biopharmaceutical company, focuses on the development and commercialization of immuno-oncology therapies that are designed to harness the immune system to attack cancer cells. Its lead product candidate is CPI-444, an oral, small molecule antagonist of the A2A receptor that is in Phase I/Ib clinical trial for adenosine, an immune checkpoint. The company is also developing an anti-CD73 monoclonal antibody that inhibits the production of adenosine; an antagonist of the adenosine A2B receptor; and small molecule covalent inhibitors of interleukin-2 inducible kinase. Corvus Pharmaceuticals, Inc. was founded in 2014 and is based in Burlingame, California.</v>
      </c>
      <c r="AN23" s="208" t="s">
        <v>2445</v>
      </c>
    </row>
    <row r="24" spans="2:40" ht="14.85" customHeight="1">
      <c r="B24" s="805" t="str">
        <f>'Capital IQ Sheet-GPC'!C25</f>
        <v>Surface Oncology, Inc.</v>
      </c>
      <c r="C24" s="691">
        <f>'Beta Calc'!R22</f>
        <v>-14.200000000000017</v>
      </c>
      <c r="D24" s="805"/>
      <c r="E24" s="1888" t="s">
        <v>2640</v>
      </c>
      <c r="F24" s="805" t="s">
        <v>732</v>
      </c>
      <c r="G24" s="805"/>
      <c r="H24" s="691" t="str">
        <f>'Capital IQ Sheet-GPC'!O25</f>
        <v xml:space="preserve"> n/a </v>
      </c>
      <c r="I24" s="691">
        <f>'Capital IQ Sheet-GPC'!P25</f>
        <v>12.1</v>
      </c>
      <c r="J24" s="691">
        <f>'Capital IQ Sheet-GPC'!Q25</f>
        <v>52.131999999999998</v>
      </c>
      <c r="K24" s="1889"/>
      <c r="L24" s="691">
        <f>'Capital IQ Sheet-GPC'!R25</f>
        <v>12.8</v>
      </c>
      <c r="M24" s="691" t="str">
        <f>'Capital IQ Sheet-GPC'!S25</f>
        <v xml:space="preserve"> n/a </v>
      </c>
      <c r="N24" s="691">
        <f>'Capital IQ Sheet-GPC'!T25</f>
        <v>9.6666699999999999</v>
      </c>
      <c r="O24" s="691">
        <f>'Capital IQ Sheet-GPC'!U25</f>
        <v>16.5</v>
      </c>
      <c r="P24" s="691">
        <f>'Capital IQ Sheet-GPC'!V25</f>
        <v>16.5</v>
      </c>
      <c r="Q24" s="805"/>
      <c r="R24" s="1890" t="str">
        <f t="shared" si="0"/>
        <v>n/a</v>
      </c>
      <c r="S24" s="1890">
        <f t="shared" si="1"/>
        <v>-1.1735537190082659</v>
      </c>
      <c r="T24" s="1890" t="str">
        <f t="shared" si="2"/>
        <v>NM</v>
      </c>
      <c r="U24" s="805"/>
      <c r="V24" s="1890" t="str">
        <f t="shared" si="3"/>
        <v>NM</v>
      </c>
      <c r="W24" s="1890" t="str">
        <f t="shared" si="4"/>
        <v>n/a</v>
      </c>
      <c r="X24" s="1890" t="str">
        <f t="shared" si="5"/>
        <v>NM</v>
      </c>
      <c r="Y24" s="1890" t="str">
        <f t="shared" si="6"/>
        <v>NM</v>
      </c>
      <c r="Z24" s="1890" t="str">
        <f t="shared" si="7"/>
        <v>NM</v>
      </c>
      <c r="AA24" s="405" t="s">
        <v>224</v>
      </c>
      <c r="AB24" s="283">
        <f>'Beta Calc'!K22</f>
        <v>159.19999999999999</v>
      </c>
      <c r="AC24" s="283" t="str">
        <f>'Beta Calc'!L22</f>
        <v xml:space="preserve"> -   </v>
      </c>
      <c r="AD24" s="283" t="str">
        <f>'Beta Calc'!M22</f>
        <v xml:space="preserve"> n/a </v>
      </c>
      <c r="AE24" s="283" t="str">
        <f>'Beta Calc'!N22</f>
        <v xml:space="preserve"> n/a </v>
      </c>
      <c r="AF24" s="283">
        <f t="shared" si="8"/>
        <v>0</v>
      </c>
      <c r="AG24" s="634">
        <f t="shared" si="9"/>
        <v>159.19999999999999</v>
      </c>
      <c r="AH24" s="283">
        <f>'Beta Calc'!Q22</f>
        <v>173.4</v>
      </c>
      <c r="AI24" s="378">
        <f t="shared" si="10"/>
        <v>-14.200000000000017</v>
      </c>
      <c r="AK24" s="557" t="str">
        <f>IF('MASTER PubCo Inputs'!C40="","",'MASTER PubCo Inputs'!C40)</f>
        <v>IQ281487796</v>
      </c>
      <c r="AL24" s="1885" t="str">
        <f>'Capital IQ Sheet-GPC'!AP25</f>
        <v>Surface Oncology, Inc., a clinical-stage immuno-oncology company, engages in the development of cancer therapies. The company’s lead product candidate is the SRF231 that is in Phase I clinical trial targeting protein called cluster of differentiation (CD) 47. It is also developing SRF373 inhibiting CD73; SRF617 inhibiting CD39; and SRF388, an antibody targeting interleukin 27. The company has a collaboration agreement with Novartis Institutes for Biomedical Research, Inc. for the development of cancer therapies. Surface Oncology, Inc. was founded in 2014 and is headquartered in Cambridge, Massachusetts.</v>
      </c>
      <c r="AN24" s="208" t="s">
        <v>2445</v>
      </c>
    </row>
    <row r="25" spans="2:40" ht="14.85" hidden="1" customHeight="1" outlineLevel="1">
      <c r="C25" s="378"/>
      <c r="H25" s="378"/>
      <c r="I25" s="378"/>
      <c r="J25" s="378"/>
      <c r="K25" s="283"/>
      <c r="L25" s="378"/>
      <c r="M25" s="378"/>
      <c r="N25" s="378"/>
      <c r="O25" s="378"/>
      <c r="P25" s="378"/>
      <c r="R25" s="554"/>
      <c r="S25" s="554"/>
      <c r="T25" s="554"/>
      <c r="V25" s="554"/>
      <c r="W25" s="554"/>
      <c r="X25" s="554"/>
      <c r="Y25" s="554"/>
      <c r="Z25" s="554"/>
      <c r="AB25" s="283"/>
      <c r="AC25" s="283"/>
      <c r="AD25" s="283"/>
      <c r="AE25" s="283"/>
      <c r="AF25" s="283"/>
      <c r="AG25" s="634"/>
      <c r="AH25" s="283"/>
      <c r="AI25" s="378"/>
      <c r="AK25" s="557"/>
    </row>
    <row r="26" spans="2:40" ht="14.85" hidden="1" customHeight="1" outlineLevel="1">
      <c r="C26" s="378"/>
      <c r="H26" s="378"/>
      <c r="I26" s="378"/>
      <c r="J26" s="378"/>
      <c r="K26" s="283"/>
      <c r="L26" s="378"/>
      <c r="M26" s="378"/>
      <c r="N26" s="378"/>
      <c r="O26" s="378"/>
      <c r="P26" s="378"/>
      <c r="R26" s="554"/>
      <c r="S26" s="554"/>
      <c r="T26" s="554"/>
      <c r="V26" s="554"/>
      <c r="W26" s="554"/>
      <c r="X26" s="554"/>
      <c r="Y26" s="554"/>
      <c r="Z26" s="554"/>
      <c r="AB26" s="283"/>
      <c r="AC26" s="283"/>
      <c r="AD26" s="283"/>
      <c r="AE26" s="283"/>
      <c r="AF26" s="283"/>
      <c r="AG26" s="634"/>
      <c r="AH26" s="283"/>
      <c r="AI26" s="378"/>
      <c r="AK26" s="557"/>
    </row>
    <row r="27" spans="2:40" ht="14.85" hidden="1" customHeight="1" outlineLevel="1">
      <c r="C27" s="378"/>
      <c r="H27" s="378"/>
      <c r="I27" s="378"/>
      <c r="J27" s="378"/>
      <c r="K27" s="283"/>
      <c r="L27" s="378"/>
      <c r="M27" s="378"/>
      <c r="N27" s="378"/>
      <c r="O27" s="378"/>
      <c r="P27" s="378"/>
      <c r="R27" s="554"/>
      <c r="S27" s="554"/>
      <c r="T27" s="554"/>
      <c r="V27" s="554"/>
      <c r="W27" s="554"/>
      <c r="X27" s="554"/>
      <c r="Y27" s="554"/>
      <c r="Z27" s="554"/>
      <c r="AB27" s="283"/>
      <c r="AC27" s="283"/>
      <c r="AD27" s="283"/>
      <c r="AE27" s="283"/>
      <c r="AF27" s="283"/>
      <c r="AG27" s="634"/>
      <c r="AH27" s="283"/>
      <c r="AI27" s="378"/>
      <c r="AK27" s="557"/>
    </row>
    <row r="28" spans="2:40" ht="14.85" hidden="1" customHeight="1" outlineLevel="1">
      <c r="C28" s="378"/>
      <c r="H28" s="378"/>
      <c r="I28" s="378"/>
      <c r="J28" s="378"/>
      <c r="K28" s="283"/>
      <c r="L28" s="378"/>
      <c r="M28" s="378"/>
      <c r="N28" s="378"/>
      <c r="O28" s="378"/>
      <c r="P28" s="378"/>
      <c r="R28" s="554"/>
      <c r="S28" s="554"/>
      <c r="T28" s="554"/>
      <c r="V28" s="554"/>
      <c r="W28" s="554"/>
      <c r="X28" s="554"/>
      <c r="Y28" s="554"/>
      <c r="Z28" s="554"/>
      <c r="AB28" s="283"/>
      <c r="AC28" s="283"/>
      <c r="AD28" s="283"/>
      <c r="AE28" s="283"/>
      <c r="AF28" s="283"/>
      <c r="AG28" s="634"/>
      <c r="AH28" s="283"/>
      <c r="AI28" s="378"/>
      <c r="AK28" s="557"/>
    </row>
    <row r="29" spans="2:40" ht="14.85" hidden="1" customHeight="1" outlineLevel="1">
      <c r="C29" s="378"/>
      <c r="H29" s="378"/>
      <c r="I29" s="378"/>
      <c r="J29" s="378"/>
      <c r="K29" s="283"/>
      <c r="L29" s="378"/>
      <c r="M29" s="378"/>
      <c r="N29" s="378"/>
      <c r="O29" s="378"/>
      <c r="P29" s="378"/>
      <c r="R29" s="554"/>
      <c r="S29" s="554"/>
      <c r="T29" s="554"/>
      <c r="V29" s="554"/>
      <c r="W29" s="554"/>
      <c r="X29" s="554"/>
      <c r="Y29" s="554"/>
      <c r="Z29" s="554"/>
      <c r="AB29" s="283"/>
      <c r="AC29" s="283"/>
      <c r="AD29" s="283"/>
      <c r="AE29" s="283"/>
      <c r="AF29" s="283"/>
      <c r="AG29" s="634"/>
      <c r="AH29" s="283"/>
      <c r="AI29" s="378"/>
      <c r="AK29" s="557"/>
    </row>
    <row r="30" spans="2:40" ht="14.85" hidden="1" customHeight="1" outlineLevel="1">
      <c r="C30" s="378"/>
      <c r="H30" s="378"/>
      <c r="I30" s="378"/>
      <c r="J30" s="378"/>
      <c r="K30" s="283"/>
      <c r="L30" s="378"/>
      <c r="M30" s="378"/>
      <c r="N30" s="378"/>
      <c r="O30" s="378"/>
      <c r="P30" s="378"/>
      <c r="R30" s="554"/>
      <c r="S30" s="554"/>
      <c r="T30" s="554"/>
      <c r="V30" s="554"/>
      <c r="W30" s="554"/>
      <c r="X30" s="554"/>
      <c r="Y30" s="554"/>
      <c r="Z30" s="554"/>
      <c r="AB30" s="283"/>
      <c r="AC30" s="283"/>
      <c r="AD30" s="283"/>
      <c r="AE30" s="283"/>
      <c r="AF30" s="283"/>
      <c r="AG30" s="634"/>
      <c r="AH30" s="283"/>
      <c r="AI30" s="378"/>
      <c r="AK30" s="557"/>
    </row>
    <row r="31" spans="2:40" ht="14.85" hidden="1" customHeight="1" outlineLevel="1">
      <c r="C31" s="378"/>
      <c r="H31" s="378"/>
      <c r="I31" s="378"/>
      <c r="J31" s="378"/>
      <c r="K31" s="283"/>
      <c r="L31" s="378"/>
      <c r="M31" s="378"/>
      <c r="N31" s="378"/>
      <c r="O31" s="378"/>
      <c r="P31" s="378"/>
      <c r="R31" s="554"/>
      <c r="S31" s="554"/>
      <c r="T31" s="554"/>
      <c r="V31" s="554"/>
      <c r="W31" s="554"/>
      <c r="X31" s="554"/>
      <c r="Y31" s="554"/>
      <c r="Z31" s="554"/>
      <c r="AB31" s="283"/>
      <c r="AC31" s="283"/>
      <c r="AD31" s="283"/>
      <c r="AE31" s="283"/>
      <c r="AF31" s="283"/>
      <c r="AG31" s="634"/>
      <c r="AH31" s="283"/>
      <c r="AI31" s="378"/>
      <c r="AK31" s="557"/>
    </row>
    <row r="32" spans="2:40" ht="14.85" hidden="1" customHeight="1" outlineLevel="1">
      <c r="C32" s="378"/>
      <c r="H32" s="378"/>
      <c r="I32" s="378"/>
      <c r="J32" s="378"/>
      <c r="K32" s="283"/>
      <c r="L32" s="378"/>
      <c r="M32" s="378"/>
      <c r="N32" s="378"/>
      <c r="O32" s="378"/>
      <c r="P32" s="378"/>
      <c r="R32" s="554"/>
      <c r="S32" s="554"/>
      <c r="T32" s="554"/>
      <c r="V32" s="554"/>
      <c r="W32" s="554"/>
      <c r="X32" s="554"/>
      <c r="Y32" s="554"/>
      <c r="Z32" s="554"/>
      <c r="AB32" s="283"/>
      <c r="AC32" s="283"/>
      <c r="AD32" s="283"/>
      <c r="AE32" s="283"/>
      <c r="AF32" s="283"/>
      <c r="AG32" s="634"/>
      <c r="AH32" s="283"/>
      <c r="AI32" s="378"/>
      <c r="AK32" s="557"/>
    </row>
    <row r="33" spans="2:37" ht="14.85" hidden="1" customHeight="1" outlineLevel="1">
      <c r="C33" s="378"/>
      <c r="H33" s="378"/>
      <c r="I33" s="378"/>
      <c r="J33" s="378"/>
      <c r="K33" s="283"/>
      <c r="L33" s="378"/>
      <c r="M33" s="378"/>
      <c r="N33" s="378"/>
      <c r="O33" s="378"/>
      <c r="P33" s="378"/>
      <c r="R33" s="554"/>
      <c r="S33" s="554"/>
      <c r="T33" s="554"/>
      <c r="V33" s="554"/>
      <c r="W33" s="554"/>
      <c r="X33" s="554"/>
      <c r="Y33" s="554"/>
      <c r="Z33" s="554"/>
      <c r="AB33" s="283"/>
      <c r="AC33" s="283"/>
      <c r="AD33" s="283"/>
      <c r="AE33" s="283"/>
      <c r="AF33" s="283"/>
      <c r="AG33" s="634"/>
      <c r="AH33" s="283"/>
      <c r="AI33" s="378"/>
      <c r="AK33" s="557"/>
    </row>
    <row r="34" spans="2:37" ht="14.85" hidden="1" customHeight="1" outlineLevel="1">
      <c r="C34" s="378"/>
      <c r="H34" s="378"/>
      <c r="I34" s="378"/>
      <c r="J34" s="378"/>
      <c r="K34" s="283"/>
      <c r="L34" s="378"/>
      <c r="M34" s="378"/>
      <c r="N34" s="378"/>
      <c r="O34" s="378"/>
      <c r="P34" s="378"/>
      <c r="R34" s="554"/>
      <c r="S34" s="554"/>
      <c r="T34" s="554"/>
      <c r="V34" s="554"/>
      <c r="W34" s="554"/>
      <c r="X34" s="554"/>
      <c r="Y34" s="554"/>
      <c r="Z34" s="554"/>
      <c r="AB34" s="283"/>
      <c r="AC34" s="283"/>
      <c r="AD34" s="283"/>
      <c r="AE34" s="283"/>
      <c r="AF34" s="283"/>
      <c r="AG34" s="634"/>
      <c r="AH34" s="283"/>
      <c r="AI34" s="378"/>
      <c r="AK34" s="557"/>
    </row>
    <row r="35" spans="2:37" ht="14.85" hidden="1" customHeight="1" outlineLevel="1">
      <c r="C35" s="378"/>
      <c r="H35" s="378"/>
      <c r="I35" s="378"/>
      <c r="J35" s="378"/>
      <c r="K35" s="283"/>
      <c r="L35" s="378"/>
      <c r="M35" s="378"/>
      <c r="N35" s="378"/>
      <c r="O35" s="378"/>
      <c r="P35" s="378"/>
      <c r="R35" s="554"/>
      <c r="S35" s="554"/>
      <c r="T35" s="554"/>
      <c r="V35" s="554"/>
      <c r="W35" s="554"/>
      <c r="X35" s="554"/>
      <c r="Y35" s="554"/>
      <c r="Z35" s="554"/>
      <c r="AB35" s="283"/>
      <c r="AC35" s="283"/>
      <c r="AD35" s="283"/>
      <c r="AE35" s="283"/>
      <c r="AF35" s="283"/>
      <c r="AG35" s="634"/>
      <c r="AH35" s="283"/>
      <c r="AI35" s="378"/>
      <c r="AK35" s="557"/>
    </row>
    <row r="36" spans="2:37" ht="14.85" hidden="1" customHeight="1" outlineLevel="1">
      <c r="C36" s="378"/>
      <c r="H36" s="378"/>
      <c r="I36" s="378"/>
      <c r="J36" s="378"/>
      <c r="K36" s="283"/>
      <c r="L36" s="378"/>
      <c r="M36" s="378"/>
      <c r="N36" s="378"/>
      <c r="O36" s="378"/>
      <c r="P36" s="378"/>
      <c r="R36" s="554"/>
      <c r="S36" s="554"/>
      <c r="T36" s="554"/>
      <c r="V36" s="554"/>
      <c r="W36" s="554"/>
      <c r="X36" s="554"/>
      <c r="Y36" s="554"/>
      <c r="Z36" s="554"/>
      <c r="AB36" s="283"/>
      <c r="AC36" s="283"/>
      <c r="AD36" s="283"/>
      <c r="AE36" s="283"/>
      <c r="AF36" s="283"/>
      <c r="AG36" s="634"/>
      <c r="AH36" s="283"/>
      <c r="AI36" s="378"/>
      <c r="AK36" s="557"/>
    </row>
    <row r="37" spans="2:37" ht="14.85" hidden="1" customHeight="1" outlineLevel="1">
      <c r="C37" s="378"/>
      <c r="H37" s="378"/>
      <c r="I37" s="378"/>
      <c r="J37" s="378"/>
      <c r="K37" s="283"/>
      <c r="L37" s="378"/>
      <c r="M37" s="378"/>
      <c r="N37" s="378"/>
      <c r="O37" s="378"/>
      <c r="P37" s="378"/>
      <c r="R37" s="554"/>
      <c r="S37" s="554"/>
      <c r="T37" s="554"/>
      <c r="V37" s="554"/>
      <c r="W37" s="554"/>
      <c r="X37" s="554"/>
      <c r="Y37" s="554"/>
      <c r="Z37" s="554"/>
      <c r="AB37" s="283"/>
      <c r="AC37" s="283"/>
      <c r="AD37" s="283"/>
      <c r="AE37" s="283"/>
      <c r="AF37" s="283"/>
      <c r="AG37" s="634"/>
      <c r="AH37" s="283"/>
      <c r="AI37" s="378"/>
      <c r="AK37" s="557"/>
    </row>
    <row r="38" spans="2:37" ht="14.85" hidden="1" customHeight="1" outlineLevel="1">
      <c r="C38" s="378"/>
      <c r="H38" s="378"/>
      <c r="I38" s="378"/>
      <c r="J38" s="378"/>
      <c r="K38" s="283"/>
      <c r="L38" s="378"/>
      <c r="M38" s="378"/>
      <c r="N38" s="378"/>
      <c r="O38" s="378"/>
      <c r="P38" s="378"/>
      <c r="R38" s="554"/>
      <c r="S38" s="554"/>
      <c r="T38" s="554"/>
      <c r="V38" s="554"/>
      <c r="W38" s="554"/>
      <c r="X38" s="554"/>
      <c r="Y38" s="554"/>
      <c r="Z38" s="554"/>
      <c r="AB38" s="283"/>
      <c r="AC38" s="283"/>
      <c r="AD38" s="283"/>
      <c r="AE38" s="283"/>
      <c r="AF38" s="283"/>
      <c r="AG38" s="634"/>
      <c r="AH38" s="283"/>
      <c r="AI38" s="378"/>
      <c r="AK38" s="557"/>
    </row>
    <row r="39" spans="2:37" ht="14.85" hidden="1" customHeight="1" outlineLevel="1">
      <c r="C39" s="378"/>
      <c r="H39" s="378"/>
      <c r="I39" s="378"/>
      <c r="J39" s="378"/>
      <c r="K39" s="283"/>
      <c r="L39" s="378"/>
      <c r="M39" s="378"/>
      <c r="N39" s="378"/>
      <c r="O39" s="378"/>
      <c r="P39" s="378"/>
      <c r="R39" s="554"/>
      <c r="S39" s="554"/>
      <c r="T39" s="554"/>
      <c r="V39" s="554"/>
      <c r="W39" s="554"/>
      <c r="X39" s="554"/>
      <c r="Y39" s="554"/>
      <c r="Z39" s="554"/>
      <c r="AB39" s="283"/>
      <c r="AC39" s="283"/>
      <c r="AD39" s="283"/>
      <c r="AE39" s="283"/>
      <c r="AF39" s="283"/>
      <c r="AG39" s="634"/>
      <c r="AH39" s="283"/>
      <c r="AI39" s="378"/>
      <c r="AK39" s="557"/>
    </row>
    <row r="40" spans="2:37" ht="14.85" hidden="1" customHeight="1" outlineLevel="1">
      <c r="C40" s="378"/>
      <c r="H40" s="378"/>
      <c r="I40" s="378"/>
      <c r="J40" s="378"/>
      <c r="K40" s="283"/>
      <c r="L40" s="378"/>
      <c r="M40" s="378"/>
      <c r="N40" s="378"/>
      <c r="O40" s="378"/>
      <c r="P40" s="378"/>
      <c r="R40" s="554"/>
      <c r="S40" s="554"/>
      <c r="T40" s="554"/>
      <c r="V40" s="554"/>
      <c r="W40" s="554"/>
      <c r="X40" s="554"/>
      <c r="Y40" s="554"/>
      <c r="Z40" s="554"/>
      <c r="AB40" s="283"/>
      <c r="AC40" s="283"/>
      <c r="AD40" s="283"/>
      <c r="AE40" s="283"/>
      <c r="AF40" s="283"/>
      <c r="AG40" s="634"/>
      <c r="AH40" s="283"/>
      <c r="AI40" s="378"/>
      <c r="AK40" s="557"/>
    </row>
    <row r="41" spans="2:37" ht="14.85" hidden="1" customHeight="1" outlineLevel="1">
      <c r="C41" s="378"/>
      <c r="H41" s="378"/>
      <c r="I41" s="378"/>
      <c r="J41" s="378"/>
      <c r="K41" s="283"/>
      <c r="L41" s="378"/>
      <c r="M41" s="378"/>
      <c r="N41" s="378"/>
      <c r="O41" s="378"/>
      <c r="P41" s="378"/>
      <c r="R41" s="554"/>
      <c r="S41" s="554"/>
      <c r="T41" s="554"/>
      <c r="V41" s="554"/>
      <c r="W41" s="554"/>
      <c r="X41" s="554"/>
      <c r="Y41" s="554"/>
      <c r="Z41" s="554"/>
      <c r="AB41" s="283"/>
      <c r="AC41" s="283"/>
      <c r="AD41" s="283"/>
      <c r="AE41" s="283"/>
      <c r="AF41" s="283"/>
      <c r="AG41" s="634"/>
      <c r="AH41" s="283"/>
      <c r="AI41" s="378"/>
      <c r="AK41" s="557"/>
    </row>
    <row r="42" spans="2:37" ht="14.85" customHeight="1" collapsed="1">
      <c r="C42" s="283"/>
      <c r="H42" s="283"/>
      <c r="I42" s="283"/>
      <c r="J42" s="283"/>
      <c r="K42" s="283"/>
      <c r="L42" s="283"/>
      <c r="M42" s="283"/>
      <c r="N42" s="283"/>
      <c r="O42" s="283"/>
      <c r="P42" s="283"/>
    </row>
    <row r="43" spans="2:37" ht="14.85" customHeight="1">
      <c r="B43" s="428" t="s">
        <v>111</v>
      </c>
      <c r="C43" s="635">
        <f>MAX(C12:C41)</f>
        <v>6154.5</v>
      </c>
      <c r="D43" s="429"/>
      <c r="E43" s="636"/>
      <c r="F43" s="636"/>
      <c r="G43" s="636"/>
      <c r="H43" s="635">
        <f>MAX(H12:H41)</f>
        <v>385.8</v>
      </c>
      <c r="I43" s="635">
        <f>MAX(I12:I41)</f>
        <v>249.7</v>
      </c>
      <c r="J43" s="635">
        <f>MAX(J12:J41)</f>
        <v>1248.963</v>
      </c>
      <c r="K43" s="635"/>
      <c r="L43" s="635">
        <f>MAX(L12:L41)</f>
        <v>307.7</v>
      </c>
      <c r="M43" s="635">
        <f>MAX(M12:M41)</f>
        <v>0</v>
      </c>
      <c r="N43" s="635">
        <f>MAX(N12:N41)</f>
        <v>329.55178000000001</v>
      </c>
      <c r="O43" s="635">
        <f>MAX(O12:O41)</f>
        <v>245.3</v>
      </c>
      <c r="P43" s="635">
        <f>MAX(P12:P41)</f>
        <v>492.6</v>
      </c>
      <c r="Q43" s="637"/>
      <c r="R43" s="638">
        <f>MAX(R12:R41)</f>
        <v>1087</v>
      </c>
      <c r="S43" s="638">
        <f>MAX(S12:S41)</f>
        <v>1087</v>
      </c>
      <c r="T43" s="638">
        <f>MAX(T12:T41)</f>
        <v>82.019704433497523</v>
      </c>
      <c r="U43" s="637"/>
      <c r="V43" s="638">
        <f>MAX(V12:V41)</f>
        <v>69.53125</v>
      </c>
      <c r="W43" s="638">
        <f>MAX(W12:W41)</f>
        <v>0</v>
      </c>
      <c r="X43" s="638">
        <f>MAX(X12:X41)</f>
        <v>77.742837176799455</v>
      </c>
      <c r="Y43" s="638">
        <f>MAX(Y12:Y41)</f>
        <v>69.53125</v>
      </c>
      <c r="Z43" s="639">
        <f>MAX(Z12:Z41)</f>
        <v>69.53125</v>
      </c>
      <c r="AA43" s="354"/>
      <c r="AB43" s="354"/>
    </row>
    <row r="44" spans="2:37" ht="14.85" customHeight="1">
      <c r="B44" s="640" t="s">
        <v>115</v>
      </c>
      <c r="C44" s="570">
        <f>QUARTILE(C12:C41,3)</f>
        <v>445.00000000000006</v>
      </c>
      <c r="D44" s="568"/>
      <c r="E44" s="568"/>
      <c r="F44" s="568"/>
      <c r="G44" s="568"/>
      <c r="H44" s="570">
        <f>QUARTILE(H12:H41,3)</f>
        <v>81.75</v>
      </c>
      <c r="I44" s="570">
        <f>QUARTILE(I12:I41,3)</f>
        <v>34.6</v>
      </c>
      <c r="J44" s="570">
        <f>QUARTILE(J12:J41,3)</f>
        <v>8.9710000000000001</v>
      </c>
      <c r="K44" s="570"/>
      <c r="L44" s="570">
        <f>QUARTILE(L12:L41,3)</f>
        <v>39.5</v>
      </c>
      <c r="M44" s="570" t="e">
        <f>QUARTILE(M12:M41,3)</f>
        <v>#NUM!</v>
      </c>
      <c r="N44" s="570">
        <f>QUARTILE(N12:N41,3)</f>
        <v>24.483497500000002</v>
      </c>
      <c r="O44" s="570">
        <f>QUARTILE(O12:O41,3)</f>
        <v>49.350000000000009</v>
      </c>
      <c r="P44" s="570">
        <f>QUARTILE(P12:P41,3)</f>
        <v>208.8</v>
      </c>
      <c r="Q44" s="641"/>
      <c r="R44" s="569">
        <f>QUARTILE(R12:R41,3)</f>
        <v>284.42222222222222</v>
      </c>
      <c r="S44" s="569">
        <f>QUARTILE(S12:S41,3)</f>
        <v>217.09552845528458</v>
      </c>
      <c r="T44" s="569">
        <f>QUARTILE(T12:T41,3)</f>
        <v>28.731433744089465</v>
      </c>
      <c r="U44" s="641"/>
      <c r="V44" s="569">
        <f>QUARTILE(V12:V41,3)</f>
        <v>32.384031219532012</v>
      </c>
      <c r="W44" s="569" t="e">
        <f>QUARTILE(W12:W41,3)</f>
        <v>#NUM!</v>
      </c>
      <c r="X44" s="569">
        <f>QUARTILE(X12:X41,3)</f>
        <v>60.168841418486636</v>
      </c>
      <c r="Y44" s="569">
        <f>QUARTILE(Y12:Y41,3)</f>
        <v>33.403085469513414</v>
      </c>
      <c r="Z44" s="642">
        <f>QUARTILE(Z12:Z41,3)</f>
        <v>6.263902998419157</v>
      </c>
      <c r="AA44" s="354"/>
      <c r="AB44" s="354"/>
    </row>
    <row r="45" spans="2:37" ht="14.85" customHeight="1">
      <c r="B45" s="640" t="s">
        <v>113</v>
      </c>
      <c r="C45" s="570">
        <f>AVERAGE(C12:C41)</f>
        <v>667.13846153846146</v>
      </c>
      <c r="D45" s="568"/>
      <c r="E45" s="568"/>
      <c r="F45" s="568"/>
      <c r="G45" s="568"/>
      <c r="H45" s="570">
        <f>AVERAGE(H12:H41)</f>
        <v>77.400000000000006</v>
      </c>
      <c r="I45" s="570">
        <f>AVERAGE(I12:I41)</f>
        <v>39.577777777777776</v>
      </c>
      <c r="J45" s="570">
        <f>AVERAGE(J12:J41)</f>
        <v>105.88356769230768</v>
      </c>
      <c r="K45" s="570"/>
      <c r="L45" s="570">
        <f>AVERAGE(L12:L41)</f>
        <v>47.144444444444439</v>
      </c>
      <c r="M45" s="570" t="e">
        <f>AVERAGE(M12:M41)</f>
        <v>#DIV/0!</v>
      </c>
      <c r="N45" s="570">
        <f>AVERAGE(N12:N41)</f>
        <v>44.210577999999998</v>
      </c>
      <c r="O45" s="570">
        <f>AVERAGE(O12:O41)</f>
        <v>54.870000000000005</v>
      </c>
      <c r="P45" s="570">
        <f>AVERAGE(P12:P41)</f>
        <v>139.4</v>
      </c>
      <c r="Q45" s="641"/>
      <c r="R45" s="569">
        <f>AVERAGE(R12:R41)</f>
        <v>250.92363987414888</v>
      </c>
      <c r="S45" s="569">
        <f>AVERAGE(S12:S41)</f>
        <v>208.91410093815446</v>
      </c>
      <c r="T45" s="569">
        <f>AVERAGE(T12:T41)</f>
        <v>24.806677978093987</v>
      </c>
      <c r="U45" s="641"/>
      <c r="V45" s="569">
        <f>AVERAGE(V12:V41)</f>
        <v>23.33988532644598</v>
      </c>
      <c r="W45" s="569" t="e">
        <f>AVERAGE(W12:W41)</f>
        <v>#DIV/0!</v>
      </c>
      <c r="X45" s="569">
        <f>AVERAGE(X12:X41)</f>
        <v>32.381272572894694</v>
      </c>
      <c r="Y45" s="569">
        <f>AVERAGE(Y12:Y41)</f>
        <v>22.329779143619461</v>
      </c>
      <c r="Z45" s="642">
        <f>AVERAGE(Z12:Z41)</f>
        <v>11.840556436642668</v>
      </c>
      <c r="AA45" s="354"/>
      <c r="AB45" s="354"/>
    </row>
    <row r="46" spans="2:37" ht="14.85" customHeight="1">
      <c r="B46" s="640" t="s">
        <v>44</v>
      </c>
      <c r="C46" s="570">
        <f>MEDIAN(C12:C41)</f>
        <v>98.4</v>
      </c>
      <c r="D46" s="568"/>
      <c r="E46" s="568"/>
      <c r="F46" s="568"/>
      <c r="G46" s="568"/>
      <c r="H46" s="570">
        <f>MEDIAN(H12:H41)</f>
        <v>5.85</v>
      </c>
      <c r="I46" s="570">
        <f>MEDIAN(I12:I41)</f>
        <v>6.4</v>
      </c>
      <c r="J46" s="570">
        <f>MEDIAN(J12:J41)</f>
        <v>0.81200000000000006</v>
      </c>
      <c r="K46" s="570"/>
      <c r="L46" s="570">
        <f>MEDIAN(L12:L41)</f>
        <v>6.4</v>
      </c>
      <c r="M46" s="570" t="e">
        <f>MEDIAN(M12:M41)</f>
        <v>#NUM!</v>
      </c>
      <c r="N46" s="570">
        <f>MEDIAN(N12:N41)</f>
        <v>7.6130000000000004</v>
      </c>
      <c r="O46" s="570">
        <f>MEDIAN(O12:O41)</f>
        <v>17.05</v>
      </c>
      <c r="P46" s="570">
        <f>MEDIAN(P12:P41)</f>
        <v>101.4</v>
      </c>
      <c r="Q46" s="641"/>
      <c r="R46" s="569">
        <f>MEDIAN(R12:R41)</f>
        <v>61.805555555555564</v>
      </c>
      <c r="S46" s="569">
        <f>MEDIAN(S12:S41)</f>
        <v>47.089413546255507</v>
      </c>
      <c r="T46" s="569">
        <f>MEDIAN(T12:T41)</f>
        <v>7.9481824287965921</v>
      </c>
      <c r="U46" s="641"/>
      <c r="V46" s="569">
        <f>MEDIAN(V12:V41)</f>
        <v>10.980559315131046</v>
      </c>
      <c r="W46" s="569" t="e">
        <f>MEDIAN(W12:W41)</f>
        <v>#NUM!</v>
      </c>
      <c r="X46" s="569">
        <f>MEDIAN(X12:X41)</f>
        <v>15.380689467286757</v>
      </c>
      <c r="Y46" s="569">
        <f>MEDIAN(Y12:Y41)</f>
        <v>10.417515673981192</v>
      </c>
      <c r="Z46" s="642">
        <f>MEDIAN(Z12:Z41)</f>
        <v>2.8975981348948165</v>
      </c>
      <c r="AA46" s="354"/>
      <c r="AB46" s="354"/>
    </row>
    <row r="47" spans="2:37" ht="14.85" customHeight="1">
      <c r="B47" s="640" t="s">
        <v>114</v>
      </c>
      <c r="C47" s="570">
        <f>QUARTILE(C12:C41,1)</f>
        <v>28.299999999999997</v>
      </c>
      <c r="D47" s="568"/>
      <c r="E47" s="568"/>
      <c r="F47" s="568"/>
      <c r="G47" s="568"/>
      <c r="H47" s="570">
        <f>QUARTILE(H12:H41,1)</f>
        <v>0.72499999999999987</v>
      </c>
      <c r="I47" s="570">
        <f>QUARTILE(I12:I41,1)</f>
        <v>1.2</v>
      </c>
      <c r="J47" s="570">
        <f>QUARTILE(J12:J41,1)</f>
        <v>5.1999999999999998E-2</v>
      </c>
      <c r="K47" s="570"/>
      <c r="L47" s="570">
        <f>QUARTILE(L12:L41,1)</f>
        <v>0.9</v>
      </c>
      <c r="M47" s="570" t="e">
        <f>QUARTILE(M12:M41,1)</f>
        <v>#NUM!</v>
      </c>
      <c r="N47" s="570">
        <f>QUARTILE(N12:N41,1)</f>
        <v>1.4116</v>
      </c>
      <c r="O47" s="570">
        <f>QUARTILE(O12:O41,1)</f>
        <v>12.05</v>
      </c>
      <c r="P47" s="570">
        <f>QUARTILE(P12:P41,1)</f>
        <v>23.5</v>
      </c>
      <c r="Q47" s="641"/>
      <c r="R47" s="569">
        <f>QUARTILE(R12:R41,1)</f>
        <v>19.307428517530383</v>
      </c>
      <c r="S47" s="569">
        <f>QUARTILE(S12:S41,1)</f>
        <v>2.1913156021094036</v>
      </c>
      <c r="T47" s="569">
        <f>QUARTILE(T12:T41,1)</f>
        <v>4.0234266628011159</v>
      </c>
      <c r="U47" s="641"/>
      <c r="V47" s="569">
        <f>QUARTILE(V12:V41,1)</f>
        <v>1.9364134220450118</v>
      </c>
      <c r="W47" s="569" t="e">
        <f>QUARTILE(W12:W41,1)</f>
        <v>#NUM!</v>
      </c>
      <c r="X47" s="569">
        <f>QUARTILE(X12:X41,1)</f>
        <v>10.788289254958878</v>
      </c>
      <c r="Y47" s="569">
        <f>QUARTILE(Y12:Y41,1)</f>
        <v>2.0333670839469806</v>
      </c>
      <c r="Z47" s="642">
        <f>QUARTILE(Z12:Z41,1)</f>
        <v>1.3483804857001973</v>
      </c>
      <c r="AA47" s="354"/>
      <c r="AB47" s="354"/>
    </row>
    <row r="48" spans="2:37" ht="14.85" customHeight="1">
      <c r="B48" s="572" t="s">
        <v>112</v>
      </c>
      <c r="C48" s="430">
        <f>MIN(C12:C41)</f>
        <v>-14.200000000000017</v>
      </c>
      <c r="D48" s="427"/>
      <c r="E48" s="427"/>
      <c r="F48" s="427"/>
      <c r="G48" s="427"/>
      <c r="H48" s="430">
        <f>MIN(H12:H41)</f>
        <v>0</v>
      </c>
      <c r="I48" s="430">
        <f>MIN(I12:I41)</f>
        <v>0</v>
      </c>
      <c r="J48" s="430">
        <f>MIN(J12:J41)</f>
        <v>0</v>
      </c>
      <c r="K48" s="430"/>
      <c r="L48" s="430">
        <f>MIN(L12:L41)</f>
        <v>0</v>
      </c>
      <c r="M48" s="430">
        <f>MIN(M12:M41)</f>
        <v>0</v>
      </c>
      <c r="N48" s="430">
        <f>MIN(N12:N41)</f>
        <v>1.6E-2</v>
      </c>
      <c r="O48" s="430">
        <f>MIN(O12:O41)</f>
        <v>0.1</v>
      </c>
      <c r="P48" s="430">
        <f>MIN(P12:P41)</f>
        <v>6.4</v>
      </c>
      <c r="Q48" s="643"/>
      <c r="R48" s="573">
        <f>MIN(R12:R41)</f>
        <v>0.20062208398133741</v>
      </c>
      <c r="S48" s="573">
        <f>MIN(S12:S41)</f>
        <v>-1.1735537190082659</v>
      </c>
      <c r="T48" s="573">
        <f>MIN(T12:T41)</f>
        <v>1.3106426212852422</v>
      </c>
      <c r="U48" s="643"/>
      <c r="V48" s="573">
        <f>MIN(V12:V41)</f>
        <v>1.8671726755218216</v>
      </c>
      <c r="W48" s="573">
        <f>MIN(W12:W41)</f>
        <v>0</v>
      </c>
      <c r="X48" s="573">
        <f>MIN(X12:X41)</f>
        <v>1.4277047395923732</v>
      </c>
      <c r="Y48" s="573">
        <f>MIN(Y12:Y41)</f>
        <v>1.2412280701754383</v>
      </c>
      <c r="Z48" s="644">
        <f>MIN(Z12:Z41)</f>
        <v>0.41014492753623183</v>
      </c>
      <c r="AA48" s="354"/>
      <c r="AB48" s="354"/>
    </row>
    <row r="49" spans="1:26" ht="14.85" customHeight="1">
      <c r="C49" s="283"/>
      <c r="H49" s="283"/>
      <c r="I49" s="283"/>
      <c r="J49" s="283"/>
      <c r="K49" s="283"/>
      <c r="L49" s="283"/>
      <c r="M49" s="283"/>
      <c r="N49" s="283"/>
      <c r="O49" s="283"/>
      <c r="P49" s="283"/>
    </row>
    <row r="50" spans="1:26" ht="14.85" customHeight="1">
      <c r="B50" s="295" t="s">
        <v>86</v>
      </c>
      <c r="C50" s="283"/>
      <c r="H50" s="283"/>
      <c r="I50" s="283"/>
      <c r="J50" s="283"/>
      <c r="K50" s="283"/>
      <c r="L50" s="283"/>
      <c r="M50" s="283"/>
      <c r="N50" s="283"/>
      <c r="O50" s="283"/>
      <c r="P50" s="283"/>
    </row>
    <row r="51" spans="1:26" ht="14.85" customHeight="1">
      <c r="A51" s="405" t="str">
        <f>AA24</f>
        <v>(1)</v>
      </c>
      <c r="B51" s="1901" t="s">
        <v>2641</v>
      </c>
      <c r="C51" s="1901"/>
      <c r="D51" s="1901"/>
      <c r="E51" s="1901"/>
      <c r="F51" s="1901"/>
      <c r="G51" s="1901"/>
      <c r="H51" s="1901"/>
      <c r="I51" s="1901"/>
      <c r="J51" s="1901"/>
      <c r="K51" s="1901"/>
      <c r="L51" s="1901"/>
      <c r="M51" s="1901"/>
      <c r="N51" s="1901"/>
      <c r="O51" s="1901"/>
      <c r="P51" s="1901"/>
      <c r="Q51" s="1901"/>
      <c r="R51" s="1901"/>
      <c r="S51" s="1901"/>
      <c r="T51" s="1901"/>
      <c r="U51" s="1901"/>
      <c r="V51" s="1901"/>
      <c r="W51" s="1901"/>
      <c r="X51" s="1901"/>
      <c r="Y51" s="1901"/>
      <c r="Z51" s="1901"/>
    </row>
    <row r="52" spans="1:26" ht="14.85" customHeight="1">
      <c r="C52" s="283"/>
      <c r="H52" s="283"/>
      <c r="I52" s="283"/>
      <c r="J52" s="283"/>
      <c r="K52" s="283"/>
      <c r="L52" s="283"/>
      <c r="M52" s="283"/>
      <c r="N52" s="283"/>
      <c r="O52" s="283"/>
      <c r="P52" s="283"/>
    </row>
    <row r="53" spans="1:26" ht="14.85" customHeight="1">
      <c r="B53" s="295" t="s">
        <v>116</v>
      </c>
    </row>
    <row r="54" spans="1:26" ht="14.85" customHeight="1">
      <c r="B54" s="295"/>
    </row>
    <row r="55" spans="1:26" ht="14.85" customHeight="1"/>
    <row r="56" spans="1:26" ht="14.85" customHeight="1"/>
    <row r="57" spans="1:26" ht="14.85" customHeight="1"/>
    <row r="58" spans="1:26" ht="14.85" customHeight="1">
      <c r="B58" s="208" t="s">
        <v>936</v>
      </c>
      <c r="C58" s="208" t="s">
        <v>2628</v>
      </c>
      <c r="D58" s="208" t="s">
        <v>732</v>
      </c>
    </row>
    <row r="59" spans="1:26" ht="14.85" customHeight="1">
      <c r="B59" s="208" t="s">
        <v>2371</v>
      </c>
      <c r="C59" s="208" t="s">
        <v>2629</v>
      </c>
      <c r="D59" s="208" t="s">
        <v>732</v>
      </c>
    </row>
    <row r="60" spans="1:26" ht="14.85" customHeight="1">
      <c r="B60" s="208" t="s">
        <v>770</v>
      </c>
      <c r="C60" s="208" t="s">
        <v>2630</v>
      </c>
      <c r="D60" s="208" t="s">
        <v>501</v>
      </c>
    </row>
    <row r="61" spans="1:26" ht="14.85" customHeight="1">
      <c r="B61" s="208" t="s">
        <v>755</v>
      </c>
      <c r="C61" s="208" t="s">
        <v>2631</v>
      </c>
      <c r="D61" s="208" t="s">
        <v>1222</v>
      </c>
    </row>
    <row r="62" spans="1:26" ht="14.85" customHeight="1">
      <c r="B62" s="208" t="s">
        <v>955</v>
      </c>
      <c r="C62" s="208" t="s">
        <v>2632</v>
      </c>
      <c r="D62" s="208" t="s">
        <v>494</v>
      </c>
    </row>
    <row r="63" spans="1:26" ht="14.85" customHeight="1">
      <c r="B63" s="208" t="s">
        <v>2363</v>
      </c>
      <c r="C63" s="208" t="s">
        <v>2633</v>
      </c>
      <c r="D63" s="208" t="s">
        <v>989</v>
      </c>
    </row>
    <row r="64" spans="1:26" ht="14.85" customHeight="1">
      <c r="B64" s="208" t="s">
        <v>2357</v>
      </c>
      <c r="C64" s="208" t="s">
        <v>2634</v>
      </c>
      <c r="D64" s="208" t="s">
        <v>732</v>
      </c>
    </row>
    <row r="65" spans="2:4" ht="14.85" customHeight="1">
      <c r="B65" s="208" t="s">
        <v>2367</v>
      </c>
      <c r="C65" s="208" t="s">
        <v>2635</v>
      </c>
      <c r="D65" s="208" t="s">
        <v>732</v>
      </c>
    </row>
    <row r="66" spans="2:4" ht="14.85" customHeight="1">
      <c r="B66" s="208" t="s">
        <v>948</v>
      </c>
      <c r="C66" s="208" t="s">
        <v>2636</v>
      </c>
      <c r="D66" s="208" t="s">
        <v>501</v>
      </c>
    </row>
    <row r="67" spans="2:4" ht="14.85" customHeight="1">
      <c r="B67" s="208" t="s">
        <v>883</v>
      </c>
      <c r="C67" s="208" t="s">
        <v>2637</v>
      </c>
      <c r="D67" s="208" t="s">
        <v>732</v>
      </c>
    </row>
    <row r="68" spans="2:4" ht="14.85" customHeight="1">
      <c r="B68" s="208" t="s">
        <v>2603</v>
      </c>
      <c r="C68" s="208" t="s">
        <v>2638</v>
      </c>
      <c r="D68" s="208" t="s">
        <v>494</v>
      </c>
    </row>
    <row r="69" spans="2:4" ht="14.85" customHeight="1">
      <c r="B69" s="208" t="s">
        <v>2609</v>
      </c>
      <c r="C69" s="208" t="s">
        <v>2639</v>
      </c>
      <c r="D69" s="208" t="s">
        <v>494</v>
      </c>
    </row>
    <row r="70" spans="2:4" ht="14.85" customHeight="1">
      <c r="B70" s="208" t="s">
        <v>2621</v>
      </c>
      <c r="C70" s="208" t="s">
        <v>2640</v>
      </c>
      <c r="D70" s="208" t="s">
        <v>732</v>
      </c>
    </row>
    <row r="71" spans="2:4" ht="14.85" customHeight="1"/>
    <row r="72" spans="2:4" ht="14.85" customHeight="1"/>
    <row r="73" spans="2:4" ht="14.85" customHeight="1"/>
    <row r="74" spans="2:4" ht="14.85" customHeight="1"/>
    <row r="75" spans="2:4" ht="14.85" customHeight="1"/>
    <row r="76" spans="2:4" ht="14.85" customHeight="1"/>
    <row r="77" spans="2:4" ht="14.85" customHeight="1"/>
    <row r="78" spans="2:4" ht="14.85" customHeight="1"/>
    <row r="79" spans="2:4" ht="14.85" customHeight="1"/>
    <row r="80" spans="2:4"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row r="765" ht="14.85" customHeight="1"/>
    <row r="766" ht="14.85" customHeight="1"/>
    <row r="767" ht="14.85" customHeight="1"/>
  </sheetData>
  <mergeCells count="1">
    <mergeCell ref="B51:Z51"/>
  </mergeCells>
  <conditionalFormatting sqref="B12:C41">
    <cfRule type="cellIs" dxfId="242" priority="19" operator="equal">
      <formula>"(Invalid Identifier)"</formula>
    </cfRule>
  </conditionalFormatting>
  <conditionalFormatting sqref="B4:L4">
    <cfRule type="cellIs" dxfId="241" priority="16" stopIfTrue="1" operator="equal">
      <formula>"input"</formula>
    </cfRule>
  </conditionalFormatting>
  <conditionalFormatting sqref="M4">
    <cfRule type="cellIs" dxfId="240" priority="14" stopIfTrue="1" operator="equal">
      <formula>"input"</formula>
    </cfRule>
  </conditionalFormatting>
  <conditionalFormatting sqref="M4">
    <cfRule type="cellIs" dxfId="239" priority="15" stopIfTrue="1" operator="equal">
      <formula>"input"</formula>
    </cfRule>
  </conditionalFormatting>
  <conditionalFormatting sqref="N4:P4">
    <cfRule type="cellIs" dxfId="238" priority="12" stopIfTrue="1" operator="equal">
      <formula>"input"</formula>
    </cfRule>
  </conditionalFormatting>
  <conditionalFormatting sqref="N4:P4">
    <cfRule type="cellIs" dxfId="237" priority="13" stopIfTrue="1" operator="equal">
      <formula>"input"</formula>
    </cfRule>
  </conditionalFormatting>
  <conditionalFormatting sqref="Q4">
    <cfRule type="cellIs" dxfId="236" priority="10" stopIfTrue="1" operator="equal">
      <formula>"input"</formula>
    </cfRule>
  </conditionalFormatting>
  <conditionalFormatting sqref="Q4">
    <cfRule type="cellIs" dxfId="235" priority="11" stopIfTrue="1" operator="equal">
      <formula>"input"</formula>
    </cfRule>
  </conditionalFormatting>
  <conditionalFormatting sqref="R4:Y4">
    <cfRule type="cellIs" dxfId="234" priority="8" stopIfTrue="1" operator="equal">
      <formula>"input"</formula>
    </cfRule>
  </conditionalFormatting>
  <conditionalFormatting sqref="R4:Y4">
    <cfRule type="cellIs" dxfId="233" priority="9" stopIfTrue="1" operator="equal">
      <formula>"input"</formula>
    </cfRule>
  </conditionalFormatting>
  <conditionalFormatting sqref="Z4">
    <cfRule type="cellIs" dxfId="232" priority="1" stopIfTrue="1" operator="equal">
      <formula>"input"</formula>
    </cfRule>
  </conditionalFormatting>
  <conditionalFormatting sqref="Z4">
    <cfRule type="cellIs" dxfId="231" priority="2" stopIfTrue="1" operator="equal">
      <formula>"input"</formula>
    </cfRule>
  </conditionalFormatting>
  <pageMargins left="0.5" right="0.5" top="0.5" bottom="0.5" header="0.5" footer="0.5"/>
  <pageSetup scale="72" fitToWidth="0" fitToHeight="0" orientation="landscape" r:id="rId1"/>
  <legacyDrawingHF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0"/>
  <dimension ref="B1:T747"/>
  <sheetViews>
    <sheetView showGridLines="0" view="pageBreakPreview" zoomScale="80" zoomScaleNormal="100" zoomScaleSheetLayoutView="80" workbookViewId="0">
      <selection activeCell="D11" sqref="D11"/>
    </sheetView>
  </sheetViews>
  <sheetFormatPr defaultRowHeight="12.75"/>
  <cols>
    <col min="1" max="1" width="4.5" style="208" customWidth="1"/>
    <col min="2" max="2" width="36.1640625" style="208" customWidth="1"/>
    <col min="3" max="3" width="2.83203125" style="208" customWidth="1"/>
    <col min="4" max="4" width="105.5" style="208" customWidth="1"/>
    <col min="5" max="5" width="4.5" style="208" customWidth="1"/>
    <col min="6" max="16384" width="9.33203125" style="208"/>
  </cols>
  <sheetData>
    <row r="1" spans="2:20" ht="10.7" customHeight="1" thickBot="1"/>
    <row r="2" spans="2:20" ht="16.5" customHeight="1" thickTop="1">
      <c r="B2" s="216" t="str">
        <f>'MASTER PubCo Inputs'!$C$5</f>
        <v>Medikine, Inc.</v>
      </c>
      <c r="C2" s="216"/>
      <c r="D2" s="216"/>
    </row>
    <row r="3" spans="2:20" ht="15.75" customHeight="1">
      <c r="B3" s="217" t="str">
        <f>VLOOKUP(B4,Outline!$E$8:$G$79,COLUMNS(Outline!$E$8:$G$8),FALSE)</f>
        <v>Exhibit D.4</v>
      </c>
      <c r="C3" s="217"/>
      <c r="D3" s="217"/>
    </row>
    <row r="4" spans="2:20" ht="16.5" customHeight="1" thickBot="1">
      <c r="B4" s="444" t="s">
        <v>604</v>
      </c>
      <c r="C4" s="444"/>
      <c r="D4" s="444"/>
    </row>
    <row r="5" spans="2:20" s="326" customFormat="1" ht="14.85" customHeight="1" thickTop="1">
      <c r="D5" s="208"/>
      <c r="E5" s="208"/>
      <c r="F5" s="208"/>
      <c r="G5" s="208"/>
      <c r="H5" s="208"/>
      <c r="I5" s="208"/>
      <c r="J5" s="208"/>
      <c r="K5" s="208"/>
      <c r="L5" s="208"/>
      <c r="M5" s="208"/>
      <c r="N5" s="208"/>
      <c r="O5" s="208"/>
      <c r="P5" s="208"/>
      <c r="Q5" s="208"/>
      <c r="R5" s="208"/>
      <c r="S5" s="208"/>
      <c r="T5" s="208"/>
    </row>
    <row r="6" spans="2:20" ht="14.85" customHeight="1"/>
    <row r="7" spans="2:20" ht="14.85" customHeight="1">
      <c r="B7" s="667" t="s">
        <v>377</v>
      </c>
      <c r="D7" s="668" t="s">
        <v>127</v>
      </c>
    </row>
    <row r="8" spans="2:20" ht="14.85" customHeight="1"/>
    <row r="9" spans="2:20" ht="264.75" customHeight="1">
      <c r="B9" s="669" t="str">
        <f>'Comp.1'!$B12</f>
        <v>Nektar Therapeutics</v>
      </c>
      <c r="C9" s="670"/>
      <c r="D9" s="669" t="str">
        <f>'Capital IQ Sheet-GPC'!AP13</f>
        <v>Nektar Therapeutics, a research-based biopharmaceutical company, discovers and develops drug candidates for cancer, auto-immune disease, and chronic pain in the United States. The company offers ONZEALD, a topoisomerase I inhibitor that is in Phase III clinical trial for advanced metastatic breast cancer in patients with brain metastases; NKTR-181, an orally-available mu-opioid analgesic molecule, which is in Phase III clinical trial for moderate to severe chronic pain; NKTR-214, a cytokine immunostimulatory therapy that is in Phase I/II to treat cancer; NKTR-358, which is in Phase I to treat autoimmune diseases; and NKTR-262 for solid tumors, as well as NKTR-255 that is under research/preclinical stage for immuno-oncology. It is also developing MOVANTIK for opioid-induced constipation in adult patients with chronic non-cancer pain, and who have an inadequate response to laxatives; ADYNOVATE for hemophilia A; Somavert to treat acromegaly; and Neulasta for treating neutropenia. In addition, the company develops PEG-INTRON for the treatment of hepatitis-C; Macugen for age-related macular degeneration; CIMZIA to treat rheumatoid arthritis, Crohn’s disease, and psoriasis/ankylosing spondylitis; and MIRCERA for anemia related to chronic kidney disease in patients on and not on dialysis. Further, it is developing SEMPRANA to treat migraine; dapirolizumab pegol for systemic lupus erythematosus; PEGPH20 for ancreatic, non-small cell lung cancer, and other tumor types; and longer-acting blood clotting proteins for hemophilia. The company has collaboration agreement with AstraZeneca AB, Shire plc, Pfizer Inc., Amgen Inc., Merck &amp; Co., Inc., Valeant Pharmaceuticals International, Inc., UCB Pharma S.A., F. Hoffmann-La Roche Ltd, Allergan, Inc., Halozyme Therapeutics, Inc., Baxalta Incorporated, Bristol-Myers Squibb Company, and Takeda Pharmaceutical Company Limited. The company was founded in 1990 and is headquartered in San Francisco, California.</v>
      </c>
    </row>
    <row r="10" spans="2:20" ht="239.25" customHeight="1">
      <c r="B10" s="669" t="str">
        <f>'Comp.1'!$B13</f>
        <v>Fate Therapeutics, Inc.</v>
      </c>
      <c r="C10" s="670"/>
      <c r="D10" s="669" t="str">
        <f>'Capital IQ Sheet-GPC'!AP14</f>
        <v>Fate Therapeutics, Inc., a clinical-stage biopharmaceutical company, develops programmed cellular immunotherapies for cancer and immune disorders worldwide. Its immuno-oncology product candidates include FATE-NK100, a natural killer (NK) cell cancer immunotherapy that consists of adaptive memory NK cells; FT500 induced pluripotent stem cells (iPSC)-derived NK cell product candidate for the treatment of advanced solid tumors; FT516 engineered iPSC-derived NK cell product candidate for the treatment of hematologic/solid tumors; and FT819 engineered chimeric antigen receptor 19 iPSC-derived T-cell product candidate for hematologic/solid tumors. The company’s immuno-regulation product candidates comprise ProTmune, an investigational programmed cellular immunotherapy for use as a next-generation allogeneic hematopoietic cell transplantation cell graft; ToleraCyte for the treatment of autoimmune and inflammatory diseases; and FT300 iPSC-derived myeloid derived suppressor cell product candidate for the treatment of autoimmune diseases. Fate Therapeutics, Inc. has a research collaboration and license agreement with Memorial Sloan Kettering Cancer Center to develop off-the-shelf engineered T-cell product candidates; a research collaboration partnership with the University of California San Diego to develop off-the-shelf chimeric antigen receptor-targeted natural killer cell cancer immunotherapies. It also has a strategic research collaboration and license agreement with Juno Therapeutics, Inc. to identify small molecule modulators that enhance the function of T cells; and a collaboration agreement with ONO Pharmaceutical Co., Ltd. for the development and commercialization of two off-the-shelf CAR-T cell product candidates. Fate Therapeutics, Inc. was founded in 2007 and is headquartered in San Diego, California.</v>
      </c>
    </row>
    <row r="11" spans="2:20" ht="63" customHeight="1">
      <c r="B11" s="669" t="str">
        <f>'Comp.1'!$B14</f>
        <v>Synthorx, Inc.</v>
      </c>
      <c r="C11" s="670"/>
      <c r="D11" s="669" t="str">
        <f>'Capital IQ Sheet-GPC'!AP15</f>
        <v>Synthorx, Inc., a biotechnology company, discovers and develops protein therapeutics. The company’s lead product candidate is THOR-707, a variant of IL-2 that is in development in various tumor types as a single agent and in combination with an immune checkpoint inhibitor. The company was founded in 2014 and is headquartered in La Jolla, California.</v>
      </c>
    </row>
    <row r="12" spans="2:20" ht="157.5" customHeight="1">
      <c r="B12" s="669" t="str">
        <f>'Comp.1'!$B15</f>
        <v>ZIOPHARM Oncology, Inc.</v>
      </c>
      <c r="C12" s="671"/>
      <c r="D12" s="669" t="str">
        <f>'Capital IQ Sheet-GPC'!AP16</f>
        <v>ZIOPHARM Oncology, Inc., a biotechnology company, focuses on acquiring, developing, and commercializing a portfolio of immuno-oncology therapies for treating heterogenous solid tumors and unknown antigens. The company develops two immuno-oncology platform technologies, including Controlled IL-12, which delivers interleukin 12 or IL-12, a master regular of the immune system, in a controlled and safe manner to focus the patient’s immune system to cancer; and Sleeping Beauty (SB), which is based on the genetic engineering of T-cells using the (SB) system to rapidly reprogram T-cells outside of the body for infusion. Its lead gene therapy product candidate is Ad-RTS-hIL-12 plus veledimex, which is in Phase I clinical trial, a gene therapy product candidate to treat patients with recurrent glioblastoma. The company is also developing chimeric antigen receptor (CAR) T-cell and T-cell receptor T-cell therapies. ZIOPHARM Oncology, Inc. has collaboration agreements with Precigen, Inc., MD Anderson Cancer Center, the National Cancer Institute, and Ares Trading S.A. The company is headquartered in Boston, Massachusetts.</v>
      </c>
    </row>
    <row r="13" spans="2:20" ht="183.75" customHeight="1">
      <c r="B13" s="669" t="str">
        <f>'Comp.1'!$B16</f>
        <v>Stemline Therapeutics, Inc.</v>
      </c>
      <c r="C13" s="671"/>
      <c r="D13" s="669" t="str">
        <f>'Capital IQ Sheet-GPC'!AP17</f>
        <v>Stemline Therapeutics, Inc., a clinical stage biopharmaceutical company, focuses on the discovery, acquisition, development, and commercialization of proprietary oncology therapeutics in the United States and internationally. The company develops SL-401, a targeted therapy directed to the interleukin-3 receptor (IL-3R), which has completed Phase II clinical trial for patients with blastic plasmacytoid dendritic cell neoplasm; is in Phase I/II clinical trials for patients with myeloproliferative neoplasms, chronic myelomonocytic leukemia, myelofibrosis, and acute myeloid leukemia; and is in Phase I clinical trial in combination with other agents for patients with relapsed/refractory multiple myeloma. It also develops SL-801, a novel oral small molecule reversible inhibitor of nuclear transport protein, which is in Phase I clinical trial for the treatment of solid and hematologic cancers; and SL-701, an immunotherapy that has completed Phase II clinical trial to attack brain cancer. The company's preclinical pipeline products include SL-501, a next generation IL-3R-targeted therapy; SL-101, a single chain monoclonal antibody fragment for the treatment of hematologic cancers; and SL-901, a small molecule kinase inhibitor. Stemline Therapeutics, Inc. was founded in 2003 and is based in New York, New York.</v>
      </c>
    </row>
    <row r="14" spans="2:20" ht="255">
      <c r="B14" s="669" t="str">
        <f>'Comp.1'!$B17</f>
        <v>TG Therapeutics, Inc.</v>
      </c>
      <c r="C14" s="671"/>
      <c r="D14" s="669" t="str">
        <f>'Capital IQ Sheet-GPC'!AP18</f>
        <v>TG Therapeutics, Inc., a biopharmaceutical company, focuses on the acquisition, development, and commercialization of novel treatments for B-cell malignancies and autoimmune diseases in the United States. It develops TG-1101 (ublituximab), a chimeric, glycoengineered monoclonal antibody that targets an epitope on the CD20 antigen found on the surface of B-lymphocytes developed to aid in the depletion of circulating B-cells; and TG-1101 in combination with TGR-1202 for relapsed/refractory chronic lymphocytic leukemia. The company also develops TGR-1202, an orally available phosphoinositide-3-kinase delta inhibitor with nanomolar potency to the delta isoform and high selectivity over the alpha, beta, and gamma isoforms, as well as for hematologic malignancies. In addition, it develops a pre-clinical program to develop interleukin-1 receptor-associated kinase 4 (IRAK4) inhibitors; bromodomain and extra terminal (BET) inhibitor program for cancer treatment; and anti-PD-L1 and anti-GITR antibody research programs that are in pre-clinical development stage in the field of hematological malignancies. The company has license agreements with LFB Biotechnologies S.A.S, GTC Biotherapeutics, LFB/GTC LLC, and Ildong Pharmaceutical Co. Ltd. for the development and commercialization of TG-1101 (ublituximab); Rhizen Pharmaceuticals, SA for the development and commercialization of TGR-1202; Ligand Pharmaceuticals Incorporated for the development and commercialization of IRAK4 inhibitor technology; Checkpoint Therapeutics, Inc. for the development and commercialization of anti-PD-L1 and anti-GITR antibody research programs; and Jubilant Biosys for the development and commercialization of BET inhibitor program. TG Therapeutics, Inc. was incorporated in 1993 and is headquartered in New York, New York.</v>
      </c>
    </row>
    <row r="15" spans="2:20" ht="153">
      <c r="B15" s="669" t="str">
        <f>'Comp.1'!$B18</f>
        <v>XOMA Corporation</v>
      </c>
      <c r="C15" s="671"/>
      <c r="D15" s="669" t="str">
        <f>'Capital IQ Sheet-GPC'!AP19</f>
        <v>XOMA Corporation engages in the discovery, development, and licensing of therapeutic antibodies in the United States, Europe, and the Asia Pacific. The company has a portfolio of monoclonal antibodies and technologies to license to pharmaceutical and biotechnology companies to further their clinical development. Its proprietary product candidates include X213, an allosteric inhibitor of prolactin action; XMetA, an insulin receptor-activating antibody designed to provide long-acting reduction of hyperglycemia in Type 2 diabetic patients; and other preclinical product candidates, such as interleukin 2, a therapy for metastatic melanoma and renal cell carcinoma, as well as anti-parathyroid receptor to address unmet medical needs. The company also licenses antibody discovery, optimization, and development technologies. It has research and development collaboration and licensing agreements with Novartis AG; Takeda Pharmaceutical Company Limited; and Pfizer Inc. XOMA Corporation was founded in 1981 and is headquartered in Emeryville, California.</v>
      </c>
    </row>
    <row r="16" spans="2:20" ht="229.5">
      <c r="B16" s="669" t="str">
        <f>'Comp.1'!$B19</f>
        <v>Five Prime Therapeutics, Inc.</v>
      </c>
      <c r="C16" s="671"/>
      <c r="D16" s="669" t="str">
        <f>'Capital IQ Sheet-GPC'!AP20</f>
        <v>Five Prime Therapeutics, Inc., a clinical-stage biotechnology company, focuses on the discovery and development of immuno-oncology protein therapeutics. The company’s product candidates include Cabiralizumab, an antibody that inhibits colony stimulating factor-1 receptor that is in Phase Ia/Ib clinical trials for the treatment of various cancers in combination with nivolumab; and is in Phase I/II clinical trials for the treatment of pigmented villonodular synovitis tumor. Its product candidates also comprise Bemarituzumab, an antibody that inhibits fibroblast growth factor receptor IIb, which is in Phase I clinical trials to treat patients with gastric or gastroesophageal junction and bladder cancer; and FPA150, a CD8 T cell checkpoint inhibitor antibody that targets B7-H4 as a monotherapy in various cancers. The company’s FP-1039 is in Phase Ib clinical trials to treat patients with malignant pleural mesothelioma. Its preclinical product candidates include FPA150, a CD8 T cell checkpoint inhibitor antibody; FPA154, a tetravalent agonistic antibody that activates glucocorticoid-induced tumor necrosis factor receptor; and FPT155, a CD80-Fc fusion protein, which modulates signaling pathways. The company has license and collaboration agreements with Bristol-Myers Squibb Company, GlaxoSmithKline LLC, INBRX 110 LP, UCB Pharma S.A., and Zai Lab (Shanghai) Co., Ltd.; collaboration agreement with Roche; and license agreements with bluebird bio, Inc., Galaxy Biotech, LLC, BioWa, Inc. and Lonza Sales AG. Five Prime Therapeutics, Inc. was founded in 2001 and is headquartered in South San Francisco, California.</v>
      </c>
    </row>
    <row r="17" spans="2:4" ht="191.25">
      <c r="B17" s="669" t="str">
        <f>'Comp.1'!$B20</f>
        <v>Cue Biopharma, Inc.</v>
      </c>
      <c r="C17" s="671"/>
      <c r="D17" s="669" t="str">
        <f>'Capital IQ Sheet-GPC'!AP21</f>
        <v>Cue Biopharma, Inc., a biopharmaceutical company, develops biologic drugs for the selective modulation of the human immune system to treat a range of cancers and autoimmune disorders. The company’s lead drug candidate includes CUE-101, a variant form of the cytokine Interleukin-2 and a T cell antigen to target and activate T cells specific to human papilloma virus related cancers. Its biologics drug candidates also comprise CUE-100 series to improve various tumor specific T cells; and CUE-200 series to reinvigorate exhausted T cells. The company also offers MOD costimulatory optimization and discovery platform and viraTope T cell epitope discovery platform to develop novel biologics for addressing new indications in oncology and autoimmune disorders. Cue Biopharma, Inc. has collaboration agreements with Merck &amp; Co. for the research and development of its proprietary biologics that target autoimmune disease indications; and Albert Einstein College of Medicine to develop Immuno-STAT biologics for chronic infectious diseases. It also has a strategic collaboration with LG Chem Life Sciences for Immuno- STATs biologics in oncology. The company was formerly known as Imagen Biopharma, Inc. and changed its name to Cue Biopharma, Inc. in October 2016. Cue Biopharma, Inc. was incorporated in 2014 and is based in Cambridge, Massachusetts.</v>
      </c>
    </row>
    <row r="18" spans="2:4" ht="259.5" customHeight="1">
      <c r="B18" s="669" t="str">
        <f>'Comp.1'!$B21</f>
        <v>OncoSec Medical Incorporated</v>
      </c>
      <c r="C18" s="671"/>
      <c r="D18" s="669" t="str">
        <f>'Capital IQ Sheet-GPC'!AP22</f>
        <v>OncoSec Medical Incorporated, a biotechnology company, focuses on the development of cytokine-based intratumoral immunotherapies to stimulate the body’s immune system to target and attack cancer. Its lead product candidate is ImmunoPulse IL-12 that uses electroporation device to deliver a DNA-encoded interleukin-12 for reversing the immunosuppressive microenvironment in the treated tumor. The company is also developing ImmunoPulse IL-12 with KEYTRUDA in patients with advanced melanoma that is in the Phase IIb clinical trials (PISCES/KEYNOTE-695) and advanced or metastatic triple negative breast cancer (TNBC), which is in the Phase II clinical trials (OMS-141/KEYNOTE-890); ImmunoPulse IL-12 and KEYTRUDA in patients with advanced or metastatic melanoma that has completed Phase II clinical trials; and ImmunoPulse IL-12 monotherapy in patients with metastatic melanoma, which has completed the Phase II clinical trials. In addition, it undertakes the phase II monotherapy biomarker study in patients with advanced or metastatic TNBC. Further, the company has completed Phase I neoadjuvant clinical trial of ImmunoPulse IL-12 in combination with an anti-PD-1 in surgically resectable melanoma. Additionally, it is developing new DNA-encoded therapeutic candidates and tumor indications. OncoSec Medical Incorporated has clinical trial collaborations with Merck &amp; Co., Inc. and its subsidiary in connection with the PISCES/KEYNOTE-695 and OMS-141/KEYNOTE-890 studies; and a collaboration with the GOG Foundation, Inc. to conduct a registration-enabled study of tavokinogene telseplasmid in women with recurrent/persistent cervical cancer. The company was formerly known as NetVentory Solutions Inc. and changed its name to OncoSec Medical Incorporated in March 2011. OncoSec Medical Incorporated was incorporated in 2008 and is headquartered in Pennington, New Jersey.</v>
      </c>
    </row>
    <row r="19" spans="2:4" ht="153">
      <c r="B19" s="669" t="str">
        <f>'Comp.1'!$B22</f>
        <v>NantKwest, Inc.</v>
      </c>
      <c r="C19" s="671"/>
      <c r="D19" s="669" t="str">
        <f>'Capital IQ Sheet-GPC'!AP23</f>
        <v>NantKwest, Inc., a clinical-stage immunotherapy biotechnology company, develops immunotherapeutic treatments for cancer, infectious diseases, and inflammatory diseases in the United States. The company develops activated natural killer cell, a natural killer cell-line and genetically modified derivative capable of killing cancer and virally infected cells; and NANT cancer vaccine, a personalized therapy that utilizes its off-the-shelf natural killer cells. It is also developing high-affinity natural killer product candidates primarily for the treatment of various cancers; and target activated natural killer product candidates to treat hematological malignancies and solid tumors. NantKwest, Inc. has a co-development agreement with Altor Bio Science Corporation to collaborate on the development of therapeutic applications combining the company’s proprietary natural killer cells with Altor's ALT-801 and/or ALT-803 products. The company was formerly known as Conkwest, Inc. and changed its name to NantKwest, Inc. in July 2015. NantKwest, Inc. was founded in 2002 and is headquartered in San Diego, California.</v>
      </c>
    </row>
    <row r="20" spans="2:4" ht="102">
      <c r="B20" s="669" t="str">
        <f>'Comp.1'!$B23</f>
        <v>Corvus Pharmaceuticals, Inc.</v>
      </c>
      <c r="C20" s="671"/>
      <c r="D20" s="669" t="str">
        <f>'Capital IQ Sheet-GPC'!AP24</f>
        <v>Corvus Pharmaceuticals, Inc., a clinical stage biopharmaceutical company, focuses on the development and commercialization of immuno-oncology therapies that are designed to harness the immune system to attack cancer cells. Its lead product candidate is CPI-444, an oral, small molecule antagonist of the A2A receptor that is in Phase I/Ib clinical trial for adenosine, an immune checkpoint. The company is also developing an anti-CD73 monoclonal antibody that inhibits the production of adenosine; an antagonist of the adenosine A2B receptor; and small molecule covalent inhibitors of interleukin-2 inducible kinase. Corvus Pharmaceuticals, Inc. was founded in 2014 and is based in Burlingame, California.</v>
      </c>
    </row>
    <row r="21" spans="2:4" ht="89.25">
      <c r="B21" s="669" t="str">
        <f>'Comp.1'!$B24</f>
        <v>Surface Oncology, Inc.</v>
      </c>
      <c r="C21" s="671"/>
      <c r="D21" s="669" t="str">
        <f>'Capital IQ Sheet-GPC'!AP25</f>
        <v>Surface Oncology, Inc., a clinical-stage immuno-oncology company, engages in the development of cancer therapies. The company’s lead product candidate is the SRF231 that is in Phase I clinical trial targeting protein called cluster of differentiation (CD) 47. It is also developing SRF373 inhibiting CD73; SRF617 inhibiting CD39; and SRF388, an antibody targeting interleukin 27. The company has a collaboration agreement with Novartis Institutes for Biomedical Research, Inc. for the development of cancer therapies. Surface Oncology, Inc. was founded in 2014 and is headquartered in Cambridge, Massachusetts.</v>
      </c>
    </row>
    <row r="22" spans="2:4" ht="14.85" customHeight="1">
      <c r="D22" s="672"/>
    </row>
    <row r="23" spans="2:4" ht="14.85" customHeight="1">
      <c r="B23" s="295" t="s">
        <v>116</v>
      </c>
      <c r="D23" s="672"/>
    </row>
    <row r="24" spans="2:4" ht="14.85" customHeight="1">
      <c r="D24" s="672"/>
    </row>
    <row r="25" spans="2:4" ht="14.85" customHeight="1"/>
    <row r="26" spans="2:4" ht="14.85" customHeight="1"/>
    <row r="27" spans="2:4" ht="14.85" customHeight="1"/>
    <row r="28" spans="2:4" ht="14.85" customHeight="1"/>
    <row r="29" spans="2:4" ht="14.85" customHeight="1"/>
    <row r="30" spans="2:4" ht="14.85" customHeight="1"/>
    <row r="31" spans="2:4" ht="14.85" customHeight="1"/>
    <row r="32" spans="2:4" ht="14.85" customHeight="1"/>
    <row r="33" ht="14.85" customHeight="1"/>
    <row r="34" ht="14.85" customHeight="1"/>
    <row r="35" ht="14.85" customHeight="1"/>
    <row r="36" ht="14.85" customHeight="1"/>
    <row r="37" ht="14.85" customHeight="1"/>
    <row r="38" ht="14.85" customHeight="1"/>
    <row r="39" ht="14.85" customHeight="1"/>
    <row r="40" ht="14.85" customHeight="1"/>
    <row r="41" ht="14.85" customHeight="1"/>
    <row r="42" ht="14.85" customHeight="1"/>
    <row r="43" ht="14.85" customHeight="1"/>
    <row r="44" ht="14.85" customHeight="1"/>
    <row r="45" ht="14.85" customHeight="1"/>
    <row r="46" ht="14.85" customHeight="1"/>
    <row r="47" ht="14.85" customHeight="1"/>
    <row r="48"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sheetData>
  <conditionalFormatting sqref="C4:D4">
    <cfRule type="cellIs" dxfId="230" priority="2" stopIfTrue="1" operator="equal">
      <formula>"input"</formula>
    </cfRule>
  </conditionalFormatting>
  <conditionalFormatting sqref="B4">
    <cfRule type="cellIs" dxfId="229" priority="1" stopIfTrue="1" operator="equal">
      <formula>"input"</formula>
    </cfRule>
  </conditionalFormatting>
  <pageMargins left="0.5" right="0.5" top="0.5" bottom="0.5" header="0.5" footer="0.5"/>
  <pageSetup fitToWidth="0" fitToHeight="0" orientation="landscape" r:id="rId1"/>
  <legacyDrawingHF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5">
    <tabColor theme="3" tint="-0.499984740745262"/>
    <pageSetUpPr fitToPage="1"/>
  </sheetPr>
  <dimension ref="A6:G30"/>
  <sheetViews>
    <sheetView showGridLines="0" view="pageBreakPreview" zoomScale="80" zoomScaleNormal="100" zoomScaleSheetLayoutView="80" workbookViewId="0">
      <selection activeCell="D11" sqref="D11"/>
    </sheetView>
  </sheetViews>
  <sheetFormatPr defaultColWidth="9.33203125" defaultRowHeight="12.75"/>
  <cols>
    <col min="1" max="1" width="4.5" style="260" customWidth="1"/>
    <col min="2" max="2" width="3.83203125" style="260" customWidth="1"/>
    <col min="3" max="3" width="15.83203125" style="260" customWidth="1"/>
    <col min="4" max="4" width="108.83203125" style="300" customWidth="1"/>
    <col min="5" max="5" width="15.83203125" style="260" customWidth="1"/>
    <col min="6" max="6" width="3.83203125" style="260" customWidth="1"/>
    <col min="7" max="7" width="4.5" style="260" customWidth="1"/>
    <col min="8" max="8" width="9.33203125" style="260"/>
    <col min="9" max="9" width="16.33203125" style="260" bestFit="1" customWidth="1"/>
    <col min="10" max="10" width="19" style="260" bestFit="1" customWidth="1"/>
    <col min="11" max="16384" width="9.33203125" style="260"/>
  </cols>
  <sheetData>
    <row r="6" spans="1:7">
      <c r="B6" s="301"/>
      <c r="C6" s="302"/>
      <c r="D6" s="303"/>
      <c r="E6" s="302"/>
      <c r="F6" s="302"/>
    </row>
    <row r="7" spans="1:7" ht="13.5" thickBot="1">
      <c r="B7" s="301"/>
      <c r="C7" s="302"/>
      <c r="D7" s="303"/>
      <c r="E7" s="302"/>
      <c r="F7" s="302"/>
    </row>
    <row r="8" spans="1:7" s="185" customFormat="1" ht="15" thickTop="1">
      <c r="A8" s="260"/>
      <c r="B8" s="186"/>
      <c r="C8" s="582"/>
      <c r="D8" s="1245"/>
      <c r="E8" s="582"/>
      <c r="F8" s="582"/>
      <c r="G8" s="260"/>
    </row>
    <row r="9" spans="1:7" s="192" customFormat="1" ht="39.75">
      <c r="A9" s="260"/>
      <c r="B9" s="189"/>
      <c r="C9" s="584"/>
      <c r="D9" s="218" t="s">
        <v>385</v>
      </c>
      <c r="E9" s="584"/>
      <c r="F9" s="584"/>
      <c r="G9" s="260"/>
    </row>
    <row r="10" spans="1:7" s="185" customFormat="1" ht="15" thickBot="1">
      <c r="A10" s="260"/>
      <c r="B10" s="199"/>
      <c r="C10" s="586"/>
      <c r="D10" s="1249"/>
      <c r="E10" s="586"/>
      <c r="F10" s="586"/>
      <c r="G10" s="260"/>
    </row>
    <row r="11" spans="1:7" s="185" customFormat="1" ht="15" thickTop="1">
      <c r="A11" s="260"/>
      <c r="C11" s="260"/>
      <c r="D11" s="300"/>
      <c r="E11" s="260"/>
      <c r="F11" s="260"/>
      <c r="G11" s="260"/>
    </row>
    <row r="12" spans="1:7" s="185" customFormat="1" ht="14.25">
      <c r="A12" s="260"/>
      <c r="C12" s="260"/>
      <c r="D12" s="300"/>
      <c r="E12" s="260"/>
      <c r="F12" s="260"/>
      <c r="G12" s="260"/>
    </row>
    <row r="13" spans="1:7" s="185" customFormat="1" ht="18">
      <c r="A13" s="260"/>
      <c r="C13" s="260"/>
      <c r="D13" s="203"/>
      <c r="E13" s="260"/>
      <c r="F13" s="260"/>
      <c r="G13" s="260"/>
    </row>
    <row r="14" spans="1:7" s="185" customFormat="1" ht="18">
      <c r="A14" s="260"/>
      <c r="C14" s="260"/>
      <c r="D14" s="204"/>
      <c r="E14" s="260"/>
      <c r="F14" s="260"/>
      <c r="G14" s="260"/>
    </row>
    <row r="15" spans="1:7" s="185" customFormat="1" ht="14.25">
      <c r="A15" s="260"/>
      <c r="C15" s="260"/>
      <c r="D15" s="300"/>
      <c r="E15" s="260"/>
      <c r="F15" s="260"/>
      <c r="G15" s="260"/>
    </row>
    <row r="16" spans="1:7" s="185" customFormat="1" ht="14.25">
      <c r="A16" s="260"/>
      <c r="C16" s="260"/>
      <c r="D16" s="300"/>
      <c r="E16" s="260"/>
      <c r="F16" s="260"/>
      <c r="G16" s="260"/>
    </row>
    <row r="17" spans="1:7" s="185" customFormat="1" ht="14.25">
      <c r="A17" s="260"/>
      <c r="C17" s="260"/>
      <c r="D17" s="300"/>
      <c r="E17" s="260"/>
      <c r="F17" s="260"/>
      <c r="G17" s="260"/>
    </row>
    <row r="18" spans="1:7" s="185" customFormat="1" ht="14.25">
      <c r="A18" s="260"/>
      <c r="C18" s="260"/>
      <c r="D18" s="300"/>
      <c r="E18" s="260"/>
      <c r="F18" s="260"/>
      <c r="G18" s="260"/>
    </row>
    <row r="19" spans="1:7" s="185" customFormat="1" ht="14.25">
      <c r="A19" s="260"/>
      <c r="C19" s="260"/>
      <c r="D19" s="300"/>
      <c r="E19" s="260"/>
      <c r="F19" s="260"/>
      <c r="G19" s="260"/>
    </row>
    <row r="20" spans="1:7" s="185" customFormat="1" ht="14.25">
      <c r="A20" s="260"/>
      <c r="C20" s="260"/>
      <c r="D20" s="300"/>
      <c r="E20" s="260"/>
      <c r="F20" s="260"/>
      <c r="G20" s="260"/>
    </row>
    <row r="21" spans="1:7" s="185" customFormat="1" ht="14.25">
      <c r="A21" s="260"/>
      <c r="C21" s="260"/>
      <c r="D21" s="300"/>
      <c r="E21" s="260"/>
      <c r="F21" s="260"/>
      <c r="G21" s="260"/>
    </row>
    <row r="22" spans="1:7" s="185" customFormat="1" ht="14.25">
      <c r="A22" s="260"/>
      <c r="C22" s="260"/>
      <c r="D22" s="300"/>
      <c r="E22" s="260"/>
      <c r="F22" s="260"/>
      <c r="G22" s="260"/>
    </row>
    <row r="23" spans="1:7" s="185" customFormat="1" ht="14.25">
      <c r="A23" s="260"/>
      <c r="C23" s="260"/>
      <c r="D23" s="300"/>
      <c r="E23" s="260"/>
      <c r="F23" s="260"/>
      <c r="G23" s="260"/>
    </row>
    <row r="24" spans="1:7" s="185" customFormat="1" ht="14.25">
      <c r="A24" s="260"/>
      <c r="C24" s="260"/>
      <c r="D24" s="300"/>
      <c r="E24" s="260"/>
      <c r="F24" s="260"/>
      <c r="G24" s="260"/>
    </row>
    <row r="25" spans="1:7" s="185" customFormat="1" ht="14.25">
      <c r="A25" s="260"/>
      <c r="C25" s="260"/>
      <c r="D25" s="300"/>
      <c r="E25" s="260"/>
      <c r="F25" s="260"/>
      <c r="G25" s="260"/>
    </row>
    <row r="26" spans="1:7" s="185" customFormat="1" ht="14.25">
      <c r="A26" s="260"/>
      <c r="C26" s="260"/>
      <c r="D26" s="300"/>
      <c r="E26" s="260"/>
      <c r="F26" s="260"/>
      <c r="G26" s="260"/>
    </row>
    <row r="27" spans="1:7" s="185" customFormat="1" ht="23.25">
      <c r="A27" s="260"/>
      <c r="C27" s="260"/>
      <c r="D27" s="205"/>
      <c r="E27" s="260"/>
      <c r="F27" s="260"/>
      <c r="G27" s="260"/>
    </row>
    <row r="28" spans="1:7" s="185" customFormat="1" ht="14.25">
      <c r="A28" s="260"/>
      <c r="C28" s="260"/>
      <c r="D28" s="202"/>
      <c r="E28" s="260"/>
      <c r="F28" s="260"/>
      <c r="G28" s="260"/>
    </row>
    <row r="29" spans="1:7" s="185" customFormat="1" ht="18">
      <c r="A29" s="260"/>
      <c r="C29" s="260"/>
      <c r="D29" s="206"/>
      <c r="E29" s="260"/>
      <c r="F29" s="260"/>
      <c r="G29" s="260"/>
    </row>
    <row r="30" spans="1:7" s="185" customFormat="1" ht="36">
      <c r="A30" s="260"/>
      <c r="C30" s="260"/>
      <c r="D30" s="207" t="s">
        <v>374</v>
      </c>
      <c r="E30" s="260"/>
      <c r="F30" s="260"/>
      <c r="G30" s="260"/>
    </row>
  </sheetData>
  <pageMargins left="0.5" right="0.5" top="0.5" bottom="0.5" header="0.5" footer="0.5"/>
  <pageSetup scale="98" orientation="landscape" r:id="rId1"/>
  <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6">
    <pageSetUpPr fitToPage="1"/>
  </sheetPr>
  <dimension ref="A1:K743"/>
  <sheetViews>
    <sheetView showGridLines="0" view="pageBreakPreview" zoomScale="80" zoomScaleNormal="100" zoomScaleSheetLayoutView="80" workbookViewId="0">
      <selection activeCell="D11" sqref="D11"/>
    </sheetView>
  </sheetViews>
  <sheetFormatPr defaultRowHeight="12.75" outlineLevelRow="1"/>
  <cols>
    <col min="1" max="1" width="4.5" style="208" customWidth="1"/>
    <col min="2" max="2" width="47" style="208" customWidth="1"/>
    <col min="3" max="3" width="4.1640625" style="208" customWidth="1"/>
    <col min="4" max="6" width="25.83203125" style="208" customWidth="1"/>
    <col min="7" max="7" width="2.83203125" style="208" customWidth="1"/>
    <col min="8" max="8" width="25.83203125" style="208" customWidth="1"/>
    <col min="9" max="9" width="4.5" style="208" customWidth="1"/>
    <col min="10" max="10" width="9.33203125" style="208"/>
    <col min="11" max="11" width="24.6640625" style="208" customWidth="1"/>
    <col min="12" max="16384" width="9.33203125" style="208"/>
  </cols>
  <sheetData>
    <row r="1" spans="2:11" ht="10.7" customHeight="1" thickBot="1"/>
    <row r="2" spans="2:11" ht="16.5" customHeight="1" thickTop="1">
      <c r="B2" s="216" t="str">
        <f>'MASTER PubCo Inputs'!$C$5</f>
        <v>Medikine, Inc.</v>
      </c>
      <c r="C2" s="216"/>
      <c r="D2" s="216"/>
      <c r="E2" s="216"/>
      <c r="F2" s="216"/>
      <c r="G2" s="216"/>
      <c r="H2" s="216"/>
    </row>
    <row r="3" spans="2:11" ht="15.75" customHeight="1">
      <c r="B3" s="217" t="str">
        <f>VLOOKUP(B4,Outline!$E$8:$G$79,COLUMNS(Outline!$E$8:$G$8),FALSE)</f>
        <v>Exhibit F.1</v>
      </c>
      <c r="C3" s="217"/>
      <c r="D3" s="217"/>
      <c r="E3" s="217"/>
      <c r="F3" s="217"/>
      <c r="G3" s="217"/>
      <c r="H3" s="217"/>
    </row>
    <row r="4" spans="2:11" ht="16.5" customHeight="1" thickBot="1">
      <c r="B4" s="444" t="s">
        <v>577</v>
      </c>
      <c r="C4" s="444"/>
      <c r="D4" s="444"/>
      <c r="E4" s="444"/>
      <c r="F4" s="444"/>
      <c r="G4" s="445"/>
      <c r="H4" s="445" t="str">
        <f>+'MASTER PubCo Inputs'!$C$20</f>
        <v>(in thousands of USD and shares, except price per share)</v>
      </c>
    </row>
    <row r="5" spans="2:11" s="326" customFormat="1" ht="14.85" customHeight="1" thickTop="1">
      <c r="B5" s="208"/>
      <c r="C5" s="208"/>
      <c r="D5" s="208"/>
      <c r="E5" s="208"/>
      <c r="F5" s="208"/>
      <c r="G5" s="208"/>
      <c r="H5" s="208"/>
      <c r="I5" s="208"/>
    </row>
    <row r="6" spans="2:11" ht="14.85" customHeight="1"/>
    <row r="7" spans="2:11" s="229" customFormat="1" ht="14.85" customHeight="1">
      <c r="B7" s="712" t="s">
        <v>1998</v>
      </c>
      <c r="D7" s="366" t="s">
        <v>2103</v>
      </c>
      <c r="E7" s="1404" t="s">
        <v>2104</v>
      </c>
      <c r="F7" s="341" t="s">
        <v>209</v>
      </c>
      <c r="G7" s="289"/>
      <c r="H7" s="713" t="s">
        <v>159</v>
      </c>
      <c r="K7" s="231" t="s">
        <v>2562</v>
      </c>
    </row>
    <row r="8" spans="2:11" ht="14.85" customHeight="1"/>
    <row r="9" spans="2:11" ht="14.85" customHeight="1">
      <c r="B9" s="310" t="s">
        <v>2105</v>
      </c>
      <c r="D9" s="1414">
        <f>'Draft Series Seed 2 Cap Table'!$E$66/1000</f>
        <v>1235</v>
      </c>
      <c r="E9" s="1414">
        <f>'Draft Series Seed 2 Cap Table'!$I$66/1000</f>
        <v>2666.666666666667</v>
      </c>
      <c r="F9" s="714">
        <f>'Draft Series Seed 2 Cap Table'!C66/1000</f>
        <v>6615.9830000000002</v>
      </c>
      <c r="H9" s="283">
        <f>SUM(D9:F9)</f>
        <v>10517.649666666668</v>
      </c>
    </row>
    <row r="10" spans="2:11" ht="14.85" customHeight="1">
      <c r="B10" s="288"/>
      <c r="C10" s="288"/>
      <c r="D10" s="288"/>
      <c r="E10" s="288"/>
      <c r="F10" s="288"/>
      <c r="H10" s="288"/>
    </row>
    <row r="11" spans="2:11" ht="14.85" customHeight="1">
      <c r="B11" s="715" t="s">
        <v>159</v>
      </c>
      <c r="D11" s="308">
        <f>SUM(D9:D9)</f>
        <v>1235</v>
      </c>
      <c r="E11" s="308">
        <f>SUM(E9:E9)</f>
        <v>2666.666666666667</v>
      </c>
      <c r="F11" s="308">
        <f>SUM(F9:F9)</f>
        <v>6615.9830000000002</v>
      </c>
      <c r="H11" s="308">
        <f>SUM(H9:H9)</f>
        <v>10517.649666666668</v>
      </c>
    </row>
    <row r="12" spans="2:11" ht="14.85" customHeight="1"/>
    <row r="13" spans="2:11" ht="14.85" hidden="1" customHeight="1" outlineLevel="1">
      <c r="B13" s="716" t="s">
        <v>311</v>
      </c>
      <c r="D13" s="717">
        <v>0</v>
      </c>
      <c r="E13" s="717">
        <v>0</v>
      </c>
      <c r="F13" s="717">
        <v>0</v>
      </c>
      <c r="H13" s="283">
        <f>SUM(D13:F13)</f>
        <v>0</v>
      </c>
    </row>
    <row r="14" spans="2:11" ht="14.85" customHeight="1" collapsed="1">
      <c r="B14" s="280" t="s">
        <v>312</v>
      </c>
      <c r="D14" s="717">
        <v>0</v>
      </c>
      <c r="E14" s="717">
        <v>0</v>
      </c>
      <c r="F14" s="717">
        <f>SUM(D25:D26)</f>
        <v>1706</v>
      </c>
      <c r="H14" s="283">
        <f>F14</f>
        <v>1706</v>
      </c>
    </row>
    <row r="15" spans="2:11" ht="14.85" customHeight="1">
      <c r="B15" s="280" t="s">
        <v>313</v>
      </c>
      <c r="D15" s="717">
        <v>0</v>
      </c>
      <c r="E15" s="717">
        <v>0</v>
      </c>
      <c r="F15" s="717">
        <f>D27</f>
        <v>394</v>
      </c>
      <c r="H15" s="283">
        <f>F15</f>
        <v>394</v>
      </c>
    </row>
    <row r="16" spans="2:11" ht="14.85" customHeight="1">
      <c r="B16" s="288"/>
      <c r="C16" s="288"/>
      <c r="D16" s="288"/>
      <c r="E16" s="288"/>
      <c r="F16" s="288"/>
      <c r="H16" s="288"/>
    </row>
    <row r="17" spans="1:11" ht="14.85" customHeight="1">
      <c r="B17" s="715" t="s">
        <v>314</v>
      </c>
      <c r="D17" s="308">
        <f>SUM(D11:D15)</f>
        <v>1235</v>
      </c>
      <c r="E17" s="308">
        <f>SUM(E11:E15)</f>
        <v>2666.666666666667</v>
      </c>
      <c r="F17" s="308">
        <f>SUM(F11:F15)</f>
        <v>8715.9830000000002</v>
      </c>
      <c r="H17" s="308">
        <f>SUM(H11:H15)</f>
        <v>12617.649666666668</v>
      </c>
    </row>
    <row r="18" spans="1:11" ht="14.85" customHeight="1">
      <c r="K18" s="1411" t="s">
        <v>2109</v>
      </c>
    </row>
    <row r="19" spans="1:11" ht="14.85" customHeight="1">
      <c r="B19" s="317" t="s">
        <v>315</v>
      </c>
      <c r="D19" s="1852">
        <f>'Econ Rights'!$D$12/'Econ Rights'!$D$21</f>
        <v>1.3333333333333333</v>
      </c>
      <c r="E19" s="1852">
        <f>'Econ Rights'!$E$12/'Econ Rights'!$E$21</f>
        <v>1</v>
      </c>
      <c r="F19" s="718">
        <v>1</v>
      </c>
      <c r="K19" s="1844">
        <f>'Draft Series Seed 2 Cap Table'!C5/1000</f>
        <v>15543.9745</v>
      </c>
    </row>
    <row r="20" spans="1:11" ht="14.85" customHeight="1">
      <c r="K20" s="1412" t="s">
        <v>2327</v>
      </c>
    </row>
    <row r="21" spans="1:11" ht="14.85" customHeight="1">
      <c r="B21" s="719" t="s">
        <v>316</v>
      </c>
      <c r="C21" s="720"/>
      <c r="D21" s="721">
        <f>D17*D19</f>
        <v>1646.6666666666665</v>
      </c>
      <c r="E21" s="721">
        <f>E17*E19</f>
        <v>2666.666666666667</v>
      </c>
      <c r="F21" s="722">
        <f>F17*F19</f>
        <v>8715.9830000000002</v>
      </c>
      <c r="H21" s="723">
        <f>SUM(D21:F21)</f>
        <v>13029.316333333334</v>
      </c>
      <c r="K21" s="1844">
        <f>'Draft Series Seed 2 Cap Table'!C6/1000</f>
        <v>19543.9745</v>
      </c>
    </row>
    <row r="22" spans="1:11" ht="14.85" customHeight="1">
      <c r="D22" s="318" t="str">
        <f>IF('Draft Series Seed 2 Cap Table'!$F$67&lt;&gt;D21,"Check","")</f>
        <v/>
      </c>
      <c r="H22" s="318" t="str">
        <f>IF('Draft Series Seed 2 Cap Table'!$K$66/1000&lt;&gt;H21,"Check","")</f>
        <v/>
      </c>
    </row>
    <row r="23" spans="1:11" ht="14.85" customHeight="1">
      <c r="B23" s="724" t="s">
        <v>2108</v>
      </c>
      <c r="C23" s="725"/>
      <c r="D23" s="725"/>
      <c r="E23" s="726"/>
      <c r="G23" s="403"/>
      <c r="H23" s="283"/>
      <c r="K23" s="231" t="s">
        <v>2563</v>
      </c>
    </row>
    <row r="24" spans="1:11" ht="14.85" customHeight="1">
      <c r="B24" s="727"/>
      <c r="C24" s="326"/>
      <c r="D24" s="728" t="s">
        <v>731</v>
      </c>
      <c r="E24" s="729" t="s">
        <v>82</v>
      </c>
      <c r="G24" s="403"/>
    </row>
    <row r="25" spans="1:11" ht="14.85" customHeight="1">
      <c r="B25" s="730" t="str">
        <f>"Options at " &amp;TEXT(E25,"$0.00") &amp; " Strike Price"</f>
        <v>Options at $0.07 Strike Price</v>
      </c>
      <c r="C25" s="326"/>
      <c r="D25" s="731">
        <f>'Stock Option Schedule 122018'!B31/1000</f>
        <v>1306</v>
      </c>
      <c r="E25" s="732">
        <f>'Stock Option Schedule 122018'!A31</f>
        <v>7.0000000000000007E-2</v>
      </c>
      <c r="G25" s="403"/>
      <c r="H25" s="1854"/>
      <c r="K25" s="283"/>
    </row>
    <row r="26" spans="1:11" ht="14.85" customHeight="1">
      <c r="B26" s="730" t="str">
        <f>"Options at " &amp;TEXT(E26,"$0.00") &amp; " Strike Price"</f>
        <v>Options at $0.05 Strike Price</v>
      </c>
      <c r="C26" s="326"/>
      <c r="D26" s="731">
        <f>'Stock Option Schedule 122018'!B32/1000</f>
        <v>400</v>
      </c>
      <c r="E26" s="732">
        <f>'Stock Option Schedule 122018'!A32</f>
        <v>0.05</v>
      </c>
      <c r="G26" s="403"/>
      <c r="H26" s="1854"/>
    </row>
    <row r="27" spans="1:11" ht="14.85" customHeight="1">
      <c r="B27" s="730" t="s">
        <v>447</v>
      </c>
      <c r="C27" s="733" t="s">
        <v>223</v>
      </c>
      <c r="D27" s="731">
        <f>'Draft Series Seed 2 Cap Table'!D63/1000</f>
        <v>394</v>
      </c>
      <c r="E27" s="734">
        <f>'Val Summ'!M8</f>
        <v>0.08</v>
      </c>
      <c r="G27" s="403"/>
      <c r="K27" s="433"/>
    </row>
    <row r="28" spans="1:11" ht="14.85" customHeight="1">
      <c r="B28" s="735"/>
      <c r="C28" s="288"/>
      <c r="D28" s="736"/>
      <c r="E28" s="371"/>
      <c r="G28" s="403"/>
      <c r="K28" s="312"/>
    </row>
    <row r="29" spans="1:11" ht="14.85" customHeight="1">
      <c r="B29" s="737" t="s">
        <v>159</v>
      </c>
      <c r="C29" s="326"/>
      <c r="D29" s="308">
        <f>SUM(D25:D27)</f>
        <v>2100</v>
      </c>
      <c r="E29" s="232"/>
      <c r="G29" s="403"/>
    </row>
    <row r="30" spans="1:11" ht="14.85" customHeight="1">
      <c r="D30" s="232"/>
      <c r="E30" s="232"/>
      <c r="G30" s="403"/>
    </row>
    <row r="31" spans="1:11" ht="14.85" customHeight="1">
      <c r="B31" s="295" t="s">
        <v>86</v>
      </c>
    </row>
    <row r="32" spans="1:11" ht="14.85" customHeight="1">
      <c r="A32" s="803" t="s">
        <v>224</v>
      </c>
      <c r="B32" s="512" t="s">
        <v>793</v>
      </c>
    </row>
    <row r="33" spans="1:2" s="310" customFormat="1" ht="14.85" customHeight="1">
      <c r="A33" s="1953" t="s">
        <v>223</v>
      </c>
      <c r="B33" s="512" t="s">
        <v>2575</v>
      </c>
    </row>
    <row r="34" spans="1:2" ht="14.85" customHeight="1">
      <c r="B34" s="738"/>
    </row>
    <row r="35" spans="1:2" ht="14.85" customHeight="1"/>
    <row r="36" spans="1:2" ht="14.85" customHeight="1"/>
    <row r="37" spans="1:2" ht="14.85" customHeight="1"/>
    <row r="38" spans="1:2" ht="14.85" customHeight="1"/>
    <row r="39" spans="1:2" ht="14.85" customHeight="1"/>
    <row r="40" spans="1:2" ht="14.85" customHeight="1"/>
    <row r="41" spans="1:2" ht="14.85" customHeight="1"/>
    <row r="42" spans="1:2" ht="14.85" customHeight="1"/>
    <row r="43" spans="1:2" ht="14.85" customHeight="1"/>
    <row r="44" spans="1:2" ht="14.85" customHeight="1"/>
    <row r="45" spans="1:2" ht="14.85" customHeight="1"/>
    <row r="46" spans="1:2" ht="14.85" customHeight="1"/>
    <row r="47" spans="1:2" ht="14.85" customHeight="1"/>
    <row r="48" spans="1:2"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sheetData>
  <conditionalFormatting sqref="B4:F4">
    <cfRule type="cellIs" dxfId="228" priority="7" stopIfTrue="1" operator="equal">
      <formula>"input"</formula>
    </cfRule>
  </conditionalFormatting>
  <conditionalFormatting sqref="G4">
    <cfRule type="cellIs" dxfId="227" priority="5" stopIfTrue="1" operator="equal">
      <formula>"input"</formula>
    </cfRule>
  </conditionalFormatting>
  <conditionalFormatting sqref="G4">
    <cfRule type="cellIs" dxfId="226" priority="6" stopIfTrue="1" operator="equal">
      <formula>"input"</formula>
    </cfRule>
  </conditionalFormatting>
  <conditionalFormatting sqref="H4">
    <cfRule type="cellIs" dxfId="225" priority="1" stopIfTrue="1" operator="equal">
      <formula>"input"</formula>
    </cfRule>
  </conditionalFormatting>
  <conditionalFormatting sqref="H4">
    <cfRule type="cellIs" dxfId="224" priority="2" stopIfTrue="1" operator="equal">
      <formula>"input"</formula>
    </cfRule>
  </conditionalFormatting>
  <pageMargins left="0.5" right="0.5" top="0.5" bottom="0.5" header="0.5" footer="0.5"/>
  <pageSetup scale="92" orientation="landscape" r:id="rId1"/>
  <drawing r:id="rId2"/>
  <legacyDrawing r:id="rId3"/>
  <legacyDrawingHF r:id="rId4"/>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1400-000000000000}">
          <x14:formula1>
            <xm:f>'List Data'!$B$3:$B$49</xm:f>
          </x14:formula1>
          <xm:sqref>F7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7"/>
  <dimension ref="A1:S765"/>
  <sheetViews>
    <sheetView showGridLines="0" view="pageBreakPreview" topLeftCell="A13" zoomScale="80" zoomScaleNormal="100" zoomScaleSheetLayoutView="80" workbookViewId="0">
      <selection activeCell="D11" sqref="D11"/>
    </sheetView>
  </sheetViews>
  <sheetFormatPr defaultRowHeight="12.75" outlineLevelRow="1"/>
  <cols>
    <col min="1" max="1" width="4.5" style="208" customWidth="1"/>
    <col min="2" max="2" width="61.83203125" style="208" customWidth="1"/>
    <col min="3" max="3" width="2.83203125" style="208" customWidth="1"/>
    <col min="4" max="5" width="39.83203125" style="208" customWidth="1"/>
    <col min="6" max="6" width="4.5" style="208" customWidth="1"/>
    <col min="7" max="7" width="9.33203125" style="208"/>
    <col min="8" max="8" width="8.83203125" style="208" customWidth="1"/>
    <col min="9" max="16384" width="9.33203125" style="208"/>
  </cols>
  <sheetData>
    <row r="1" spans="2:19" ht="10.7" customHeight="1" thickBot="1"/>
    <row r="2" spans="2:19" ht="16.5" customHeight="1" thickTop="1">
      <c r="B2" s="216" t="str">
        <f>'MASTER PubCo Inputs'!$C$5</f>
        <v>Medikine, Inc.</v>
      </c>
      <c r="C2" s="216"/>
      <c r="D2" s="216"/>
      <c r="E2" s="216"/>
    </row>
    <row r="3" spans="2:19" ht="15.75" customHeight="1">
      <c r="B3" s="217" t="str">
        <f>VLOOKUP(B4,Outline!$E$8:$G$79,COLUMNS(Outline!$E$8:$G$8),FALSE)</f>
        <v>Exhibit F.2</v>
      </c>
      <c r="C3" s="217"/>
      <c r="D3" s="217"/>
      <c r="E3" s="217"/>
    </row>
    <row r="4" spans="2:19" ht="16.5" customHeight="1" thickBot="1">
      <c r="B4" s="444" t="s">
        <v>578</v>
      </c>
      <c r="C4" s="444"/>
      <c r="D4" s="444"/>
      <c r="E4" s="445" t="str">
        <f>+'MASTER PubCo Inputs'!$C$20</f>
        <v>(in thousands of USD and shares, except price per share)</v>
      </c>
    </row>
    <row r="5" spans="2:19" s="326" customFormat="1" ht="14.85" customHeight="1" thickTop="1">
      <c r="B5" s="208"/>
      <c r="C5" s="208"/>
      <c r="D5" s="208"/>
      <c r="E5" s="208"/>
      <c r="F5" s="208"/>
    </row>
    <row r="6" spans="2:19" ht="14.85" customHeight="1"/>
    <row r="7" spans="2:19" s="229" customFormat="1" ht="14.85" customHeight="1">
      <c r="D7" s="366" t="s">
        <v>2103</v>
      </c>
      <c r="E7" s="1403" t="s">
        <v>2104</v>
      </c>
      <c r="H7" s="1514" t="s">
        <v>2318</v>
      </c>
      <c r="I7" s="1513" t="s">
        <v>82</v>
      </c>
      <c r="J7" s="805"/>
      <c r="K7" s="805"/>
      <c r="L7" s="805"/>
      <c r="M7" s="805"/>
    </row>
    <row r="8" spans="2:19" ht="14.85" customHeight="1">
      <c r="H8" s="1511" t="s">
        <v>2317</v>
      </c>
      <c r="I8" s="1515">
        <v>0</v>
      </c>
      <c r="J8" s="805" t="s">
        <v>2574</v>
      </c>
      <c r="K8" s="805"/>
      <c r="L8" s="805"/>
      <c r="M8" s="805"/>
    </row>
    <row r="9" spans="2:19" ht="14.85" customHeight="1">
      <c r="B9" s="304" t="s">
        <v>1999</v>
      </c>
      <c r="C9" s="471"/>
      <c r="D9" s="1892" t="s">
        <v>223</v>
      </c>
      <c r="E9" s="1855"/>
      <c r="H9" s="1511" t="s">
        <v>2319</v>
      </c>
      <c r="I9" s="1515">
        <v>0</v>
      </c>
      <c r="J9" s="805" t="s">
        <v>2324</v>
      </c>
      <c r="K9" s="805"/>
      <c r="L9" s="805"/>
      <c r="M9" s="805"/>
    </row>
    <row r="10" spans="2:19" ht="14.85" customHeight="1">
      <c r="B10" s="280" t="s">
        <v>323</v>
      </c>
      <c r="D10" s="1577" t="s">
        <v>1427</v>
      </c>
      <c r="E10" s="739">
        <v>43412</v>
      </c>
      <c r="F10" s="405"/>
      <c r="H10" s="1511" t="s">
        <v>2320</v>
      </c>
      <c r="I10" s="1515">
        <v>0.05</v>
      </c>
      <c r="J10" s="805" t="str">
        <f xml:space="preserve"> "Options at "&amp;TEXT(I10,"$0.00") &amp;" Strike Price Exercise"</f>
        <v>Options at $0.05 Strike Price Exercise</v>
      </c>
      <c r="K10" s="805"/>
      <c r="L10" s="805"/>
      <c r="M10" s="805"/>
      <c r="Q10" s="328"/>
      <c r="R10" s="328"/>
    </row>
    <row r="11" spans="2:19" ht="14.85" customHeight="1">
      <c r="B11" s="280" t="s">
        <v>334</v>
      </c>
      <c r="D11" s="368">
        <f>'Cap Table'!D9</f>
        <v>1235</v>
      </c>
      <c r="E11" s="368">
        <f>'Cap Table'!E9</f>
        <v>2666.666666666667</v>
      </c>
      <c r="H11" s="1511" t="s">
        <v>2321</v>
      </c>
      <c r="I11" s="1515">
        <v>7.0000000000000007E-2</v>
      </c>
      <c r="J11" s="805" t="str">
        <f xml:space="preserve"> "Options at "&amp;TEXT(I11,"$0.00") &amp;" Strike Price Exercise"</f>
        <v>Options at $0.07 Strike Price Exercise</v>
      </c>
      <c r="K11" s="805"/>
      <c r="L11" s="805"/>
      <c r="M11" s="805"/>
    </row>
    <row r="12" spans="2:19" ht="14.85" customHeight="1">
      <c r="B12" s="280" t="s">
        <v>358</v>
      </c>
      <c r="D12" s="732">
        <v>1</v>
      </c>
      <c r="E12" s="732">
        <v>1.5</v>
      </c>
      <c r="H12" s="1511" t="s">
        <v>2322</v>
      </c>
      <c r="I12" s="1575">
        <f>'Val Summ_OPM'!M10</f>
        <v>0.52</v>
      </c>
      <c r="J12" s="805" t="str">
        <f xml:space="preserve"> "Options at "&amp;TEXT(I12,"$0.00") &amp;" Strike Price Exercise"</f>
        <v>Options at $0.52 Strike Price Exercise</v>
      </c>
      <c r="K12" s="805"/>
      <c r="L12" s="805"/>
      <c r="M12" s="1512"/>
      <c r="N12" s="328"/>
      <c r="O12" s="328"/>
      <c r="P12" s="328"/>
      <c r="Q12" s="328"/>
      <c r="R12" s="328"/>
      <c r="S12" s="328"/>
    </row>
    <row r="13" spans="2:19" ht="14.85" customHeight="1">
      <c r="B13" s="280" t="s">
        <v>457</v>
      </c>
      <c r="D13" s="741">
        <f>D11*D12</f>
        <v>1235</v>
      </c>
      <c r="E13" s="741">
        <f>E11*E12</f>
        <v>4000.0000000000005</v>
      </c>
      <c r="H13" s="1511" t="s">
        <v>2323</v>
      </c>
      <c r="I13" s="1515">
        <v>0.75</v>
      </c>
      <c r="J13" s="805" t="s">
        <v>2325</v>
      </c>
      <c r="K13" s="805"/>
      <c r="L13" s="805"/>
      <c r="M13" s="1512"/>
      <c r="N13" s="328"/>
      <c r="O13" s="328"/>
      <c r="P13" s="328"/>
      <c r="Q13" s="328"/>
      <c r="R13" s="328"/>
      <c r="S13" s="328"/>
    </row>
    <row r="14" spans="2:19" ht="14.85" customHeight="1">
      <c r="B14" s="280"/>
      <c r="D14" s="742"/>
      <c r="E14" s="742"/>
      <c r="H14" s="1511" t="s">
        <v>2520</v>
      </c>
      <c r="I14" s="1515">
        <v>1.5</v>
      </c>
      <c r="J14" s="805" t="s">
        <v>2326</v>
      </c>
      <c r="K14" s="805"/>
      <c r="L14" s="805"/>
      <c r="M14" s="1512"/>
      <c r="N14" s="328"/>
      <c r="O14" s="328"/>
      <c r="P14" s="328"/>
      <c r="Q14" s="328"/>
      <c r="R14" s="328"/>
      <c r="S14" s="328"/>
    </row>
    <row r="15" spans="2:19" ht="14.85" customHeight="1">
      <c r="B15" s="280" t="s">
        <v>461</v>
      </c>
      <c r="D15" s="743">
        <v>1</v>
      </c>
      <c r="E15" s="743">
        <v>1</v>
      </c>
      <c r="H15" s="805"/>
      <c r="I15" s="805"/>
      <c r="J15" s="805"/>
      <c r="K15" s="805"/>
      <c r="L15" s="805"/>
      <c r="M15" s="1512"/>
      <c r="N15" s="328"/>
      <c r="O15" s="328"/>
      <c r="P15" s="328"/>
      <c r="Q15" s="328"/>
      <c r="R15" s="328"/>
      <c r="S15" s="328"/>
    </row>
    <row r="16" spans="2:19" ht="14.85" customHeight="1">
      <c r="B16" s="280" t="s">
        <v>460</v>
      </c>
      <c r="D16" s="741">
        <f>D13*D15</f>
        <v>1235</v>
      </c>
      <c r="E16" s="741">
        <f>E13*E15</f>
        <v>4000.0000000000005</v>
      </c>
      <c r="F16" s="744"/>
      <c r="H16" s="805"/>
      <c r="I16" s="805"/>
      <c r="J16" s="805"/>
      <c r="K16" s="805"/>
      <c r="L16" s="805"/>
      <c r="M16" s="1512"/>
      <c r="N16" s="328"/>
      <c r="O16" s="328"/>
      <c r="P16" s="328"/>
      <c r="Q16" s="328"/>
      <c r="R16" s="328"/>
      <c r="S16" s="328"/>
    </row>
    <row r="17" spans="2:19" ht="14.85" customHeight="1">
      <c r="B17" s="280" t="s">
        <v>331</v>
      </c>
      <c r="D17" s="745">
        <v>1</v>
      </c>
      <c r="E17" s="745">
        <v>1</v>
      </c>
      <c r="H17" s="805"/>
      <c r="I17" s="805"/>
      <c r="J17" s="805"/>
      <c r="K17" s="805"/>
      <c r="L17" s="805"/>
      <c r="M17" s="1512"/>
      <c r="N17" s="328"/>
      <c r="O17" s="328"/>
      <c r="P17" s="328"/>
      <c r="Q17" s="328"/>
      <c r="R17" s="328"/>
      <c r="S17" s="328"/>
    </row>
    <row r="18" spans="2:19" ht="14.85" customHeight="1">
      <c r="B18" s="280"/>
      <c r="D18" s="745"/>
      <c r="E18" s="745"/>
      <c r="H18" s="805"/>
      <c r="I18" s="805"/>
      <c r="J18" s="805"/>
      <c r="K18" s="805"/>
      <c r="L18" s="805"/>
      <c r="M18" s="1512"/>
      <c r="N18" s="328"/>
      <c r="O18" s="328"/>
      <c r="P18" s="328"/>
      <c r="Q18" s="328"/>
      <c r="R18" s="328"/>
      <c r="S18" s="328"/>
    </row>
    <row r="19" spans="2:19" ht="14.85" customHeight="1">
      <c r="B19" s="280" t="s">
        <v>319</v>
      </c>
      <c r="D19" s="746" t="s">
        <v>321</v>
      </c>
      <c r="E19" s="746" t="s">
        <v>321</v>
      </c>
      <c r="H19" s="805"/>
      <c r="I19" s="805"/>
      <c r="J19" s="805"/>
      <c r="K19" s="805"/>
      <c r="L19" s="805"/>
      <c r="M19" s="805"/>
    </row>
    <row r="20" spans="2:19" ht="14.85" customHeight="1">
      <c r="B20" s="280" t="s">
        <v>324</v>
      </c>
      <c r="D20" s="743" t="s">
        <v>13</v>
      </c>
      <c r="E20" s="743" t="s">
        <v>13</v>
      </c>
    </row>
    <row r="21" spans="2:19" ht="14.85" customHeight="1">
      <c r="B21" s="280" t="s">
        <v>2328</v>
      </c>
      <c r="D21" s="732">
        <v>0.75</v>
      </c>
      <c r="E21" s="732">
        <v>1.5</v>
      </c>
    </row>
    <row r="22" spans="2:19" ht="14.85" customHeight="1">
      <c r="B22" s="280" t="s">
        <v>315</v>
      </c>
      <c r="D22" s="1516">
        <f>D12/D21</f>
        <v>1.3333333333333333</v>
      </c>
      <c r="E22" s="1516">
        <f>E12/E21</f>
        <v>1</v>
      </c>
    </row>
    <row r="23" spans="2:19" ht="14.85" customHeight="1">
      <c r="B23" s="280"/>
      <c r="D23" s="743"/>
      <c r="E23" s="743"/>
    </row>
    <row r="24" spans="2:19" ht="14.85" customHeight="1">
      <c r="B24" s="280" t="s">
        <v>318</v>
      </c>
      <c r="D24" s="503">
        <f>0.08/D12</f>
        <v>0.08</v>
      </c>
      <c r="E24" s="503">
        <f>0.12/E12</f>
        <v>0.08</v>
      </c>
    </row>
    <row r="25" spans="2:19" ht="14.85" customHeight="1">
      <c r="B25" s="280" t="s">
        <v>450</v>
      </c>
      <c r="D25" s="747" t="s">
        <v>453</v>
      </c>
      <c r="E25" s="747" t="s">
        <v>453</v>
      </c>
      <c r="M25" s="328"/>
      <c r="N25" s="328"/>
      <c r="O25" s="328"/>
      <c r="P25" s="328"/>
      <c r="Q25" s="328"/>
      <c r="R25" s="328"/>
      <c r="S25" s="328"/>
    </row>
    <row r="26" spans="2:19" ht="14.85" customHeight="1">
      <c r="B26" s="280" t="s">
        <v>451</v>
      </c>
      <c r="D26" s="747" t="s">
        <v>454</v>
      </c>
      <c r="E26" s="747" t="s">
        <v>454</v>
      </c>
      <c r="N26" s="328"/>
      <c r="O26" s="328"/>
      <c r="P26" s="328"/>
      <c r="Q26" s="328"/>
      <c r="R26" s="328"/>
      <c r="S26" s="328"/>
    </row>
    <row r="27" spans="2:19" ht="14.85" hidden="1" customHeight="1" outlineLevel="1">
      <c r="B27" s="748" t="s">
        <v>449</v>
      </c>
      <c r="C27" s="297"/>
      <c r="D27" s="749" t="e">
        <f>YEARFRAC(D10,'MASTER PubCo Inputs'!$C$6,3)</f>
        <v>#VALUE!</v>
      </c>
      <c r="E27" s="749">
        <f>YEARFRAC(E10,'MASTER PubCo Inputs'!$C$6,3)</f>
        <v>0.23013698630136986</v>
      </c>
      <c r="O27" s="328"/>
      <c r="P27" s="328"/>
      <c r="Q27" s="328"/>
      <c r="R27" s="328"/>
      <c r="S27" s="328"/>
    </row>
    <row r="28" spans="2:19" ht="14.85" hidden="1" customHeight="1" outlineLevel="1">
      <c r="B28" s="748" t="s">
        <v>325</v>
      </c>
      <c r="C28" s="297"/>
      <c r="D28" s="750" t="str">
        <f>IF(D25="Non-Cumulative","NA",IF(D26="Simple",D12*D24*D27*D11,(D12*((1+D24)^D27-1))*D11))</f>
        <v>NA</v>
      </c>
      <c r="E28" s="750" t="str">
        <f>IF(E25="Non-Cumulative","NA",IF(E26="Simple",E12*E24*E27*E11,(E12*((1+E24)^E27-1))*E11))</f>
        <v>NA</v>
      </c>
      <c r="P28" s="328"/>
      <c r="Q28" s="328"/>
      <c r="R28" s="328"/>
      <c r="S28" s="328"/>
    </row>
    <row r="29" spans="2:19" ht="14.85" hidden="1" customHeight="1" outlineLevel="1">
      <c r="B29" s="748" t="s">
        <v>458</v>
      </c>
      <c r="C29" s="297"/>
      <c r="D29" s="749" t="e">
        <f>D27+'OPM 1'!$D$10</f>
        <v>#VALUE!</v>
      </c>
      <c r="E29" s="749">
        <f>E27+'OPM 1'!$D$10</f>
        <v>3.2301369863013698</v>
      </c>
      <c r="Q29" s="328"/>
      <c r="R29" s="328"/>
      <c r="S29" s="328"/>
    </row>
    <row r="30" spans="2:19" ht="14.85" hidden="1" customHeight="1" outlineLevel="1">
      <c r="B30" s="748" t="s">
        <v>459</v>
      </c>
      <c r="C30" s="297"/>
      <c r="D30" s="751" t="str">
        <f>IF(D25="Non-Cumulative","NA",IF(D26="Simple",D12*D24*D29*D11,(D12*((1+D24)^D29-1))*D11))</f>
        <v>NA</v>
      </c>
      <c r="E30" s="751" t="str">
        <f>IF(E25="Non-Cumulative","NA",IF(E26="Simple",E12*E24*E29*E11,(E12*((1+E24)^E29-1))*E11))</f>
        <v>NA</v>
      </c>
      <c r="R30" s="328"/>
      <c r="S30" s="328"/>
    </row>
    <row r="31" spans="2:19" ht="14.85" customHeight="1" collapsed="1">
      <c r="B31" s="280"/>
      <c r="D31" s="369"/>
      <c r="E31" s="369"/>
      <c r="S31" s="328"/>
    </row>
    <row r="32" spans="2:19" ht="14.85" customHeight="1">
      <c r="B32" s="280" t="s">
        <v>317</v>
      </c>
      <c r="D32" s="746" t="s">
        <v>321</v>
      </c>
      <c r="E32" s="746" t="s">
        <v>321</v>
      </c>
    </row>
    <row r="33" spans="1:5" ht="14.85" customHeight="1">
      <c r="B33" s="280" t="s">
        <v>320</v>
      </c>
      <c r="D33" s="746" t="s">
        <v>322</v>
      </c>
      <c r="E33" s="746" t="s">
        <v>322</v>
      </c>
    </row>
    <row r="34" spans="1:5" ht="14.85" customHeight="1">
      <c r="B34" s="280"/>
    </row>
    <row r="35" spans="1:5" ht="14.85" customHeight="1">
      <c r="B35" s="295" t="s">
        <v>86</v>
      </c>
    </row>
    <row r="36" spans="1:5" ht="14.85" customHeight="1">
      <c r="A36" s="803" t="s">
        <v>224</v>
      </c>
      <c r="B36" s="208" t="s">
        <v>793</v>
      </c>
    </row>
    <row r="37" spans="1:5" ht="14.85" customHeight="1">
      <c r="A37" s="803" t="s">
        <v>223</v>
      </c>
      <c r="B37" s="208" t="s">
        <v>2643</v>
      </c>
    </row>
    <row r="38" spans="1:5" ht="14.85" customHeight="1"/>
    <row r="39" spans="1:5" ht="14.85" customHeight="1"/>
    <row r="40" spans="1:5" ht="14.85" customHeight="1"/>
    <row r="41" spans="1:5" ht="14.85" customHeight="1"/>
    <row r="42" spans="1:5" ht="14.85" customHeight="1"/>
    <row r="43" spans="1:5" ht="14.85" customHeight="1"/>
    <row r="44" spans="1:5" ht="14.85" customHeight="1"/>
    <row r="45" spans="1:5" ht="14.85" customHeight="1"/>
    <row r="46" spans="1:5" ht="14.85" customHeight="1"/>
    <row r="47" spans="1:5" ht="14.85" customHeight="1"/>
    <row r="48" spans="1:5" ht="14.85" customHeight="1"/>
    <row r="49" spans="2:2" ht="14.85" customHeight="1"/>
    <row r="50" spans="2:2" ht="14.85" customHeight="1"/>
    <row r="51" spans="2:2" ht="14.85" customHeight="1"/>
    <row r="52" spans="2:2" ht="14.85" customHeight="1"/>
    <row r="53" spans="2:2" ht="14.85" customHeight="1"/>
    <row r="54" spans="2:2" ht="14.85" customHeight="1"/>
    <row r="55" spans="2:2" ht="14.85" customHeight="1">
      <c r="B55" s="295"/>
    </row>
    <row r="56" spans="2:2" ht="14.85" customHeight="1">
      <c r="B56" s="514"/>
    </row>
    <row r="57" spans="2:2" ht="14.85" customHeight="1"/>
    <row r="58" spans="2:2" ht="14.85" customHeight="1"/>
    <row r="59" spans="2:2" ht="14.85" customHeight="1"/>
    <row r="60" spans="2:2" ht="14.85" customHeight="1"/>
    <row r="61" spans="2:2" ht="14.85" customHeight="1"/>
    <row r="62" spans="2:2" ht="14.85" customHeight="1"/>
    <row r="63" spans="2:2" ht="14.85" customHeight="1"/>
    <row r="64" spans="2:2"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row r="765" ht="14.85" customHeight="1"/>
  </sheetData>
  <conditionalFormatting sqref="B4:D4">
    <cfRule type="cellIs" dxfId="223" priority="7" stopIfTrue="1" operator="equal">
      <formula>"input"</formula>
    </cfRule>
  </conditionalFormatting>
  <conditionalFormatting sqref="E4">
    <cfRule type="cellIs" dxfId="222" priority="1" stopIfTrue="1" operator="equal">
      <formula>"input"</formula>
    </cfRule>
  </conditionalFormatting>
  <conditionalFormatting sqref="E4">
    <cfRule type="cellIs" dxfId="221" priority="2" stopIfTrue="1" operator="equal">
      <formula>"input"</formula>
    </cfRule>
  </conditionalFormatting>
  <pageMargins left="0.5" right="0.5" top="0.5" bottom="0.5" header="0.5" footer="0.5"/>
  <pageSetup fitToWidth="0" fitToHeight="0" orientation="landscape" r:id="rId1"/>
  <legacyDrawing r:id="rId2"/>
  <legacyDrawingHF r:id="rId3"/>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1500-000000000000}">
          <x14:formula1>
            <xm:f>'List Data'!$C$3:$C$6</xm:f>
          </x14:formula1>
          <xm:sqref>D19:E19 D32:E32</xm:sqref>
        </x14:dataValidation>
        <x14:dataValidation type="list" allowBlank="1" showInputMessage="1" showErrorMessage="1" xr:uid="{00000000-0002-0000-1500-000001000000}">
          <x14:formula1>
            <xm:f>'List Data'!$D$3:$D$5</xm:f>
          </x14:formula1>
          <xm:sqref>D25:E25</xm:sqref>
        </x14:dataValidation>
        <x14:dataValidation type="list" allowBlank="1" showInputMessage="1" showErrorMessage="1" xr:uid="{00000000-0002-0000-1500-000002000000}">
          <x14:formula1>
            <xm:f>'List Data'!$E$3:$E$5</xm:f>
          </x14:formula1>
          <xm:sqref>D26:E26</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8">
    <tabColor theme="3" tint="-0.499984740745262"/>
    <pageSetUpPr fitToPage="1"/>
  </sheetPr>
  <dimension ref="A6:G30"/>
  <sheetViews>
    <sheetView showGridLines="0" view="pageBreakPreview" zoomScale="80" zoomScaleNormal="100" zoomScaleSheetLayoutView="80" workbookViewId="0">
      <selection activeCell="D11" sqref="D11"/>
    </sheetView>
  </sheetViews>
  <sheetFormatPr defaultColWidth="9.33203125" defaultRowHeight="12.75"/>
  <cols>
    <col min="1" max="1" width="4.5" style="260" customWidth="1"/>
    <col min="2" max="2" width="3.83203125" style="260" customWidth="1"/>
    <col min="3" max="3" width="15.83203125" style="260" customWidth="1"/>
    <col min="4" max="4" width="108.83203125" style="300" customWidth="1"/>
    <col min="5" max="5" width="15.83203125" style="260" customWidth="1"/>
    <col min="6" max="6" width="3.83203125" style="260" customWidth="1"/>
    <col min="7" max="7" width="4.5" style="260" customWidth="1"/>
    <col min="8" max="8" width="9.33203125" style="260"/>
    <col min="9" max="9" width="16.33203125" style="260" bestFit="1" customWidth="1"/>
    <col min="10" max="10" width="19" style="260" bestFit="1" customWidth="1"/>
    <col min="11" max="16384" width="9.33203125" style="260"/>
  </cols>
  <sheetData>
    <row r="6" spans="1:7">
      <c r="B6" s="301"/>
      <c r="C6" s="442"/>
      <c r="D6" s="443"/>
      <c r="E6" s="442"/>
      <c r="F6" s="442"/>
    </row>
    <row r="7" spans="1:7" ht="13.5" thickBot="1">
      <c r="B7" s="301"/>
      <c r="C7" s="442"/>
      <c r="D7" s="443"/>
      <c r="E7" s="442"/>
      <c r="F7" s="442"/>
    </row>
    <row r="8" spans="1:7" s="185" customFormat="1" ht="15" thickTop="1">
      <c r="A8" s="260"/>
      <c r="B8" s="581"/>
      <c r="C8" s="582"/>
      <c r="D8" s="1245"/>
      <c r="E8" s="187"/>
      <c r="F8" s="187"/>
      <c r="G8" s="260"/>
    </row>
    <row r="9" spans="1:7" s="192" customFormat="1" ht="39.75">
      <c r="A9" s="260"/>
      <c r="B9" s="583"/>
      <c r="C9" s="584"/>
      <c r="D9" s="218" t="s">
        <v>387</v>
      </c>
      <c r="E9" s="191"/>
      <c r="F9" s="191"/>
      <c r="G9" s="260"/>
    </row>
    <row r="10" spans="1:7" s="185" customFormat="1" ht="15" thickBot="1">
      <c r="A10" s="260"/>
      <c r="B10" s="585"/>
      <c r="C10" s="586"/>
      <c r="D10" s="1249"/>
      <c r="E10" s="200"/>
      <c r="F10" s="200"/>
      <c r="G10" s="260"/>
    </row>
    <row r="11" spans="1:7" s="185" customFormat="1" ht="15" thickTop="1">
      <c r="A11" s="260"/>
      <c r="B11" s="260"/>
      <c r="C11" s="260"/>
      <c r="D11" s="300"/>
      <c r="E11" s="260"/>
      <c r="F11" s="260"/>
      <c r="G11" s="260"/>
    </row>
    <row r="12" spans="1:7" s="185" customFormat="1" ht="14.25">
      <c r="A12" s="260"/>
      <c r="B12" s="260"/>
      <c r="C12" s="260"/>
      <c r="D12" s="300"/>
      <c r="E12" s="260"/>
      <c r="F12" s="260"/>
      <c r="G12" s="260"/>
    </row>
    <row r="13" spans="1:7" s="185" customFormat="1" ht="18">
      <c r="A13" s="260"/>
      <c r="B13" s="260"/>
      <c r="C13" s="260"/>
      <c r="D13" s="203"/>
      <c r="E13" s="260"/>
      <c r="F13" s="260"/>
      <c r="G13" s="260"/>
    </row>
    <row r="14" spans="1:7" s="185" customFormat="1" ht="18">
      <c r="A14" s="260"/>
      <c r="B14" s="260"/>
      <c r="C14" s="260"/>
      <c r="D14" s="204"/>
      <c r="E14" s="260"/>
      <c r="F14" s="260"/>
      <c r="G14" s="260"/>
    </row>
    <row r="15" spans="1:7" s="185" customFormat="1" ht="14.25">
      <c r="A15" s="260"/>
      <c r="B15" s="260"/>
      <c r="C15" s="260"/>
      <c r="D15" s="300"/>
      <c r="E15" s="260"/>
      <c r="F15" s="260"/>
      <c r="G15" s="260"/>
    </row>
    <row r="16" spans="1:7" s="185" customFormat="1" ht="14.25">
      <c r="A16" s="260"/>
      <c r="B16" s="260"/>
      <c r="C16" s="260"/>
      <c r="D16" s="300"/>
      <c r="E16" s="260"/>
      <c r="F16" s="260"/>
      <c r="G16" s="260"/>
    </row>
    <row r="17" spans="1:7" s="185" customFormat="1" ht="14.25">
      <c r="A17" s="260"/>
      <c r="B17" s="260"/>
      <c r="C17" s="260"/>
      <c r="D17" s="300"/>
      <c r="E17" s="260"/>
      <c r="F17" s="260"/>
      <c r="G17" s="260"/>
    </row>
    <row r="18" spans="1:7" s="185" customFormat="1" ht="14.25">
      <c r="A18" s="260"/>
      <c r="B18" s="260"/>
      <c r="C18" s="260"/>
      <c r="D18" s="300"/>
      <c r="E18" s="260"/>
      <c r="F18" s="260"/>
      <c r="G18" s="260"/>
    </row>
    <row r="19" spans="1:7" s="185" customFormat="1" ht="14.25">
      <c r="A19" s="260"/>
      <c r="B19" s="260"/>
      <c r="C19" s="260"/>
      <c r="D19" s="300"/>
      <c r="E19" s="260"/>
      <c r="F19" s="260"/>
      <c r="G19" s="260"/>
    </row>
    <row r="20" spans="1:7" s="185" customFormat="1" ht="14.25">
      <c r="A20" s="260"/>
      <c r="B20" s="260"/>
      <c r="C20" s="260"/>
      <c r="D20" s="300"/>
      <c r="E20" s="260"/>
      <c r="F20" s="260"/>
      <c r="G20" s="260"/>
    </row>
    <row r="21" spans="1:7" s="185" customFormat="1" ht="14.25">
      <c r="A21" s="260"/>
      <c r="B21" s="260"/>
      <c r="C21" s="260"/>
      <c r="D21" s="300"/>
      <c r="E21" s="260"/>
      <c r="F21" s="260"/>
      <c r="G21" s="260"/>
    </row>
    <row r="22" spans="1:7" s="185" customFormat="1" ht="14.25">
      <c r="A22" s="260"/>
      <c r="B22" s="260"/>
      <c r="C22" s="260"/>
      <c r="D22" s="300"/>
      <c r="E22" s="260"/>
      <c r="F22" s="260"/>
      <c r="G22" s="260"/>
    </row>
    <row r="23" spans="1:7" s="185" customFormat="1" ht="14.25">
      <c r="A23" s="260"/>
      <c r="B23" s="260"/>
      <c r="C23" s="260"/>
      <c r="D23" s="300"/>
      <c r="E23" s="260"/>
      <c r="F23" s="260"/>
      <c r="G23" s="260"/>
    </row>
    <row r="24" spans="1:7" s="185" customFormat="1" ht="14.25">
      <c r="A24" s="260"/>
      <c r="B24" s="260"/>
      <c r="C24" s="260"/>
      <c r="D24" s="300"/>
      <c r="E24" s="260"/>
      <c r="F24" s="260"/>
      <c r="G24" s="260"/>
    </row>
    <row r="25" spans="1:7" s="185" customFormat="1" ht="14.25">
      <c r="A25" s="260"/>
      <c r="B25" s="260"/>
      <c r="C25" s="260"/>
      <c r="D25" s="300"/>
      <c r="E25" s="260"/>
      <c r="F25" s="260"/>
      <c r="G25" s="260"/>
    </row>
    <row r="26" spans="1:7" s="185" customFormat="1" ht="14.25">
      <c r="A26" s="260"/>
      <c r="B26" s="260"/>
      <c r="C26" s="260"/>
      <c r="D26" s="300"/>
      <c r="E26" s="260"/>
      <c r="F26" s="260"/>
      <c r="G26" s="260"/>
    </row>
    <row r="27" spans="1:7" s="185" customFormat="1" ht="23.25">
      <c r="A27" s="260"/>
      <c r="B27" s="260"/>
      <c r="C27" s="260"/>
      <c r="D27" s="205"/>
      <c r="E27" s="260"/>
      <c r="F27" s="260"/>
      <c r="G27" s="260"/>
    </row>
    <row r="28" spans="1:7" s="185" customFormat="1" ht="14.25">
      <c r="A28" s="260"/>
      <c r="B28" s="260"/>
      <c r="C28" s="260"/>
      <c r="D28" s="300"/>
      <c r="E28" s="260"/>
      <c r="F28" s="260"/>
      <c r="G28" s="260"/>
    </row>
    <row r="29" spans="1:7" s="185" customFormat="1" ht="18">
      <c r="A29" s="260"/>
      <c r="B29" s="260"/>
      <c r="C29" s="260"/>
      <c r="D29" s="206"/>
      <c r="E29" s="260"/>
      <c r="F29" s="260"/>
      <c r="G29" s="260"/>
    </row>
    <row r="30" spans="1:7" s="185" customFormat="1" ht="36">
      <c r="A30" s="260"/>
      <c r="B30" s="260"/>
      <c r="C30" s="260"/>
      <c r="D30" s="207" t="s">
        <v>374</v>
      </c>
      <c r="E30" s="260"/>
      <c r="F30" s="260"/>
      <c r="G30" s="260"/>
    </row>
  </sheetData>
  <pageMargins left="0.5" right="0.5" top="0.5" bottom="0.5" header="0.5" footer="0.5"/>
  <pageSetup scale="98" orientation="landscape"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AA55"/>
  <sheetViews>
    <sheetView showGridLines="0" view="pageBreakPreview" zoomScale="80" zoomScaleNormal="100" zoomScaleSheetLayoutView="80" workbookViewId="0">
      <selection activeCell="D11" sqref="D11"/>
    </sheetView>
  </sheetViews>
  <sheetFormatPr defaultColWidth="10.6640625" defaultRowHeight="12.75" outlineLevelCol="1"/>
  <cols>
    <col min="1" max="1" width="4.5" style="1628" customWidth="1"/>
    <col min="2" max="4" width="26.5" style="1628" customWidth="1"/>
    <col min="5" max="5" width="4.33203125" style="1628" customWidth="1"/>
    <col min="6" max="8" width="15" style="1628" customWidth="1"/>
    <col min="9" max="9" width="11" style="1628" customWidth="1"/>
    <col min="10" max="10" width="11.83203125" style="1628" customWidth="1"/>
    <col min="11" max="11" width="4.5" style="1628" hidden="1" customWidth="1" outlineLevel="1"/>
    <col min="12" max="14" width="15" style="1628" hidden="1" customWidth="1" outlineLevel="1"/>
    <col min="15" max="15" width="11" style="1628" hidden="1" customWidth="1" outlineLevel="1"/>
    <col min="16" max="16" width="11.83203125" style="1628" hidden="1" customWidth="1" outlineLevel="1"/>
    <col min="17" max="17" width="4.33203125" style="1628" hidden="1" customWidth="1" outlineLevel="1"/>
    <col min="18" max="19" width="15" style="1628" hidden="1" customWidth="1" outlineLevel="1"/>
    <col min="20" max="20" width="39" style="1628" hidden="1" customWidth="1" outlineLevel="1"/>
    <col min="21" max="21" width="11" style="1628" hidden="1" customWidth="1" outlineLevel="1"/>
    <col min="22" max="22" width="40.5" style="1628" hidden="1" customWidth="1" outlineLevel="1"/>
    <col min="23" max="23" width="4.5" style="1628" customWidth="1" collapsed="1"/>
    <col min="24" max="16384" width="10.6640625" style="1628"/>
  </cols>
  <sheetData>
    <row r="1" spans="2:27" ht="10.7" customHeight="1" thickBot="1">
      <c r="B1" s="1626"/>
      <c r="C1" s="1627"/>
      <c r="D1" s="1627"/>
      <c r="E1" s="1627"/>
      <c r="F1" s="1627"/>
      <c r="G1" s="1627"/>
      <c r="H1" s="1627"/>
      <c r="I1" s="1627"/>
    </row>
    <row r="2" spans="2:27" ht="16.5" customHeight="1" thickTop="1">
      <c r="B2" s="216" t="str">
        <f>'MASTER PubCo Inputs'!$C$5</f>
        <v>Medikine, Inc.</v>
      </c>
      <c r="C2" s="1253"/>
      <c r="D2" s="1253"/>
      <c r="E2" s="1253"/>
      <c r="F2" s="1253"/>
      <c r="G2" s="1253"/>
      <c r="H2" s="1253"/>
      <c r="I2" s="1253"/>
      <c r="J2" s="1253"/>
      <c r="K2" s="1253"/>
      <c r="L2" s="1253"/>
      <c r="M2" s="1253"/>
      <c r="N2" s="1253"/>
      <c r="O2" s="1253"/>
      <c r="P2" s="1253"/>
      <c r="Q2" s="1253"/>
      <c r="R2" s="1253"/>
      <c r="S2" s="1253"/>
      <c r="T2" s="1253"/>
      <c r="U2" s="1253"/>
      <c r="V2" s="1253"/>
    </row>
    <row r="3" spans="2:27" ht="15">
      <c r="B3" s="217" t="str">
        <f>VLOOKUP(B4,Outline!$E$8:$G$79,COLUMNS(Outline!$E$8:$G$8),FALSE)</f>
        <v>Exhibit G.1</v>
      </c>
      <c r="C3" s="1629"/>
      <c r="D3" s="1629"/>
      <c r="E3" s="1629"/>
      <c r="F3" s="1629"/>
      <c r="G3" s="1629"/>
      <c r="H3" s="1629"/>
      <c r="I3" s="1629"/>
      <c r="J3" s="1629"/>
      <c r="K3" s="1629"/>
      <c r="L3" s="1629"/>
      <c r="M3" s="1629"/>
      <c r="N3" s="1629"/>
      <c r="O3" s="1629"/>
      <c r="P3" s="1629"/>
      <c r="Q3" s="1629"/>
      <c r="R3" s="1629"/>
      <c r="S3" s="1629"/>
      <c r="T3" s="1629"/>
      <c r="U3" s="1629"/>
      <c r="V3" s="1629"/>
    </row>
    <row r="4" spans="2:27" ht="16.5" customHeight="1" thickBot="1">
      <c r="B4" s="444" t="s">
        <v>2447</v>
      </c>
      <c r="C4" s="1255"/>
      <c r="D4" s="1255"/>
      <c r="E4" s="1255"/>
      <c r="F4" s="1255"/>
      <c r="G4" s="1255"/>
      <c r="H4" s="1255"/>
      <c r="I4" s="1255"/>
      <c r="J4" s="1255"/>
      <c r="K4" s="1255"/>
      <c r="L4" s="1255"/>
      <c r="M4" s="1255"/>
      <c r="N4" s="1255"/>
      <c r="O4" s="1255"/>
      <c r="P4" s="1255"/>
      <c r="Q4" s="1255"/>
      <c r="R4" s="1255"/>
      <c r="S4" s="1255"/>
      <c r="T4" s="1255"/>
      <c r="U4" s="1255"/>
      <c r="V4" s="1255"/>
    </row>
    <row r="5" spans="2:27" s="1631" customFormat="1" ht="13.5" thickTop="1">
      <c r="B5" s="1630"/>
      <c r="C5" s="1630"/>
      <c r="D5" s="1630"/>
      <c r="E5" s="1627"/>
      <c r="F5" s="1630"/>
      <c r="G5" s="1630"/>
      <c r="H5" s="1630"/>
      <c r="I5" s="1630"/>
      <c r="J5" s="1630"/>
      <c r="K5" s="1630"/>
      <c r="L5" s="1630"/>
      <c r="M5" s="1630"/>
      <c r="N5" s="1630"/>
      <c r="O5" s="1630"/>
      <c r="P5" s="1630"/>
      <c r="Q5" s="1630"/>
      <c r="R5" s="1630"/>
      <c r="S5" s="1630"/>
      <c r="T5" s="1630"/>
      <c r="U5" s="1630"/>
      <c r="V5" s="1630"/>
    </row>
    <row r="6" spans="2:27">
      <c r="B6" s="1632" t="s">
        <v>2448</v>
      </c>
      <c r="D6" s="1632"/>
      <c r="E6" s="1627"/>
      <c r="F6" s="1632" t="s">
        <v>2570</v>
      </c>
      <c r="G6" s="1632"/>
      <c r="H6" s="1632"/>
      <c r="I6" s="1630"/>
      <c r="J6" s="1630"/>
      <c r="K6" s="1630"/>
      <c r="L6" s="1632" t="s">
        <v>2449</v>
      </c>
      <c r="M6" s="1632"/>
      <c r="N6" s="1632"/>
      <c r="O6" s="1630"/>
      <c r="P6" s="1630"/>
      <c r="S6" s="1632"/>
      <c r="T6" s="1632" t="s">
        <v>2450</v>
      </c>
      <c r="U6" s="1630"/>
      <c r="V6" s="1630"/>
    </row>
    <row r="7" spans="2:27" s="1643" customFormat="1" ht="38.25">
      <c r="B7" s="1633" t="s">
        <v>112</v>
      </c>
      <c r="C7" s="1634" t="s">
        <v>111</v>
      </c>
      <c r="D7" s="1635" t="s">
        <v>594</v>
      </c>
      <c r="E7" s="1636"/>
      <c r="F7" s="1637" t="s">
        <v>1026</v>
      </c>
      <c r="G7" s="1638" t="s">
        <v>729</v>
      </c>
      <c r="H7" s="1638" t="s">
        <v>2451</v>
      </c>
      <c r="I7" s="1638" t="s">
        <v>2232</v>
      </c>
      <c r="J7" s="1639" t="s">
        <v>2452</v>
      </c>
      <c r="K7" s="1640"/>
      <c r="L7" s="1637" t="s">
        <v>1026</v>
      </c>
      <c r="M7" s="1638" t="s">
        <v>729</v>
      </c>
      <c r="N7" s="1638" t="s">
        <v>2451</v>
      </c>
      <c r="O7" s="1638" t="s">
        <v>2232</v>
      </c>
      <c r="P7" s="1639" t="s">
        <v>2452</v>
      </c>
      <c r="Q7" s="1636"/>
      <c r="R7" s="1637" t="s">
        <v>1026</v>
      </c>
      <c r="S7" s="1638" t="s">
        <v>729</v>
      </c>
      <c r="T7" s="1641" t="s">
        <v>2453</v>
      </c>
      <c r="U7" s="1638" t="s">
        <v>2232</v>
      </c>
      <c r="V7" s="1639" t="s">
        <v>2452</v>
      </c>
      <c r="W7" s="1642"/>
    </row>
    <row r="8" spans="2:27" s="1643" customFormat="1">
      <c r="B8" s="1644">
        <v>0</v>
      </c>
      <c r="C8" s="1645">
        <v>0</v>
      </c>
      <c r="D8" s="1646"/>
      <c r="E8" s="1636"/>
      <c r="F8" s="1647"/>
      <c r="G8" s="1648"/>
      <c r="H8" s="1649">
        <v>0.49099999999999999</v>
      </c>
      <c r="I8" s="1650"/>
      <c r="J8" s="1651">
        <v>0</v>
      </c>
      <c r="K8" s="1640"/>
      <c r="L8" s="1647"/>
      <c r="M8" s="1648"/>
      <c r="N8" s="1649">
        <v>0.46560000000000001</v>
      </c>
      <c r="O8" s="1650"/>
      <c r="P8" s="1651">
        <v>0</v>
      </c>
      <c r="Q8" s="1628"/>
      <c r="R8" s="1652"/>
      <c r="S8" s="1653"/>
      <c r="T8" s="1654">
        <v>0.4471</v>
      </c>
      <c r="U8" s="1655"/>
      <c r="V8" s="1656">
        <v>0</v>
      </c>
      <c r="W8" s="1642"/>
    </row>
    <row r="9" spans="2:27">
      <c r="B9" s="1644">
        <v>0</v>
      </c>
      <c r="C9" s="1645">
        <v>0.25</v>
      </c>
      <c r="D9" s="1657">
        <f t="shared" ref="D9:D19" si="0">AVERAGE(B9:C9)</f>
        <v>0.125</v>
      </c>
      <c r="F9" s="1658">
        <v>7.0000000000000001E-3</v>
      </c>
      <c r="G9" s="1659">
        <v>0.151</v>
      </c>
      <c r="H9" s="1659">
        <v>0.10680000000000001</v>
      </c>
      <c r="I9" s="1660"/>
      <c r="J9" s="1661"/>
      <c r="K9" s="1660"/>
      <c r="L9" s="1658">
        <v>8.0000000000000002E-3</v>
      </c>
      <c r="M9" s="1659">
        <v>0.20200000000000001</v>
      </c>
      <c r="N9" s="1659">
        <v>0.13339999999999999</v>
      </c>
      <c r="O9" s="1660"/>
      <c r="P9" s="1661"/>
      <c r="R9" s="1654">
        <v>5.0000000000000001E-3</v>
      </c>
      <c r="S9" s="1662">
        <v>0.216</v>
      </c>
      <c r="T9" s="1654">
        <v>0.13539999999999999</v>
      </c>
      <c r="U9" s="1655"/>
      <c r="V9" s="1663"/>
      <c r="W9" s="1630"/>
    </row>
    <row r="10" spans="2:27">
      <c r="B10" s="1644">
        <v>0.25</v>
      </c>
      <c r="C10" s="1645">
        <v>0.5</v>
      </c>
      <c r="D10" s="1657">
        <f t="shared" si="0"/>
        <v>0.375</v>
      </c>
      <c r="F10" s="1658">
        <v>1.6E-2</v>
      </c>
      <c r="G10" s="1659">
        <v>9.2999999999999999E-2</v>
      </c>
      <c r="H10" s="1659">
        <v>7.6899999999999996E-2</v>
      </c>
      <c r="I10" s="1664" t="s">
        <v>2454</v>
      </c>
      <c r="J10" s="1665" t="s">
        <v>2454</v>
      </c>
      <c r="K10" s="1660"/>
      <c r="L10" s="1658">
        <v>1.0999999999999999E-2</v>
      </c>
      <c r="M10" s="1659">
        <v>0.112</v>
      </c>
      <c r="N10" s="1659">
        <v>7.9500000000000001E-2</v>
      </c>
      <c r="O10" s="1664" t="s">
        <v>2454</v>
      </c>
      <c r="P10" s="1665"/>
      <c r="R10" s="1658">
        <v>1.4E-2</v>
      </c>
      <c r="S10" s="1659">
        <v>0.13200000000000001</v>
      </c>
      <c r="T10" s="1658">
        <v>7.8799999999999995E-2</v>
      </c>
      <c r="U10" s="1664" t="s">
        <v>2454</v>
      </c>
      <c r="V10" s="1665"/>
      <c r="W10" s="1630"/>
    </row>
    <row r="11" spans="2:27">
      <c r="B11" s="1644">
        <f t="shared" ref="B11:B20" si="1">C10</f>
        <v>0.5</v>
      </c>
      <c r="C11" s="1645">
        <v>1</v>
      </c>
      <c r="D11" s="1657">
        <f t="shared" si="0"/>
        <v>0.75</v>
      </c>
      <c r="F11" s="1666">
        <v>3.9E-2</v>
      </c>
      <c r="G11" s="1667">
        <v>0.13600000000000001</v>
      </c>
      <c r="H11" s="1667">
        <v>6.7400000000000002E-2</v>
      </c>
      <c r="I11" s="1668">
        <f>SUM(H8:H11)</f>
        <v>0.74209999999999998</v>
      </c>
      <c r="J11" s="1669">
        <f>SUMPRODUCT(H9:H11,$D$9:$D$11)/SUM(H9:H11)</f>
        <v>0.36932497013142174</v>
      </c>
      <c r="K11" s="1660"/>
      <c r="L11" s="1666">
        <v>6.4000000000000001E-2</v>
      </c>
      <c r="M11" s="1667">
        <v>0.14499999999999999</v>
      </c>
      <c r="N11" s="1667">
        <v>6.54E-2</v>
      </c>
      <c r="O11" s="1668">
        <f>SUM(N8:N11)</f>
        <v>0.74390000000000001</v>
      </c>
      <c r="P11" s="1669">
        <f>SUMPRODUCT(N9:N11,$D$9:$D$11)/SUM(N9:N11)</f>
        <v>0.34328961552281712</v>
      </c>
      <c r="R11" s="1658">
        <v>8.2000000000000003E-2</v>
      </c>
      <c r="S11" s="1659">
        <v>0.152</v>
      </c>
      <c r="T11" s="1658">
        <v>6.9199999999999998E-2</v>
      </c>
      <c r="U11" s="1670">
        <f>SUM(T8:T11)</f>
        <v>0.73050000000000004</v>
      </c>
      <c r="V11" s="1671"/>
      <c r="W11" s="1630"/>
      <c r="X11" s="1858"/>
      <c r="Y11" s="1859"/>
    </row>
    <row r="12" spans="2:27">
      <c r="B12" s="1644">
        <f t="shared" si="1"/>
        <v>1</v>
      </c>
      <c r="C12" s="1645">
        <v>1.5</v>
      </c>
      <c r="D12" s="1657">
        <f t="shared" si="0"/>
        <v>1.25</v>
      </c>
      <c r="F12" s="1654">
        <v>6.5000000000000002E-2</v>
      </c>
      <c r="G12" s="1662">
        <v>0.107</v>
      </c>
      <c r="H12" s="1662">
        <v>3.5299999999999998E-2</v>
      </c>
      <c r="I12" s="1672" t="s">
        <v>2455</v>
      </c>
      <c r="J12" s="1673" t="s">
        <v>2455</v>
      </c>
      <c r="K12" s="1660"/>
      <c r="L12" s="1654">
        <v>9.9000000000000005E-2</v>
      </c>
      <c r="M12" s="1662">
        <v>0.09</v>
      </c>
      <c r="N12" s="1662">
        <v>3.6900000000000002E-2</v>
      </c>
      <c r="O12" s="1672" t="s">
        <v>2455</v>
      </c>
      <c r="P12" s="1673"/>
      <c r="R12" s="1666">
        <v>0.14099999999999999</v>
      </c>
      <c r="S12" s="1667">
        <v>0.10199999999999999</v>
      </c>
      <c r="T12" s="1666">
        <v>4.9399999999999999E-2</v>
      </c>
      <c r="U12" s="1674" t="s">
        <v>2455</v>
      </c>
      <c r="V12" s="1669">
        <f>SUMPRODUCT(T9:T12,$D$9:$D$12)/SUM(T9:T11)</f>
        <v>0.56501411432604098</v>
      </c>
      <c r="W12" s="1630"/>
    </row>
    <row r="13" spans="2:27">
      <c r="B13" s="1644">
        <f t="shared" si="1"/>
        <v>1.5</v>
      </c>
      <c r="C13" s="1645">
        <v>2</v>
      </c>
      <c r="D13" s="1657">
        <f t="shared" si="0"/>
        <v>1.75</v>
      </c>
      <c r="F13" s="1666">
        <v>6.6000000000000003E-2</v>
      </c>
      <c r="G13" s="1667">
        <v>8.2000000000000003E-2</v>
      </c>
      <c r="H13" s="1667">
        <v>2.6200000000000001E-2</v>
      </c>
      <c r="I13" s="1668">
        <f>SUM(H12:H13)</f>
        <v>6.1499999999999999E-2</v>
      </c>
      <c r="J13" s="1669">
        <f>SUMPRODUCT(H12:H13,$D$12:$D$13)/SUM(H12:H13)</f>
        <v>1.4630081300813009</v>
      </c>
      <c r="K13" s="1660"/>
      <c r="L13" s="1666">
        <v>9.9000000000000005E-2</v>
      </c>
      <c r="M13" s="1667">
        <v>8.8999999999999996E-2</v>
      </c>
      <c r="N13" s="1667">
        <v>3.3099999999999997E-2</v>
      </c>
      <c r="O13" s="1668">
        <f>SUM(N12:N13)</f>
        <v>7.0000000000000007E-2</v>
      </c>
      <c r="P13" s="1669">
        <f>SUMPRODUCT(N12:N13,$D$12:$D$13)/SUM(N12:N13)</f>
        <v>1.4864285714285714</v>
      </c>
      <c r="R13" s="1654">
        <v>0.13</v>
      </c>
      <c r="S13" s="1662">
        <v>8.6999999999999994E-2</v>
      </c>
      <c r="T13" s="1654">
        <v>4.1099999999999998E-2</v>
      </c>
      <c r="U13" s="1675">
        <f>SUM(T12:T13)</f>
        <v>9.0499999999999997E-2</v>
      </c>
      <c r="V13" s="1676"/>
      <c r="W13" s="1630"/>
      <c r="X13" s="1858"/>
      <c r="Y13" s="1859"/>
      <c r="AA13" s="1860"/>
    </row>
    <row r="14" spans="2:27">
      <c r="B14" s="1644">
        <f t="shared" si="1"/>
        <v>2</v>
      </c>
      <c r="C14" s="1645">
        <v>3</v>
      </c>
      <c r="D14" s="1657">
        <f t="shared" si="0"/>
        <v>2.5</v>
      </c>
      <c r="F14" s="1654">
        <v>0.121</v>
      </c>
      <c r="G14" s="1662">
        <v>0.108</v>
      </c>
      <c r="H14" s="1662">
        <v>3.6499999999999998E-2</v>
      </c>
      <c r="I14" s="1655"/>
      <c r="J14" s="1663"/>
      <c r="K14" s="1660"/>
      <c r="L14" s="1654">
        <v>0.154</v>
      </c>
      <c r="M14" s="1662">
        <v>0.10199999999999999</v>
      </c>
      <c r="N14" s="1662">
        <v>4.3900000000000002E-2</v>
      </c>
      <c r="O14" s="1655"/>
      <c r="P14" s="1663"/>
      <c r="R14" s="1658">
        <v>0.192</v>
      </c>
      <c r="S14" s="1659">
        <v>0.113</v>
      </c>
      <c r="T14" s="1658">
        <v>5.7299999999999997E-2</v>
      </c>
      <c r="U14" s="1660"/>
      <c r="V14" s="1661"/>
      <c r="W14" s="1630"/>
    </row>
    <row r="15" spans="2:27">
      <c r="B15" s="1644">
        <f t="shared" si="1"/>
        <v>3</v>
      </c>
      <c r="C15" s="1645">
        <v>5</v>
      </c>
      <c r="D15" s="1657">
        <f t="shared" si="0"/>
        <v>4</v>
      </c>
      <c r="F15" s="1658">
        <v>0.15</v>
      </c>
      <c r="G15" s="1659">
        <v>0.114</v>
      </c>
      <c r="H15" s="1659">
        <v>3.9899999999999998E-2</v>
      </c>
      <c r="I15" s="1677" t="s">
        <v>2456</v>
      </c>
      <c r="J15" s="1678" t="s">
        <v>2456</v>
      </c>
      <c r="K15" s="1660"/>
      <c r="L15" s="1658">
        <v>0.19800000000000001</v>
      </c>
      <c r="M15" s="1659">
        <v>0.13100000000000001</v>
      </c>
      <c r="N15" s="1659">
        <v>5.4600000000000003E-2</v>
      </c>
      <c r="O15" s="1677" t="s">
        <v>2456</v>
      </c>
      <c r="P15" s="1678"/>
      <c r="R15" s="1658">
        <v>0.23499999999999999</v>
      </c>
      <c r="S15" s="1659">
        <v>0.111</v>
      </c>
      <c r="T15" s="1658">
        <v>6.5699999999999995E-2</v>
      </c>
      <c r="U15" s="1677" t="s">
        <v>2456</v>
      </c>
      <c r="V15" s="1678"/>
      <c r="W15" s="1627"/>
    </row>
    <row r="16" spans="2:27">
      <c r="B16" s="1644">
        <f t="shared" si="1"/>
        <v>5</v>
      </c>
      <c r="C16" s="1645">
        <v>10</v>
      </c>
      <c r="D16" s="1657">
        <f t="shared" si="0"/>
        <v>7.5</v>
      </c>
      <c r="F16" s="1666">
        <v>0.24299999999999999</v>
      </c>
      <c r="G16" s="1667">
        <v>0.114</v>
      </c>
      <c r="H16" s="1667">
        <v>5.6599999999999998E-2</v>
      </c>
      <c r="I16" s="1668">
        <f>SUM(H14:H16)</f>
        <v>0.13300000000000001</v>
      </c>
      <c r="J16" s="1669">
        <f>SUMPRODUCT(H14:H16,$D$14:$D$16)/SUM(H14:H16)</f>
        <v>5.0778195488721805</v>
      </c>
      <c r="K16" s="1660"/>
      <c r="L16" s="1666">
        <v>0.22</v>
      </c>
      <c r="M16" s="1667">
        <v>8.3000000000000004E-2</v>
      </c>
      <c r="N16" s="1667">
        <v>5.3499999999999999E-2</v>
      </c>
      <c r="O16" s="1668">
        <f>SUM(N14:N16)</f>
        <v>0.152</v>
      </c>
      <c r="P16" s="1669">
        <f>SUMPRODUCT(N14:N16,$D$14:$D$16)/SUM(N14:N16)</f>
        <v>4.7986842105263161</v>
      </c>
      <c r="R16" s="1666">
        <v>0.14499999999999999</v>
      </c>
      <c r="S16" s="1667">
        <v>6.6000000000000003E-2</v>
      </c>
      <c r="T16" s="1666">
        <v>3.9800000000000002E-2</v>
      </c>
      <c r="U16" s="1668">
        <f>SUM(T14:T16)</f>
        <v>0.1628</v>
      </c>
      <c r="V16" s="1669">
        <f>SUMPRODUCT(T13:T16,$D$13:$D$16)/SUM(T13:T16)</f>
        <v>3.808116723884257</v>
      </c>
      <c r="W16" s="1627"/>
    </row>
    <row r="17" spans="1:23">
      <c r="B17" s="1644">
        <f t="shared" si="1"/>
        <v>10</v>
      </c>
      <c r="C17" s="1645">
        <v>20</v>
      </c>
      <c r="D17" s="1657">
        <f t="shared" si="0"/>
        <v>15</v>
      </c>
      <c r="F17" s="1658">
        <v>0.156</v>
      </c>
      <c r="G17" s="1659">
        <v>5.6000000000000001E-2</v>
      </c>
      <c r="H17" s="1659">
        <v>3.4099999999999998E-2</v>
      </c>
      <c r="I17" s="1664"/>
      <c r="J17" s="1665"/>
      <c r="K17" s="1660"/>
      <c r="L17" s="1658">
        <v>0.104</v>
      </c>
      <c r="M17" s="1659">
        <v>0.03</v>
      </c>
      <c r="N17" s="1659">
        <v>2.4299999999999999E-2</v>
      </c>
      <c r="O17" s="1664"/>
      <c r="P17" s="1665"/>
      <c r="R17" s="1658">
        <v>4.5999999999999999E-2</v>
      </c>
      <c r="S17" s="1659">
        <v>1.2E-2</v>
      </c>
      <c r="T17" s="1658">
        <v>1.14E-2</v>
      </c>
      <c r="U17" s="1664"/>
      <c r="V17" s="1665"/>
      <c r="W17" s="1630"/>
    </row>
    <row r="18" spans="1:23">
      <c r="B18" s="1644">
        <f t="shared" si="1"/>
        <v>20</v>
      </c>
      <c r="C18" s="1645">
        <v>50</v>
      </c>
      <c r="D18" s="1657">
        <f t="shared" si="0"/>
        <v>35</v>
      </c>
      <c r="F18" s="1658">
        <v>0.105</v>
      </c>
      <c r="G18" s="1659">
        <v>0.03</v>
      </c>
      <c r="H18" s="1659">
        <v>2.24E-2</v>
      </c>
      <c r="I18" s="1664"/>
      <c r="J18" s="1665"/>
      <c r="K18" s="1660"/>
      <c r="L18" s="1658">
        <v>3.5999999999999997E-2</v>
      </c>
      <c r="M18" s="1659">
        <v>1.0999999999999999E-2</v>
      </c>
      <c r="N18" s="1659">
        <v>8.2000000000000007E-3</v>
      </c>
      <c r="O18" s="1664"/>
      <c r="P18" s="1665"/>
      <c r="R18" s="1658">
        <v>1.0999999999999999E-2</v>
      </c>
      <c r="S18" s="1659">
        <v>8.9999999999999993E-3</v>
      </c>
      <c r="T18" s="1658">
        <v>4.3E-3</v>
      </c>
      <c r="U18" s="1664"/>
      <c r="V18" s="1665"/>
      <c r="W18" s="1630"/>
    </row>
    <row r="19" spans="1:23">
      <c r="B19" s="1644">
        <f t="shared" si="1"/>
        <v>50</v>
      </c>
      <c r="C19" s="1645">
        <v>100</v>
      </c>
      <c r="D19" s="1657">
        <f t="shared" si="0"/>
        <v>75</v>
      </c>
      <c r="F19" s="1658">
        <v>2.4E-2</v>
      </c>
      <c r="G19" s="1659">
        <v>6.0000000000000001E-3</v>
      </c>
      <c r="H19" s="1659">
        <v>4.8999999999999998E-3</v>
      </c>
      <c r="I19" s="1664" t="s">
        <v>2457</v>
      </c>
      <c r="J19" s="1665" t="s">
        <v>2457</v>
      </c>
      <c r="K19" s="1660"/>
      <c r="L19" s="1658">
        <v>5.0000000000000001E-3</v>
      </c>
      <c r="M19" s="1659">
        <v>3.0000000000000001E-3</v>
      </c>
      <c r="N19" s="1659">
        <v>1.4E-3</v>
      </c>
      <c r="O19" s="1664" t="s">
        <v>2457</v>
      </c>
      <c r="P19" s="1665"/>
      <c r="R19" s="1658">
        <v>1E-3</v>
      </c>
      <c r="S19" s="1659">
        <v>1E-3</v>
      </c>
      <c r="T19" s="1658">
        <v>5.0000000000000001E-4</v>
      </c>
      <c r="U19" s="1664" t="s">
        <v>2457</v>
      </c>
      <c r="V19" s="1665"/>
      <c r="W19" s="1630"/>
    </row>
    <row r="20" spans="1:23">
      <c r="B20" s="1679">
        <f t="shared" si="1"/>
        <v>100</v>
      </c>
      <c r="C20" s="1680"/>
      <c r="D20" s="1681">
        <v>150</v>
      </c>
      <c r="F20" s="1666">
        <v>8.0000000000000002E-3</v>
      </c>
      <c r="G20" s="1667">
        <v>3.0000000000000001E-3</v>
      </c>
      <c r="H20" s="1667">
        <v>1.9E-3</v>
      </c>
      <c r="I20" s="1682">
        <f>SUM(H17:H20)</f>
        <v>6.3299999999999995E-2</v>
      </c>
      <c r="J20" s="1669">
        <f>SUMPRODUCT(H17:H20,$D$17:$D$20)/SUM(H17:H20)</f>
        <v>30.774091627172197</v>
      </c>
      <c r="K20" s="1660"/>
      <c r="L20" s="1666">
        <v>1E-3</v>
      </c>
      <c r="M20" s="1667">
        <v>1E-3</v>
      </c>
      <c r="N20" s="1667">
        <v>2.9999999999999997E-4</v>
      </c>
      <c r="O20" s="1682">
        <f>SUM(N17:N20)</f>
        <v>3.4200000000000001E-2</v>
      </c>
      <c r="P20" s="1669">
        <f>SUMPRODUCT(N17:N20,$D$17:$D$20)/SUM(N17:N20)</f>
        <v>23.435672514619881</v>
      </c>
      <c r="R20" s="1666">
        <v>0</v>
      </c>
      <c r="S20" s="1667">
        <v>0</v>
      </c>
      <c r="T20" s="1666">
        <v>0</v>
      </c>
      <c r="U20" s="1682">
        <f>SUM(T17:T20)</f>
        <v>1.6199999999999999E-2</v>
      </c>
      <c r="V20" s="1669">
        <f>SUMPRODUCT(T17:T20,$D$17:$D$20)/SUM(T17:T20)</f>
        <v>22.160493827160494</v>
      </c>
      <c r="W20" s="1630"/>
    </row>
    <row r="21" spans="1:23">
      <c r="F21" s="1683">
        <f>SUM(F8:F20)</f>
        <v>1</v>
      </c>
      <c r="G21" s="1684">
        <f>SUM(G8:G20)</f>
        <v>1</v>
      </c>
      <c r="H21" s="1685">
        <f>SUM(H8:H20)</f>
        <v>0.99990000000000001</v>
      </c>
      <c r="I21" s="1630"/>
      <c r="J21" s="1630"/>
      <c r="K21" s="1660"/>
      <c r="L21" s="1683">
        <f>SUM(L8:L20)</f>
        <v>0.999</v>
      </c>
      <c r="M21" s="1684">
        <f>SUM(M8:M20)</f>
        <v>0.99899999999999989</v>
      </c>
      <c r="N21" s="1685">
        <f>SUM(N8:N20)</f>
        <v>1.0001</v>
      </c>
      <c r="O21" s="1630"/>
      <c r="P21" s="1630"/>
      <c r="R21" s="1683">
        <f>SUM(R8:R20)</f>
        <v>1.002</v>
      </c>
      <c r="S21" s="1684">
        <f>SUM(S8:S20)</f>
        <v>1.0009999999999999</v>
      </c>
      <c r="T21" s="1686">
        <f>SUM(T8:T20)</f>
        <v>0.99999999999999989</v>
      </c>
      <c r="U21" s="1630"/>
      <c r="V21" s="1630"/>
      <c r="W21" s="1630"/>
    </row>
    <row r="22" spans="1:23">
      <c r="F22" s="1862"/>
      <c r="G22" s="1862"/>
      <c r="H22" s="1862"/>
      <c r="I22" s="1630"/>
      <c r="J22" s="1630"/>
      <c r="K22" s="1660"/>
      <c r="L22" s="1862"/>
      <c r="M22" s="1862"/>
      <c r="N22" s="1862"/>
      <c r="O22" s="1630"/>
      <c r="P22" s="1630"/>
      <c r="R22" s="1862"/>
      <c r="S22" s="1862"/>
      <c r="T22" s="1862"/>
      <c r="U22" s="1630"/>
      <c r="V22" s="1630"/>
      <c r="W22" s="1630"/>
    </row>
    <row r="23" spans="1:23" ht="25.5">
      <c r="B23" s="1863"/>
      <c r="C23" s="1864" t="s">
        <v>2569</v>
      </c>
      <c r="D23" s="1865" t="s">
        <v>1554</v>
      </c>
      <c r="E23" s="1627"/>
      <c r="F23" s="1861"/>
      <c r="K23" s="1630"/>
      <c r="W23" s="1630"/>
    </row>
    <row r="24" spans="1:23">
      <c r="B24" s="1866" t="s">
        <v>2103</v>
      </c>
      <c r="C24" s="1168">
        <f>CVM!J14</f>
        <v>0.23591212989493793</v>
      </c>
      <c r="D24" s="1868">
        <f>J11</f>
        <v>0.36932497013142174</v>
      </c>
      <c r="E24" s="1627"/>
      <c r="K24" s="1630"/>
      <c r="W24" s="1630"/>
    </row>
    <row r="25" spans="1:23">
      <c r="B25" s="1866"/>
      <c r="C25" s="1645"/>
      <c r="D25" s="1867"/>
      <c r="E25" s="1627"/>
      <c r="K25" s="1630"/>
      <c r="W25" s="1630"/>
    </row>
    <row r="26" spans="1:23">
      <c r="B26" s="1866" t="s">
        <v>2104</v>
      </c>
      <c r="C26" s="1168">
        <f>CVM!J15</f>
        <v>0.76408787010506218</v>
      </c>
      <c r="D26" s="1868">
        <f>J13</f>
        <v>1.4630081300813009</v>
      </c>
      <c r="E26" s="1627"/>
      <c r="K26" s="1630"/>
      <c r="W26" s="1630"/>
    </row>
    <row r="27" spans="1:23">
      <c r="B27" s="1866"/>
      <c r="C27" s="1168"/>
      <c r="D27" s="1868"/>
      <c r="E27" s="1627"/>
      <c r="K27" s="1630"/>
      <c r="W27" s="1630"/>
    </row>
    <row r="28" spans="1:23">
      <c r="B28" s="1876" t="s">
        <v>2576</v>
      </c>
      <c r="C28" s="1869"/>
      <c r="D28" s="1870">
        <f>SUMPRODUCT(C24:C26,D24:D26)</f>
        <v>1.2049950063872992</v>
      </c>
      <c r="E28" s="1627"/>
      <c r="K28" s="1630"/>
      <c r="W28" s="1630"/>
    </row>
    <row r="29" spans="1:23">
      <c r="B29" s="1630"/>
      <c r="C29" s="1687"/>
      <c r="D29" s="1687"/>
      <c r="E29" s="1627"/>
      <c r="F29" s="1688"/>
      <c r="G29" s="1688"/>
      <c r="I29" s="1630"/>
      <c r="J29" s="1630"/>
      <c r="K29" s="1630"/>
      <c r="L29" s="1688"/>
      <c r="M29" s="1688"/>
      <c r="N29" s="1688"/>
      <c r="O29" s="1630"/>
      <c r="P29" s="1630"/>
      <c r="R29" s="1688"/>
      <c r="S29" s="1688"/>
      <c r="T29" s="1688"/>
      <c r="U29" s="1630"/>
      <c r="W29" s="1630"/>
    </row>
    <row r="30" spans="1:23">
      <c r="B30" s="1689" t="s">
        <v>2572</v>
      </c>
      <c r="C30" s="1690"/>
      <c r="D30" s="1690"/>
      <c r="E30" s="1691"/>
      <c r="F30" s="1692"/>
      <c r="G30" s="1692"/>
      <c r="H30" s="1691"/>
      <c r="I30" s="1650"/>
      <c r="J30" s="1845">
        <v>1.2</v>
      </c>
      <c r="K30" s="1650"/>
      <c r="L30" s="1692"/>
      <c r="M30" s="1692"/>
      <c r="N30" s="1693"/>
      <c r="O30" s="1650"/>
      <c r="P30" s="1650"/>
      <c r="Q30" s="1691"/>
      <c r="R30" s="1650"/>
      <c r="S30" s="1650"/>
      <c r="T30" s="1693"/>
      <c r="U30" s="1650"/>
      <c r="W30" s="1630"/>
    </row>
    <row r="31" spans="1:23">
      <c r="B31" s="1630"/>
      <c r="C31" s="1687"/>
      <c r="D31" s="1687"/>
      <c r="E31" s="1687"/>
      <c r="F31" s="1630"/>
      <c r="G31" s="1630"/>
      <c r="H31" s="1630"/>
      <c r="I31" s="1630"/>
      <c r="J31" s="1630"/>
      <c r="K31" s="1630"/>
      <c r="L31" s="1630"/>
      <c r="M31" s="1630"/>
      <c r="N31" s="1630"/>
      <c r="O31" s="1630"/>
      <c r="P31" s="1630"/>
    </row>
    <row r="32" spans="1:23">
      <c r="A32" s="232"/>
      <c r="B32" s="295" t="s">
        <v>86</v>
      </c>
      <c r="C32" s="208"/>
      <c r="D32" s="209"/>
      <c r="E32" s="208"/>
      <c r="F32" s="209"/>
      <c r="G32" s="208"/>
      <c r="H32" s="209"/>
      <c r="I32" s="208"/>
      <c r="J32" s="209"/>
      <c r="K32" s="208"/>
      <c r="L32" s="208"/>
      <c r="M32" s="1630"/>
      <c r="N32" s="1630"/>
      <c r="O32" s="1630"/>
      <c r="P32" s="1630"/>
    </row>
    <row r="33" spans="1:22" ht="39" customHeight="1">
      <c r="A33" s="434" t="s">
        <v>224</v>
      </c>
      <c r="B33" s="1902" t="s">
        <v>2571</v>
      </c>
      <c r="C33" s="1902"/>
      <c r="D33" s="1902"/>
      <c r="E33" s="1902"/>
      <c r="F33" s="1902"/>
      <c r="G33" s="1902"/>
      <c r="H33" s="1902"/>
      <c r="I33" s="1902"/>
      <c r="J33" s="1902"/>
      <c r="K33" s="1902"/>
      <c r="L33" s="1902"/>
      <c r="M33" s="1902"/>
      <c r="N33" s="1902"/>
      <c r="O33" s="1902"/>
      <c r="P33" s="1902"/>
      <c r="Q33" s="1902"/>
      <c r="R33" s="1902"/>
      <c r="S33" s="1902"/>
      <c r="T33" s="1902"/>
      <c r="U33" s="1902"/>
      <c r="V33" s="1902"/>
    </row>
    <row r="34" spans="1:22" ht="68.25" customHeight="1">
      <c r="A34" s="434" t="s">
        <v>223</v>
      </c>
      <c r="B34" s="1902" t="s">
        <v>2573</v>
      </c>
      <c r="C34" s="1902"/>
      <c r="D34" s="1902"/>
      <c r="E34" s="1902"/>
      <c r="F34" s="1902"/>
      <c r="G34" s="1902"/>
      <c r="H34" s="1902"/>
      <c r="I34" s="1902"/>
      <c r="J34" s="1902"/>
      <c r="K34" s="1871"/>
      <c r="L34" s="1871"/>
      <c r="M34" s="1871"/>
      <c r="N34" s="1871"/>
      <c r="O34" s="1871"/>
      <c r="P34" s="1871"/>
      <c r="Q34" s="1871"/>
      <c r="R34" s="1871"/>
      <c r="S34" s="1871"/>
      <c r="T34" s="1871"/>
      <c r="U34" s="1871"/>
      <c r="V34" s="1871"/>
    </row>
    <row r="35" spans="1:22" ht="12.75" customHeight="1">
      <c r="A35" s="434"/>
      <c r="B35" s="1578"/>
      <c r="C35" s="1578"/>
      <c r="D35" s="1578"/>
      <c r="E35" s="1578"/>
      <c r="F35" s="1578"/>
      <c r="G35" s="1578"/>
      <c r="H35" s="1578"/>
      <c r="I35" s="1578"/>
      <c r="J35" s="1578"/>
      <c r="K35" s="1578"/>
      <c r="L35" s="1578"/>
      <c r="M35" s="1578"/>
      <c r="N35" s="1578"/>
      <c r="O35" s="1578"/>
      <c r="P35" s="1578"/>
      <c r="Q35" s="1578"/>
      <c r="R35" s="1578"/>
      <c r="S35" s="1578"/>
      <c r="T35" s="1578"/>
      <c r="U35" s="1578"/>
      <c r="V35" s="1578"/>
    </row>
    <row r="36" spans="1:22">
      <c r="A36" s="1694" t="s">
        <v>2458</v>
      </c>
      <c r="B36" s="1695" t="s">
        <v>2459</v>
      </c>
      <c r="D36" s="1687"/>
      <c r="E36" s="1687"/>
      <c r="F36" s="1687"/>
      <c r="G36" s="1630"/>
      <c r="H36" s="1630"/>
      <c r="I36" s="1630"/>
      <c r="J36" s="1630"/>
      <c r="K36" s="1630"/>
      <c r="L36" s="1687"/>
      <c r="M36" s="1630"/>
      <c r="N36" s="1630"/>
      <c r="O36" s="1630"/>
      <c r="P36" s="1630"/>
      <c r="R36" s="1687"/>
    </row>
    <row r="37" spans="1:22">
      <c r="B37" s="1630"/>
      <c r="C37" s="1687"/>
      <c r="D37" s="1687"/>
      <c r="E37" s="1687"/>
      <c r="F37" s="1630"/>
      <c r="G37" s="1630"/>
      <c r="H37" s="1630"/>
      <c r="I37" s="1630"/>
      <c r="J37" s="1630"/>
      <c r="K37" s="1630"/>
      <c r="L37" s="1630"/>
      <c r="M37" s="1630"/>
      <c r="N37" s="1630"/>
    </row>
    <row r="39" spans="1:22">
      <c r="C39" s="208"/>
      <c r="D39" s="208"/>
      <c r="E39" s="208"/>
      <c r="F39" s="208"/>
      <c r="G39" s="208"/>
      <c r="H39" s="208"/>
      <c r="I39" s="208"/>
    </row>
    <row r="40" spans="1:22">
      <c r="C40" s="208"/>
      <c r="D40" s="208"/>
      <c r="E40" s="208"/>
      <c r="F40" s="208"/>
      <c r="G40" s="208"/>
      <c r="H40" s="208"/>
      <c r="I40" s="208"/>
    </row>
    <row r="41" spans="1:22">
      <c r="C41" s="208"/>
      <c r="D41" s="208"/>
      <c r="E41" s="208"/>
      <c r="F41" s="208"/>
      <c r="G41" s="208"/>
      <c r="H41" s="208"/>
      <c r="I41" s="208"/>
    </row>
    <row r="42" spans="1:22">
      <c r="C42" s="208"/>
      <c r="D42" s="208"/>
      <c r="E42" s="208"/>
      <c r="F42" s="208"/>
      <c r="G42" s="208"/>
      <c r="H42" s="208"/>
      <c r="I42" s="208"/>
    </row>
    <row r="43" spans="1:22">
      <c r="C43" s="208"/>
      <c r="D43" s="208"/>
      <c r="E43" s="208"/>
      <c r="F43" s="208"/>
      <c r="G43" s="208"/>
      <c r="H43" s="208"/>
      <c r="I43" s="208"/>
    </row>
    <row r="44" spans="1:22">
      <c r="C44" s="208"/>
      <c r="D44" s="208"/>
      <c r="E44" s="208"/>
      <c r="F44" s="208"/>
      <c r="G44" s="208"/>
      <c r="H44" s="208"/>
      <c r="I44" s="208"/>
    </row>
    <row r="45" spans="1:22">
      <c r="C45" s="208"/>
      <c r="D45" s="208"/>
      <c r="E45" s="208"/>
      <c r="F45" s="208"/>
      <c r="G45" s="208"/>
      <c r="H45" s="208"/>
      <c r="I45" s="208"/>
    </row>
    <row r="46" spans="1:22">
      <c r="C46" s="208"/>
      <c r="D46" s="208"/>
      <c r="E46" s="208"/>
      <c r="F46" s="208"/>
      <c r="G46" s="208"/>
      <c r="H46" s="208"/>
      <c r="I46" s="208"/>
    </row>
    <row r="47" spans="1:22">
      <c r="C47" s="208"/>
      <c r="D47" s="208"/>
      <c r="E47" s="208"/>
      <c r="F47" s="208"/>
      <c r="G47" s="208"/>
      <c r="H47" s="208"/>
      <c r="I47" s="208"/>
    </row>
    <row r="48" spans="1:22">
      <c r="C48" s="208"/>
      <c r="D48" s="208"/>
      <c r="E48" s="208"/>
      <c r="F48" s="208"/>
      <c r="G48" s="208"/>
      <c r="H48" s="208"/>
      <c r="I48" s="208"/>
    </row>
    <row r="49" spans="3:9">
      <c r="C49" s="208"/>
      <c r="D49" s="208"/>
      <c r="E49" s="208"/>
      <c r="F49" s="208"/>
      <c r="G49" s="208"/>
      <c r="H49" s="208"/>
      <c r="I49" s="208"/>
    </row>
    <row r="50" spans="3:9">
      <c r="C50" s="208"/>
      <c r="D50" s="208"/>
      <c r="E50" s="208"/>
      <c r="F50" s="208"/>
      <c r="G50" s="208"/>
      <c r="H50" s="208"/>
      <c r="I50" s="208"/>
    </row>
    <row r="51" spans="3:9">
      <c r="C51" s="208"/>
      <c r="D51" s="208"/>
      <c r="E51" s="208"/>
      <c r="F51" s="208"/>
      <c r="G51" s="208"/>
      <c r="H51" s="208"/>
      <c r="I51" s="208"/>
    </row>
    <row r="52" spans="3:9">
      <c r="C52" s="208"/>
      <c r="D52" s="208"/>
      <c r="E52" s="208"/>
      <c r="F52" s="208"/>
      <c r="G52" s="208"/>
      <c r="H52" s="208"/>
      <c r="I52" s="208"/>
    </row>
    <row r="53" spans="3:9">
      <c r="C53" s="208"/>
      <c r="D53" s="208"/>
      <c r="E53" s="208"/>
      <c r="F53" s="208"/>
      <c r="G53" s="208"/>
      <c r="H53" s="208"/>
      <c r="I53" s="208"/>
    </row>
    <row r="54" spans="3:9">
      <c r="C54" s="208"/>
      <c r="D54" s="208"/>
      <c r="E54" s="208"/>
      <c r="F54" s="208"/>
      <c r="G54" s="208"/>
      <c r="H54" s="208"/>
      <c r="I54" s="208"/>
    </row>
    <row r="55" spans="3:9">
      <c r="C55" s="208"/>
      <c r="D55" s="208"/>
      <c r="E55" s="208"/>
      <c r="F55" s="208"/>
      <c r="G55" s="208"/>
      <c r="H55" s="208"/>
      <c r="I55" s="208"/>
    </row>
  </sheetData>
  <mergeCells count="2">
    <mergeCell ref="B33:V33"/>
    <mergeCell ref="B34:J34"/>
  </mergeCells>
  <conditionalFormatting sqref="C4:V4">
    <cfRule type="cellIs" dxfId="220" priority="2" stopIfTrue="1" operator="equal">
      <formula>"input"</formula>
    </cfRule>
  </conditionalFormatting>
  <conditionalFormatting sqref="B4">
    <cfRule type="cellIs" dxfId="219" priority="1" stopIfTrue="1" operator="equal">
      <formula>"input"</formula>
    </cfRule>
  </conditionalFormatting>
  <pageMargins left="0.5" right="0.5" top="0.5" bottom="0.5" header="0.5" footer="0.5"/>
  <pageSetup scale="95" orientation="landscape" horizontalDpi="1200" verticalDpi="12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79"/>
  <dimension ref="A1:J765"/>
  <sheetViews>
    <sheetView showGridLines="0" view="pageBreakPreview" zoomScale="80" zoomScaleNormal="100" zoomScaleSheetLayoutView="80" workbookViewId="0">
      <selection activeCell="D11" sqref="D11"/>
    </sheetView>
  </sheetViews>
  <sheetFormatPr defaultRowHeight="12.75" outlineLevelRow="1"/>
  <cols>
    <col min="1" max="1" width="4.5" style="208" customWidth="1"/>
    <col min="2" max="2" width="70.1640625" style="208" customWidth="1"/>
    <col min="3" max="3" width="2.83203125" style="208" customWidth="1"/>
    <col min="4" max="4" width="11.83203125" style="208" customWidth="1"/>
    <col min="5" max="8" width="15.83203125" style="208" customWidth="1"/>
    <col min="9" max="9" width="2.83203125" style="208" customWidth="1"/>
    <col min="10" max="10" width="20.83203125" style="208" customWidth="1"/>
    <col min="11" max="11" width="4.5" style="208" customWidth="1"/>
    <col min="12" max="16384" width="9.33203125" style="208"/>
  </cols>
  <sheetData>
    <row r="1" spans="2:10" ht="10.7" customHeight="1" thickBot="1"/>
    <row r="2" spans="2:10" ht="16.5" customHeight="1" thickTop="1">
      <c r="B2" s="216" t="str">
        <f>'MASTER PubCo Inputs'!$C$5</f>
        <v>Medikine, Inc.</v>
      </c>
      <c r="C2" s="216"/>
      <c r="D2" s="216"/>
      <c r="E2" s="216"/>
      <c r="F2" s="216"/>
      <c r="G2" s="216"/>
      <c r="H2" s="216"/>
      <c r="I2" s="216"/>
      <c r="J2" s="216"/>
    </row>
    <row r="3" spans="2:10" ht="15.75" customHeight="1">
      <c r="B3" s="217" t="str">
        <f>VLOOKUP(B4,Outline!$E$8:$G$79,COLUMNS(Outline!$E$8:$G$8),FALSE)</f>
        <v>Exhibit G.2</v>
      </c>
      <c r="C3" s="217"/>
      <c r="D3" s="217"/>
      <c r="E3" s="217"/>
      <c r="F3" s="217"/>
      <c r="G3" s="217"/>
      <c r="H3" s="217"/>
      <c r="I3" s="217"/>
      <c r="J3" s="217"/>
    </row>
    <row r="4" spans="2:10" ht="16.5" customHeight="1" thickBot="1">
      <c r="B4" s="444" t="s">
        <v>2460</v>
      </c>
      <c r="C4" s="444"/>
      <c r="D4" s="444"/>
      <c r="E4" s="444"/>
      <c r="F4" s="444"/>
      <c r="G4" s="444"/>
      <c r="H4" s="444"/>
      <c r="I4" s="444"/>
      <c r="J4" s="445"/>
    </row>
    <row r="5" spans="2:10" ht="14.85" customHeight="1" thickTop="1">
      <c r="B5" s="334"/>
      <c r="C5" s="310"/>
      <c r="D5" s="310"/>
      <c r="E5" s="310"/>
    </row>
    <row r="6" spans="2:10" ht="14.85" customHeight="1">
      <c r="B6" s="752" t="s">
        <v>495</v>
      </c>
      <c r="C6" s="675"/>
      <c r="D6" s="753"/>
      <c r="E6" s="753"/>
      <c r="F6" s="753"/>
      <c r="G6" s="753"/>
      <c r="H6" s="754"/>
      <c r="J6" s="755" t="s">
        <v>70</v>
      </c>
    </row>
    <row r="7" spans="2:10" ht="14.85" customHeight="1">
      <c r="D7" s="282"/>
      <c r="H7" s="326"/>
      <c r="J7" s="756"/>
    </row>
    <row r="8" spans="2:10" ht="14.85" customHeight="1">
      <c r="B8" s="208" t="s">
        <v>1713</v>
      </c>
      <c r="D8" s="757"/>
      <c r="E8" s="757"/>
      <c r="F8" s="757"/>
      <c r="G8" s="757"/>
      <c r="H8" s="1786">
        <v>4</v>
      </c>
      <c r="J8" s="758" t="s">
        <v>224</v>
      </c>
    </row>
    <row r="9" spans="2:10" ht="14.85" hidden="1" customHeight="1" outlineLevel="1">
      <c r="B9" s="208" t="s">
        <v>1714</v>
      </c>
      <c r="D9" s="757"/>
      <c r="E9" s="757"/>
      <c r="F9" s="757"/>
      <c r="G9" s="757"/>
      <c r="H9" s="426">
        <v>0</v>
      </c>
      <c r="J9" s="758" t="s">
        <v>223</v>
      </c>
    </row>
    <row r="10" spans="2:10" ht="14.85" hidden="1" customHeight="1" outlineLevel="1">
      <c r="B10" s="759" t="s">
        <v>1715</v>
      </c>
      <c r="C10" s="435"/>
      <c r="D10" s="760"/>
      <c r="E10" s="760"/>
      <c r="F10" s="760"/>
      <c r="G10" s="760"/>
      <c r="H10" s="761">
        <f>SUM(H8:H9)</f>
        <v>4</v>
      </c>
      <c r="J10" s="214"/>
    </row>
    <row r="11" spans="2:10" ht="14.85" customHeight="1" collapsed="1">
      <c r="H11" s="326"/>
    </row>
    <row r="12" spans="2:10" ht="14.85" customHeight="1">
      <c r="B12" s="752" t="s">
        <v>390</v>
      </c>
      <c r="C12" s="675"/>
      <c r="D12" s="753"/>
      <c r="E12" s="753"/>
      <c r="F12" s="753"/>
      <c r="G12" s="753"/>
      <c r="H12" s="754"/>
    </row>
    <row r="13" spans="2:10" ht="14.85" customHeight="1">
      <c r="H13" s="326"/>
    </row>
    <row r="14" spans="2:10" ht="14.85" customHeight="1">
      <c r="B14" s="762" t="s">
        <v>71</v>
      </c>
      <c r="C14" s="763"/>
      <c r="D14" s="764"/>
      <c r="E14" s="764"/>
      <c r="F14" s="764"/>
      <c r="G14" s="764"/>
      <c r="H14" s="765">
        <f>H10</f>
        <v>4</v>
      </c>
      <c r="J14" s="766"/>
    </row>
    <row r="15" spans="2:10" ht="14.85" customHeight="1">
      <c r="B15" s="325" t="s">
        <v>72</v>
      </c>
      <c r="C15" s="326"/>
      <c r="D15" s="767"/>
      <c r="E15" s="767"/>
      <c r="F15" s="767"/>
      <c r="G15" s="767"/>
      <c r="H15" s="768">
        <f>'Risk-Free Rates'!E27</f>
        <v>2.4299999999999999E-2</v>
      </c>
      <c r="J15" s="507" t="str">
        <f>'Risk-Free Rates'!B3</f>
        <v>Exhibit G.5</v>
      </c>
    </row>
    <row r="16" spans="2:10" ht="14.85" customHeight="1">
      <c r="B16" s="325" t="s">
        <v>73</v>
      </c>
      <c r="C16" s="326"/>
      <c r="D16" s="769"/>
      <c r="E16" s="769"/>
      <c r="F16" s="769"/>
      <c r="G16" s="769"/>
      <c r="H16" s="770">
        <v>0</v>
      </c>
      <c r="J16" s="355"/>
    </row>
    <row r="17" spans="2:10" ht="14.85" customHeight="1">
      <c r="B17" s="771" t="s">
        <v>74</v>
      </c>
      <c r="C17" s="337"/>
      <c r="D17" s="772"/>
      <c r="E17" s="772"/>
      <c r="F17" s="772"/>
      <c r="G17" s="772"/>
      <c r="H17" s="773">
        <f>'Asset Vol- CVM'!Q50</f>
        <v>0.85699999999999998</v>
      </c>
      <c r="J17" s="766" t="str">
        <f>'Asset Vol- CVM'!B3</f>
        <v>Exhibit G.3</v>
      </c>
    </row>
    <row r="18" spans="2:10" ht="14.85" customHeight="1">
      <c r="B18" s="325"/>
      <c r="C18" s="326"/>
      <c r="D18" s="326"/>
      <c r="E18" s="326"/>
      <c r="F18" s="326"/>
      <c r="G18" s="326"/>
      <c r="H18" s="327"/>
    </row>
    <row r="19" spans="2:10" ht="14.85" customHeight="1">
      <c r="B19" s="325" t="s">
        <v>75</v>
      </c>
      <c r="C19" s="326"/>
      <c r="D19" s="774"/>
      <c r="E19" s="774"/>
      <c r="F19" s="774"/>
      <c r="G19" s="774"/>
      <c r="H19" s="775">
        <f>H17^2*H14</f>
        <v>2.9377960000000001</v>
      </c>
    </row>
    <row r="20" spans="2:10" ht="14.85" customHeight="1">
      <c r="B20" s="325" t="s">
        <v>76</v>
      </c>
      <c r="C20" s="326"/>
      <c r="D20" s="774"/>
      <c r="E20" s="774"/>
      <c r="F20" s="774"/>
      <c r="G20" s="774"/>
      <c r="H20" s="775">
        <f>(H17^2*H14+LN(2*(EXP(H19)-H17^2*H14-1))-2*LN(EXP(H19)-1))^0.5</f>
        <v>0.75367625295967577</v>
      </c>
    </row>
    <row r="21" spans="2:10" ht="14.85" customHeight="1">
      <c r="B21" s="325" t="s">
        <v>77</v>
      </c>
      <c r="C21" s="326"/>
      <c r="D21" s="774"/>
      <c r="E21" s="774"/>
      <c r="F21" s="774"/>
      <c r="G21" s="774"/>
      <c r="H21" s="775">
        <f>((H15-H16)*H14)/H20+0.5*H20</f>
        <v>0.50580596859811744</v>
      </c>
    </row>
    <row r="22" spans="2:10" ht="14.85" customHeight="1">
      <c r="B22" s="325" t="s">
        <v>78</v>
      </c>
      <c r="C22" s="326"/>
      <c r="D22" s="774"/>
      <c r="E22" s="774"/>
      <c r="F22" s="774"/>
      <c r="G22" s="774"/>
      <c r="H22" s="775">
        <f>((H15-H16)*H14)/H20-0.5*H20</f>
        <v>-0.24787028436155834</v>
      </c>
    </row>
    <row r="23" spans="2:10" ht="14.85" customHeight="1">
      <c r="B23" s="325"/>
      <c r="C23" s="326"/>
      <c r="D23" s="776"/>
      <c r="E23" s="776"/>
      <c r="F23" s="776"/>
      <c r="G23" s="776"/>
      <c r="H23" s="777"/>
    </row>
    <row r="24" spans="2:10" ht="14.85" customHeight="1">
      <c r="B24" s="778" t="s">
        <v>79</v>
      </c>
      <c r="C24" s="779"/>
      <c r="D24" s="780"/>
      <c r="E24" s="780"/>
      <c r="F24" s="780"/>
      <c r="G24" s="780"/>
      <c r="H24" s="781">
        <f>EXP((H15-H16)*H14)*NORMSDIST(H21)-NORMSDIST(H22)</f>
        <v>0.36217955629358006</v>
      </c>
    </row>
    <row r="25" spans="2:10" ht="14.85" hidden="1" customHeight="1" outlineLevel="1">
      <c r="H25" s="326"/>
    </row>
    <row r="26" spans="2:10" ht="14.85" hidden="1" customHeight="1" outlineLevel="1">
      <c r="B26" s="752" t="s">
        <v>80</v>
      </c>
      <c r="C26" s="675"/>
      <c r="D26" s="753"/>
      <c r="E26" s="753"/>
      <c r="F26" s="753"/>
      <c r="G26" s="753"/>
      <c r="H26" s="754"/>
    </row>
    <row r="27" spans="2:10" ht="14.85" hidden="1" customHeight="1" outlineLevel="1">
      <c r="H27" s="326"/>
    </row>
    <row r="28" spans="2:10" ht="14.85" hidden="1" customHeight="1" outlineLevel="1">
      <c r="B28" s="762" t="s">
        <v>81</v>
      </c>
      <c r="C28" s="763"/>
      <c r="D28" s="782"/>
      <c r="E28" s="782"/>
      <c r="F28" s="782"/>
      <c r="G28" s="782"/>
      <c r="H28" s="783">
        <v>1</v>
      </c>
    </row>
    <row r="29" spans="2:10" ht="14.85" hidden="1" customHeight="1" outlineLevel="1">
      <c r="B29" s="771" t="s">
        <v>82</v>
      </c>
      <c r="C29" s="326"/>
      <c r="D29" s="329"/>
      <c r="E29" s="329"/>
      <c r="F29" s="329"/>
      <c r="G29" s="329"/>
      <c r="H29" s="394">
        <v>1</v>
      </c>
    </row>
    <row r="30" spans="2:10" ht="14.85" hidden="1" customHeight="1" outlineLevel="1">
      <c r="B30" s="771" t="s">
        <v>83</v>
      </c>
      <c r="C30" s="326"/>
      <c r="D30" s="426"/>
      <c r="E30" s="426"/>
      <c r="F30" s="426"/>
      <c r="G30" s="426"/>
      <c r="H30" s="425">
        <f>H14</f>
        <v>4</v>
      </c>
      <c r="J30" s="507"/>
    </row>
    <row r="31" spans="2:10" ht="14.85" hidden="1" customHeight="1" outlineLevel="1">
      <c r="B31" s="325" t="s">
        <v>72</v>
      </c>
      <c r="C31" s="326"/>
      <c r="D31" s="413"/>
      <c r="E31" s="413"/>
      <c r="F31" s="413"/>
      <c r="G31" s="413"/>
      <c r="H31" s="784">
        <f>H15</f>
        <v>2.4299999999999999E-2</v>
      </c>
      <c r="J31" s="507" t="str">
        <f>+J15</f>
        <v>Exhibit G.5</v>
      </c>
    </row>
    <row r="32" spans="2:10" ht="14.85" hidden="1" customHeight="1" outlineLevel="1">
      <c r="B32" s="325" t="s">
        <v>74</v>
      </c>
      <c r="C32" s="326"/>
      <c r="D32" s="351"/>
      <c r="E32" s="351"/>
      <c r="F32" s="351"/>
      <c r="G32" s="351"/>
      <c r="H32" s="350">
        <f>H17</f>
        <v>0.85699999999999998</v>
      </c>
      <c r="J32" s="507" t="str">
        <f>+J17</f>
        <v>Exhibit G.3</v>
      </c>
    </row>
    <row r="33" spans="2:10" ht="14.85" hidden="1" customHeight="1" outlineLevel="1">
      <c r="B33" s="325"/>
      <c r="C33" s="326"/>
      <c r="D33" s="326"/>
      <c r="E33" s="326"/>
      <c r="F33" s="326"/>
      <c r="G33" s="326"/>
      <c r="H33" s="327"/>
    </row>
    <row r="34" spans="2:10" ht="14.85" hidden="1" customHeight="1" outlineLevel="1">
      <c r="B34" s="325" t="s">
        <v>84</v>
      </c>
      <c r="C34" s="326"/>
      <c r="D34" s="774"/>
      <c r="E34" s="774"/>
      <c r="F34" s="774"/>
      <c r="G34" s="774"/>
      <c r="H34" s="775">
        <f>(LN(H28/H29)+(H31+H32^2/2)*H30)/(H32*SQRT(H30))</f>
        <v>0.91370945157526251</v>
      </c>
    </row>
    <row r="35" spans="2:10" ht="14.85" hidden="1" customHeight="1" outlineLevel="1">
      <c r="B35" s="325" t="s">
        <v>85</v>
      </c>
      <c r="C35" s="326"/>
      <c r="D35" s="774"/>
      <c r="E35" s="774"/>
      <c r="F35" s="774"/>
      <c r="G35" s="774"/>
      <c r="H35" s="775">
        <f>H34-H32*SQRT(H30)</f>
        <v>-0.80029054842473746</v>
      </c>
    </row>
    <row r="36" spans="2:10" ht="14.85" hidden="1" customHeight="1" outlineLevel="1">
      <c r="B36" s="325"/>
      <c r="C36" s="326"/>
      <c r="D36" s="326"/>
      <c r="E36" s="326"/>
      <c r="F36" s="326"/>
      <c r="G36" s="326"/>
      <c r="H36" s="327"/>
    </row>
    <row r="37" spans="2:10" ht="14.85" hidden="1" customHeight="1" outlineLevel="1">
      <c r="B37" s="778" t="s">
        <v>79</v>
      </c>
      <c r="C37" s="288"/>
      <c r="D37" s="780"/>
      <c r="E37" s="780"/>
      <c r="F37" s="780"/>
      <c r="G37" s="780"/>
      <c r="H37" s="781">
        <f>H29*EXP(-H31*H30)*NORMSDIST(-H35)-H28*NORMSDIST(-H34)</f>
        <v>0.5347839201106267</v>
      </c>
    </row>
    <row r="38" spans="2:10" ht="14.85" customHeight="1" collapsed="1">
      <c r="H38" s="326"/>
    </row>
    <row r="39" spans="2:10" ht="14.85" customHeight="1">
      <c r="B39" s="752" t="s">
        <v>386</v>
      </c>
      <c r="C39" s="675"/>
      <c r="D39" s="753"/>
      <c r="E39" s="753"/>
      <c r="F39" s="753"/>
      <c r="G39" s="753"/>
      <c r="H39" s="754"/>
    </row>
    <row r="40" spans="2:10" ht="14.85" customHeight="1">
      <c r="H40" s="326"/>
    </row>
    <row r="41" spans="2:10" ht="14.85" customHeight="1">
      <c r="B41" s="762" t="s">
        <v>83</v>
      </c>
      <c r="C41" s="763"/>
      <c r="D41" s="785"/>
      <c r="E41" s="785"/>
      <c r="F41" s="785"/>
      <c r="G41" s="785"/>
      <c r="H41" s="786">
        <f>+H30</f>
        <v>4</v>
      </c>
      <c r="J41" s="507"/>
    </row>
    <row r="42" spans="2:10" ht="14.85" customHeight="1">
      <c r="B42" s="325" t="s">
        <v>81</v>
      </c>
      <c r="C42" s="326"/>
      <c r="D42" s="329"/>
      <c r="E42" s="329"/>
      <c r="F42" s="329"/>
      <c r="G42" s="329"/>
      <c r="H42" s="394">
        <f>+H28</f>
        <v>1</v>
      </c>
    </row>
    <row r="43" spans="2:10" ht="14.85" customHeight="1">
      <c r="B43" s="325" t="s">
        <v>82</v>
      </c>
      <c r="C43" s="326"/>
      <c r="D43" s="329"/>
      <c r="E43" s="329"/>
      <c r="F43" s="329"/>
      <c r="G43" s="329"/>
      <c r="H43" s="394">
        <f>+H29</f>
        <v>1</v>
      </c>
    </row>
    <row r="44" spans="2:10" ht="14.85" customHeight="1">
      <c r="B44" s="325" t="s">
        <v>73</v>
      </c>
      <c r="C44" s="326"/>
      <c r="D44" s="413"/>
      <c r="E44" s="413"/>
      <c r="F44" s="413"/>
      <c r="G44" s="413"/>
      <c r="H44" s="784">
        <f>+H16</f>
        <v>0</v>
      </c>
    </row>
    <row r="45" spans="2:10" ht="14.85" customHeight="1">
      <c r="B45" s="325" t="s">
        <v>74</v>
      </c>
      <c r="C45" s="326"/>
      <c r="D45" s="351"/>
      <c r="E45" s="351"/>
      <c r="F45" s="351"/>
      <c r="G45" s="351"/>
      <c r="H45" s="350">
        <f>+H17</f>
        <v>0.85699999999999998</v>
      </c>
      <c r="J45" s="507"/>
    </row>
    <row r="46" spans="2:10" ht="14.85" customHeight="1">
      <c r="B46" s="325"/>
      <c r="C46" s="326"/>
      <c r="D46" s="326"/>
      <c r="E46" s="326"/>
      <c r="F46" s="326"/>
      <c r="G46" s="326"/>
      <c r="H46" s="327"/>
    </row>
    <row r="47" spans="2:10" ht="14.85" customHeight="1">
      <c r="B47" s="325" t="s">
        <v>388</v>
      </c>
      <c r="C47" s="326"/>
      <c r="D47" s="774"/>
      <c r="E47" s="774"/>
      <c r="F47" s="774"/>
      <c r="G47" s="774"/>
      <c r="H47" s="775">
        <f>LN(2*(EXP((H45^2)*H41)-((H45^2)*H41)-1))-2*(LN((H45^2)*H41))</f>
        <v>1.2416294680344668</v>
      </c>
    </row>
    <row r="48" spans="2:10" ht="14.85" customHeight="1">
      <c r="B48" s="325" t="s">
        <v>389</v>
      </c>
      <c r="C48" s="326"/>
      <c r="D48" s="774"/>
      <c r="E48" s="774"/>
      <c r="F48" s="774"/>
      <c r="G48" s="774"/>
      <c r="H48" s="775">
        <f>SQRT(H47)</f>
        <v>1.1142842851061245</v>
      </c>
    </row>
    <row r="49" spans="1:10" ht="14.85" customHeight="1">
      <c r="B49" s="325"/>
      <c r="C49" s="326"/>
      <c r="D49" s="326"/>
      <c r="E49" s="326"/>
      <c r="F49" s="326"/>
      <c r="G49" s="326"/>
      <c r="H49" s="327"/>
    </row>
    <row r="50" spans="1:10" ht="14.85" customHeight="1">
      <c r="B50" s="778" t="s">
        <v>79</v>
      </c>
      <c r="C50" s="288"/>
      <c r="D50" s="780"/>
      <c r="E50" s="780"/>
      <c r="F50" s="780"/>
      <c r="G50" s="780"/>
      <c r="H50" s="781">
        <f>EXP(-H44*H41)*H43*(2*NORMSDIST(H48/2)-1)</f>
        <v>0.42256968378614124</v>
      </c>
    </row>
    <row r="51" spans="1:10" ht="14.85" customHeight="1">
      <c r="H51" s="326"/>
    </row>
    <row r="52" spans="1:10" ht="14.85" hidden="1" customHeight="1" outlineLevel="1">
      <c r="B52" s="787" t="s">
        <v>1972</v>
      </c>
      <c r="C52" s="788"/>
      <c r="D52" s="789"/>
      <c r="E52" s="789"/>
      <c r="F52" s="789"/>
      <c r="G52" s="789"/>
      <c r="H52" s="790"/>
    </row>
    <row r="53" spans="1:10" ht="14.85" hidden="1" customHeight="1" outlineLevel="1"/>
    <row r="54" spans="1:10" ht="14.85" hidden="1" customHeight="1" outlineLevel="1">
      <c r="B54" s="791" t="s">
        <v>71</v>
      </c>
      <c r="C54" s="792"/>
      <c r="D54" s="793"/>
      <c r="E54" s="793"/>
      <c r="F54" s="793"/>
      <c r="G54" s="793"/>
      <c r="H54" s="794">
        <f>H10</f>
        <v>4</v>
      </c>
      <c r="J54" s="214" t="str">
        <f>J8</f>
        <v>(1)</v>
      </c>
    </row>
    <row r="55" spans="1:10" ht="14.85" hidden="1" customHeight="1" outlineLevel="1">
      <c r="B55" s="325" t="s">
        <v>72</v>
      </c>
      <c r="C55" s="326"/>
      <c r="D55" s="795"/>
      <c r="E55" s="795"/>
      <c r="F55" s="795"/>
      <c r="G55" s="795"/>
      <c r="H55" s="796">
        <f>H15</f>
        <v>2.4299999999999999E-2</v>
      </c>
      <c r="J55" s="209" t="str">
        <f>J15</f>
        <v>Exhibit G.5</v>
      </c>
    </row>
    <row r="56" spans="1:10" ht="14.85" hidden="1" customHeight="1" outlineLevel="1">
      <c r="B56" s="325" t="s">
        <v>73</v>
      </c>
      <c r="C56" s="326"/>
      <c r="D56" s="797"/>
      <c r="E56" s="797"/>
      <c r="F56" s="797"/>
      <c r="G56" s="797"/>
      <c r="H56" s="798">
        <f>H16</f>
        <v>0</v>
      </c>
    </row>
    <row r="57" spans="1:10" ht="14.85" hidden="1" customHeight="1" outlineLevel="1">
      <c r="B57" s="771" t="s">
        <v>74</v>
      </c>
      <c r="C57" s="337"/>
      <c r="D57" s="797"/>
      <c r="E57" s="797"/>
      <c r="F57" s="797"/>
      <c r="G57" s="797"/>
      <c r="H57" s="798">
        <f>H17</f>
        <v>0.85699999999999998</v>
      </c>
      <c r="J57" s="297"/>
    </row>
    <row r="58" spans="1:10" ht="14.85" hidden="1" customHeight="1" outlineLevel="1">
      <c r="B58" s="325"/>
      <c r="C58" s="326"/>
      <c r="D58" s="326"/>
      <c r="E58" s="326"/>
      <c r="F58" s="326"/>
      <c r="G58" s="326"/>
      <c r="H58" s="327"/>
    </row>
    <row r="59" spans="1:10" ht="14.85" hidden="1" customHeight="1" outlineLevel="1">
      <c r="B59" s="325" t="s">
        <v>75</v>
      </c>
      <c r="C59" s="326"/>
      <c r="D59" s="774"/>
      <c r="E59" s="774"/>
      <c r="F59" s="774"/>
      <c r="G59" s="774"/>
      <c r="H59" s="775">
        <f>H57^2*H54</f>
        <v>2.9377960000000001</v>
      </c>
    </row>
    <row r="60" spans="1:10" ht="14.85" hidden="1" customHeight="1" outlineLevel="1">
      <c r="B60" s="325"/>
      <c r="C60" s="326"/>
      <c r="D60" s="774"/>
      <c r="E60" s="774"/>
      <c r="F60" s="774"/>
      <c r="G60" s="774"/>
      <c r="H60" s="775"/>
    </row>
    <row r="61" spans="1:10" ht="14.85" hidden="1" customHeight="1" outlineLevel="1">
      <c r="B61" s="325" t="s">
        <v>1973</v>
      </c>
      <c r="C61" s="326"/>
      <c r="D61" s="351"/>
      <c r="E61" s="351"/>
      <c r="F61" s="351"/>
      <c r="G61" s="351"/>
      <c r="H61" s="350">
        <f>(2+(H59/2))*NORMSDIST(SQRT(H59)/2)+(SQRT(H59/(2*PI()))*EXP(-H59/8))-1</f>
        <v>2.2635847461924214</v>
      </c>
    </row>
    <row r="62" spans="1:10" ht="14.85" hidden="1" customHeight="1" outlineLevel="1">
      <c r="B62" s="325"/>
      <c r="C62" s="326"/>
      <c r="D62" s="774"/>
      <c r="E62" s="774"/>
      <c r="F62" s="774"/>
      <c r="G62" s="774"/>
      <c r="H62" s="775"/>
    </row>
    <row r="63" spans="1:10" ht="14.85" hidden="1" customHeight="1" outlineLevel="1">
      <c r="B63" s="778" t="s">
        <v>1974</v>
      </c>
      <c r="C63" s="779"/>
      <c r="D63" s="780"/>
      <c r="E63" s="780"/>
      <c r="F63" s="780"/>
      <c r="G63" s="780"/>
      <c r="H63" s="781">
        <f>H61/(1+H61)</f>
        <v>0.69358846857993006</v>
      </c>
    </row>
    <row r="64" spans="1:10" ht="14.85" hidden="1" customHeight="1" outlineLevel="1">
      <c r="A64" s="326"/>
      <c r="B64" s="779"/>
      <c r="C64" s="779"/>
      <c r="D64" s="780"/>
      <c r="E64" s="780"/>
      <c r="F64" s="780"/>
      <c r="G64" s="780"/>
      <c r="H64" s="780"/>
      <c r="I64" s="326"/>
    </row>
    <row r="65" spans="1:10" ht="14.85" hidden="1" customHeight="1" outlineLevel="1">
      <c r="B65" s="799" t="s">
        <v>2560</v>
      </c>
      <c r="C65" s="800"/>
      <c r="D65" s="801"/>
      <c r="E65" s="801"/>
      <c r="F65" s="801"/>
      <c r="G65" s="801"/>
      <c r="H65" s="802">
        <f>AVERAGE(H24,H50)</f>
        <v>0.39237462003986068</v>
      </c>
    </row>
    <row r="66" spans="1:10" ht="14.85" hidden="1" customHeight="1" outlineLevel="1"/>
    <row r="67" spans="1:10" ht="14.85" customHeight="1" collapsed="1">
      <c r="B67" s="799" t="s">
        <v>391</v>
      </c>
      <c r="C67" s="800"/>
      <c r="D67" s="801"/>
      <c r="E67" s="801"/>
      <c r="F67" s="801"/>
      <c r="G67" s="801"/>
      <c r="H67" s="802">
        <f>MROUND(AVERAGE(H24,H50),5%)</f>
        <v>0.4</v>
      </c>
    </row>
    <row r="68" spans="1:10" ht="14.85" customHeight="1"/>
    <row r="69" spans="1:10" ht="14.85" customHeight="1">
      <c r="B69" s="295" t="s">
        <v>86</v>
      </c>
    </row>
    <row r="70" spans="1:10" ht="14.85" customHeight="1">
      <c r="A70" s="803" t="s">
        <v>224</v>
      </c>
      <c r="B70" s="804" t="s">
        <v>2512</v>
      </c>
      <c r="C70" s="805"/>
      <c r="D70" s="805"/>
      <c r="E70" s="805"/>
      <c r="F70" s="805"/>
      <c r="G70" s="805"/>
      <c r="H70" s="805"/>
      <c r="I70" s="805"/>
      <c r="J70" s="805"/>
    </row>
    <row r="71" spans="1:10" ht="25.5" hidden="1" customHeight="1" outlineLevel="1">
      <c r="A71" s="803" t="s">
        <v>223</v>
      </c>
      <c r="B71" s="1903" t="str">
        <f>"We applied an additional term of "&amp;TEXT(H9,"0.0")&amp;" year to account for a structured exit for a biopharma company in which cash flows to a preferred shareholder and a common shareholder would accrue over a period given the split of deal value between upfront and milestone payments."</f>
        <v>We applied an additional term of 0.0 year to account for a structured exit for a biopharma company in which cash flows to a preferred shareholder and a common shareholder would accrue over a period given the split of deal value between upfront and milestone payments.</v>
      </c>
      <c r="C71" s="1903"/>
      <c r="D71" s="1903"/>
      <c r="E71" s="1903"/>
      <c r="F71" s="1903"/>
      <c r="G71" s="1903"/>
      <c r="H71" s="1903"/>
      <c r="I71" s="1903"/>
      <c r="J71" s="1903"/>
    </row>
    <row r="72" spans="1:10" ht="14.85" customHeight="1" collapsed="1">
      <c r="A72" s="806"/>
      <c r="B72" s="804"/>
      <c r="C72" s="805"/>
      <c r="D72" s="805"/>
      <c r="E72" s="805"/>
      <c r="F72" s="805"/>
      <c r="G72" s="805"/>
      <c r="H72" s="805"/>
      <c r="I72" s="805"/>
      <c r="J72" s="805"/>
    </row>
    <row r="73" spans="1:10" ht="14.85" customHeight="1"/>
    <row r="74" spans="1:10" ht="14.85" customHeight="1"/>
    <row r="75" spans="1:10" ht="14.85" customHeight="1"/>
    <row r="76" spans="1:10" ht="14.85" customHeight="1"/>
    <row r="77" spans="1:10" ht="14.85" customHeight="1"/>
    <row r="78" spans="1:10" ht="14.85" customHeight="1"/>
    <row r="79" spans="1:10" ht="14.85" customHeight="1"/>
    <row r="80" spans="1:1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row r="765" ht="14.85" customHeight="1"/>
  </sheetData>
  <mergeCells count="1">
    <mergeCell ref="B71:J71"/>
  </mergeCells>
  <conditionalFormatting sqref="B4:I4">
    <cfRule type="cellIs" dxfId="218" priority="6" stopIfTrue="1" operator="equal">
      <formula>"input"</formula>
    </cfRule>
  </conditionalFormatting>
  <conditionalFormatting sqref="J4">
    <cfRule type="cellIs" dxfId="217" priority="4" stopIfTrue="1" operator="equal">
      <formula>"input"</formula>
    </cfRule>
  </conditionalFormatting>
  <conditionalFormatting sqref="J4">
    <cfRule type="cellIs" dxfId="216" priority="5" stopIfTrue="1" operator="equal">
      <formula>"input"</formula>
    </cfRule>
  </conditionalFormatting>
  <conditionalFormatting sqref="H9">
    <cfRule type="cellIs" dxfId="215" priority="3" operator="equal">
      <formula>0</formula>
    </cfRule>
  </conditionalFormatting>
  <pageMargins left="0.5" right="0.5" top="0.5" bottom="0.5" header="0.5" footer="0.5"/>
  <pageSetup scale="85" fitToWidth="0" fitToHeight="0" orientation="landscape" r:id="rId1"/>
  <legacyDrawingHF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80"/>
  <dimension ref="A1:AI764"/>
  <sheetViews>
    <sheetView showGridLines="0" view="pageBreakPreview" zoomScale="80" zoomScaleNormal="100" zoomScaleSheetLayoutView="80" workbookViewId="0">
      <selection activeCell="D11" sqref="D11"/>
    </sheetView>
  </sheetViews>
  <sheetFormatPr defaultRowHeight="12.75" outlineLevelRow="1" outlineLevelCol="1"/>
  <cols>
    <col min="1" max="1" width="4.5" style="208" customWidth="1"/>
    <col min="2" max="2" width="29.1640625" style="208" customWidth="1"/>
    <col min="3" max="3" width="3.5" style="208" customWidth="1"/>
    <col min="4" max="4" width="15.83203125" style="208" customWidth="1"/>
    <col min="5" max="5" width="10.83203125" style="208" hidden="1" customWidth="1" outlineLevel="1"/>
    <col min="6" max="7" width="9.83203125" style="208" hidden="1" customWidth="1" outlineLevel="1"/>
    <col min="8" max="8" width="15.83203125" style="208" customWidth="1" collapsed="1"/>
    <col min="9" max="9" width="15.83203125" style="208" customWidth="1"/>
    <col min="10" max="10" width="12.83203125" style="208" customWidth="1"/>
    <col min="11" max="11" width="15.83203125" style="208" customWidth="1"/>
    <col min="12" max="12" width="2.83203125" style="208" customWidth="1"/>
    <col min="13" max="15" width="12.83203125" style="208" customWidth="1"/>
    <col min="16" max="16" width="2.83203125" style="355" customWidth="1"/>
    <col min="17" max="17" width="12.83203125" style="208" customWidth="1"/>
    <col min="18" max="18" width="2.83203125" style="208" customWidth="1"/>
    <col min="19" max="19" width="11.6640625" style="208" hidden="1" customWidth="1" outlineLevel="1"/>
    <col min="20" max="23" width="8.83203125" style="208" hidden="1" customWidth="1" outlineLevel="1"/>
    <col min="24" max="24" width="15.83203125" style="208" customWidth="1" collapsed="1"/>
    <col min="25" max="25" width="12.83203125" style="208" customWidth="1"/>
    <col min="26" max="26" width="4.5" style="208" customWidth="1"/>
    <col min="27" max="27" width="17.5" style="208" bestFit="1" customWidth="1"/>
    <col min="28" max="28" width="14.33203125" style="208" bestFit="1" customWidth="1"/>
    <col min="29" max="29" width="9.6640625" style="208" bestFit="1" customWidth="1"/>
    <col min="30" max="30" width="10.1640625" style="208" bestFit="1" customWidth="1"/>
    <col min="31" max="16384" width="9.33203125" style="208"/>
  </cols>
  <sheetData>
    <row r="1" spans="2:35" ht="10.7" customHeight="1" thickBot="1">
      <c r="P1" s="208"/>
    </row>
    <row r="2" spans="2:35" ht="16.5" customHeight="1" thickTop="1">
      <c r="B2" s="216" t="str">
        <f>'MASTER PubCo Inputs'!$C$5</f>
        <v>Medikine, Inc.</v>
      </c>
      <c r="C2" s="216"/>
      <c r="D2" s="216"/>
      <c r="E2" s="216"/>
      <c r="F2" s="216"/>
      <c r="G2" s="216"/>
      <c r="H2" s="216"/>
      <c r="I2" s="216"/>
      <c r="J2" s="216"/>
      <c r="K2" s="216"/>
      <c r="L2" s="216"/>
      <c r="M2" s="216"/>
      <c r="N2" s="216"/>
      <c r="O2" s="216"/>
      <c r="P2" s="216"/>
      <c r="Q2" s="216"/>
      <c r="R2" s="216"/>
      <c r="S2" s="216"/>
      <c r="T2" s="216"/>
      <c r="U2" s="216"/>
      <c r="V2" s="216"/>
      <c r="W2" s="216"/>
      <c r="X2" s="216"/>
      <c r="Y2" s="216"/>
      <c r="AA2" s="532" t="s">
        <v>87</v>
      </c>
      <c r="AB2" s="533">
        <f>+'Comp.1'!$AL$2</f>
        <v>43496</v>
      </c>
    </row>
    <row r="3" spans="2:35" ht="15.75" customHeight="1">
      <c r="B3" s="217" t="str">
        <f>VLOOKUP(B4,Outline!$E$8:$G$79,COLUMNS(Outline!$E$8:$G$8),FALSE)</f>
        <v>Exhibit G.3</v>
      </c>
      <c r="C3" s="217"/>
      <c r="D3" s="217"/>
      <c r="E3" s="217"/>
      <c r="F3" s="217"/>
      <c r="G3" s="217"/>
      <c r="H3" s="217"/>
      <c r="I3" s="217"/>
      <c r="J3" s="217"/>
      <c r="K3" s="217"/>
      <c r="L3" s="217"/>
      <c r="M3" s="217"/>
      <c r="N3" s="217"/>
      <c r="O3" s="217"/>
      <c r="P3" s="217"/>
      <c r="Q3" s="217"/>
      <c r="R3" s="217"/>
      <c r="S3" s="217"/>
      <c r="T3" s="217"/>
      <c r="U3" s="217"/>
      <c r="V3" s="217"/>
      <c r="W3" s="217"/>
      <c r="X3" s="217"/>
      <c r="Y3" s="217"/>
      <c r="AA3" s="534" t="s">
        <v>378</v>
      </c>
      <c r="AB3" s="535" t="str">
        <f>+'Comp.1'!$AL$3</f>
        <v>F</v>
      </c>
    </row>
    <row r="4" spans="2:35" ht="16.5" customHeight="1" thickBot="1">
      <c r="B4" s="444" t="s">
        <v>2339</v>
      </c>
      <c r="C4" s="444"/>
      <c r="D4" s="444"/>
      <c r="E4" s="444"/>
      <c r="F4" s="444"/>
      <c r="G4" s="444"/>
      <c r="H4" s="444"/>
      <c r="I4" s="444"/>
      <c r="J4" s="445"/>
      <c r="K4" s="445"/>
      <c r="L4" s="445"/>
      <c r="M4" s="445"/>
      <c r="N4" s="445"/>
      <c r="O4" s="445"/>
      <c r="P4" s="445"/>
      <c r="Q4" s="445"/>
      <c r="R4" s="445"/>
      <c r="S4" s="445"/>
      <c r="T4" s="445"/>
      <c r="U4" s="445"/>
      <c r="V4" s="445"/>
      <c r="W4" s="445"/>
      <c r="X4" s="445"/>
      <c r="Y4" s="445" t="str">
        <f>+'MASTER PubCo Inputs'!$C$24</f>
        <v>(in millions of USD)</v>
      </c>
      <c r="AA4" s="534" t="s">
        <v>379</v>
      </c>
      <c r="AB4" s="535" t="str">
        <f>+'Comp.1'!$AL$4</f>
        <v>USD</v>
      </c>
    </row>
    <row r="5" spans="2:35" ht="14.85" customHeight="1" thickTop="1">
      <c r="B5" s="355"/>
      <c r="AA5" s="339" t="s">
        <v>89</v>
      </c>
      <c r="AB5" s="536" t="str">
        <f>+'Comp.1'!$AL$5</f>
        <v>H</v>
      </c>
    </row>
    <row r="6" spans="2:35" ht="14.85" hidden="1" customHeight="1" outlineLevel="1">
      <c r="N6" s="807">
        <f>'DLOM - CVM'!H10</f>
        <v>4</v>
      </c>
      <c r="O6" s="808">
        <f>'Risk-Free Rates'!E27</f>
        <v>2.4299999999999999E-2</v>
      </c>
      <c r="Q6" s="809">
        <f>HLOOKUP(ROUND(N6,0),'Equity Vol'!$D$8:$K$8,1,TRUE)</f>
        <v>4</v>
      </c>
    </row>
    <row r="7" spans="2:35" ht="25.5" collapsed="1">
      <c r="D7" s="810" t="s">
        <v>91</v>
      </c>
      <c r="E7" s="811"/>
      <c r="F7" s="811"/>
      <c r="G7" s="811"/>
      <c r="H7" s="811"/>
      <c r="I7" s="811"/>
      <c r="J7" s="811"/>
      <c r="K7" s="812"/>
      <c r="M7" s="810" t="s">
        <v>92</v>
      </c>
      <c r="N7" s="811"/>
      <c r="O7" s="811"/>
      <c r="P7" s="813"/>
      <c r="Q7" s="812"/>
      <c r="S7" s="810" t="s">
        <v>93</v>
      </c>
      <c r="T7" s="811"/>
      <c r="U7" s="811"/>
      <c r="V7" s="811"/>
      <c r="W7" s="811"/>
      <c r="X7" s="814" t="s">
        <v>93</v>
      </c>
      <c r="Y7" s="815"/>
    </row>
    <row r="8" spans="2:35" s="229" customFormat="1" ht="45" customHeight="1">
      <c r="B8" s="816" t="s">
        <v>597</v>
      </c>
      <c r="D8" s="817" t="s">
        <v>94</v>
      </c>
      <c r="E8" s="818" t="s">
        <v>95</v>
      </c>
      <c r="F8" s="818" t="s">
        <v>96</v>
      </c>
      <c r="G8" s="818" t="s">
        <v>97</v>
      </c>
      <c r="H8" s="818" t="s">
        <v>98</v>
      </c>
      <c r="I8" s="818" t="s">
        <v>99</v>
      </c>
      <c r="J8" s="818" t="s">
        <v>100</v>
      </c>
      <c r="K8" s="819" t="s">
        <v>101</v>
      </c>
      <c r="L8" s="289"/>
      <c r="M8" s="817" t="s">
        <v>73</v>
      </c>
      <c r="N8" s="818" t="s">
        <v>102</v>
      </c>
      <c r="O8" s="819" t="s">
        <v>72</v>
      </c>
      <c r="P8" s="623"/>
      <c r="Q8" s="820" t="s">
        <v>103</v>
      </c>
      <c r="R8" s="623"/>
      <c r="S8" s="817" t="s">
        <v>104</v>
      </c>
      <c r="T8" s="818" t="s">
        <v>84</v>
      </c>
      <c r="U8" s="818" t="s">
        <v>85</v>
      </c>
      <c r="V8" s="818" t="s">
        <v>105</v>
      </c>
      <c r="W8" s="818" t="s">
        <v>106</v>
      </c>
      <c r="X8" s="821" t="s">
        <v>107</v>
      </c>
      <c r="Y8" s="819" t="s">
        <v>2000</v>
      </c>
      <c r="AA8" s="550" t="s">
        <v>108</v>
      </c>
      <c r="AB8" s="551" t="s">
        <v>109</v>
      </c>
      <c r="AC8" s="551" t="s">
        <v>110</v>
      </c>
      <c r="AD8" s="822"/>
    </row>
    <row r="9" spans="2:35" ht="14.85" customHeight="1"/>
    <row r="10" spans="2:35" ht="14.85" customHeight="1">
      <c r="B10" s="208" t="str">
        <f>'Comp.1'!B12</f>
        <v>Nektar Therapeutics</v>
      </c>
      <c r="D10" s="283">
        <f>IF($B10="(Invalid Identifier)","n/a",'Beta Calc'!K10)</f>
        <v>7328.4</v>
      </c>
      <c r="E10" s="283">
        <f>IF($B10="(Invalid Identifier)","n/a",'Beta Calc'!L10)</f>
        <v>246.5</v>
      </c>
      <c r="F10" s="283" t="str">
        <f>IF($B10="(Invalid Identifier)","n/a",'Beta Calc'!M10)</f>
        <v xml:space="preserve"> n/a </v>
      </c>
      <c r="G10" s="283" t="str">
        <f>IF($B10="(Invalid Identifier)","n/a",'Beta Calc'!N10)</f>
        <v xml:space="preserve"> n/a </v>
      </c>
      <c r="H10" s="283">
        <f t="shared" ref="H10:H22" si="0">SUM(E10:G10)</f>
        <v>246.5</v>
      </c>
      <c r="I10" s="283">
        <f t="shared" ref="I10:I22" si="1">SUM(D10:G10)</f>
        <v>7574.9</v>
      </c>
      <c r="J10" s="283">
        <f>IF($B10="(Invalid Identifier)","n/a",'Beta Calc'!Q10)</f>
        <v>1420.4</v>
      </c>
      <c r="K10" s="324">
        <f t="shared" ref="K10:K22" si="2">IF(B10="(Invalid Identifier)","n/a",I10-J10)</f>
        <v>6154.5</v>
      </c>
      <c r="M10" s="458">
        <f>IFERROR('Capital IQ Sheet-GPC'!AT13,"n/a")</f>
        <v>0</v>
      </c>
      <c r="N10" s="283">
        <f t="shared" ref="N10:O22" si="3">N$6</f>
        <v>4</v>
      </c>
      <c r="O10" s="823">
        <f t="shared" si="3"/>
        <v>2.4299999999999999E-2</v>
      </c>
      <c r="P10" s="824"/>
      <c r="Q10" s="825">
        <f>IFERROR(HLOOKUP($Q$6,'Equity Vol'!$B$8:$K10,ROWS('Equity Vol'!$C$8:$C10),FALSE),"n/a")</f>
        <v>0.64100000000000001</v>
      </c>
      <c r="R10" s="826"/>
      <c r="S10" s="827">
        <f t="shared" ref="S10:S22" si="4">IFERROR(IF(Q10="n/a","n/a",Q10^2),"n/a")</f>
        <v>0.410881</v>
      </c>
      <c r="T10" s="827">
        <f t="shared" ref="T10:T22" si="5">IF(OR(K10="n/a",S10="n/a"),"n/a",IF(H10=0,0,IF(M10=0,(LN(K10/H10)+((O10+(S10/2))*N10))/((S10*N10)^0.5),(LN(K10/H10)+((O10-M10+(S10/2))*N10))/((S10*N10)^0.5))))</f>
        <v>3.2266293346861197</v>
      </c>
      <c r="U10" s="828">
        <f t="shared" ref="U10:U22" si="6">IF(T10="n/a","n/a",IF(H10=0,0,T10-(S10*N10)^0.5))</f>
        <v>1.9446293346861196</v>
      </c>
      <c r="V10" s="828">
        <f t="shared" ref="V10:V22" si="7">IF(OR(T10="n/a",S10="n/a"),"n/a",IF(H10=0,0,NORMSDIST(T10)))</f>
        <v>0.99937371195717117</v>
      </c>
      <c r="W10" s="828">
        <f t="shared" ref="W10:W22" si="8">IF(OR(U10="n/a",S10="n/a"),"n/a",IF(H10=0,0,NORMSDIST(U10)))</f>
        <v>0.9740901969636635</v>
      </c>
      <c r="X10" s="378">
        <f t="shared" ref="X10:X22" si="9">IF(OR(K10="n/a",S10="n/a"),"n/a",IF(M10=0,(K10*V10)-((H10*EXP(1)^(-O10*N10))*W10),(K10*(2.718^(-M10*N10))*V10)-(H10*(2.718^(-O10*N10))*W10)))</f>
        <v>5932.7728818620444</v>
      </c>
      <c r="Y10" s="825">
        <f t="shared" ref="Y10:Y22" si="10">IFERROR(IF(LEN(B10)&gt;0,IF(H10=0,Q10,IF(ISERROR(Q10/((K10/X10)*V10)),"n/a",Q10/((K10/X10)*V10)))),"n/a")</f>
        <v>0.6182940328689055</v>
      </c>
      <c r="AA10" s="557" t="str">
        <f>IF('MASTER PubCo Inputs'!B28=0,"",'MASTER PubCo Inputs'!B28)</f>
        <v>NasdaqGS:NKTR</v>
      </c>
      <c r="AB10" s="283">
        <f>IF($B10="(Invalid Identifier)","n/a",'Beta Calc'!Z10)</f>
        <v>6154.5326800000003</v>
      </c>
      <c r="AC10" s="558">
        <f t="shared" ref="AC10:AC22" si="11">IF(B10="(Invalid Identifier)","n/a",K10-AB10)</f>
        <v>-3.268000000025495E-2</v>
      </c>
      <c r="AI10" s="559"/>
    </row>
    <row r="11" spans="2:35" ht="14.85" customHeight="1">
      <c r="B11" s="208" t="str">
        <f>'Comp.1'!B13</f>
        <v>Fate Therapeutics, Inc.</v>
      </c>
      <c r="D11" s="283">
        <f>IF($B11="(Invalid Identifier)","n/a",'Beta Calc'!K11)</f>
        <v>978.1</v>
      </c>
      <c r="E11" s="283">
        <f>IF($B11="(Invalid Identifier)","n/a",'Beta Calc'!L11)</f>
        <v>14.9</v>
      </c>
      <c r="F11" s="283">
        <f>IF($B11="(Invalid Identifier)","n/a",'Beta Calc'!M11)</f>
        <v>0</v>
      </c>
      <c r="G11" s="283" t="str">
        <f>IF($B11="(Invalid Identifier)","n/a",'Beta Calc'!N11)</f>
        <v xml:space="preserve"> n/a </v>
      </c>
      <c r="H11" s="283">
        <f t="shared" si="0"/>
        <v>14.9</v>
      </c>
      <c r="I11" s="283">
        <f t="shared" si="1"/>
        <v>993</v>
      </c>
      <c r="J11" s="283">
        <f>IF($B11="(Invalid Identifier)","n/a",'Beta Calc'!Q11)</f>
        <v>211.2</v>
      </c>
      <c r="K11" s="324">
        <f t="shared" si="2"/>
        <v>781.8</v>
      </c>
      <c r="M11" s="458">
        <f>IFERROR('Capital IQ Sheet-GPC'!AT14,"n/a")</f>
        <v>0</v>
      </c>
      <c r="N11" s="283">
        <f t="shared" si="3"/>
        <v>4</v>
      </c>
      <c r="O11" s="823">
        <f t="shared" si="3"/>
        <v>2.4299999999999999E-2</v>
      </c>
      <c r="P11" s="824"/>
      <c r="Q11" s="825">
        <f>IFERROR(HLOOKUP($Q$6,'Equity Vol'!$B$8:$K11,ROWS('Equity Vol'!$C$8:$C11),FALSE),"n/a")</f>
        <v>0.78400000000000003</v>
      </c>
      <c r="R11" s="826"/>
      <c r="S11" s="827">
        <f t="shared" si="4"/>
        <v>0.61465600000000009</v>
      </c>
      <c r="T11" s="827">
        <f t="shared" si="5"/>
        <v>3.3716516201578064</v>
      </c>
      <c r="U11" s="828">
        <f t="shared" si="6"/>
        <v>1.8036516201578063</v>
      </c>
      <c r="V11" s="828">
        <f t="shared" si="7"/>
        <v>0.99962640550942794</v>
      </c>
      <c r="W11" s="828">
        <f t="shared" si="8"/>
        <v>0.96435703083881108</v>
      </c>
      <c r="X11" s="378">
        <f t="shared" si="9"/>
        <v>768.46993225698225</v>
      </c>
      <c r="Y11" s="825">
        <f t="shared" si="10"/>
        <v>0.77092043282037748</v>
      </c>
      <c r="AA11" s="557" t="str">
        <f>IF('MASTER PubCo Inputs'!B29=0,"",'MASTER PubCo Inputs'!B29)</f>
        <v>NasdaqGM:FATE</v>
      </c>
      <c r="AB11" s="283">
        <f>IF($B11="(Invalid Identifier)","n/a",'Beta Calc'!Z11)</f>
        <v>781.76391000000001</v>
      </c>
      <c r="AC11" s="558">
        <f t="shared" si="11"/>
        <v>3.6089999999944666E-2</v>
      </c>
      <c r="AI11" s="559"/>
    </row>
    <row r="12" spans="2:35" ht="14.85" customHeight="1">
      <c r="B12" s="208" t="str">
        <f>'Comp.1'!B14</f>
        <v>Synthorx, Inc.</v>
      </c>
      <c r="D12" s="283">
        <f>IF($B12="(Invalid Identifier)","n/a",'Beta Calc'!K12)</f>
        <v>441.9</v>
      </c>
      <c r="E12" s="283" t="str">
        <f>IF($B12="(Invalid Identifier)","n/a",'Beta Calc'!L12)</f>
        <v xml:space="preserve"> -   </v>
      </c>
      <c r="F12" s="283">
        <f>IF($B12="(Invalid Identifier)","n/a",'Beta Calc'!M12)</f>
        <v>37.5</v>
      </c>
      <c r="G12" s="283" t="str">
        <f>IF($B12="(Invalid Identifier)","n/a",'Beta Calc'!N12)</f>
        <v xml:space="preserve"> n/a </v>
      </c>
      <c r="H12" s="283">
        <f t="shared" si="0"/>
        <v>37.5</v>
      </c>
      <c r="I12" s="283">
        <f t="shared" si="1"/>
        <v>479.4</v>
      </c>
      <c r="J12" s="283">
        <f>IF($B12="(Invalid Identifier)","n/a",'Beta Calc'!Q12)</f>
        <v>20.6</v>
      </c>
      <c r="K12" s="324">
        <f t="shared" si="2"/>
        <v>458.79999999999995</v>
      </c>
      <c r="M12" s="458">
        <f>IFERROR('Capital IQ Sheet-GPC'!AT15,"n/a")</f>
        <v>0</v>
      </c>
      <c r="N12" s="283">
        <f t="shared" si="3"/>
        <v>4</v>
      </c>
      <c r="O12" s="823">
        <f t="shared" si="3"/>
        <v>2.4299999999999999E-2</v>
      </c>
      <c r="P12" s="824"/>
      <c r="Q12" s="825" t="str">
        <f>IFERROR(HLOOKUP($Q$6,'Equity Vol'!$B$8:$K12,ROWS('Equity Vol'!$C$8:$C12),FALSE),"n/a")</f>
        <v>NM</v>
      </c>
      <c r="R12" s="826"/>
      <c r="S12" s="827" t="str">
        <f t="shared" si="4"/>
        <v>n/a</v>
      </c>
      <c r="T12" s="827" t="str">
        <f t="shared" si="5"/>
        <v>n/a</v>
      </c>
      <c r="U12" s="828" t="str">
        <f t="shared" si="6"/>
        <v>n/a</v>
      </c>
      <c r="V12" s="828" t="str">
        <f t="shared" si="7"/>
        <v>n/a</v>
      </c>
      <c r="W12" s="828" t="str">
        <f t="shared" si="8"/>
        <v>n/a</v>
      </c>
      <c r="X12" s="378" t="str">
        <f t="shared" si="9"/>
        <v>n/a</v>
      </c>
      <c r="Y12" s="825" t="str">
        <f t="shared" si="10"/>
        <v>n/a</v>
      </c>
      <c r="AA12" s="557" t="str">
        <f>IF('MASTER PubCo Inputs'!B30=0,"",'MASTER PubCo Inputs'!B30)</f>
        <v>NasdaqGS:THOR</v>
      </c>
      <c r="AB12" s="283">
        <f>IF($B12="(Invalid Identifier)","n/a",'Beta Calc'!Z12)</f>
        <v>458.77701999999999</v>
      </c>
      <c r="AC12" s="558">
        <f t="shared" si="11"/>
        <v>2.2979999999961365E-2</v>
      </c>
      <c r="AI12" s="559"/>
    </row>
    <row r="13" spans="2:35" ht="14.85" customHeight="1">
      <c r="B13" s="208" t="str">
        <f>'Comp.1'!B15</f>
        <v>ZIOPHARM Oncology, Inc.</v>
      </c>
      <c r="D13" s="283">
        <f>IF($B13="(Invalid Identifier)","n/a",'Beta Calc'!K13)</f>
        <v>316.3</v>
      </c>
      <c r="E13" s="283" t="str">
        <f>IF($B13="(Invalid Identifier)","n/a",'Beta Calc'!L13)</f>
        <v xml:space="preserve"> -   </v>
      </c>
      <c r="F13" s="283">
        <f>IF($B13="(Invalid Identifier)","n/a",'Beta Calc'!M13)</f>
        <v>160.4</v>
      </c>
      <c r="G13" s="283" t="str">
        <f>IF($B13="(Invalid Identifier)","n/a",'Beta Calc'!N13)</f>
        <v xml:space="preserve"> n/a </v>
      </c>
      <c r="H13" s="283">
        <f t="shared" si="0"/>
        <v>160.4</v>
      </c>
      <c r="I13" s="283">
        <f t="shared" si="1"/>
        <v>476.70000000000005</v>
      </c>
      <c r="J13" s="283">
        <f>IF($B13="(Invalid Identifier)","n/a",'Beta Calc'!Q13)</f>
        <v>31.7</v>
      </c>
      <c r="K13" s="324">
        <f t="shared" si="2"/>
        <v>445.00000000000006</v>
      </c>
      <c r="M13" s="458">
        <f>IFERROR('Capital IQ Sheet-GPC'!AT16,"n/a")</f>
        <v>0</v>
      </c>
      <c r="N13" s="283">
        <f t="shared" si="3"/>
        <v>4</v>
      </c>
      <c r="O13" s="823">
        <f t="shared" si="3"/>
        <v>2.4299999999999999E-2</v>
      </c>
      <c r="P13" s="824"/>
      <c r="Q13" s="825">
        <f>IFERROR(HLOOKUP($Q$6,'Equity Vol'!$B$8:$K13,ROWS('Equity Vol'!$C$8:$C13),FALSE),"n/a")</f>
        <v>0.70599999999999996</v>
      </c>
      <c r="R13" s="826"/>
      <c r="S13" s="827">
        <f t="shared" si="4"/>
        <v>0.49843599999999993</v>
      </c>
      <c r="T13" s="827">
        <f t="shared" si="5"/>
        <v>1.4975039566103587</v>
      </c>
      <c r="U13" s="828">
        <f t="shared" si="6"/>
        <v>8.5503956610358811E-2</v>
      </c>
      <c r="V13" s="828">
        <f t="shared" si="7"/>
        <v>0.93286891157970553</v>
      </c>
      <c r="W13" s="828">
        <f t="shared" si="8"/>
        <v>0.53406962496359567</v>
      </c>
      <c r="X13" s="378">
        <f t="shared" si="9"/>
        <v>337.39663864209484</v>
      </c>
      <c r="Y13" s="825">
        <f t="shared" si="10"/>
        <v>0.57380565159947428</v>
      </c>
      <c r="AA13" s="557" t="str">
        <f>IF('MASTER PubCo Inputs'!B31=0,"",'MASTER PubCo Inputs'!B31)</f>
        <v>NasdaqCM:ZIOP</v>
      </c>
      <c r="AB13" s="283">
        <f>IF($B13="(Invalid Identifier)","n/a",'Beta Calc'!Z13)</f>
        <v>445.02354000000003</v>
      </c>
      <c r="AC13" s="558">
        <f t="shared" si="11"/>
        <v>-2.3539999999968586E-2</v>
      </c>
      <c r="AI13" s="559"/>
    </row>
    <row r="14" spans="2:35" ht="14.85" customHeight="1">
      <c r="B14" s="208" t="str">
        <f>'Comp.1'!B16</f>
        <v>Stemline Therapeutics, Inc.</v>
      </c>
      <c r="D14" s="283">
        <f>IF($B14="(Invalid Identifier)","n/a",'Beta Calc'!K14)</f>
        <v>434.2</v>
      </c>
      <c r="E14" s="283" t="str">
        <f>IF($B14="(Invalid Identifier)","n/a",'Beta Calc'!L14)</f>
        <v xml:space="preserve"> -   </v>
      </c>
      <c r="F14" s="283" t="str">
        <f>IF($B14="(Invalid Identifier)","n/a",'Beta Calc'!M14)</f>
        <v xml:space="preserve"> n/a </v>
      </c>
      <c r="G14" s="283" t="str">
        <f>IF($B14="(Invalid Identifier)","n/a",'Beta Calc'!N14)</f>
        <v xml:space="preserve"> n/a </v>
      </c>
      <c r="H14" s="283">
        <f t="shared" si="0"/>
        <v>0</v>
      </c>
      <c r="I14" s="283">
        <f t="shared" si="1"/>
        <v>434.2</v>
      </c>
      <c r="J14" s="283">
        <f>IF($B14="(Invalid Identifier)","n/a",'Beta Calc'!Q14)</f>
        <v>78.599999999999994</v>
      </c>
      <c r="K14" s="324">
        <f t="shared" si="2"/>
        <v>355.6</v>
      </c>
      <c r="M14" s="458">
        <f>IFERROR('Capital IQ Sheet-GPC'!AT17,"n/a")</f>
        <v>0</v>
      </c>
      <c r="N14" s="283">
        <f t="shared" si="3"/>
        <v>4</v>
      </c>
      <c r="O14" s="823">
        <f t="shared" si="3"/>
        <v>2.4299999999999999E-2</v>
      </c>
      <c r="P14" s="824"/>
      <c r="Q14" s="825">
        <f>IFERROR(HLOOKUP($Q$6,'Equity Vol'!$B$8:$K14,ROWS('Equity Vol'!$C$8:$C14),FALSE),"n/a")</f>
        <v>0.66600000000000004</v>
      </c>
      <c r="R14" s="826"/>
      <c r="S14" s="827">
        <f t="shared" si="4"/>
        <v>0.44355600000000006</v>
      </c>
      <c r="T14" s="827">
        <f t="shared" si="5"/>
        <v>0</v>
      </c>
      <c r="U14" s="828">
        <f t="shared" si="6"/>
        <v>0</v>
      </c>
      <c r="V14" s="828">
        <f t="shared" si="7"/>
        <v>0</v>
      </c>
      <c r="W14" s="828">
        <f t="shared" si="8"/>
        <v>0</v>
      </c>
      <c r="X14" s="378">
        <f t="shared" si="9"/>
        <v>0</v>
      </c>
      <c r="Y14" s="825">
        <f t="shared" si="10"/>
        <v>0.66600000000000004</v>
      </c>
      <c r="AA14" s="557" t="str">
        <f>IF('MASTER PubCo Inputs'!B32=0,"",'MASTER PubCo Inputs'!B32)</f>
        <v>NasdaqCM:STML</v>
      </c>
      <c r="AB14" s="283">
        <f>IF($B14="(Invalid Identifier)","n/a",'Beta Calc'!Z14)</f>
        <v>355.63204999999999</v>
      </c>
      <c r="AC14" s="558">
        <f t="shared" si="11"/>
        <v>-3.2049999999969714E-2</v>
      </c>
      <c r="AI14" s="559"/>
    </row>
    <row r="15" spans="2:35" ht="14.85" customHeight="1">
      <c r="B15" s="208" t="str">
        <f>'Comp.1'!B17</f>
        <v>TG Therapeutics, Inc.</v>
      </c>
      <c r="D15" s="283">
        <f>IF($B15="(Invalid Identifier)","n/a",'Beta Calc'!K15)</f>
        <v>315</v>
      </c>
      <c r="E15" s="283">
        <f>IF($B15="(Invalid Identifier)","n/a",'Beta Calc'!L15)</f>
        <v>0.1</v>
      </c>
      <c r="F15" s="283" t="str">
        <f>IF($B15="(Invalid Identifier)","n/a",'Beta Calc'!M15)</f>
        <v xml:space="preserve"> n/a </v>
      </c>
      <c r="G15" s="283" t="str">
        <f>IF($B15="(Invalid Identifier)","n/a",'Beta Calc'!N15)</f>
        <v xml:space="preserve"> n/a </v>
      </c>
      <c r="H15" s="283">
        <f t="shared" si="0"/>
        <v>0.1</v>
      </c>
      <c r="I15" s="283">
        <f t="shared" si="1"/>
        <v>315.10000000000002</v>
      </c>
      <c r="J15" s="283">
        <f>IF($B15="(Invalid Identifier)","n/a",'Beta Calc'!Q15)</f>
        <v>97.7</v>
      </c>
      <c r="K15" s="324">
        <f t="shared" si="2"/>
        <v>217.40000000000003</v>
      </c>
      <c r="M15" s="458">
        <f>IFERROR('Capital IQ Sheet-GPC'!AT18,"n/a")</f>
        <v>0</v>
      </c>
      <c r="N15" s="283">
        <f t="shared" si="3"/>
        <v>4</v>
      </c>
      <c r="O15" s="823">
        <f t="shared" si="3"/>
        <v>2.4299999999999999E-2</v>
      </c>
      <c r="P15" s="824"/>
      <c r="Q15" s="825">
        <f>IFERROR(HLOOKUP($Q$6,'Equity Vol'!$B$8:$K15,ROWS('Equity Vol'!$C$8:$C15),FALSE),"n/a")</f>
        <v>0.79400000000000004</v>
      </c>
      <c r="R15" s="826"/>
      <c r="S15" s="827">
        <f t="shared" si="4"/>
        <v>0.63043600000000011</v>
      </c>
      <c r="T15" s="827">
        <f t="shared" si="5"/>
        <v>5.6942040728470751</v>
      </c>
      <c r="U15" s="828">
        <f t="shared" si="6"/>
        <v>4.106204072847075</v>
      </c>
      <c r="V15" s="828">
        <f t="shared" si="7"/>
        <v>0.99999999380256188</v>
      </c>
      <c r="W15" s="828">
        <f t="shared" si="8"/>
        <v>0.99997988929152515</v>
      </c>
      <c r="X15" s="378">
        <f t="shared" si="9"/>
        <v>217.30926302616322</v>
      </c>
      <c r="Y15" s="825">
        <f t="shared" si="10"/>
        <v>0.79366861045124926</v>
      </c>
      <c r="AA15" s="557" t="str">
        <f>IF('MASTER PubCo Inputs'!B33=0,"",'MASTER PubCo Inputs'!B33)</f>
        <v>NasdaqCM:TGTX</v>
      </c>
      <c r="AB15" s="283">
        <f>IF($B15="(Invalid Identifier)","n/a",'Beta Calc'!Z15)</f>
        <v>217.34072</v>
      </c>
      <c r="AC15" s="558">
        <f t="shared" si="11"/>
        <v>5.9280000000029531E-2</v>
      </c>
      <c r="AI15" s="559"/>
    </row>
    <row r="16" spans="2:35" ht="14.85" customHeight="1">
      <c r="B16" s="208" t="str">
        <f>'Comp.1'!B18</f>
        <v>XOMA Corporation</v>
      </c>
      <c r="D16" s="283">
        <f>IF($B16="(Invalid Identifier)","n/a",'Beta Calc'!K16)</f>
        <v>104.8</v>
      </c>
      <c r="E16" s="283">
        <f>IF($B16="(Invalid Identifier)","n/a",'Beta Calc'!L16)</f>
        <v>22</v>
      </c>
      <c r="F16" s="283" t="str">
        <f>IF($B16="(Invalid Identifier)","n/a",'Beta Calc'!M16)</f>
        <v xml:space="preserve"> n/a </v>
      </c>
      <c r="G16" s="283" t="str">
        <f>IF($B16="(Invalid Identifier)","n/a",'Beta Calc'!N16)</f>
        <v xml:space="preserve"> n/a </v>
      </c>
      <c r="H16" s="283">
        <f t="shared" si="0"/>
        <v>22</v>
      </c>
      <c r="I16" s="283">
        <f t="shared" si="1"/>
        <v>126.8</v>
      </c>
      <c r="J16" s="283">
        <f>IF($B16="(Invalid Identifier)","n/a",'Beta Calc'!Q16)</f>
        <v>28.4</v>
      </c>
      <c r="K16" s="324">
        <f t="shared" si="2"/>
        <v>98.4</v>
      </c>
      <c r="M16" s="458">
        <f>IFERROR('Capital IQ Sheet-GPC'!AT19,"n/a")</f>
        <v>0</v>
      </c>
      <c r="N16" s="283">
        <f t="shared" si="3"/>
        <v>4</v>
      </c>
      <c r="O16" s="823">
        <f t="shared" si="3"/>
        <v>2.4299999999999999E-2</v>
      </c>
      <c r="P16" s="824"/>
      <c r="Q16" s="825">
        <f>IFERROR(HLOOKUP($Q$6,'Equity Vol'!$B$8:$K16,ROWS('Equity Vol'!$C$8:$C16),FALSE),"n/a")</f>
        <v>1.117</v>
      </c>
      <c r="R16" s="826"/>
      <c r="S16" s="827">
        <f t="shared" si="4"/>
        <v>1.247689</v>
      </c>
      <c r="T16" s="827">
        <f t="shared" si="5"/>
        <v>1.8310547675469524</v>
      </c>
      <c r="U16" s="828">
        <f t="shared" si="6"/>
        <v>-0.40294523245304759</v>
      </c>
      <c r="V16" s="828">
        <f t="shared" si="7"/>
        <v>0.96645381553215315</v>
      </c>
      <c r="W16" s="828">
        <f t="shared" si="8"/>
        <v>0.34349425744093176</v>
      </c>
      <c r="X16" s="378">
        <f t="shared" si="9"/>
        <v>88.242140887341776</v>
      </c>
      <c r="Y16" s="825">
        <f t="shared" si="10"/>
        <v>1.0364610973941755</v>
      </c>
      <c r="AA16" s="557" t="str">
        <f>IF('MASTER PubCo Inputs'!B34=0,"",'MASTER PubCo Inputs'!B34)</f>
        <v>NasdaqGM:XOMA</v>
      </c>
      <c r="AB16" s="283">
        <f>IF($B16="(Invalid Identifier)","n/a",'Beta Calc'!Z16)</f>
        <v>98.380399999999995</v>
      </c>
      <c r="AC16" s="558">
        <f t="shared" si="11"/>
        <v>1.9600000000011164E-2</v>
      </c>
      <c r="AI16" s="559"/>
    </row>
    <row r="17" spans="2:35" ht="14.85" customHeight="1">
      <c r="B17" s="208" t="str">
        <f>'Comp.1'!B19</f>
        <v>Five Prime Therapeutics, Inc.</v>
      </c>
      <c r="D17" s="283">
        <f>IF($B17="(Invalid Identifier)","n/a",'Beta Calc'!K17)</f>
        <v>399</v>
      </c>
      <c r="E17" s="283" t="str">
        <f>IF($B17="(Invalid Identifier)","n/a",'Beta Calc'!L17)</f>
        <v xml:space="preserve"> -   </v>
      </c>
      <c r="F17" s="283" t="str">
        <f>IF($B17="(Invalid Identifier)","n/a",'Beta Calc'!M17)</f>
        <v xml:space="preserve"> n/a </v>
      </c>
      <c r="G17" s="283" t="str">
        <f>IF($B17="(Invalid Identifier)","n/a",'Beta Calc'!N17)</f>
        <v xml:space="preserve"> n/a </v>
      </c>
      <c r="H17" s="283">
        <f t="shared" si="0"/>
        <v>0</v>
      </c>
      <c r="I17" s="283">
        <f t="shared" si="1"/>
        <v>399</v>
      </c>
      <c r="J17" s="283">
        <f>IF($B17="(Invalid Identifier)","n/a",'Beta Calc'!Q17)</f>
        <v>321.60000000000002</v>
      </c>
      <c r="K17" s="324">
        <f t="shared" si="2"/>
        <v>77.399999999999977</v>
      </c>
      <c r="M17" s="458">
        <f>IFERROR('Capital IQ Sheet-GPC'!AT20,"n/a")</f>
        <v>0</v>
      </c>
      <c r="N17" s="283">
        <f t="shared" si="3"/>
        <v>4</v>
      </c>
      <c r="O17" s="823">
        <f t="shared" si="3"/>
        <v>2.4299999999999999E-2</v>
      </c>
      <c r="P17" s="824"/>
      <c r="Q17" s="825">
        <f>IFERROR(HLOOKUP($Q$6,'Equity Vol'!$B$8:$K17,ROWS('Equity Vol'!$C$8:$C17),FALSE),"n/a")</f>
        <v>0.67</v>
      </c>
      <c r="R17" s="826"/>
      <c r="S17" s="827">
        <f t="shared" si="4"/>
        <v>0.44890000000000008</v>
      </c>
      <c r="T17" s="827">
        <f t="shared" si="5"/>
        <v>0</v>
      </c>
      <c r="U17" s="828">
        <f t="shared" si="6"/>
        <v>0</v>
      </c>
      <c r="V17" s="828">
        <f t="shared" si="7"/>
        <v>0</v>
      </c>
      <c r="W17" s="828">
        <f t="shared" si="8"/>
        <v>0</v>
      </c>
      <c r="X17" s="378">
        <f t="shared" si="9"/>
        <v>0</v>
      </c>
      <c r="Y17" s="825">
        <f t="shared" si="10"/>
        <v>0.67</v>
      </c>
      <c r="AA17" s="557" t="str">
        <f>IF('MASTER PubCo Inputs'!B35=0,"",'MASTER PubCo Inputs'!B35)</f>
        <v>NasdaqGS:FPRX</v>
      </c>
      <c r="AB17" s="283">
        <f>IF($B17="(Invalid Identifier)","n/a",'Beta Calc'!Z17)</f>
        <v>77.393370000000004</v>
      </c>
      <c r="AC17" s="558">
        <f t="shared" si="11"/>
        <v>6.6299999999728243E-3</v>
      </c>
      <c r="AI17" s="559"/>
    </row>
    <row r="18" spans="2:35" ht="14.85" customHeight="1">
      <c r="B18" s="208" t="str">
        <f>'Comp.1'!B20</f>
        <v>Cue Biopharma, Inc.</v>
      </c>
      <c r="D18" s="283">
        <f>IF($B18="(Invalid Identifier)","n/a",'Beta Calc'!K18)</f>
        <v>105.8</v>
      </c>
      <c r="E18" s="283" t="str">
        <f>IF($B18="(Invalid Identifier)","n/a",'Beta Calc'!L18)</f>
        <v xml:space="preserve"> -   </v>
      </c>
      <c r="F18" s="283" t="str">
        <f>IF($B18="(Invalid Identifier)","n/a",'Beta Calc'!M18)</f>
        <v xml:space="preserve"> n/a </v>
      </c>
      <c r="G18" s="283" t="str">
        <f>IF($B18="(Invalid Identifier)","n/a",'Beta Calc'!N18)</f>
        <v xml:space="preserve"> n/a </v>
      </c>
      <c r="H18" s="283">
        <f t="shared" si="0"/>
        <v>0</v>
      </c>
      <c r="I18" s="283">
        <f t="shared" si="1"/>
        <v>105.8</v>
      </c>
      <c r="J18" s="283">
        <f>IF($B18="(Invalid Identifier)","n/a",'Beta Calc'!Q18)</f>
        <v>39.200000000000003</v>
      </c>
      <c r="K18" s="324">
        <f t="shared" si="2"/>
        <v>66.599999999999994</v>
      </c>
      <c r="M18" s="458">
        <f>IFERROR('Capital IQ Sheet-GPC'!AT21,"n/a")</f>
        <v>0</v>
      </c>
      <c r="N18" s="283">
        <f t="shared" si="3"/>
        <v>4</v>
      </c>
      <c r="O18" s="823">
        <f t="shared" si="3"/>
        <v>2.4299999999999999E-2</v>
      </c>
      <c r="P18" s="824"/>
      <c r="Q18" s="825">
        <f>IFERROR(HLOOKUP($Q$6,'Equity Vol'!$B$8:$K18,ROWS('Equity Vol'!$C$8:$C18),FALSE),"n/a")</f>
        <v>0.65</v>
      </c>
      <c r="R18" s="826"/>
      <c r="S18" s="827">
        <f t="shared" si="4"/>
        <v>0.42250000000000004</v>
      </c>
      <c r="T18" s="827">
        <f t="shared" si="5"/>
        <v>0</v>
      </c>
      <c r="U18" s="828">
        <f t="shared" si="6"/>
        <v>0</v>
      </c>
      <c r="V18" s="828">
        <f t="shared" si="7"/>
        <v>0</v>
      </c>
      <c r="W18" s="828">
        <f t="shared" si="8"/>
        <v>0</v>
      </c>
      <c r="X18" s="378">
        <f t="shared" si="9"/>
        <v>0</v>
      </c>
      <c r="Y18" s="825">
        <f t="shared" si="10"/>
        <v>0.65</v>
      </c>
      <c r="AA18" s="557" t="str">
        <f>IF('MASTER PubCo Inputs'!B36=0,"",'MASTER PubCo Inputs'!B36)</f>
        <v>NasdaqCM:CUE</v>
      </c>
      <c r="AB18" s="283">
        <f>IF($B18="(Invalid Identifier)","n/a",'Beta Calc'!Z18)</f>
        <v>66.582980000000006</v>
      </c>
      <c r="AC18" s="558">
        <f t="shared" si="11"/>
        <v>1.7019999999988045E-2</v>
      </c>
      <c r="AI18" s="559"/>
    </row>
    <row r="19" spans="2:35" ht="14.85" customHeight="1">
      <c r="B19" s="208" t="str">
        <f>'Comp.1'!B21</f>
        <v>OncoSec Medical Incorporated</v>
      </c>
      <c r="D19" s="283">
        <f>IF($B19="(Invalid Identifier)","n/a",'Beta Calc'!K19)</f>
        <v>56.8</v>
      </c>
      <c r="E19" s="283" t="str">
        <f>IF($B19="(Invalid Identifier)","n/a",'Beta Calc'!L19)</f>
        <v xml:space="preserve"> -   </v>
      </c>
      <c r="F19" s="283" t="str">
        <f>IF($B19="(Invalid Identifier)","n/a",'Beta Calc'!M19)</f>
        <v xml:space="preserve"> n/a </v>
      </c>
      <c r="G19" s="283" t="str">
        <f>IF($B19="(Invalid Identifier)","n/a",'Beta Calc'!N19)</f>
        <v xml:space="preserve"> n/a </v>
      </c>
      <c r="H19" s="283">
        <f t="shared" si="0"/>
        <v>0</v>
      </c>
      <c r="I19" s="283">
        <f t="shared" si="1"/>
        <v>56.8</v>
      </c>
      <c r="J19" s="283">
        <f>IF($B19="(Invalid Identifier)","n/a",'Beta Calc'!Q19)</f>
        <v>28.5</v>
      </c>
      <c r="K19" s="324">
        <f t="shared" si="2"/>
        <v>28.299999999999997</v>
      </c>
      <c r="M19" s="458">
        <f>IFERROR('Capital IQ Sheet-GPC'!AT22,"n/a")</f>
        <v>0</v>
      </c>
      <c r="N19" s="283">
        <f t="shared" si="3"/>
        <v>4</v>
      </c>
      <c r="O19" s="823">
        <f t="shared" si="3"/>
        <v>2.4299999999999999E-2</v>
      </c>
      <c r="P19" s="824"/>
      <c r="Q19" s="825">
        <f>IFERROR(HLOOKUP($Q$6,'Equity Vol'!$B$8:$K19,ROWS('Equity Vol'!$C$8:$C19),FALSE),"n/a")</f>
        <v>0.81899999999999995</v>
      </c>
      <c r="R19" s="826"/>
      <c r="S19" s="827">
        <f t="shared" si="4"/>
        <v>0.67076099999999994</v>
      </c>
      <c r="T19" s="827">
        <f t="shared" si="5"/>
        <v>0</v>
      </c>
      <c r="U19" s="828">
        <f t="shared" si="6"/>
        <v>0</v>
      </c>
      <c r="V19" s="828">
        <f t="shared" si="7"/>
        <v>0</v>
      </c>
      <c r="W19" s="828">
        <f t="shared" si="8"/>
        <v>0</v>
      </c>
      <c r="X19" s="378">
        <f t="shared" si="9"/>
        <v>0</v>
      </c>
      <c r="Y19" s="825">
        <f t="shared" si="10"/>
        <v>0.81899999999999995</v>
      </c>
      <c r="AA19" s="557" t="str">
        <f>IF('MASTER PubCo Inputs'!B37=0,"",'MASTER PubCo Inputs'!B37)</f>
        <v>NasdaqCM:ONCS</v>
      </c>
      <c r="AB19" s="283">
        <f>IF($B19="(Invalid Identifier)","n/a",'Beta Calc'!Z19)</f>
        <v>28.29128</v>
      </c>
      <c r="AC19" s="558">
        <f t="shared" si="11"/>
        <v>8.7199999999967304E-3</v>
      </c>
      <c r="AI19" s="559"/>
    </row>
    <row r="20" spans="2:35" ht="14.85" customHeight="1">
      <c r="B20" s="208" t="str">
        <f>'Comp.1'!B22</f>
        <v>NantKwest, Inc.</v>
      </c>
      <c r="D20" s="283">
        <f>IF($B20="(Invalid Identifier)","n/a",'Beta Calc'!K20)</f>
        <v>85.6</v>
      </c>
      <c r="E20" s="283">
        <f>IF($B20="(Invalid Identifier)","n/a",'Beta Calc'!L20)</f>
        <v>7.3</v>
      </c>
      <c r="F20" s="283" t="str">
        <f>IF($B20="(Invalid Identifier)","n/a",'Beta Calc'!M20)</f>
        <v xml:space="preserve"> n/a </v>
      </c>
      <c r="G20" s="283" t="str">
        <f>IF($B20="(Invalid Identifier)","n/a",'Beta Calc'!N20)</f>
        <v xml:space="preserve"> n/a </v>
      </c>
      <c r="H20" s="283">
        <f t="shared" si="0"/>
        <v>7.3</v>
      </c>
      <c r="I20" s="283">
        <f t="shared" si="1"/>
        <v>92.899999999999991</v>
      </c>
      <c r="J20" s="283">
        <f>IF($B20="(Invalid Identifier)","n/a",'Beta Calc'!Q20)</f>
        <v>83.9</v>
      </c>
      <c r="K20" s="324">
        <f t="shared" si="2"/>
        <v>8.9999999999999858</v>
      </c>
      <c r="M20" s="458">
        <f>IFERROR('Capital IQ Sheet-GPC'!AT23,"n/a")</f>
        <v>0</v>
      </c>
      <c r="N20" s="283">
        <f t="shared" si="3"/>
        <v>4</v>
      </c>
      <c r="O20" s="823">
        <f t="shared" si="3"/>
        <v>2.4299999999999999E-2</v>
      </c>
      <c r="P20" s="824"/>
      <c r="Q20" s="825">
        <f>IFERROR(HLOOKUP($Q$6,'Equity Vol'!$B$8:$K20,ROWS('Equity Vol'!$C$8:$C20),FALSE),"n/a")</f>
        <v>0.82299999999999995</v>
      </c>
      <c r="R20" s="826"/>
      <c r="S20" s="827">
        <f t="shared" si="4"/>
        <v>0.67732899999999996</v>
      </c>
      <c r="T20" s="827">
        <f t="shared" si="5"/>
        <v>1.0092395074008944</v>
      </c>
      <c r="U20" s="828">
        <f t="shared" si="6"/>
        <v>-0.6367604925991055</v>
      </c>
      <c r="V20" s="828">
        <f t="shared" si="7"/>
        <v>0.84357010817668054</v>
      </c>
      <c r="W20" s="828">
        <f t="shared" si="8"/>
        <v>0.26214043184076674</v>
      </c>
      <c r="X20" s="378">
        <f t="shared" si="9"/>
        <v>5.8557562826756637</v>
      </c>
      <c r="Y20" s="825">
        <f t="shared" si="10"/>
        <v>0.63477400974856479</v>
      </c>
      <c r="AA20" s="557" t="str">
        <f>IF('MASTER PubCo Inputs'!B38=0,"",'MASTER PubCo Inputs'!B38)</f>
        <v>NasdaqGS:NK</v>
      </c>
      <c r="AB20" s="283">
        <f>IF($B20="(Invalid Identifier)","n/a",'Beta Calc'!Z20)</f>
        <v>8.9691700000000001</v>
      </c>
      <c r="AC20" s="558">
        <f t="shared" si="11"/>
        <v>3.0829999999985702E-2</v>
      </c>
      <c r="AI20" s="559"/>
    </row>
    <row r="21" spans="2:35" ht="14.85" customHeight="1">
      <c r="B21" s="208" t="str">
        <f>'Comp.1'!B23</f>
        <v>Corvus Pharmaceuticals, Inc.</v>
      </c>
      <c r="D21" s="283">
        <f>IF($B21="(Invalid Identifier)","n/a",'Beta Calc'!K21)</f>
        <v>116.8</v>
      </c>
      <c r="E21" s="283" t="str">
        <f>IF($B21="(Invalid Identifier)","n/a",'Beta Calc'!L21)</f>
        <v xml:space="preserve"> -   </v>
      </c>
      <c r="F21" s="283" t="str">
        <f>IF($B21="(Invalid Identifier)","n/a",'Beta Calc'!M21)</f>
        <v xml:space="preserve"> n/a </v>
      </c>
      <c r="G21" s="283" t="str">
        <f>IF($B21="(Invalid Identifier)","n/a",'Beta Calc'!N21)</f>
        <v xml:space="preserve"> n/a </v>
      </c>
      <c r="H21" s="283">
        <f t="shared" si="0"/>
        <v>0</v>
      </c>
      <c r="I21" s="283">
        <f t="shared" si="1"/>
        <v>116.8</v>
      </c>
      <c r="J21" s="283">
        <f>IF($B21="(Invalid Identifier)","n/a",'Beta Calc'!Q21)</f>
        <v>122.6</v>
      </c>
      <c r="K21" s="324">
        <f t="shared" si="2"/>
        <v>-5.7999999999999972</v>
      </c>
      <c r="M21" s="458">
        <f>IFERROR('Capital IQ Sheet-GPC'!AT24,"n/a")</f>
        <v>0</v>
      </c>
      <c r="N21" s="283">
        <f t="shared" si="3"/>
        <v>4</v>
      </c>
      <c r="O21" s="823">
        <f t="shared" si="3"/>
        <v>2.4299999999999999E-2</v>
      </c>
      <c r="P21" s="824"/>
      <c r="Q21" s="825">
        <f>IFERROR(HLOOKUP($Q$6,'Equity Vol'!$B$8:$K21,ROWS('Equity Vol'!$C$8:$C21),FALSE),"n/a")</f>
        <v>0.69</v>
      </c>
      <c r="R21" s="826"/>
      <c r="S21" s="827">
        <f t="shared" si="4"/>
        <v>0.47609999999999991</v>
      </c>
      <c r="T21" s="827">
        <f t="shared" si="5"/>
        <v>0</v>
      </c>
      <c r="U21" s="828">
        <f t="shared" si="6"/>
        <v>0</v>
      </c>
      <c r="V21" s="828">
        <f t="shared" si="7"/>
        <v>0</v>
      </c>
      <c r="W21" s="828">
        <f t="shared" si="8"/>
        <v>0</v>
      </c>
      <c r="X21" s="378">
        <f t="shared" si="9"/>
        <v>0</v>
      </c>
      <c r="Y21" s="825">
        <f t="shared" si="10"/>
        <v>0.69</v>
      </c>
      <c r="AA21" s="557" t="str">
        <f>IF('MASTER PubCo Inputs'!B39=0,"",'MASTER PubCo Inputs'!B39)</f>
        <v>NasdaqGM:CRVS</v>
      </c>
      <c r="AB21" s="283">
        <f>IF($B21="(Invalid Identifier)","n/a",'Beta Calc'!Z21)</f>
        <v>-5.8034800000000004</v>
      </c>
      <c r="AC21" s="558">
        <f t="shared" si="11"/>
        <v>3.4800000000032583E-3</v>
      </c>
      <c r="AI21" s="559"/>
    </row>
    <row r="22" spans="2:35" ht="14.85" customHeight="1">
      <c r="B22" s="208" t="str">
        <f>'Comp.1'!B24</f>
        <v>Surface Oncology, Inc.</v>
      </c>
      <c r="D22" s="283">
        <f>IF($B22="(Invalid Identifier)","n/a",'Beta Calc'!K22)</f>
        <v>159.19999999999999</v>
      </c>
      <c r="E22" s="283" t="str">
        <f>IF($B22="(Invalid Identifier)","n/a",'Beta Calc'!L22)</f>
        <v xml:space="preserve"> -   </v>
      </c>
      <c r="F22" s="283" t="str">
        <f>IF($B22="(Invalid Identifier)","n/a",'Beta Calc'!M22)</f>
        <v xml:space="preserve"> n/a </v>
      </c>
      <c r="G22" s="283" t="str">
        <f>IF($B22="(Invalid Identifier)","n/a",'Beta Calc'!N22)</f>
        <v xml:space="preserve"> n/a </v>
      </c>
      <c r="H22" s="283">
        <f t="shared" si="0"/>
        <v>0</v>
      </c>
      <c r="I22" s="283">
        <f t="shared" si="1"/>
        <v>159.19999999999999</v>
      </c>
      <c r="J22" s="283">
        <f>IF($B22="(Invalid Identifier)","n/a",'Beta Calc'!Q22)</f>
        <v>173.4</v>
      </c>
      <c r="K22" s="324">
        <f t="shared" si="2"/>
        <v>-14.200000000000017</v>
      </c>
      <c r="M22" s="458">
        <f>IFERROR('Capital IQ Sheet-GPC'!AT25,"n/a")</f>
        <v>0</v>
      </c>
      <c r="N22" s="283">
        <f t="shared" si="3"/>
        <v>4</v>
      </c>
      <c r="O22" s="823">
        <f t="shared" si="3"/>
        <v>2.4299999999999999E-2</v>
      </c>
      <c r="P22" s="824"/>
      <c r="Q22" s="825" t="str">
        <f>IFERROR(HLOOKUP($Q$6,'Equity Vol'!$B$8:$K22,ROWS('Equity Vol'!$C$8:$C22),FALSE),"n/a")</f>
        <v>NM</v>
      </c>
      <c r="R22" s="826"/>
      <c r="S22" s="827" t="str">
        <f t="shared" si="4"/>
        <v>n/a</v>
      </c>
      <c r="T22" s="827" t="str">
        <f t="shared" si="5"/>
        <v>n/a</v>
      </c>
      <c r="U22" s="828" t="str">
        <f t="shared" si="6"/>
        <v>n/a</v>
      </c>
      <c r="V22" s="828" t="str">
        <f t="shared" si="7"/>
        <v>n/a</v>
      </c>
      <c r="W22" s="828" t="str">
        <f t="shared" si="8"/>
        <v>n/a</v>
      </c>
      <c r="X22" s="378" t="str">
        <f t="shared" si="9"/>
        <v>n/a</v>
      </c>
      <c r="Y22" s="825" t="str">
        <f t="shared" si="10"/>
        <v>NM</v>
      </c>
      <c r="AA22" s="557" t="str">
        <f>IF('MASTER PubCo Inputs'!B40=0,"",'MASTER PubCo Inputs'!B40)</f>
        <v>NasdaqGM:SURF</v>
      </c>
      <c r="AB22" s="283">
        <f>IF($B22="(Invalid Identifier)","n/a",'Beta Calc'!Z22)</f>
        <v>-14.20509</v>
      </c>
      <c r="AC22" s="558">
        <f t="shared" si="11"/>
        <v>5.0899999999831635E-3</v>
      </c>
      <c r="AI22" s="559"/>
    </row>
    <row r="23" spans="2:35" ht="14.85" hidden="1" customHeight="1" outlineLevel="1">
      <c r="D23" s="378"/>
      <c r="E23" s="378"/>
      <c r="F23" s="378"/>
      <c r="G23" s="378"/>
      <c r="H23" s="378"/>
      <c r="I23" s="378"/>
      <c r="J23" s="378"/>
      <c r="K23" s="1610"/>
      <c r="L23" s="232"/>
      <c r="M23" s="458"/>
      <c r="N23" s="378"/>
      <c r="O23" s="823"/>
      <c r="P23" s="1611"/>
      <c r="Q23" s="825"/>
      <c r="R23" s="825"/>
      <c r="S23" s="827"/>
      <c r="T23" s="827"/>
      <c r="U23" s="828"/>
      <c r="V23" s="828"/>
      <c r="W23" s="828"/>
      <c r="X23" s="378"/>
      <c r="Y23" s="825"/>
      <c r="Z23" s="232"/>
      <c r="AA23" s="1612"/>
      <c r="AB23" s="378"/>
      <c r="AC23" s="1613"/>
      <c r="AI23" s="559"/>
    </row>
    <row r="24" spans="2:35" ht="14.85" hidden="1" customHeight="1" outlineLevel="1">
      <c r="D24" s="378"/>
      <c r="E24" s="378"/>
      <c r="F24" s="378"/>
      <c r="G24" s="378"/>
      <c r="H24" s="378"/>
      <c r="I24" s="378"/>
      <c r="J24" s="378"/>
      <c r="K24" s="1610"/>
      <c r="L24" s="232"/>
      <c r="M24" s="458"/>
      <c r="N24" s="378"/>
      <c r="O24" s="823"/>
      <c r="P24" s="1611"/>
      <c r="Q24" s="825"/>
      <c r="R24" s="825"/>
      <c r="S24" s="827"/>
      <c r="T24" s="827"/>
      <c r="U24" s="828"/>
      <c r="V24" s="828"/>
      <c r="W24" s="828"/>
      <c r="X24" s="378"/>
      <c r="Y24" s="825"/>
      <c r="Z24" s="232"/>
      <c r="AA24" s="1612"/>
      <c r="AB24" s="378"/>
      <c r="AC24" s="1613"/>
      <c r="AI24" s="559"/>
    </row>
    <row r="25" spans="2:35" ht="14.85" hidden="1" customHeight="1" outlineLevel="1">
      <c r="D25" s="378"/>
      <c r="E25" s="378"/>
      <c r="F25" s="378"/>
      <c r="G25" s="378"/>
      <c r="H25" s="378"/>
      <c r="I25" s="378"/>
      <c r="J25" s="378"/>
      <c r="K25" s="1610"/>
      <c r="L25" s="232"/>
      <c r="M25" s="458"/>
      <c r="N25" s="378"/>
      <c r="O25" s="823"/>
      <c r="P25" s="1611"/>
      <c r="Q25" s="825"/>
      <c r="R25" s="825"/>
      <c r="S25" s="827"/>
      <c r="T25" s="827"/>
      <c r="U25" s="828"/>
      <c r="V25" s="828"/>
      <c r="W25" s="828"/>
      <c r="X25" s="378"/>
      <c r="Y25" s="825"/>
      <c r="Z25" s="232"/>
      <c r="AA25" s="1612"/>
      <c r="AB25" s="378"/>
      <c r="AC25" s="1613"/>
      <c r="AI25" s="559"/>
    </row>
    <row r="26" spans="2:35" ht="14.85" hidden="1" customHeight="1" outlineLevel="1">
      <c r="D26" s="378"/>
      <c r="E26" s="378"/>
      <c r="F26" s="378"/>
      <c r="G26" s="378"/>
      <c r="H26" s="378"/>
      <c r="I26" s="378"/>
      <c r="J26" s="378"/>
      <c r="K26" s="1610"/>
      <c r="L26" s="232"/>
      <c r="M26" s="458"/>
      <c r="N26" s="378"/>
      <c r="O26" s="823"/>
      <c r="P26" s="1611"/>
      <c r="Q26" s="825"/>
      <c r="R26" s="825"/>
      <c r="S26" s="827"/>
      <c r="T26" s="827"/>
      <c r="U26" s="828"/>
      <c r="V26" s="828"/>
      <c r="W26" s="828"/>
      <c r="X26" s="378"/>
      <c r="Y26" s="825"/>
      <c r="Z26" s="232"/>
      <c r="AA26" s="1612"/>
      <c r="AB26" s="378"/>
      <c r="AC26" s="1613"/>
      <c r="AI26" s="559"/>
    </row>
    <row r="27" spans="2:35" ht="14.85" hidden="1" customHeight="1" outlineLevel="1">
      <c r="D27" s="378"/>
      <c r="E27" s="378"/>
      <c r="F27" s="378"/>
      <c r="G27" s="378"/>
      <c r="H27" s="378"/>
      <c r="I27" s="378"/>
      <c r="J27" s="378"/>
      <c r="K27" s="1610"/>
      <c r="L27" s="232"/>
      <c r="M27" s="458"/>
      <c r="N27" s="378"/>
      <c r="O27" s="823"/>
      <c r="P27" s="1611"/>
      <c r="Q27" s="825"/>
      <c r="R27" s="825"/>
      <c r="S27" s="827"/>
      <c r="T27" s="827"/>
      <c r="U27" s="828"/>
      <c r="V27" s="828"/>
      <c r="W27" s="828"/>
      <c r="X27" s="378"/>
      <c r="Y27" s="825"/>
      <c r="Z27" s="232"/>
      <c r="AA27" s="1612"/>
      <c r="AB27" s="378"/>
      <c r="AC27" s="1613"/>
      <c r="AI27" s="559"/>
    </row>
    <row r="28" spans="2:35" ht="14.85" hidden="1" customHeight="1" outlineLevel="1">
      <c r="D28" s="378"/>
      <c r="E28" s="378"/>
      <c r="F28" s="378"/>
      <c r="G28" s="378"/>
      <c r="H28" s="378"/>
      <c r="I28" s="378"/>
      <c r="J28" s="378"/>
      <c r="K28" s="1610"/>
      <c r="L28" s="232"/>
      <c r="M28" s="458"/>
      <c r="N28" s="378"/>
      <c r="O28" s="823"/>
      <c r="P28" s="1611"/>
      <c r="Q28" s="825"/>
      <c r="R28" s="825"/>
      <c r="S28" s="827"/>
      <c r="T28" s="827"/>
      <c r="U28" s="828"/>
      <c r="V28" s="828"/>
      <c r="W28" s="828"/>
      <c r="X28" s="378"/>
      <c r="Y28" s="825"/>
      <c r="Z28" s="232"/>
      <c r="AA28" s="1612"/>
      <c r="AB28" s="378"/>
      <c r="AC28" s="1613"/>
      <c r="AI28" s="559"/>
    </row>
    <row r="29" spans="2:35" ht="14.85" hidden="1" customHeight="1" outlineLevel="1">
      <c r="D29" s="378"/>
      <c r="E29" s="378"/>
      <c r="F29" s="378"/>
      <c r="G29" s="378"/>
      <c r="H29" s="378"/>
      <c r="I29" s="378"/>
      <c r="J29" s="378"/>
      <c r="K29" s="1610"/>
      <c r="L29" s="232"/>
      <c r="M29" s="458"/>
      <c r="N29" s="378"/>
      <c r="O29" s="823"/>
      <c r="P29" s="1611"/>
      <c r="Q29" s="825"/>
      <c r="R29" s="825"/>
      <c r="S29" s="827"/>
      <c r="T29" s="827"/>
      <c r="U29" s="828"/>
      <c r="V29" s="828"/>
      <c r="W29" s="828"/>
      <c r="X29" s="378"/>
      <c r="Y29" s="825"/>
      <c r="Z29" s="232"/>
      <c r="AA29" s="1612"/>
      <c r="AB29" s="378"/>
      <c r="AC29" s="1613"/>
      <c r="AI29" s="559"/>
    </row>
    <row r="30" spans="2:35" ht="14.85" hidden="1" customHeight="1" outlineLevel="1">
      <c r="D30" s="378"/>
      <c r="E30" s="378"/>
      <c r="F30" s="378"/>
      <c r="G30" s="378"/>
      <c r="H30" s="378"/>
      <c r="I30" s="378"/>
      <c r="J30" s="378"/>
      <c r="K30" s="1610"/>
      <c r="L30" s="232"/>
      <c r="M30" s="458"/>
      <c r="N30" s="378"/>
      <c r="O30" s="823"/>
      <c r="P30" s="1611"/>
      <c r="Q30" s="825"/>
      <c r="R30" s="825"/>
      <c r="S30" s="827"/>
      <c r="T30" s="827"/>
      <c r="U30" s="828"/>
      <c r="V30" s="828"/>
      <c r="W30" s="828"/>
      <c r="X30" s="378"/>
      <c r="Y30" s="825"/>
      <c r="Z30" s="232"/>
      <c r="AA30" s="1612"/>
      <c r="AB30" s="378"/>
      <c r="AC30" s="1613"/>
      <c r="AI30" s="559"/>
    </row>
    <row r="31" spans="2:35" ht="14.85" hidden="1" customHeight="1" outlineLevel="1">
      <c r="D31" s="378"/>
      <c r="E31" s="378"/>
      <c r="F31" s="378"/>
      <c r="G31" s="378"/>
      <c r="H31" s="378"/>
      <c r="I31" s="378"/>
      <c r="J31" s="378"/>
      <c r="K31" s="1610"/>
      <c r="L31" s="232"/>
      <c r="M31" s="458"/>
      <c r="N31" s="378"/>
      <c r="O31" s="823"/>
      <c r="P31" s="1611"/>
      <c r="Q31" s="825"/>
      <c r="R31" s="825"/>
      <c r="S31" s="827"/>
      <c r="T31" s="827"/>
      <c r="U31" s="828"/>
      <c r="V31" s="828"/>
      <c r="W31" s="828"/>
      <c r="X31" s="378"/>
      <c r="Y31" s="825"/>
      <c r="Z31" s="232"/>
      <c r="AA31" s="1612"/>
      <c r="AB31" s="378"/>
      <c r="AC31" s="1613"/>
      <c r="AI31" s="559"/>
    </row>
    <row r="32" spans="2:35" ht="14.85" hidden="1" customHeight="1" outlineLevel="1">
      <c r="D32" s="378"/>
      <c r="E32" s="378"/>
      <c r="F32" s="378"/>
      <c r="G32" s="378"/>
      <c r="H32" s="378"/>
      <c r="I32" s="378"/>
      <c r="J32" s="378"/>
      <c r="K32" s="1610"/>
      <c r="L32" s="232"/>
      <c r="M32" s="458"/>
      <c r="N32" s="378"/>
      <c r="O32" s="823"/>
      <c r="P32" s="1611"/>
      <c r="Q32" s="825"/>
      <c r="R32" s="825"/>
      <c r="S32" s="827"/>
      <c r="T32" s="827"/>
      <c r="U32" s="828"/>
      <c r="V32" s="828"/>
      <c r="W32" s="828"/>
      <c r="X32" s="378"/>
      <c r="Y32" s="825"/>
      <c r="Z32" s="232"/>
      <c r="AA32" s="1612"/>
      <c r="AB32" s="378"/>
      <c r="AC32" s="1613"/>
      <c r="AI32" s="559"/>
    </row>
    <row r="33" spans="2:35" ht="14.85" hidden="1" customHeight="1" outlineLevel="1">
      <c r="D33" s="378"/>
      <c r="E33" s="378"/>
      <c r="F33" s="378"/>
      <c r="G33" s="378"/>
      <c r="H33" s="378"/>
      <c r="I33" s="378"/>
      <c r="J33" s="378"/>
      <c r="K33" s="1610"/>
      <c r="L33" s="232"/>
      <c r="M33" s="458"/>
      <c r="N33" s="378"/>
      <c r="O33" s="823"/>
      <c r="P33" s="1611"/>
      <c r="Q33" s="825"/>
      <c r="R33" s="825"/>
      <c r="S33" s="827"/>
      <c r="T33" s="827"/>
      <c r="U33" s="828"/>
      <c r="V33" s="828"/>
      <c r="W33" s="828"/>
      <c r="X33" s="378"/>
      <c r="Y33" s="825"/>
      <c r="Z33" s="232"/>
      <c r="AA33" s="1612"/>
      <c r="AB33" s="378"/>
      <c r="AC33" s="1613"/>
      <c r="AI33" s="559"/>
    </row>
    <row r="34" spans="2:35" ht="14.85" hidden="1" customHeight="1" outlineLevel="1">
      <c r="D34" s="378"/>
      <c r="E34" s="378"/>
      <c r="F34" s="378"/>
      <c r="G34" s="378"/>
      <c r="H34" s="378"/>
      <c r="I34" s="378"/>
      <c r="J34" s="378"/>
      <c r="K34" s="1610"/>
      <c r="L34" s="232"/>
      <c r="M34" s="458"/>
      <c r="N34" s="378"/>
      <c r="O34" s="823"/>
      <c r="P34" s="1611"/>
      <c r="Q34" s="825"/>
      <c r="R34" s="825"/>
      <c r="S34" s="827"/>
      <c r="T34" s="827"/>
      <c r="U34" s="828"/>
      <c r="V34" s="828"/>
      <c r="W34" s="828"/>
      <c r="X34" s="378"/>
      <c r="Y34" s="825"/>
      <c r="Z34" s="232"/>
      <c r="AA34" s="1612"/>
      <c r="AB34" s="378"/>
      <c r="AC34" s="1613"/>
      <c r="AI34" s="559"/>
    </row>
    <row r="35" spans="2:35" ht="14.85" hidden="1" customHeight="1" outlineLevel="1">
      <c r="D35" s="378"/>
      <c r="E35" s="378"/>
      <c r="F35" s="378"/>
      <c r="G35" s="378"/>
      <c r="H35" s="378"/>
      <c r="I35" s="378"/>
      <c r="J35" s="378"/>
      <c r="K35" s="1610"/>
      <c r="L35" s="232"/>
      <c r="M35" s="458"/>
      <c r="N35" s="378"/>
      <c r="O35" s="823"/>
      <c r="P35" s="1611"/>
      <c r="Q35" s="825"/>
      <c r="R35" s="825"/>
      <c r="S35" s="827"/>
      <c r="T35" s="827"/>
      <c r="U35" s="828"/>
      <c r="V35" s="828"/>
      <c r="W35" s="828"/>
      <c r="X35" s="378"/>
      <c r="Y35" s="825"/>
      <c r="Z35" s="232"/>
      <c r="AA35" s="1612"/>
      <c r="AB35" s="378"/>
      <c r="AC35" s="1613"/>
      <c r="AI35" s="559"/>
    </row>
    <row r="36" spans="2:35" ht="14.85" hidden="1" customHeight="1" outlineLevel="1">
      <c r="D36" s="378"/>
      <c r="E36" s="378"/>
      <c r="F36" s="378"/>
      <c r="G36" s="378"/>
      <c r="H36" s="378"/>
      <c r="I36" s="378"/>
      <c r="J36" s="378"/>
      <c r="K36" s="1610"/>
      <c r="L36" s="232"/>
      <c r="M36" s="458"/>
      <c r="N36" s="378"/>
      <c r="O36" s="823"/>
      <c r="P36" s="1611"/>
      <c r="Q36" s="825"/>
      <c r="R36" s="825"/>
      <c r="S36" s="827"/>
      <c r="T36" s="827"/>
      <c r="U36" s="828"/>
      <c r="V36" s="828"/>
      <c r="W36" s="828"/>
      <c r="X36" s="378"/>
      <c r="Y36" s="825"/>
      <c r="Z36" s="232"/>
      <c r="AA36" s="1612"/>
      <c r="AB36" s="378"/>
      <c r="AC36" s="1613"/>
      <c r="AI36" s="559"/>
    </row>
    <row r="37" spans="2:35" ht="14.85" hidden="1" customHeight="1" outlineLevel="1">
      <c r="D37" s="378"/>
      <c r="E37" s="378"/>
      <c r="F37" s="378"/>
      <c r="G37" s="378"/>
      <c r="H37" s="378"/>
      <c r="I37" s="378"/>
      <c r="J37" s="378"/>
      <c r="K37" s="1610"/>
      <c r="L37" s="232"/>
      <c r="M37" s="458"/>
      <c r="N37" s="378"/>
      <c r="O37" s="823"/>
      <c r="P37" s="1611"/>
      <c r="Q37" s="825"/>
      <c r="R37" s="825"/>
      <c r="S37" s="827"/>
      <c r="T37" s="827"/>
      <c r="U37" s="828"/>
      <c r="V37" s="828"/>
      <c r="W37" s="828"/>
      <c r="X37" s="378"/>
      <c r="Y37" s="825"/>
      <c r="Z37" s="232"/>
      <c r="AA37" s="1612"/>
      <c r="AB37" s="378"/>
      <c r="AC37" s="1613"/>
      <c r="AI37" s="559"/>
    </row>
    <row r="38" spans="2:35" ht="14.85" hidden="1" customHeight="1" outlineLevel="1">
      <c r="D38" s="378"/>
      <c r="E38" s="378"/>
      <c r="F38" s="378"/>
      <c r="G38" s="378"/>
      <c r="H38" s="378"/>
      <c r="I38" s="378"/>
      <c r="J38" s="378"/>
      <c r="K38" s="1610"/>
      <c r="L38" s="232"/>
      <c r="M38" s="458"/>
      <c r="N38" s="378"/>
      <c r="O38" s="823"/>
      <c r="P38" s="1611"/>
      <c r="Q38" s="825"/>
      <c r="R38" s="825"/>
      <c r="S38" s="827"/>
      <c r="T38" s="827"/>
      <c r="U38" s="828"/>
      <c r="V38" s="828"/>
      <c r="W38" s="828"/>
      <c r="X38" s="378"/>
      <c r="Y38" s="825"/>
      <c r="Z38" s="232"/>
      <c r="AA38" s="1612"/>
      <c r="AB38" s="378"/>
      <c r="AC38" s="1613"/>
      <c r="AI38" s="559"/>
    </row>
    <row r="39" spans="2:35" ht="14.85" hidden="1" customHeight="1" outlineLevel="1">
      <c r="D39" s="378"/>
      <c r="E39" s="378"/>
      <c r="F39" s="378"/>
      <c r="G39" s="378"/>
      <c r="H39" s="378"/>
      <c r="I39" s="378"/>
      <c r="J39" s="378"/>
      <c r="K39" s="1610"/>
      <c r="L39" s="232"/>
      <c r="M39" s="458"/>
      <c r="N39" s="378"/>
      <c r="O39" s="823"/>
      <c r="P39" s="1611"/>
      <c r="Q39" s="825"/>
      <c r="R39" s="825"/>
      <c r="S39" s="827"/>
      <c r="T39" s="827"/>
      <c r="U39" s="828"/>
      <c r="V39" s="828"/>
      <c r="W39" s="828"/>
      <c r="X39" s="378"/>
      <c r="Y39" s="825"/>
      <c r="Z39" s="232"/>
      <c r="AA39" s="1612"/>
      <c r="AB39" s="378"/>
      <c r="AC39" s="1613"/>
      <c r="AI39" s="559"/>
    </row>
    <row r="40" spans="2:35" ht="14.85" customHeight="1" collapsed="1">
      <c r="D40" s="283"/>
      <c r="E40" s="283"/>
      <c r="F40" s="283"/>
      <c r="G40" s="283"/>
      <c r="H40" s="283"/>
      <c r="I40" s="283"/>
      <c r="J40" s="283"/>
      <c r="K40" s="283"/>
      <c r="R40" s="355"/>
    </row>
    <row r="41" spans="2:35" ht="14.85" customHeight="1">
      <c r="B41" s="561" t="s">
        <v>111</v>
      </c>
      <c r="C41" s="562"/>
      <c r="D41" s="564">
        <f>MAX(D10:D39)</f>
        <v>7328.4</v>
      </c>
      <c r="E41" s="564">
        <f t="shared" ref="E41:K41" si="12">MAX(E10:E39)</f>
        <v>246.5</v>
      </c>
      <c r="F41" s="564">
        <f t="shared" si="12"/>
        <v>160.4</v>
      </c>
      <c r="G41" s="564">
        <f t="shared" si="12"/>
        <v>0</v>
      </c>
      <c r="H41" s="564">
        <f t="shared" si="12"/>
        <v>246.5</v>
      </c>
      <c r="I41" s="564">
        <f t="shared" si="12"/>
        <v>7574.9</v>
      </c>
      <c r="J41" s="564">
        <f t="shared" si="12"/>
        <v>1420.4</v>
      </c>
      <c r="K41" s="564">
        <f t="shared" si="12"/>
        <v>6154.5</v>
      </c>
      <c r="L41" s="562"/>
      <c r="M41" s="657">
        <f>MAX(M10:M39)</f>
        <v>0</v>
      </c>
      <c r="N41" s="564">
        <f>MAX(N10:N39)</f>
        <v>4</v>
      </c>
      <c r="O41" s="829">
        <f>MAX(O10:O39)</f>
        <v>2.4299999999999999E-2</v>
      </c>
      <c r="P41" s="830"/>
      <c r="Q41" s="831">
        <f>MAX(Q10:Q39)</f>
        <v>1.117</v>
      </c>
      <c r="R41" s="832"/>
      <c r="S41" s="833">
        <f>MAX(S10:S40)</f>
        <v>1.247689</v>
      </c>
      <c r="T41" s="833">
        <f>MAX(T10:T40)</f>
        <v>5.6942040728470751</v>
      </c>
      <c r="U41" s="834">
        <f>MAX(U10:U40)</f>
        <v>4.106204072847075</v>
      </c>
      <c r="V41" s="834">
        <f>MAX(V10:V40)</f>
        <v>0.99999999380256188</v>
      </c>
      <c r="W41" s="834">
        <f>MAX(W10:W40)</f>
        <v>0.99997988929152515</v>
      </c>
      <c r="X41" s="564">
        <f>MAX(X10:X39)</f>
        <v>5932.7728818620444</v>
      </c>
      <c r="Y41" s="835">
        <f>MAX(Y10:Y39)</f>
        <v>1.0364610973941755</v>
      </c>
      <c r="AB41" s="836">
        <f>+'Asset Vol- CVM'!Y48</f>
        <v>0.65400000000000003</v>
      </c>
      <c r="AC41" s="837" t="s">
        <v>1438</v>
      </c>
      <c r="AD41" s="837"/>
      <c r="AE41" s="837"/>
      <c r="AF41" s="392"/>
    </row>
    <row r="42" spans="2:35" ht="14.85" customHeight="1">
      <c r="B42" s="567" t="s">
        <v>115</v>
      </c>
      <c r="C42" s="568"/>
      <c r="D42" s="570">
        <f>QUARTILE(D10:D39,3)</f>
        <v>434.2</v>
      </c>
      <c r="E42" s="570">
        <f t="shared" ref="E42:K42" si="13">QUARTILE(E10:E39,3)</f>
        <v>22</v>
      </c>
      <c r="F42" s="570">
        <f t="shared" si="13"/>
        <v>98.95</v>
      </c>
      <c r="G42" s="570" t="e">
        <f t="shared" si="13"/>
        <v>#NUM!</v>
      </c>
      <c r="H42" s="570">
        <f t="shared" si="13"/>
        <v>22</v>
      </c>
      <c r="I42" s="570">
        <f t="shared" si="13"/>
        <v>476.70000000000005</v>
      </c>
      <c r="J42" s="570">
        <f t="shared" si="13"/>
        <v>173.4</v>
      </c>
      <c r="K42" s="570">
        <f t="shared" si="13"/>
        <v>445.00000000000006</v>
      </c>
      <c r="L42" s="568"/>
      <c r="M42" s="659">
        <f>QUARTILE(M10:M39,3)</f>
        <v>0</v>
      </c>
      <c r="N42" s="570">
        <f>QUARTILE(N10:N39,3)</f>
        <v>4</v>
      </c>
      <c r="O42" s="838">
        <f>QUARTILE(O10:O39,3)</f>
        <v>2.4299999999999999E-2</v>
      </c>
      <c r="P42" s="839"/>
      <c r="Q42" s="840">
        <f>QUARTILE(Q10:Q39,3)</f>
        <v>0.80649999999999999</v>
      </c>
      <c r="R42" s="841"/>
      <c r="S42" s="842">
        <f>QUARTILE(S10:S40,3)</f>
        <v>0.65059850000000008</v>
      </c>
      <c r="T42" s="842">
        <f>QUARTILE(T10:T40,3)</f>
        <v>2.5288420511165359</v>
      </c>
      <c r="U42" s="843">
        <f>QUARTILE(U10:U40,3)</f>
        <v>0.94457778838408257</v>
      </c>
      <c r="V42" s="843">
        <f>QUARTILE(V10:V40,3)</f>
        <v>0.98291376374466211</v>
      </c>
      <c r="W42" s="843">
        <f>QUARTILE(W10:W40,3)</f>
        <v>0.74921332790120343</v>
      </c>
      <c r="X42" s="570">
        <f>QUARTILE(X10:X39,3)</f>
        <v>277.35295083412905</v>
      </c>
      <c r="Y42" s="844">
        <f>QUARTILE(Y10:Y39,3)</f>
        <v>0.78229452163581337</v>
      </c>
      <c r="AB42" s="845">
        <f>+'Asset Vol- CVM'!Y50</f>
        <v>0.67023797451788714</v>
      </c>
      <c r="AC42" s="326" t="s">
        <v>1439</v>
      </c>
      <c r="AD42" s="326"/>
      <c r="AE42" s="326"/>
      <c r="AF42" s="327"/>
    </row>
    <row r="43" spans="2:35" ht="14.85" customHeight="1">
      <c r="B43" s="567" t="s">
        <v>113</v>
      </c>
      <c r="C43" s="568"/>
      <c r="D43" s="570">
        <f>AVERAGE(D10:D39)</f>
        <v>833.99230769230758</v>
      </c>
      <c r="E43" s="570">
        <f t="shared" ref="E43:K43" si="14">AVERAGE(E10:E39)</f>
        <v>58.160000000000004</v>
      </c>
      <c r="F43" s="570">
        <f t="shared" si="14"/>
        <v>65.966666666666669</v>
      </c>
      <c r="G43" s="570" t="e">
        <f t="shared" si="14"/>
        <v>#DIV/0!</v>
      </c>
      <c r="H43" s="570">
        <f t="shared" si="14"/>
        <v>37.592307692307692</v>
      </c>
      <c r="I43" s="570">
        <f t="shared" si="14"/>
        <v>871.58461538461529</v>
      </c>
      <c r="J43" s="570">
        <f t="shared" si="14"/>
        <v>204.44615384615386</v>
      </c>
      <c r="K43" s="570">
        <f t="shared" si="14"/>
        <v>667.13846153846146</v>
      </c>
      <c r="L43" s="568"/>
      <c r="M43" s="659">
        <f>AVERAGE(M10:M39)</f>
        <v>0</v>
      </c>
      <c r="N43" s="570">
        <f>AVERAGE(N10:N39)</f>
        <v>4</v>
      </c>
      <c r="O43" s="838">
        <f>AVERAGE(O10:O39)</f>
        <v>2.4299999999999992E-2</v>
      </c>
      <c r="P43" s="839"/>
      <c r="Q43" s="840">
        <f>AVERAGE(Q10:Q39)</f>
        <v>0.7599999999999999</v>
      </c>
      <c r="R43" s="841"/>
      <c r="S43" s="842">
        <f>AVERAGE(S10:S40)</f>
        <v>0.59465854545454555</v>
      </c>
      <c r="T43" s="842">
        <f>AVERAGE(T10:T40)</f>
        <v>1.511843932659019</v>
      </c>
      <c r="U43" s="843">
        <f>AVERAGE(U10:U40)</f>
        <v>0.62729847811356432</v>
      </c>
      <c r="V43" s="843">
        <f>AVERAGE(V10:V40)</f>
        <v>0.52199026786888192</v>
      </c>
      <c r="W43" s="843">
        <f>AVERAGE(W10:W40)</f>
        <v>0.37073922103084489</v>
      </c>
      <c r="X43" s="570">
        <f>AVERAGE(X10:X39)</f>
        <v>668.18605572339118</v>
      </c>
      <c r="Y43" s="844">
        <f>AVERAGE(Y10:Y39)</f>
        <v>0.72026580317115885</v>
      </c>
      <c r="AB43" s="845">
        <f>+'Asset Vol- CVM'!Y44</f>
        <v>0.67</v>
      </c>
      <c r="AC43" s="326" t="s">
        <v>1437</v>
      </c>
      <c r="AD43" s="326"/>
      <c r="AE43" s="326"/>
      <c r="AF43" s="846" t="s">
        <v>1708</v>
      </c>
    </row>
    <row r="44" spans="2:35" ht="14.85" customHeight="1">
      <c r="B44" s="567" t="s">
        <v>44</v>
      </c>
      <c r="C44" s="568"/>
      <c r="D44" s="570">
        <f>MEDIAN(D10:D39)</f>
        <v>315</v>
      </c>
      <c r="E44" s="570">
        <f t="shared" ref="E44:K44" si="15">MEDIAN(E10:E39)</f>
        <v>14.9</v>
      </c>
      <c r="F44" s="570">
        <f t="shared" si="15"/>
        <v>37.5</v>
      </c>
      <c r="G44" s="570" t="e">
        <f t="shared" si="15"/>
        <v>#NUM!</v>
      </c>
      <c r="H44" s="570">
        <f t="shared" si="15"/>
        <v>0.1</v>
      </c>
      <c r="I44" s="570">
        <f t="shared" si="15"/>
        <v>315.10000000000002</v>
      </c>
      <c r="J44" s="570">
        <f t="shared" si="15"/>
        <v>83.9</v>
      </c>
      <c r="K44" s="570">
        <f t="shared" si="15"/>
        <v>98.4</v>
      </c>
      <c r="L44" s="568"/>
      <c r="M44" s="659">
        <f>MEDIAN(M10:M39)</f>
        <v>0</v>
      </c>
      <c r="N44" s="570">
        <f>MEDIAN(N10:N39)</f>
        <v>4</v>
      </c>
      <c r="O44" s="838">
        <f>MEDIAN(O10:O39)</f>
        <v>2.4299999999999999E-2</v>
      </c>
      <c r="P44" s="839"/>
      <c r="Q44" s="840">
        <f>MEDIAN(Q10:Q39)</f>
        <v>0.70599999999999996</v>
      </c>
      <c r="R44" s="841"/>
      <c r="S44" s="842">
        <f>MEDIAN(S10:S40)</f>
        <v>0.49843599999999993</v>
      </c>
      <c r="T44" s="842">
        <f>MEDIAN(T10:T40)</f>
        <v>1.0092395074008944</v>
      </c>
      <c r="U44" s="843">
        <f>MEDIAN(U10:U40)</f>
        <v>0</v>
      </c>
      <c r="V44" s="843">
        <f>MEDIAN(V10:V40)</f>
        <v>0.84357010817668054</v>
      </c>
      <c r="W44" s="843">
        <f>MEDIAN(W10:W40)</f>
        <v>0.26214043184076674</v>
      </c>
      <c r="X44" s="570">
        <f>MEDIAN(X10:X39)</f>
        <v>5.8557562826756637</v>
      </c>
      <c r="Y44" s="844">
        <f>MEDIAN(Y10:Y39)</f>
        <v>0.67</v>
      </c>
      <c r="AB44" s="847"/>
      <c r="AC44" s="326"/>
      <c r="AD44" s="326"/>
      <c r="AE44" s="326"/>
      <c r="AF44" s="327"/>
    </row>
    <row r="45" spans="2:35" ht="14.85" customHeight="1">
      <c r="B45" s="567" t="s">
        <v>114</v>
      </c>
      <c r="C45" s="568"/>
      <c r="D45" s="570">
        <f>QUARTILE(D10:D39,1)</f>
        <v>105.8</v>
      </c>
      <c r="E45" s="570">
        <f t="shared" ref="E45:K45" si="16">QUARTILE(E10:E39,1)</f>
        <v>7.3</v>
      </c>
      <c r="F45" s="570">
        <f t="shared" si="16"/>
        <v>18.75</v>
      </c>
      <c r="G45" s="570" t="e">
        <f t="shared" si="16"/>
        <v>#NUM!</v>
      </c>
      <c r="H45" s="570">
        <f t="shared" si="16"/>
        <v>0</v>
      </c>
      <c r="I45" s="570">
        <f t="shared" si="16"/>
        <v>116.8</v>
      </c>
      <c r="J45" s="570">
        <f t="shared" si="16"/>
        <v>31.7</v>
      </c>
      <c r="K45" s="570">
        <f t="shared" si="16"/>
        <v>28.299999999999997</v>
      </c>
      <c r="L45" s="568"/>
      <c r="M45" s="659">
        <f>QUARTILE(M10:M39,1)</f>
        <v>0</v>
      </c>
      <c r="N45" s="570">
        <f>QUARTILE(N10:N39,1)</f>
        <v>4</v>
      </c>
      <c r="O45" s="838">
        <f>QUARTILE(O10:O39,1)</f>
        <v>2.4299999999999999E-2</v>
      </c>
      <c r="P45" s="839"/>
      <c r="Q45" s="840">
        <f>QUARTILE(Q10:Q39,1)</f>
        <v>0.66800000000000004</v>
      </c>
      <c r="R45" s="841"/>
      <c r="S45" s="842">
        <f>QUARTILE(S10:S40,1)</f>
        <v>0.44622800000000007</v>
      </c>
      <c r="T45" s="842">
        <f>QUARTILE(T10:T40,1)</f>
        <v>0</v>
      </c>
      <c r="U45" s="843">
        <f>QUARTILE(U10:U40,1)</f>
        <v>0</v>
      </c>
      <c r="V45" s="843">
        <f>QUARTILE(V10:V40,1)</f>
        <v>0</v>
      </c>
      <c r="W45" s="843">
        <f>QUARTILE(W10:W40,1)</f>
        <v>0</v>
      </c>
      <c r="X45" s="570">
        <f>QUARTILE(X10:X39,1)</f>
        <v>0</v>
      </c>
      <c r="Y45" s="844">
        <f>QUARTILE(Y10:Y39,1)</f>
        <v>0.64238700487428235</v>
      </c>
      <c r="AB45" s="848" t="str">
        <f>IF(ROUND(AB42,3)=ROUND(AB43,3),"","Update Volatility - DLOM")</f>
        <v/>
      </c>
      <c r="AC45" s="288"/>
      <c r="AD45" s="288"/>
      <c r="AE45" s="288"/>
      <c r="AF45" s="440"/>
    </row>
    <row r="46" spans="2:35" ht="14.85" customHeight="1">
      <c r="B46" s="572" t="s">
        <v>112</v>
      </c>
      <c r="C46" s="427"/>
      <c r="D46" s="430">
        <f t="shared" ref="D46:K46" si="17">MIN(D10:D39)</f>
        <v>56.8</v>
      </c>
      <c r="E46" s="430">
        <f t="shared" si="17"/>
        <v>0.1</v>
      </c>
      <c r="F46" s="430">
        <f t="shared" si="17"/>
        <v>0</v>
      </c>
      <c r="G46" s="430">
        <f t="shared" si="17"/>
        <v>0</v>
      </c>
      <c r="H46" s="430">
        <f t="shared" si="17"/>
        <v>0</v>
      </c>
      <c r="I46" s="430">
        <f t="shared" si="17"/>
        <v>56.8</v>
      </c>
      <c r="J46" s="430">
        <f t="shared" si="17"/>
        <v>20.6</v>
      </c>
      <c r="K46" s="430">
        <f t="shared" si="17"/>
        <v>-14.200000000000017</v>
      </c>
      <c r="L46" s="427"/>
      <c r="M46" s="661">
        <f>MIN(M10:M39)</f>
        <v>0</v>
      </c>
      <c r="N46" s="430">
        <f>MIN(N10:N39)</f>
        <v>4</v>
      </c>
      <c r="O46" s="849">
        <f>MIN(O10:O39)</f>
        <v>2.4299999999999999E-2</v>
      </c>
      <c r="P46" s="850"/>
      <c r="Q46" s="851">
        <f>MIN(Q10:Q39)</f>
        <v>0.64100000000000001</v>
      </c>
      <c r="R46" s="852"/>
      <c r="S46" s="853">
        <f>MIN(S10:S40)</f>
        <v>0.410881</v>
      </c>
      <c r="T46" s="853">
        <f>MIN(T10:T40)</f>
        <v>0</v>
      </c>
      <c r="U46" s="854">
        <f>MIN(U10:U40)</f>
        <v>-0.6367604925991055</v>
      </c>
      <c r="V46" s="854">
        <f>MIN(V10:V40)</f>
        <v>0</v>
      </c>
      <c r="W46" s="854">
        <f>MIN(W10:W40)</f>
        <v>0</v>
      </c>
      <c r="X46" s="430">
        <f>MIN(X10:X39)</f>
        <v>0</v>
      </c>
      <c r="Y46" s="855">
        <f>MIN(Y10:Y39)</f>
        <v>0.57380565159947428</v>
      </c>
      <c r="AB46" s="318" t="str">
        <f>IF(K48&lt;&gt;K50,"Check","")</f>
        <v/>
      </c>
    </row>
    <row r="47" spans="2:35" ht="14.85" customHeight="1">
      <c r="AB47" s="485" t="str">
        <f>IF(AND(AB44=$AF$45,AB46=$AF$45,AB45=$AF$45),"","Check")</f>
        <v/>
      </c>
    </row>
    <row r="48" spans="2:35" ht="14.85" hidden="1" customHeight="1" outlineLevel="1">
      <c r="B48" s="856" t="str">
        <f>B2</f>
        <v>Medikine, Inc.</v>
      </c>
      <c r="C48" s="857" t="s">
        <v>223</v>
      </c>
      <c r="D48" s="859">
        <f>CVM!D11/1000</f>
        <v>6.282</v>
      </c>
      <c r="E48" s="859">
        <f>'Hist BS'!G68</f>
        <v>0</v>
      </c>
      <c r="F48" s="858"/>
      <c r="G48" s="858"/>
      <c r="H48" s="861">
        <f>SUM(E48:G48)</f>
        <v>0</v>
      </c>
      <c r="I48" s="861">
        <f>SUM(D48:G48)</f>
        <v>6.282</v>
      </c>
      <c r="J48" s="858"/>
      <c r="K48" s="861">
        <f>I48-J48</f>
        <v>6.282</v>
      </c>
      <c r="L48" s="858"/>
      <c r="M48" s="860">
        <f>'OPM 1'!D13</f>
        <v>0</v>
      </c>
      <c r="N48" s="861">
        <f>N$6</f>
        <v>4</v>
      </c>
      <c r="O48" s="862">
        <f>O$6</f>
        <v>2.4299999999999999E-2</v>
      </c>
      <c r="P48" s="863"/>
      <c r="Q48" s="864">
        <v>0.65400000000000003</v>
      </c>
      <c r="R48" s="858"/>
      <c r="S48" s="865">
        <f>IF(Q48="n/a","n/a",Q48^2)</f>
        <v>0.42771600000000004</v>
      </c>
      <c r="T48" s="865">
        <f>IF(OR(K48="n/a",S48="n/a"),"n/a",IF(H48=0,0,IF(M48=0,(LN(K48/H48)+((O48+(S48/2))*N48))/((S48*N48)^0.5),(LN(K48/H48)+((O48-M48+(S48/2))*N48))/((S48*N48)^0.5))))</f>
        <v>0</v>
      </c>
      <c r="U48" s="866">
        <f>IF(T48="n/a","n/a",IF(H48=0,0,T48-(S48*N48)^0.5))</f>
        <v>0</v>
      </c>
      <c r="V48" s="866">
        <f>IF(OR(T48="n/a",S48="n/a"),"n/a",IF(H48=0,0,NORMSDIST(T48)))</f>
        <v>0</v>
      </c>
      <c r="W48" s="866">
        <f>IF(OR(U48="n/a",S48="n/a"),"n/a",IF(H48=0,0,NORMSDIST(U48)))</f>
        <v>0</v>
      </c>
      <c r="X48" s="866">
        <f>IF(OR(K48="n/a",S48="n/a"),"n/a",IF(M48=0,(K48*V48)-((H48*EXP(1)^(-O48*N48))*W48),(K48*(2.718^(-M48*N48))*V48)-(H48*(2.718^(-O48*N48))*W48)))</f>
        <v>0</v>
      </c>
      <c r="Y48" s="867">
        <f>IF(LEN(B48)&gt;0,IF(H48=0,Q48,IF(ISERROR(Q48/((K48/X48)*V48)),"n/a",Q48/((K48/X48)*V48))))</f>
        <v>0.65400000000000003</v>
      </c>
    </row>
    <row r="49" spans="1:26" ht="14.85" hidden="1" customHeight="1" outlineLevel="1">
      <c r="C49" s="310"/>
      <c r="D49" s="310"/>
      <c r="E49" s="310"/>
      <c r="F49" s="310"/>
      <c r="G49" s="310"/>
      <c r="H49" s="310"/>
      <c r="I49" s="310"/>
      <c r="J49" s="310"/>
    </row>
    <row r="50" spans="1:26" ht="14.85" customHeight="1" collapsed="1">
      <c r="B50" s="856" t="str">
        <f>B48</f>
        <v>Medikine, Inc.</v>
      </c>
      <c r="C50" s="857" t="s">
        <v>223</v>
      </c>
      <c r="D50" s="861">
        <f>D48</f>
        <v>6.282</v>
      </c>
      <c r="E50" s="859">
        <f>(CVM!D17/1000)+E48</f>
        <v>5.2350000000000003</v>
      </c>
      <c r="F50" s="858"/>
      <c r="G50" s="858"/>
      <c r="H50" s="861">
        <f>SUM(E50:G50)</f>
        <v>5.2350000000000003</v>
      </c>
      <c r="I50" s="861">
        <f>SUM(D50:G50)</f>
        <v>11.516999999999999</v>
      </c>
      <c r="J50" s="858"/>
      <c r="K50" s="861">
        <f>K48</f>
        <v>6.282</v>
      </c>
      <c r="L50" s="858"/>
      <c r="M50" s="868">
        <f>M48</f>
        <v>0</v>
      </c>
      <c r="N50" s="861">
        <f>N$6</f>
        <v>4</v>
      </c>
      <c r="O50" s="862">
        <f>O$6</f>
        <v>2.4299999999999999E-2</v>
      </c>
      <c r="P50" s="863"/>
      <c r="Q50" s="864">
        <v>0.85699999999999998</v>
      </c>
      <c r="R50" s="858"/>
      <c r="S50" s="865">
        <f>IF(Q50="n/a","n/a",Q50^2)</f>
        <v>0.73444900000000002</v>
      </c>
      <c r="T50" s="865">
        <f>IF(OR(K50="n/a",S50="n/a"),"n/a",IF(H50=0,0,IF(M50=0,(LN(K50/H50)+((O50+(S50/2))*N50))/((S50*N50)^0.5),(LN(K50/H50)+((O50-M50+(S50/2))*N50))/((S50*N50)^0.5))))</f>
        <v>1.0200814217000902</v>
      </c>
      <c r="U50" s="866">
        <f>IF(T50="n/a","n/a",IF(H50=0,0,T50-(S50*N50)^0.5))</f>
        <v>-0.69391857829990977</v>
      </c>
      <c r="V50" s="866">
        <f>IF(OR(T50="n/a",S50="n/a"),"n/a",IF(H50=0,0,NORMSDIST(T50)))</f>
        <v>0.84615507651219213</v>
      </c>
      <c r="W50" s="866">
        <f>IF(OR(U50="n/a",S50="n/a"),"n/a",IF(H50=0,0,NORMSDIST(U50)))</f>
        <v>0.24386663597449321</v>
      </c>
      <c r="X50" s="866">
        <f>IF(OR(K50="n/a",S50="n/a"),"n/a",IF(M50=0,(K50*V50)-((H50*EXP(1)^(-O50*N50))*W50),(K50*(2.718^(-M50*N50))*V50)-(H50*(2.718^(-O50*N50))*W50)))</f>
        <v>4.1571539233106805</v>
      </c>
      <c r="Y50" s="867">
        <f>IF(LEN(B50)&gt;0,IF(H50=0,Q50,IF(ISERROR(Q50/((K50/X50)*V50)),"n/a",Q50/((K50/X50)*V50))))</f>
        <v>0.67023797451788714</v>
      </c>
    </row>
    <row r="51" spans="1:26" ht="14.85" customHeight="1"/>
    <row r="52" spans="1:26" ht="14.85" customHeight="1">
      <c r="B52" s="295" t="s">
        <v>86</v>
      </c>
    </row>
    <row r="53" spans="1:26" ht="14.85" customHeight="1">
      <c r="A53" s="296" t="s">
        <v>224</v>
      </c>
      <c r="B53" s="231" t="s">
        <v>2001</v>
      </c>
    </row>
    <row r="54" spans="1:26" s="297" customFormat="1" ht="14.85" hidden="1" customHeight="1" outlineLevel="1">
      <c r="A54" s="323" t="s">
        <v>223</v>
      </c>
      <c r="B54" s="340" t="s">
        <v>786</v>
      </c>
      <c r="C54" s="310"/>
      <c r="D54" s="310"/>
      <c r="E54" s="310"/>
      <c r="F54" s="310"/>
      <c r="G54" s="310"/>
      <c r="H54" s="310"/>
      <c r="I54" s="310"/>
      <c r="J54" s="310"/>
      <c r="K54" s="310"/>
      <c r="L54" s="310"/>
      <c r="M54" s="310"/>
      <c r="N54" s="310"/>
      <c r="O54" s="310"/>
      <c r="P54" s="355"/>
      <c r="Q54" s="310"/>
      <c r="R54" s="310"/>
      <c r="S54" s="310"/>
      <c r="T54" s="310"/>
      <c r="U54" s="310"/>
      <c r="V54" s="310"/>
      <c r="W54" s="310"/>
      <c r="X54" s="310"/>
      <c r="Y54" s="310"/>
      <c r="Z54" s="310"/>
    </row>
    <row r="55" spans="1:26" s="297" customFormat="1" ht="14.85" customHeight="1" collapsed="1">
      <c r="A55" s="323" t="s">
        <v>223</v>
      </c>
      <c r="B55" s="340" t="s">
        <v>2568</v>
      </c>
      <c r="C55" s="310"/>
      <c r="D55" s="310"/>
      <c r="E55" s="310"/>
      <c r="F55" s="310"/>
      <c r="G55" s="310"/>
      <c r="H55" s="310"/>
      <c r="I55" s="310"/>
      <c r="J55" s="310"/>
      <c r="K55" s="310"/>
      <c r="L55" s="310"/>
      <c r="M55" s="310"/>
      <c r="N55" s="310"/>
      <c r="O55" s="310"/>
      <c r="P55" s="355"/>
      <c r="Q55" s="310"/>
      <c r="R55" s="310"/>
      <c r="S55" s="310"/>
      <c r="T55" s="310"/>
      <c r="U55" s="310"/>
      <c r="V55" s="310"/>
      <c r="W55" s="310"/>
      <c r="X55" s="310"/>
      <c r="Y55" s="310"/>
      <c r="Z55" s="310"/>
    </row>
    <row r="56" spans="1:26" ht="14.85" customHeight="1"/>
    <row r="57" spans="1:26" ht="14.85" customHeight="1">
      <c r="B57" s="295" t="s">
        <v>116</v>
      </c>
    </row>
    <row r="58" spans="1:26" ht="14.85" customHeight="1"/>
    <row r="59" spans="1:26" ht="14.85" customHeight="1">
      <c r="B59" s="208" t="s">
        <v>1465</v>
      </c>
    </row>
    <row r="60" spans="1:26" ht="14.85" customHeight="1">
      <c r="B60" s="208" t="s">
        <v>1466</v>
      </c>
    </row>
    <row r="61" spans="1:26" ht="14.85" customHeight="1">
      <c r="B61" s="208" t="s">
        <v>1467</v>
      </c>
    </row>
    <row r="62" spans="1:26" ht="14.85" customHeight="1">
      <c r="B62" s="208" t="s">
        <v>1468</v>
      </c>
    </row>
    <row r="63" spans="1:26" ht="14.85" customHeight="1">
      <c r="B63" s="208" t="s">
        <v>1469</v>
      </c>
    </row>
    <row r="64" spans="1:26" ht="14.85" customHeight="1">
      <c r="B64" s="208" t="s">
        <v>1470</v>
      </c>
    </row>
    <row r="65" spans="2:2" ht="14.85" customHeight="1">
      <c r="B65" s="208" t="s">
        <v>1471</v>
      </c>
    </row>
    <row r="66" spans="2:2" ht="14.85" customHeight="1"/>
    <row r="67" spans="2:2" ht="14.85" customHeight="1">
      <c r="B67" s="208" t="s">
        <v>1472</v>
      </c>
    </row>
    <row r="68" spans="2:2" ht="14.85" customHeight="1">
      <c r="B68" s="208" t="s">
        <v>1473</v>
      </c>
    </row>
    <row r="69" spans="2:2" ht="14.85" customHeight="1">
      <c r="B69" s="208" t="s">
        <v>1474</v>
      </c>
    </row>
    <row r="70" spans="2:2" ht="14.85" customHeight="1">
      <c r="B70" s="208" t="s">
        <v>1475</v>
      </c>
    </row>
    <row r="71" spans="2:2" ht="14.85" customHeight="1">
      <c r="B71" s="208" t="s">
        <v>1476</v>
      </c>
    </row>
    <row r="72" spans="2:2" ht="14.85" customHeight="1">
      <c r="B72" s="208" t="s">
        <v>1477</v>
      </c>
    </row>
    <row r="73" spans="2:2" ht="14.85" customHeight="1"/>
    <row r="74" spans="2:2" ht="14.85" customHeight="1"/>
    <row r="75" spans="2:2" ht="14.85" customHeight="1"/>
    <row r="76" spans="2:2" ht="14.85" customHeight="1"/>
    <row r="77" spans="2:2" ht="14.85" customHeight="1"/>
    <row r="78" spans="2:2" ht="14.85" customHeight="1"/>
    <row r="79" spans="2:2" ht="14.85" customHeight="1"/>
    <row r="80" spans="2:2"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10:B39">
    <cfRule type="cellIs" dxfId="214" priority="8" operator="equal">
      <formula>"(Invalid Identifier)"</formula>
    </cfRule>
  </conditionalFormatting>
  <conditionalFormatting sqref="B4:I4">
    <cfRule type="cellIs" dxfId="213" priority="7" stopIfTrue="1" operator="equal">
      <formula>"input"</formula>
    </cfRule>
  </conditionalFormatting>
  <conditionalFormatting sqref="J4">
    <cfRule type="cellIs" dxfId="212" priority="5" stopIfTrue="1" operator="equal">
      <formula>"input"</formula>
    </cfRule>
  </conditionalFormatting>
  <conditionalFormatting sqref="J4">
    <cfRule type="cellIs" dxfId="211" priority="6" stopIfTrue="1" operator="equal">
      <formula>"input"</formula>
    </cfRule>
  </conditionalFormatting>
  <conditionalFormatting sqref="K4:X4">
    <cfRule type="cellIs" dxfId="210" priority="3" stopIfTrue="1" operator="equal">
      <formula>"input"</formula>
    </cfRule>
  </conditionalFormatting>
  <conditionalFormatting sqref="K4:X4">
    <cfRule type="cellIs" dxfId="209" priority="4" stopIfTrue="1" operator="equal">
      <formula>"input"</formula>
    </cfRule>
  </conditionalFormatting>
  <conditionalFormatting sqref="Y4">
    <cfRule type="cellIs" dxfId="208" priority="1" stopIfTrue="1" operator="equal">
      <formula>"input"</formula>
    </cfRule>
  </conditionalFormatting>
  <conditionalFormatting sqref="Y4">
    <cfRule type="cellIs" dxfId="207" priority="2" stopIfTrue="1" operator="equal">
      <formula>"input"</formula>
    </cfRule>
  </conditionalFormatting>
  <pageMargins left="0.5" right="0.5" top="0.5" bottom="0.5" header="0.5" footer="0.5"/>
  <pageSetup scale="74" fitToWidth="0" fitToHeight="0" orientation="landscape" r:id="rId1"/>
  <legacyDrawingHF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42"/>
  <dimension ref="A1:R763"/>
  <sheetViews>
    <sheetView showGridLines="0" view="pageBreakPreview" zoomScale="80" zoomScaleNormal="100" zoomScaleSheetLayoutView="80" workbookViewId="0">
      <selection activeCell="D11" sqref="D11"/>
    </sheetView>
  </sheetViews>
  <sheetFormatPr defaultRowHeight="12.75" outlineLevelRow="1"/>
  <cols>
    <col min="1" max="1" width="4.5" style="208" customWidth="1"/>
    <col min="2" max="2" width="45.5" style="208" customWidth="1"/>
    <col min="3" max="3" width="2.83203125" style="208" customWidth="1"/>
    <col min="4" max="11" width="15.5" style="208" customWidth="1"/>
    <col min="12" max="12" width="4.5" style="208" customWidth="1"/>
    <col min="13" max="13" width="17.6640625" style="208" customWidth="1"/>
    <col min="14" max="14" width="12.83203125" style="208" customWidth="1"/>
    <col min="15" max="15" width="17.1640625" style="209" customWidth="1"/>
    <col min="16" max="16" width="9.5" style="208" bestFit="1" customWidth="1"/>
    <col min="17" max="17" width="14.1640625" style="208" bestFit="1" customWidth="1"/>
    <col min="18" max="18" width="9.5" style="208" bestFit="1" customWidth="1"/>
    <col min="19" max="16384" width="9.33203125" style="208"/>
  </cols>
  <sheetData>
    <row r="1" spans="2:18" ht="10.7" customHeight="1" thickBot="1"/>
    <row r="2" spans="2:18" ht="16.5" customHeight="1" thickTop="1">
      <c r="B2" s="216" t="str">
        <f>'MASTER PubCo Inputs'!$C$5</f>
        <v>Medikine, Inc.</v>
      </c>
      <c r="C2" s="216"/>
      <c r="D2" s="216"/>
      <c r="E2" s="216"/>
      <c r="F2" s="216"/>
      <c r="G2" s="216"/>
      <c r="H2" s="216"/>
      <c r="I2" s="216"/>
      <c r="J2" s="216"/>
      <c r="K2" s="216"/>
    </row>
    <row r="3" spans="2:18" ht="15.75" customHeight="1">
      <c r="B3" s="217" t="str">
        <f>VLOOKUP(B4,Outline!$E$8:$G$79,COLUMNS(Outline!$E$8:$G$8),FALSE)</f>
        <v>Exhibit G.4</v>
      </c>
      <c r="C3" s="217"/>
      <c r="D3" s="217"/>
      <c r="E3" s="217"/>
      <c r="F3" s="217"/>
      <c r="G3" s="217"/>
      <c r="H3" s="217"/>
      <c r="I3" s="217"/>
      <c r="J3" s="217"/>
      <c r="K3" s="217"/>
      <c r="O3" s="612" t="s">
        <v>784</v>
      </c>
      <c r="P3" s="654">
        <v>1.5</v>
      </c>
      <c r="Q3" s="612" t="s">
        <v>785</v>
      </c>
      <c r="R3" s="654">
        <v>0</v>
      </c>
    </row>
    <row r="4" spans="2:18" ht="16.5" customHeight="1" thickBot="1">
      <c r="B4" s="444" t="s">
        <v>117</v>
      </c>
      <c r="C4" s="444"/>
      <c r="D4" s="444"/>
      <c r="E4" s="444"/>
      <c r="F4" s="444"/>
      <c r="G4" s="444"/>
      <c r="H4" s="444"/>
      <c r="I4" s="444"/>
      <c r="J4" s="444"/>
      <c r="K4" s="444"/>
    </row>
    <row r="5" spans="2:18" s="326" customFormat="1" ht="14.85" customHeight="1" thickTop="1">
      <c r="B5" s="208"/>
      <c r="C5" s="208"/>
      <c r="D5" s="208"/>
      <c r="E5" s="208"/>
      <c r="F5" s="208"/>
      <c r="G5" s="208"/>
      <c r="H5" s="208"/>
      <c r="I5" s="208"/>
      <c r="J5" s="208"/>
      <c r="K5" s="208"/>
      <c r="L5" s="208"/>
      <c r="O5" s="272"/>
    </row>
    <row r="6" spans="2:18" ht="14.85" customHeight="1">
      <c r="B6" s="310"/>
      <c r="D6" s="869" t="s">
        <v>2626</v>
      </c>
      <c r="E6" s="869"/>
      <c r="F6" s="869"/>
      <c r="G6" s="869"/>
      <c r="H6" s="869"/>
      <c r="I6" s="869"/>
      <c r="J6" s="869"/>
      <c r="K6" s="869"/>
      <c r="M6" s="870" t="s">
        <v>87</v>
      </c>
      <c r="N6" s="871">
        <f>'MASTER PubCo Inputs'!$C$6</f>
        <v>43496</v>
      </c>
    </row>
    <row r="7" spans="2:18" ht="14.85" customHeight="1">
      <c r="D7" s="872" t="s">
        <v>118</v>
      </c>
      <c r="E7" s="675"/>
      <c r="F7" s="675"/>
      <c r="G7" s="675"/>
      <c r="H7" s="873"/>
      <c r="I7" s="675"/>
      <c r="J7" s="675"/>
      <c r="K7" s="873"/>
    </row>
    <row r="8" spans="2:18" ht="14.85" customHeight="1">
      <c r="B8" s="816" t="s">
        <v>597</v>
      </c>
      <c r="D8" s="874">
        <v>1</v>
      </c>
      <c r="E8" s="875">
        <v>2</v>
      </c>
      <c r="F8" s="875">
        <v>3</v>
      </c>
      <c r="G8" s="875">
        <v>4</v>
      </c>
      <c r="H8" s="875">
        <v>5</v>
      </c>
      <c r="I8" s="875">
        <v>6</v>
      </c>
      <c r="J8" s="875">
        <v>7</v>
      </c>
      <c r="K8" s="876">
        <v>8</v>
      </c>
      <c r="M8" s="551" t="s">
        <v>108</v>
      </c>
      <c r="O8" s="210" t="s">
        <v>1693</v>
      </c>
      <c r="Q8" s="211" t="s">
        <v>2627</v>
      </c>
    </row>
    <row r="9" spans="2:18" ht="14.85" customHeight="1"/>
    <row r="10" spans="2:18" ht="14.85" customHeight="1">
      <c r="B10" s="208" t="str">
        <f>'Comp.1'!B12</f>
        <v>Nektar Therapeutics</v>
      </c>
      <c r="D10" s="458">
        <f>IF('Capital IQ Sheet-GPC'!BS13="n/a","n/a",IF(OR('Capital IQ Sheet-GPC'!BS13&gt;'Equity Vol'!$P$3,'Capital IQ Sheet-GPC'!BS13&lt;'Equity Vol'!$R$3),"NM",'Capital IQ Sheet-GPC'!BS13))</f>
        <v>0.83499999999999996</v>
      </c>
      <c r="E10" s="458">
        <f>IF('Capital IQ Sheet-GPC'!BT13="n/a","n/a",IF(OR('Capital IQ Sheet-GPC'!BT13&gt;'Equity Vol'!$P$3,'Capital IQ Sheet-GPC'!BT13&lt;'Equity Vol'!$R$3),"NM",'Capital IQ Sheet-GPC'!BT13))</f>
        <v>0.749</v>
      </c>
      <c r="F10" s="458">
        <f>IF('Capital IQ Sheet-GPC'!BU13="n/a","n/a",IF(OR('Capital IQ Sheet-GPC'!BU13&gt;'Equity Vol'!$P$3,'Capital IQ Sheet-GPC'!BU13&lt;'Equity Vol'!$R$3),"NM",'Capital IQ Sheet-GPC'!BU13))</f>
        <v>0.66700000000000004</v>
      </c>
      <c r="G10" s="458">
        <f>IF('Capital IQ Sheet-GPC'!BV13="n/a","n/a",IF(OR('Capital IQ Sheet-GPC'!BV13&gt;'Equity Vol'!$P$3,'Capital IQ Sheet-GPC'!BV13&lt;'Equity Vol'!$R$3),"NM",'Capital IQ Sheet-GPC'!BV13))</f>
        <v>0.64100000000000001</v>
      </c>
      <c r="H10" s="458">
        <f>IF('Capital IQ Sheet-GPC'!BW13="n/a","n/a",IF(OR('Capital IQ Sheet-GPC'!BW13&gt;'Equity Vol'!$P$3,'Capital IQ Sheet-GPC'!BW13&lt;'Equity Vol'!$R$3),"NM",'Capital IQ Sheet-GPC'!BW13))</f>
        <v>0.61199999999999999</v>
      </c>
      <c r="I10" s="458">
        <f>IF('Capital IQ Sheet-GPC'!BX13="n/a","n/a",IF(OR('Capital IQ Sheet-GPC'!BX13&gt;'Equity Vol'!$P$3,'Capital IQ Sheet-GPC'!BX13&lt;'Equity Vol'!$R$3),"NM",'Capital IQ Sheet-GPC'!BX13))</f>
        <v>0.60599999999999998</v>
      </c>
      <c r="J10" s="458">
        <f>IF('Capital IQ Sheet-GPC'!BY13="n/a","n/a",IF(OR('Capital IQ Sheet-GPC'!BY13&gt;'Equity Vol'!$P$3,'Capital IQ Sheet-GPC'!BY13&lt;'Equity Vol'!$R$3),"NM",'Capital IQ Sheet-GPC'!BY13))</f>
        <v>0.58699999999999997</v>
      </c>
      <c r="K10" s="458">
        <f>IF('Capital IQ Sheet-GPC'!BZ13="n/a","n/a",IF(OR('Capital IQ Sheet-GPC'!BZ13&gt;'Equity Vol'!$P$3,'Capital IQ Sheet-GPC'!BZ13&lt;'Equity Vol'!$R$3),"NM",'Capital IQ Sheet-GPC'!BZ13))</f>
        <v>0.57799999999999996</v>
      </c>
      <c r="M10" s="877" t="str">
        <f>'Asset Vol_OPM'!AA10</f>
        <v>NasdaqGS:NKTR</v>
      </c>
      <c r="O10" s="878">
        <f>'Capital IQ Sheet-GPC'!G13</f>
        <v>34457</v>
      </c>
      <c r="Q10" s="438">
        <f>YEARFRAC(O10,$N$6,3)</f>
        <v>24.764383561643836</v>
      </c>
    </row>
    <row r="11" spans="2:18" ht="14.85" customHeight="1">
      <c r="B11" s="208" t="str">
        <f>'Comp.1'!B13</f>
        <v>Fate Therapeutics, Inc.</v>
      </c>
      <c r="D11" s="458">
        <f>IF('Capital IQ Sheet-GPC'!BS14="n/a","n/a",IF(OR('Capital IQ Sheet-GPC'!BS14&gt;'Equity Vol'!$P$3,'Capital IQ Sheet-GPC'!BS14&lt;'Equity Vol'!$R$3),"NM",'Capital IQ Sheet-GPC'!BS14))</f>
        <v>0.80200000000000005</v>
      </c>
      <c r="E11" s="458">
        <f>IF('Capital IQ Sheet-GPC'!BT14="n/a","n/a",IF(OR('Capital IQ Sheet-GPC'!BT14&gt;'Equity Vol'!$P$3,'Capital IQ Sheet-GPC'!BT14&lt;'Equity Vol'!$R$3),"NM",'Capital IQ Sheet-GPC'!BT14))</f>
        <v>0.73</v>
      </c>
      <c r="F11" s="458">
        <f>IF('Capital IQ Sheet-GPC'!BU14="n/a","n/a",IF(OR('Capital IQ Sheet-GPC'!BU14&gt;'Equity Vol'!$P$3,'Capital IQ Sheet-GPC'!BU14&lt;'Equity Vol'!$R$3),"NM",'Capital IQ Sheet-GPC'!BU14))</f>
        <v>0.755</v>
      </c>
      <c r="G11" s="458">
        <f>IF('Capital IQ Sheet-GPC'!BV14="n/a","n/a",IF(OR('Capital IQ Sheet-GPC'!BV14&gt;'Equity Vol'!$P$3,'Capital IQ Sheet-GPC'!BV14&lt;'Equity Vol'!$R$3),"NM",'Capital IQ Sheet-GPC'!BV14))</f>
        <v>0.78400000000000003</v>
      </c>
      <c r="H11" s="458">
        <f>IF('Capital IQ Sheet-GPC'!BW14="n/a","n/a",IF(OR('Capital IQ Sheet-GPC'!BW14&gt;'Equity Vol'!$P$3,'Capital IQ Sheet-GPC'!BW14&lt;'Equity Vol'!$R$3),"NM",'Capital IQ Sheet-GPC'!BW14))</f>
        <v>0.78400000000000003</v>
      </c>
      <c r="I11" s="458">
        <f>IF('Capital IQ Sheet-GPC'!BX14="n/a","n/a",IF(OR('Capital IQ Sheet-GPC'!BX14&gt;'Equity Vol'!$P$3,'Capital IQ Sheet-GPC'!BX14&lt;'Equity Vol'!$R$3),"NM",'Capital IQ Sheet-GPC'!BX14))</f>
        <v>0.78300000000000003</v>
      </c>
      <c r="J11" s="1887">
        <f>I11</f>
        <v>0.78300000000000003</v>
      </c>
      <c r="K11" s="1887">
        <f>J11</f>
        <v>0.78300000000000003</v>
      </c>
      <c r="M11" s="877" t="str">
        <f>'Asset Vol_OPM'!AA11</f>
        <v>NasdaqGM:FATE</v>
      </c>
      <c r="O11" s="878">
        <f>'Capital IQ Sheet-GPC'!G14</f>
        <v>41548</v>
      </c>
      <c r="Q11" s="438">
        <f t="shared" ref="Q11:Q22" si="0">YEARFRAC(O11,$N$6,3)</f>
        <v>5.3369863013698629</v>
      </c>
    </row>
    <row r="12" spans="2:18" ht="14.85" customHeight="1">
      <c r="B12" s="208" t="str">
        <f>'Comp.1'!B14</f>
        <v>Synthorx, Inc.</v>
      </c>
      <c r="D12" s="1886" t="s">
        <v>647</v>
      </c>
      <c r="E12" s="1886" t="str">
        <f>D12</f>
        <v>NM</v>
      </c>
      <c r="F12" s="1886" t="str">
        <f t="shared" ref="F12:K12" si="1">E12</f>
        <v>NM</v>
      </c>
      <c r="G12" s="1886" t="str">
        <f t="shared" si="1"/>
        <v>NM</v>
      </c>
      <c r="H12" s="1886" t="str">
        <f t="shared" si="1"/>
        <v>NM</v>
      </c>
      <c r="I12" s="1886" t="str">
        <f t="shared" si="1"/>
        <v>NM</v>
      </c>
      <c r="J12" s="1886" t="str">
        <f t="shared" si="1"/>
        <v>NM</v>
      </c>
      <c r="K12" s="1886" t="str">
        <f t="shared" si="1"/>
        <v>NM</v>
      </c>
      <c r="L12" s="208" t="str">
        <f>A51</f>
        <v>(2)</v>
      </c>
      <c r="M12" s="877" t="str">
        <f>'Asset Vol_OPM'!AA12</f>
        <v>NasdaqGS:THOR</v>
      </c>
      <c r="O12" s="878">
        <f>'Capital IQ Sheet-GPC'!G15</f>
        <v>43441</v>
      </c>
      <c r="Q12" s="438">
        <f t="shared" si="0"/>
        <v>0.15068493150684931</v>
      </c>
    </row>
    <row r="13" spans="2:18" ht="14.85" customHeight="1">
      <c r="B13" s="208" t="str">
        <f>'Comp.1'!B15</f>
        <v>ZIOPHARM Oncology, Inc.</v>
      </c>
      <c r="D13" s="458">
        <f>IF('Capital IQ Sheet-GPC'!BS16="n/a","n/a",IF(OR('Capital IQ Sheet-GPC'!BS16&gt;'Equity Vol'!$P$3,'Capital IQ Sheet-GPC'!BS16&lt;'Equity Vol'!$R$3),"NM",'Capital IQ Sheet-GPC'!BS16))</f>
        <v>0.80300000000000005</v>
      </c>
      <c r="E13" s="458">
        <f>IF('Capital IQ Sheet-GPC'!BT16="n/a","n/a",IF(OR('Capital IQ Sheet-GPC'!BT16&gt;'Equity Vol'!$P$3,'Capital IQ Sheet-GPC'!BT16&lt;'Equity Vol'!$R$3),"NM",'Capital IQ Sheet-GPC'!BT16))</f>
        <v>0.69699999999999995</v>
      </c>
      <c r="F13" s="458">
        <f>IF('Capital IQ Sheet-GPC'!BU16="n/a","n/a",IF(OR('Capital IQ Sheet-GPC'!BU16&gt;'Equity Vol'!$P$3,'Capital IQ Sheet-GPC'!BU16&lt;'Equity Vol'!$R$3),"NM",'Capital IQ Sheet-GPC'!BU16))</f>
        <v>0.69399999999999995</v>
      </c>
      <c r="G13" s="458">
        <f>IF('Capital IQ Sheet-GPC'!BV16="n/a","n/a",IF(OR('Capital IQ Sheet-GPC'!BV16&gt;'Equity Vol'!$P$3,'Capital IQ Sheet-GPC'!BV16&lt;'Equity Vol'!$R$3),"NM",'Capital IQ Sheet-GPC'!BV16))</f>
        <v>0.70599999999999996</v>
      </c>
      <c r="H13" s="458">
        <f>IF('Capital IQ Sheet-GPC'!BW16="n/a","n/a",IF(OR('Capital IQ Sheet-GPC'!BW16&gt;'Equity Vol'!$P$3,'Capital IQ Sheet-GPC'!BW16&lt;'Equity Vol'!$R$3),"NM",'Capital IQ Sheet-GPC'!BW16))</f>
        <v>0.73</v>
      </c>
      <c r="I13" s="458">
        <f>IF('Capital IQ Sheet-GPC'!BX16="n/a","n/a",IF(OR('Capital IQ Sheet-GPC'!BX16&gt;'Equity Vol'!$P$3,'Capital IQ Sheet-GPC'!BX16&lt;'Equity Vol'!$R$3),"NM",'Capital IQ Sheet-GPC'!BX16))</f>
        <v>0.85399999999999998</v>
      </c>
      <c r="J13" s="458">
        <f>IF('Capital IQ Sheet-GPC'!BY16="n/a","n/a",IF(OR('Capital IQ Sheet-GPC'!BY16&gt;'Equity Vol'!$P$3,'Capital IQ Sheet-GPC'!BY16&lt;'Equity Vol'!$R$3),"NM",'Capital IQ Sheet-GPC'!BY16))</f>
        <v>0.80800000000000005</v>
      </c>
      <c r="K13" s="458">
        <f>IF('Capital IQ Sheet-GPC'!BZ16="n/a","n/a",IF(OR('Capital IQ Sheet-GPC'!BZ16&gt;'Equity Vol'!$P$3,'Capital IQ Sheet-GPC'!BZ16&lt;'Equity Vol'!$R$3),"NM",'Capital IQ Sheet-GPC'!BZ16))</f>
        <v>0.78</v>
      </c>
      <c r="M13" s="877" t="str">
        <f>'Asset Vol_OPM'!AA13</f>
        <v>NasdaqCM:ZIOP</v>
      </c>
      <c r="O13" s="878">
        <f>'Capital IQ Sheet-GPC'!G16</f>
        <v>38611</v>
      </c>
      <c r="Q13" s="438">
        <f t="shared" si="0"/>
        <v>13.383561643835616</v>
      </c>
    </row>
    <row r="14" spans="2:18" ht="14.85" customHeight="1">
      <c r="B14" s="208" t="str">
        <f>'Comp.1'!B16</f>
        <v>Stemline Therapeutics, Inc.</v>
      </c>
      <c r="D14" s="458">
        <f>IF('Capital IQ Sheet-GPC'!BS17="n/a","n/a",IF(OR('Capital IQ Sheet-GPC'!BS17&gt;'Equity Vol'!$P$3,'Capital IQ Sheet-GPC'!BS17&lt;'Equity Vol'!$R$3),"NM",'Capital IQ Sheet-GPC'!BS17))</f>
        <v>0.54700000000000004</v>
      </c>
      <c r="E14" s="458">
        <f>IF('Capital IQ Sheet-GPC'!BT17="n/a","n/a",IF(OR('Capital IQ Sheet-GPC'!BT17&gt;'Equity Vol'!$P$3,'Capital IQ Sheet-GPC'!BT17&lt;'Equity Vol'!$R$3),"NM",'Capital IQ Sheet-GPC'!BT17))</f>
        <v>0.69699999999999995</v>
      </c>
      <c r="F14" s="458">
        <f>IF('Capital IQ Sheet-GPC'!BU17="n/a","n/a",IF(OR('Capital IQ Sheet-GPC'!BU17&gt;'Equity Vol'!$P$3,'Capital IQ Sheet-GPC'!BU17&lt;'Equity Vol'!$R$3),"NM",'Capital IQ Sheet-GPC'!BU17))</f>
        <v>0.68500000000000005</v>
      </c>
      <c r="G14" s="458">
        <f>IF('Capital IQ Sheet-GPC'!BV17="n/a","n/a",IF(OR('Capital IQ Sheet-GPC'!BV17&gt;'Equity Vol'!$P$3,'Capital IQ Sheet-GPC'!BV17&lt;'Equity Vol'!$R$3),"NM",'Capital IQ Sheet-GPC'!BV17))</f>
        <v>0.66600000000000004</v>
      </c>
      <c r="H14" s="458">
        <f>IF('Capital IQ Sheet-GPC'!BW17="n/a","n/a",IF(OR('Capital IQ Sheet-GPC'!BW17&gt;'Equity Vol'!$P$3,'Capital IQ Sheet-GPC'!BW17&lt;'Equity Vol'!$R$3),"NM",'Capital IQ Sheet-GPC'!BW17))</f>
        <v>0.67200000000000004</v>
      </c>
      <c r="I14" s="458">
        <f>IF('Capital IQ Sheet-GPC'!BX17="n/a","n/a",IF(OR('Capital IQ Sheet-GPC'!BX17&gt;'Equity Vol'!$P$3,'Capital IQ Sheet-GPC'!BX17&lt;'Equity Vol'!$R$3),"NM",'Capital IQ Sheet-GPC'!BX17))</f>
        <v>0.70299999999999996</v>
      </c>
      <c r="J14" s="1887">
        <f t="shared" ref="J14:K14" si="2">I14</f>
        <v>0.70299999999999996</v>
      </c>
      <c r="K14" s="1887">
        <f t="shared" si="2"/>
        <v>0.70299999999999996</v>
      </c>
      <c r="M14" s="877" t="str">
        <f>'Asset Vol_OPM'!AA14</f>
        <v>NasdaqCM:STML</v>
      </c>
      <c r="O14" s="878">
        <f>'Capital IQ Sheet-GPC'!G17</f>
        <v>41304</v>
      </c>
      <c r="Q14" s="438">
        <f t="shared" si="0"/>
        <v>6.0054794520547947</v>
      </c>
    </row>
    <row r="15" spans="2:18" ht="14.85" customHeight="1">
      <c r="B15" s="208" t="str">
        <f>'Comp.1'!B17</f>
        <v>TG Therapeutics, Inc.</v>
      </c>
      <c r="D15" s="458">
        <f>IF('Capital IQ Sheet-GPC'!BS18="n/a","n/a",IF(OR('Capital IQ Sheet-GPC'!BS18&gt;'Equity Vol'!$P$3,'Capital IQ Sheet-GPC'!BS18&lt;'Equity Vol'!$R$3),"NM",'Capital IQ Sheet-GPC'!BS18))</f>
        <v>0.83</v>
      </c>
      <c r="E15" s="458">
        <f>IF('Capital IQ Sheet-GPC'!BT18="n/a","n/a",IF(OR('Capital IQ Sheet-GPC'!BT18&gt;'Equity Vol'!$P$3,'Capital IQ Sheet-GPC'!BT18&lt;'Equity Vol'!$R$3),"NM",'Capital IQ Sheet-GPC'!BT18))</f>
        <v>0.89700000000000002</v>
      </c>
      <c r="F15" s="458">
        <f>IF('Capital IQ Sheet-GPC'!BU18="n/a","n/a",IF(OR('Capital IQ Sheet-GPC'!BU18&gt;'Equity Vol'!$P$3,'Capital IQ Sheet-GPC'!BU18&lt;'Equity Vol'!$R$3),"NM",'Capital IQ Sheet-GPC'!BU18))</f>
        <v>0.82799999999999996</v>
      </c>
      <c r="G15" s="458">
        <f>IF('Capital IQ Sheet-GPC'!BV18="n/a","n/a",IF(OR('Capital IQ Sheet-GPC'!BV18&gt;'Equity Vol'!$P$3,'Capital IQ Sheet-GPC'!BV18&lt;'Equity Vol'!$R$3),"NM",'Capital IQ Sheet-GPC'!BV18))</f>
        <v>0.79400000000000004</v>
      </c>
      <c r="H15" s="458">
        <f>IF('Capital IQ Sheet-GPC'!BW18="n/a","n/a",IF(OR('Capital IQ Sheet-GPC'!BW18&gt;'Equity Vol'!$P$3,'Capital IQ Sheet-GPC'!BW18&lt;'Equity Vol'!$R$3),"NM",'Capital IQ Sheet-GPC'!BW18))</f>
        <v>0.79200000000000004</v>
      </c>
      <c r="I15" s="458">
        <f>IF('Capital IQ Sheet-GPC'!BX18="n/a","n/a",IF(OR('Capital IQ Sheet-GPC'!BX18&gt;'Equity Vol'!$P$3,'Capital IQ Sheet-GPC'!BX18&lt;'Equity Vol'!$R$3),"NM",'Capital IQ Sheet-GPC'!BX18))</f>
        <v>0.77200000000000002</v>
      </c>
      <c r="J15" s="458">
        <f>IF('Capital IQ Sheet-GPC'!BY18="n/a","n/a",IF(OR('Capital IQ Sheet-GPC'!BY18&gt;'Equity Vol'!$P$3,'Capital IQ Sheet-GPC'!BY18&lt;'Equity Vol'!$R$3),"NM",'Capital IQ Sheet-GPC'!BY18))</f>
        <v>0.94099999999999995</v>
      </c>
      <c r="K15" s="458">
        <f>IF('Capital IQ Sheet-GPC'!BZ18="n/a","n/a",IF(OR('Capital IQ Sheet-GPC'!BZ18&gt;'Equity Vol'!$P$3,'Capital IQ Sheet-GPC'!BZ18&lt;'Equity Vol'!$R$3),"NM",'Capital IQ Sheet-GPC'!BZ18))</f>
        <v>0.94099999999999995</v>
      </c>
      <c r="M15" s="877" t="str">
        <f>'Asset Vol_OPM'!AA15</f>
        <v>NasdaqCM:TGTX</v>
      </c>
      <c r="O15" s="878">
        <f>'Capital IQ Sheet-GPC'!G18</f>
        <v>40907</v>
      </c>
      <c r="Q15" s="438">
        <f t="shared" si="0"/>
        <v>7.0931506849315067</v>
      </c>
    </row>
    <row r="16" spans="2:18" ht="14.85" customHeight="1">
      <c r="B16" s="208" t="str">
        <f>'Comp.1'!B18</f>
        <v>XOMA Corporation</v>
      </c>
      <c r="D16" s="458">
        <f>IF('Capital IQ Sheet-GPC'!BS19="n/a","n/a",IF(OR('Capital IQ Sheet-GPC'!BS19&gt;'Equity Vol'!$P$3,'Capital IQ Sheet-GPC'!BS19&lt;'Equity Vol'!$R$3),"NM",'Capital IQ Sheet-GPC'!BS19))</f>
        <v>0.75800000000000001</v>
      </c>
      <c r="E16" s="458">
        <f>IF('Capital IQ Sheet-GPC'!BT19="n/a","n/a",IF(OR('Capital IQ Sheet-GPC'!BT19&gt;'Equity Vol'!$P$3,'Capital IQ Sheet-GPC'!BT19&lt;'Equity Vol'!$R$3),"NM",'Capital IQ Sheet-GPC'!BT19))</f>
        <v>0.78100000000000003</v>
      </c>
      <c r="F16" s="458">
        <f>IF('Capital IQ Sheet-GPC'!BU19="n/a","n/a",IF(OR('Capital IQ Sheet-GPC'!BU19&gt;'Equity Vol'!$P$3,'Capital IQ Sheet-GPC'!BU19&lt;'Equity Vol'!$R$3),"NM",'Capital IQ Sheet-GPC'!BU19))</f>
        <v>0.76700000000000002</v>
      </c>
      <c r="G16" s="458">
        <f>IF('Capital IQ Sheet-GPC'!BV19="n/a","n/a",IF(OR('Capital IQ Sheet-GPC'!BV19&gt;'Equity Vol'!$P$3,'Capital IQ Sheet-GPC'!BV19&lt;'Equity Vol'!$R$3),"NM",'Capital IQ Sheet-GPC'!BV19))</f>
        <v>1.117</v>
      </c>
      <c r="H16" s="458">
        <f>IF('Capital IQ Sheet-GPC'!BW19="n/a","n/a",IF(OR('Capital IQ Sheet-GPC'!BW19&gt;'Equity Vol'!$P$3,'Capital IQ Sheet-GPC'!BW19&lt;'Equity Vol'!$R$3),"NM",'Capital IQ Sheet-GPC'!BW19))</f>
        <v>1.054</v>
      </c>
      <c r="I16" s="458">
        <f>IF('Capital IQ Sheet-GPC'!BX19="n/a","n/a",IF(OR('Capital IQ Sheet-GPC'!BX19&gt;'Equity Vol'!$P$3,'Capital IQ Sheet-GPC'!BX19&lt;'Equity Vol'!$R$3),"NM",'Capital IQ Sheet-GPC'!BX19))</f>
        <v>1.004</v>
      </c>
      <c r="J16" s="458">
        <f>IF('Capital IQ Sheet-GPC'!BY19="n/a","n/a",IF(OR('Capital IQ Sheet-GPC'!BY19&gt;'Equity Vol'!$P$3,'Capital IQ Sheet-GPC'!BY19&lt;'Equity Vol'!$R$3),"NM",'Capital IQ Sheet-GPC'!BY19))</f>
        <v>0.96199999999999997</v>
      </c>
      <c r="K16" s="458">
        <f>IF('Capital IQ Sheet-GPC'!BZ19="n/a","n/a",IF(OR('Capital IQ Sheet-GPC'!BZ19&gt;'Equity Vol'!$P$3,'Capital IQ Sheet-GPC'!BZ19&lt;'Equity Vol'!$R$3),"NM",'Capital IQ Sheet-GPC'!BZ19))</f>
        <v>0.94699999999999995</v>
      </c>
      <c r="M16" s="877" t="str">
        <f>'Asset Vol_OPM'!AA16</f>
        <v>NasdaqGM:XOMA</v>
      </c>
      <c r="O16" s="878">
        <f>'Capital IQ Sheet-GPC'!G19</f>
        <v>31569</v>
      </c>
      <c r="Q16" s="438">
        <f t="shared" si="0"/>
        <v>32.676712328767124</v>
      </c>
    </row>
    <row r="17" spans="2:17" ht="14.85" customHeight="1">
      <c r="B17" s="208" t="str">
        <f>'Comp.1'!B19</f>
        <v>Five Prime Therapeutics, Inc.</v>
      </c>
      <c r="D17" s="458">
        <f>IF('Capital IQ Sheet-GPC'!BS20="n/a","n/a",IF(OR('Capital IQ Sheet-GPC'!BS20&gt;'Equity Vol'!$P$3,'Capital IQ Sheet-GPC'!BS20&lt;'Equity Vol'!$R$3),"NM",'Capital IQ Sheet-GPC'!BS20))</f>
        <v>0.59599999999999997</v>
      </c>
      <c r="E17" s="458">
        <f>IF('Capital IQ Sheet-GPC'!BT20="n/a","n/a",IF(OR('Capital IQ Sheet-GPC'!BT20&gt;'Equity Vol'!$P$3,'Capital IQ Sheet-GPC'!BT20&lt;'Equity Vol'!$R$3),"NM",'Capital IQ Sheet-GPC'!BT20))</f>
        <v>0.67</v>
      </c>
      <c r="F17" s="458">
        <f>IF('Capital IQ Sheet-GPC'!BU20="n/a","n/a",IF(OR('Capital IQ Sheet-GPC'!BU20&gt;'Equity Vol'!$P$3,'Capital IQ Sheet-GPC'!BU20&lt;'Equity Vol'!$R$3),"NM",'Capital IQ Sheet-GPC'!BU20))</f>
        <v>0.625</v>
      </c>
      <c r="G17" s="458">
        <f>IF('Capital IQ Sheet-GPC'!BV20="n/a","n/a",IF(OR('Capital IQ Sheet-GPC'!BV20&gt;'Equity Vol'!$P$3,'Capital IQ Sheet-GPC'!BV20&lt;'Equity Vol'!$R$3),"NM",'Capital IQ Sheet-GPC'!BV20))</f>
        <v>0.67</v>
      </c>
      <c r="H17" s="458">
        <f>IF('Capital IQ Sheet-GPC'!BW20="n/a","n/a",IF(OR('Capital IQ Sheet-GPC'!BW20&gt;'Equity Vol'!$P$3,'Capital IQ Sheet-GPC'!BW20&lt;'Equity Vol'!$R$3),"NM",'Capital IQ Sheet-GPC'!BW20))</f>
        <v>0.67600000000000005</v>
      </c>
      <c r="I17" s="458">
        <f>IF('Capital IQ Sheet-GPC'!BX20="n/a","n/a",IF(OR('Capital IQ Sheet-GPC'!BX20&gt;'Equity Vol'!$P$3,'Capital IQ Sheet-GPC'!BX20&lt;'Equity Vol'!$R$3),"NM",'Capital IQ Sheet-GPC'!BX20))</f>
        <v>0.68200000000000005</v>
      </c>
      <c r="J17" s="1887">
        <f t="shared" ref="J17:K17" si="3">I17</f>
        <v>0.68200000000000005</v>
      </c>
      <c r="K17" s="1887">
        <f t="shared" si="3"/>
        <v>0.68200000000000005</v>
      </c>
      <c r="M17" s="877" t="str">
        <f>'Asset Vol_OPM'!AA17</f>
        <v>NasdaqGS:FPRX</v>
      </c>
      <c r="O17" s="878">
        <f>'Capital IQ Sheet-GPC'!G20</f>
        <v>41535</v>
      </c>
      <c r="Q17" s="438">
        <f t="shared" si="0"/>
        <v>5.3726027397260276</v>
      </c>
    </row>
    <row r="18" spans="2:17" ht="14.85" customHeight="1">
      <c r="B18" s="208" t="str">
        <f>'Comp.1'!B20</f>
        <v>Cue Biopharma, Inc.</v>
      </c>
      <c r="D18" s="458">
        <f>IF('Capital IQ Sheet-GPC'!BS21="n/a","n/a",IF(OR('Capital IQ Sheet-GPC'!BS21&gt;'Equity Vol'!$P$3,'Capital IQ Sheet-GPC'!BS21&lt;'Equity Vol'!$R$3),"NM",'Capital IQ Sheet-GPC'!BS21))</f>
        <v>0.64700000000000002</v>
      </c>
      <c r="E18" s="458">
        <f>IF('Capital IQ Sheet-GPC'!BT21="n/a","n/a",IF(OR('Capital IQ Sheet-GPC'!BT21&gt;'Equity Vol'!$P$3,'Capital IQ Sheet-GPC'!BT21&lt;'Equity Vol'!$R$3),"NM",'Capital IQ Sheet-GPC'!BT21))</f>
        <v>0.65</v>
      </c>
      <c r="F18" s="1887">
        <f t="shared" ref="F18:K18" si="4">E18</f>
        <v>0.65</v>
      </c>
      <c r="G18" s="1887">
        <f t="shared" si="4"/>
        <v>0.65</v>
      </c>
      <c r="H18" s="1887">
        <f t="shared" si="4"/>
        <v>0.65</v>
      </c>
      <c r="I18" s="1887">
        <f t="shared" si="4"/>
        <v>0.65</v>
      </c>
      <c r="J18" s="1887">
        <f t="shared" si="4"/>
        <v>0.65</v>
      </c>
      <c r="K18" s="1887">
        <f t="shared" si="4"/>
        <v>0.65</v>
      </c>
      <c r="M18" s="877" t="str">
        <f>'Asset Vol_OPM'!AA18</f>
        <v>NasdaqCM:CUE</v>
      </c>
      <c r="O18" s="878">
        <f>'Capital IQ Sheet-GPC'!G21</f>
        <v>43102</v>
      </c>
      <c r="Q18" s="438">
        <f t="shared" si="0"/>
        <v>1.0794520547945206</v>
      </c>
    </row>
    <row r="19" spans="2:17" ht="14.85" customHeight="1">
      <c r="B19" s="208" t="str">
        <f>'Comp.1'!B21</f>
        <v>OncoSec Medical Incorporated</v>
      </c>
      <c r="D19" s="458">
        <f>IF('Capital IQ Sheet-GPC'!BS22="n/a","n/a",IF(OR('Capital IQ Sheet-GPC'!BS22&gt;'Equity Vol'!$P$3,'Capital IQ Sheet-GPC'!BS22&lt;'Equity Vol'!$R$3),"NM",'Capital IQ Sheet-GPC'!BS22))</f>
        <v>1</v>
      </c>
      <c r="E19" s="458">
        <f>IF('Capital IQ Sheet-GPC'!BT22="n/a","n/a",IF(OR('Capital IQ Sheet-GPC'!BT22&gt;'Equity Vol'!$P$3,'Capital IQ Sheet-GPC'!BT22&lt;'Equity Vol'!$R$3),"NM",'Capital IQ Sheet-GPC'!BT22))</f>
        <v>0.91400000000000003</v>
      </c>
      <c r="F19" s="458">
        <f>IF('Capital IQ Sheet-GPC'!BU22="n/a","n/a",IF(OR('Capital IQ Sheet-GPC'!BU22&gt;'Equity Vol'!$P$3,'Capital IQ Sheet-GPC'!BU22&lt;'Equity Vol'!$R$3),"NM",'Capital IQ Sheet-GPC'!BU22))</f>
        <v>0.82799999999999996</v>
      </c>
      <c r="G19" s="458">
        <f>IF('Capital IQ Sheet-GPC'!BV22="n/a","n/a",IF(OR('Capital IQ Sheet-GPC'!BV22&gt;'Equity Vol'!$P$3,'Capital IQ Sheet-GPC'!BV22&lt;'Equity Vol'!$R$3),"NM",'Capital IQ Sheet-GPC'!BV22))</f>
        <v>0.81899999999999995</v>
      </c>
      <c r="H19" s="458">
        <f>IF('Capital IQ Sheet-GPC'!BW22="n/a","n/a",IF(OR('Capital IQ Sheet-GPC'!BW22&gt;'Equity Vol'!$P$3,'Capital IQ Sheet-GPC'!BW22&lt;'Equity Vol'!$R$3),"NM",'Capital IQ Sheet-GPC'!BW22))</f>
        <v>0.81499999999999995</v>
      </c>
      <c r="I19" s="458">
        <f>IF('Capital IQ Sheet-GPC'!BX22="n/a","n/a",IF(OR('Capital IQ Sheet-GPC'!BX22&gt;'Equity Vol'!$P$3,'Capital IQ Sheet-GPC'!BX22&lt;'Equity Vol'!$R$3),"NM",'Capital IQ Sheet-GPC'!BX22))</f>
        <v>0.79200000000000004</v>
      </c>
      <c r="J19" s="458">
        <f>IF('Capital IQ Sheet-GPC'!BY22="n/a","n/a",IF(OR('Capital IQ Sheet-GPC'!BY22&gt;'Equity Vol'!$P$3,'Capital IQ Sheet-GPC'!BY22&lt;'Equity Vol'!$R$3),"NM",'Capital IQ Sheet-GPC'!BY22))</f>
        <v>0.85499999999999998</v>
      </c>
      <c r="K19" s="458">
        <f>IF('Capital IQ Sheet-GPC'!BZ22="n/a","n/a",IF(OR('Capital IQ Sheet-GPC'!BZ22&gt;'Equity Vol'!$P$3,'Capital IQ Sheet-GPC'!BZ22&lt;'Equity Vol'!$R$3),"NM",'Capital IQ Sheet-GPC'!BZ22))</f>
        <v>0.93300000000000005</v>
      </c>
      <c r="M19" s="877" t="str">
        <f>'Asset Vol_OPM'!AA19</f>
        <v>NasdaqCM:ONCS</v>
      </c>
      <c r="O19" s="878">
        <f>'Capital IQ Sheet-GPC'!G22</f>
        <v>39792</v>
      </c>
      <c r="Q19" s="438">
        <f t="shared" si="0"/>
        <v>10.147945205479452</v>
      </c>
    </row>
    <row r="20" spans="2:17" ht="14.85" customHeight="1">
      <c r="B20" s="208" t="str">
        <f>'Comp.1'!B22</f>
        <v>NantKwest, Inc.</v>
      </c>
      <c r="D20" s="458">
        <f>IF('Capital IQ Sheet-GPC'!BS23="n/a","n/a",IF(OR('Capital IQ Sheet-GPC'!BS23&gt;'Equity Vol'!$P$3,'Capital IQ Sheet-GPC'!BS23&lt;'Equity Vol'!$R$3),"NM",'Capital IQ Sheet-GPC'!BS23))</f>
        <v>0.85099999999999998</v>
      </c>
      <c r="E20" s="458">
        <f>IF('Capital IQ Sheet-GPC'!BT23="n/a","n/a",IF(OR('Capital IQ Sheet-GPC'!BT23&gt;'Equity Vol'!$P$3,'Capital IQ Sheet-GPC'!BT23&lt;'Equity Vol'!$R$3),"NM",'Capital IQ Sheet-GPC'!BT23))</f>
        <v>0.80700000000000005</v>
      </c>
      <c r="F20" s="458">
        <f>IF('Capital IQ Sheet-GPC'!BU23="n/a","n/a",IF(OR('Capital IQ Sheet-GPC'!BU23&gt;'Equity Vol'!$P$3,'Capital IQ Sheet-GPC'!BU23&lt;'Equity Vol'!$R$3),"NM",'Capital IQ Sheet-GPC'!BU23))</f>
        <v>0.79300000000000004</v>
      </c>
      <c r="G20" s="458">
        <f>IF('Capital IQ Sheet-GPC'!BV23="n/a","n/a",IF(OR('Capital IQ Sheet-GPC'!BV23&gt;'Equity Vol'!$P$3,'Capital IQ Sheet-GPC'!BV23&lt;'Equity Vol'!$R$3),"NM",'Capital IQ Sheet-GPC'!BV23))</f>
        <v>0.82299999999999995</v>
      </c>
      <c r="H20" s="1887">
        <f t="shared" ref="H20:K20" si="5">G20</f>
        <v>0.82299999999999995</v>
      </c>
      <c r="I20" s="1887">
        <f t="shared" si="5"/>
        <v>0.82299999999999995</v>
      </c>
      <c r="J20" s="1887">
        <f t="shared" si="5"/>
        <v>0.82299999999999995</v>
      </c>
      <c r="K20" s="1887">
        <f t="shared" si="5"/>
        <v>0.82299999999999995</v>
      </c>
      <c r="M20" s="877" t="str">
        <f>'Asset Vol_OPM'!AA20</f>
        <v>NasdaqGS:NK</v>
      </c>
      <c r="O20" s="878">
        <f>'Capital IQ Sheet-GPC'!G23</f>
        <v>42213</v>
      </c>
      <c r="Q20" s="438">
        <f t="shared" si="0"/>
        <v>3.515068493150685</v>
      </c>
    </row>
    <row r="21" spans="2:17" ht="14.85" customHeight="1">
      <c r="B21" s="208" t="str">
        <f>'Comp.1'!B23</f>
        <v>Corvus Pharmaceuticals, Inc.</v>
      </c>
      <c r="D21" s="458">
        <f>IF('Capital IQ Sheet-GPC'!BS24="n/a","n/a",IF(OR('Capital IQ Sheet-GPC'!BS24&gt;'Equity Vol'!$P$3,'Capital IQ Sheet-GPC'!BS24&lt;'Equity Vol'!$R$3),"NM",'Capital IQ Sheet-GPC'!BS24))</f>
        <v>0.65300000000000002</v>
      </c>
      <c r="E21" s="458">
        <f>IF('Capital IQ Sheet-GPC'!BT24="n/a","n/a",IF(OR('Capital IQ Sheet-GPC'!BT24&gt;'Equity Vol'!$P$3,'Capital IQ Sheet-GPC'!BT24&lt;'Equity Vol'!$R$3),"NM",'Capital IQ Sheet-GPC'!BT24))</f>
        <v>0.76900000000000002</v>
      </c>
      <c r="F21" s="458">
        <f>IF('Capital IQ Sheet-GPC'!BU24="n/a","n/a",IF(OR('Capital IQ Sheet-GPC'!BU24&gt;'Equity Vol'!$P$3,'Capital IQ Sheet-GPC'!BU24&lt;'Equity Vol'!$R$3),"NM",'Capital IQ Sheet-GPC'!BU24))</f>
        <v>0.69</v>
      </c>
      <c r="G21" s="1887">
        <f t="shared" ref="G21:K21" si="6">F21</f>
        <v>0.69</v>
      </c>
      <c r="H21" s="1887">
        <f t="shared" si="6"/>
        <v>0.69</v>
      </c>
      <c r="I21" s="1887">
        <f t="shared" si="6"/>
        <v>0.69</v>
      </c>
      <c r="J21" s="1887">
        <f t="shared" si="6"/>
        <v>0.69</v>
      </c>
      <c r="K21" s="1887">
        <f t="shared" si="6"/>
        <v>0.69</v>
      </c>
      <c r="M21" s="877" t="str">
        <f>'Asset Vol_OPM'!AA21</f>
        <v>NasdaqGM:CRVS</v>
      </c>
      <c r="O21" s="878">
        <f>'Capital IQ Sheet-GPC'!G24</f>
        <v>42452</v>
      </c>
      <c r="Q21" s="438">
        <f t="shared" si="0"/>
        <v>2.8602739726027395</v>
      </c>
    </row>
    <row r="22" spans="2:17" ht="14.85" customHeight="1">
      <c r="B22" s="208" t="str">
        <f>'Comp.1'!B24</f>
        <v>Surface Oncology, Inc.</v>
      </c>
      <c r="D22" s="1886" t="s">
        <v>647</v>
      </c>
      <c r="E22" s="1886" t="str">
        <f>D22</f>
        <v>NM</v>
      </c>
      <c r="F22" s="1886" t="str">
        <f t="shared" ref="F22:K22" si="7">E22</f>
        <v>NM</v>
      </c>
      <c r="G22" s="1886" t="str">
        <f t="shared" si="7"/>
        <v>NM</v>
      </c>
      <c r="H22" s="1886" t="str">
        <f t="shared" si="7"/>
        <v>NM</v>
      </c>
      <c r="I22" s="1886" t="str">
        <f t="shared" si="7"/>
        <v>NM</v>
      </c>
      <c r="J22" s="1886" t="str">
        <f t="shared" si="7"/>
        <v>NM</v>
      </c>
      <c r="K22" s="1886" t="str">
        <f t="shared" si="7"/>
        <v>NM</v>
      </c>
      <c r="L22" s="208" t="str">
        <f>A51</f>
        <v>(2)</v>
      </c>
      <c r="M22" s="877" t="str">
        <f>'Asset Vol_OPM'!AA22</f>
        <v>NasdaqGM:SURF</v>
      </c>
      <c r="O22" s="878">
        <f>'Capital IQ Sheet-GPC'!G25</f>
        <v>43209</v>
      </c>
      <c r="Q22" s="438">
        <f t="shared" si="0"/>
        <v>0.78630136986301369</v>
      </c>
    </row>
    <row r="23" spans="2:17" ht="14.85" hidden="1" customHeight="1" outlineLevel="1">
      <c r="D23" s="458"/>
      <c r="E23" s="458"/>
      <c r="F23" s="458"/>
      <c r="G23" s="458"/>
      <c r="H23" s="458"/>
      <c r="I23" s="458"/>
      <c r="J23" s="458"/>
      <c r="K23" s="458"/>
      <c r="M23" s="877"/>
      <c r="O23" s="878"/>
    </row>
    <row r="24" spans="2:17" ht="14.85" hidden="1" customHeight="1" outlineLevel="1">
      <c r="D24" s="458"/>
      <c r="E24" s="458"/>
      <c r="F24" s="458"/>
      <c r="G24" s="458"/>
      <c r="H24" s="458"/>
      <c r="I24" s="458"/>
      <c r="J24" s="458"/>
      <c r="K24" s="458"/>
      <c r="M24" s="877"/>
      <c r="O24" s="878"/>
    </row>
    <row r="25" spans="2:17" ht="14.85" hidden="1" customHeight="1" outlineLevel="1">
      <c r="D25" s="458"/>
      <c r="E25" s="458"/>
      <c r="F25" s="458"/>
      <c r="G25" s="458"/>
      <c r="H25" s="458"/>
      <c r="I25" s="458"/>
      <c r="J25" s="458"/>
      <c r="K25" s="458"/>
      <c r="M25" s="877"/>
      <c r="O25" s="878"/>
    </row>
    <row r="26" spans="2:17" ht="14.85" hidden="1" customHeight="1" outlineLevel="1">
      <c r="D26" s="458"/>
      <c r="E26" s="458"/>
      <c r="F26" s="458"/>
      <c r="G26" s="458"/>
      <c r="H26" s="458"/>
      <c r="I26" s="458"/>
      <c r="J26" s="458"/>
      <c r="K26" s="458"/>
      <c r="M26" s="877"/>
      <c r="O26" s="878"/>
    </row>
    <row r="27" spans="2:17" ht="14.85" hidden="1" customHeight="1" outlineLevel="1">
      <c r="D27" s="458"/>
      <c r="E27" s="458"/>
      <c r="F27" s="458"/>
      <c r="G27" s="458"/>
      <c r="H27" s="458"/>
      <c r="I27" s="458"/>
      <c r="J27" s="458"/>
      <c r="K27" s="458"/>
      <c r="M27" s="877"/>
      <c r="O27" s="878"/>
    </row>
    <row r="28" spans="2:17" ht="14.85" hidden="1" customHeight="1" outlineLevel="1">
      <c r="D28" s="458"/>
      <c r="E28" s="458"/>
      <c r="F28" s="458"/>
      <c r="G28" s="458"/>
      <c r="H28" s="458"/>
      <c r="I28" s="458"/>
      <c r="J28" s="458"/>
      <c r="K28" s="458"/>
      <c r="M28" s="877"/>
      <c r="O28" s="878"/>
    </row>
    <row r="29" spans="2:17" ht="14.85" hidden="1" customHeight="1" outlineLevel="1">
      <c r="D29" s="458"/>
      <c r="E29" s="458"/>
      <c r="F29" s="458"/>
      <c r="G29" s="458"/>
      <c r="H29" s="458"/>
      <c r="I29" s="458"/>
      <c r="J29" s="458"/>
      <c r="K29" s="458"/>
      <c r="M29" s="877"/>
      <c r="O29" s="878"/>
    </row>
    <row r="30" spans="2:17" ht="14.85" hidden="1" customHeight="1" outlineLevel="1">
      <c r="D30" s="458"/>
      <c r="E30" s="458"/>
      <c r="F30" s="458"/>
      <c r="G30" s="458"/>
      <c r="H30" s="458"/>
      <c r="I30" s="458"/>
      <c r="J30" s="458"/>
      <c r="K30" s="458"/>
      <c r="M30" s="877"/>
      <c r="O30" s="878"/>
    </row>
    <row r="31" spans="2:17" ht="14.85" hidden="1" customHeight="1" outlineLevel="1">
      <c r="D31" s="458"/>
      <c r="E31" s="458"/>
      <c r="F31" s="458"/>
      <c r="G31" s="458"/>
      <c r="H31" s="458"/>
      <c r="I31" s="458"/>
      <c r="J31" s="458"/>
      <c r="K31" s="458"/>
      <c r="M31" s="877"/>
      <c r="O31" s="878"/>
    </row>
    <row r="32" spans="2:17" ht="14.85" hidden="1" customHeight="1" outlineLevel="1">
      <c r="D32" s="458"/>
      <c r="E32" s="458"/>
      <c r="F32" s="458"/>
      <c r="G32" s="458"/>
      <c r="H32" s="458"/>
      <c r="I32" s="458"/>
      <c r="J32" s="458"/>
      <c r="K32" s="458"/>
      <c r="M32" s="877"/>
      <c r="O32" s="878"/>
    </row>
    <row r="33" spans="2:15" ht="14.85" hidden="1" customHeight="1" outlineLevel="1">
      <c r="D33" s="458"/>
      <c r="E33" s="458"/>
      <c r="F33" s="458"/>
      <c r="G33" s="458"/>
      <c r="H33" s="458"/>
      <c r="I33" s="458"/>
      <c r="J33" s="458"/>
      <c r="K33" s="458"/>
      <c r="M33" s="877"/>
      <c r="O33" s="878"/>
    </row>
    <row r="34" spans="2:15" ht="14.85" hidden="1" customHeight="1" outlineLevel="1">
      <c r="D34" s="458"/>
      <c r="E34" s="458"/>
      <c r="F34" s="458"/>
      <c r="G34" s="458"/>
      <c r="H34" s="458"/>
      <c r="I34" s="458"/>
      <c r="J34" s="458"/>
      <c r="K34" s="458"/>
      <c r="M34" s="877"/>
      <c r="O34" s="878"/>
    </row>
    <row r="35" spans="2:15" ht="14.85" hidden="1" customHeight="1" outlineLevel="1">
      <c r="D35" s="458"/>
      <c r="E35" s="458"/>
      <c r="F35" s="458"/>
      <c r="G35" s="458"/>
      <c r="H35" s="458"/>
      <c r="I35" s="458"/>
      <c r="J35" s="458"/>
      <c r="K35" s="458"/>
      <c r="M35" s="877"/>
      <c r="O35" s="878"/>
    </row>
    <row r="36" spans="2:15" ht="14.85" hidden="1" customHeight="1" outlineLevel="1">
      <c r="D36" s="458"/>
      <c r="E36" s="458"/>
      <c r="F36" s="458"/>
      <c r="G36" s="458"/>
      <c r="H36" s="458"/>
      <c r="I36" s="458"/>
      <c r="J36" s="458"/>
      <c r="K36" s="458"/>
      <c r="M36" s="877"/>
      <c r="O36" s="878"/>
    </row>
    <row r="37" spans="2:15" ht="14.85" hidden="1" customHeight="1" outlineLevel="1">
      <c r="D37" s="458"/>
      <c r="E37" s="458"/>
      <c r="F37" s="458"/>
      <c r="G37" s="458"/>
      <c r="H37" s="458"/>
      <c r="I37" s="458"/>
      <c r="J37" s="458"/>
      <c r="K37" s="458"/>
      <c r="M37" s="877"/>
      <c r="O37" s="878"/>
    </row>
    <row r="38" spans="2:15" ht="14.85" hidden="1" customHeight="1" outlineLevel="1">
      <c r="D38" s="458"/>
      <c r="E38" s="458"/>
      <c r="F38" s="458"/>
      <c r="G38" s="458"/>
      <c r="H38" s="458"/>
      <c r="I38" s="458"/>
      <c r="J38" s="458"/>
      <c r="K38" s="458"/>
      <c r="M38" s="877"/>
      <c r="O38" s="878"/>
    </row>
    <row r="39" spans="2:15" ht="14.85" hidden="1" customHeight="1" outlineLevel="1">
      <c r="D39" s="458"/>
      <c r="E39" s="458"/>
      <c r="F39" s="458"/>
      <c r="G39" s="458"/>
      <c r="H39" s="458"/>
      <c r="I39" s="458"/>
      <c r="J39" s="458"/>
      <c r="K39" s="458"/>
      <c r="M39" s="877"/>
      <c r="O39" s="878"/>
    </row>
    <row r="40" spans="2:15" ht="14.85" customHeight="1" collapsed="1">
      <c r="D40" s="458"/>
      <c r="E40" s="458"/>
      <c r="F40" s="458"/>
      <c r="G40" s="458"/>
      <c r="H40" s="458"/>
      <c r="I40" s="458"/>
      <c r="J40" s="458"/>
      <c r="K40" s="458"/>
      <c r="M40" s="877"/>
    </row>
    <row r="41" spans="2:15" ht="14.85" customHeight="1">
      <c r="B41" s="561" t="s">
        <v>111</v>
      </c>
      <c r="C41" s="879"/>
      <c r="D41" s="657">
        <f t="shared" ref="D41:K41" si="8">MAX(D10:D39)</f>
        <v>1</v>
      </c>
      <c r="E41" s="657">
        <f t="shared" si="8"/>
        <v>0.91400000000000003</v>
      </c>
      <c r="F41" s="657">
        <f t="shared" si="8"/>
        <v>0.82799999999999996</v>
      </c>
      <c r="G41" s="657">
        <f t="shared" si="8"/>
        <v>1.117</v>
      </c>
      <c r="H41" s="657">
        <f t="shared" si="8"/>
        <v>1.054</v>
      </c>
      <c r="I41" s="657">
        <f t="shared" si="8"/>
        <v>1.004</v>
      </c>
      <c r="J41" s="657">
        <f t="shared" si="8"/>
        <v>0.96199999999999997</v>
      </c>
      <c r="K41" s="658">
        <f t="shared" si="8"/>
        <v>0.94699999999999995</v>
      </c>
    </row>
    <row r="42" spans="2:15" ht="14.85" customHeight="1">
      <c r="B42" s="567" t="s">
        <v>115</v>
      </c>
      <c r="C42" s="424"/>
      <c r="D42" s="659">
        <f t="shared" ref="D42:K42" si="9">QUARTILE(D10:D39,3)</f>
        <v>0.83250000000000002</v>
      </c>
      <c r="E42" s="659">
        <f t="shared" si="9"/>
        <v>0.79400000000000004</v>
      </c>
      <c r="F42" s="659">
        <f t="shared" si="9"/>
        <v>0.78</v>
      </c>
      <c r="G42" s="659">
        <f t="shared" si="9"/>
        <v>0.80649999999999999</v>
      </c>
      <c r="H42" s="659">
        <f t="shared" si="9"/>
        <v>0.80349999999999999</v>
      </c>
      <c r="I42" s="659">
        <f t="shared" si="9"/>
        <v>0.8075</v>
      </c>
      <c r="J42" s="659">
        <f t="shared" si="9"/>
        <v>0.83899999999999997</v>
      </c>
      <c r="K42" s="660">
        <f t="shared" si="9"/>
        <v>0.878</v>
      </c>
    </row>
    <row r="43" spans="2:15" ht="14.85" customHeight="1">
      <c r="B43" s="567" t="s">
        <v>113</v>
      </c>
      <c r="C43" s="424"/>
      <c r="D43" s="659">
        <f t="shared" ref="D43:K43" si="10">AVERAGE(D10:D39)</f>
        <v>0.75654545454545463</v>
      </c>
      <c r="E43" s="659">
        <f t="shared" si="10"/>
        <v>0.76009090909090915</v>
      </c>
      <c r="F43" s="659">
        <f t="shared" si="10"/>
        <v>0.72563636363636375</v>
      </c>
      <c r="G43" s="659">
        <f t="shared" si="10"/>
        <v>0.7599999999999999</v>
      </c>
      <c r="H43" s="659">
        <f t="shared" si="10"/>
        <v>0.75436363636363635</v>
      </c>
      <c r="I43" s="659">
        <f t="shared" si="10"/>
        <v>0.75990909090909087</v>
      </c>
      <c r="J43" s="659">
        <f t="shared" si="10"/>
        <v>0.77127272727272722</v>
      </c>
      <c r="K43" s="660">
        <f t="shared" si="10"/>
        <v>0.77363636363636357</v>
      </c>
    </row>
    <row r="44" spans="2:15" ht="14.85" customHeight="1">
      <c r="B44" s="567" t="s">
        <v>44</v>
      </c>
      <c r="C44" s="424"/>
      <c r="D44" s="659">
        <f t="shared" ref="D44:K44" si="11">MEDIAN(D10:D39)</f>
        <v>0.80200000000000005</v>
      </c>
      <c r="E44" s="659">
        <f t="shared" si="11"/>
        <v>0.749</v>
      </c>
      <c r="F44" s="659">
        <f t="shared" si="11"/>
        <v>0.69399999999999995</v>
      </c>
      <c r="G44" s="659">
        <f t="shared" si="11"/>
        <v>0.70599999999999996</v>
      </c>
      <c r="H44" s="659">
        <f t="shared" si="11"/>
        <v>0.73</v>
      </c>
      <c r="I44" s="659">
        <f t="shared" si="11"/>
        <v>0.77200000000000002</v>
      </c>
      <c r="J44" s="659">
        <f t="shared" si="11"/>
        <v>0.78300000000000003</v>
      </c>
      <c r="K44" s="660">
        <f t="shared" si="11"/>
        <v>0.78</v>
      </c>
    </row>
    <row r="45" spans="2:15" ht="14.85" customHeight="1">
      <c r="B45" s="567" t="s">
        <v>114</v>
      </c>
      <c r="C45" s="424"/>
      <c r="D45" s="659">
        <f t="shared" ref="D45:K45" si="12">QUARTILE(D10:D39,1)</f>
        <v>0.65</v>
      </c>
      <c r="E45" s="659">
        <f t="shared" si="12"/>
        <v>0.69699999999999995</v>
      </c>
      <c r="F45" s="659">
        <f t="shared" si="12"/>
        <v>0.67600000000000005</v>
      </c>
      <c r="G45" s="659">
        <f t="shared" si="12"/>
        <v>0.66800000000000004</v>
      </c>
      <c r="H45" s="659">
        <f t="shared" si="12"/>
        <v>0.67400000000000004</v>
      </c>
      <c r="I45" s="659">
        <f t="shared" si="12"/>
        <v>0.68599999999999994</v>
      </c>
      <c r="J45" s="659">
        <f t="shared" si="12"/>
        <v>0.68599999999999994</v>
      </c>
      <c r="K45" s="660">
        <f t="shared" si="12"/>
        <v>0.68599999999999994</v>
      </c>
    </row>
    <row r="46" spans="2:15" ht="14.85" customHeight="1">
      <c r="B46" s="572" t="s">
        <v>112</v>
      </c>
      <c r="C46" s="706"/>
      <c r="D46" s="661">
        <f t="shared" ref="D46:K46" si="13">MIN(D10:D39)</f>
        <v>0.54700000000000004</v>
      </c>
      <c r="E46" s="661">
        <f t="shared" si="13"/>
        <v>0.65</v>
      </c>
      <c r="F46" s="661">
        <f t="shared" si="13"/>
        <v>0.625</v>
      </c>
      <c r="G46" s="661">
        <f t="shared" si="13"/>
        <v>0.64100000000000001</v>
      </c>
      <c r="H46" s="661">
        <f t="shared" si="13"/>
        <v>0.61199999999999999</v>
      </c>
      <c r="I46" s="661">
        <f t="shared" si="13"/>
        <v>0.60599999999999998</v>
      </c>
      <c r="J46" s="661">
        <f t="shared" si="13"/>
        <v>0.58699999999999997</v>
      </c>
      <c r="K46" s="662">
        <f t="shared" si="13"/>
        <v>0.57799999999999996</v>
      </c>
    </row>
    <row r="47" spans="2:15" ht="14.85" customHeight="1"/>
    <row r="48" spans="2:15" ht="14.85" customHeight="1">
      <c r="B48" s="295" t="s">
        <v>116</v>
      </c>
    </row>
    <row r="49" spans="1:15" ht="27" customHeight="1">
      <c r="A49" s="803" t="s">
        <v>224</v>
      </c>
      <c r="B49" s="1904" t="s">
        <v>1965</v>
      </c>
      <c r="C49" s="1904"/>
      <c r="D49" s="1904"/>
      <c r="E49" s="1904"/>
      <c r="F49" s="1904"/>
      <c r="G49" s="1904"/>
      <c r="H49" s="1904"/>
      <c r="I49" s="1904"/>
      <c r="J49" s="1904"/>
      <c r="K49" s="1904"/>
    </row>
    <row r="50" spans="1:15" ht="14.85" hidden="1" customHeight="1" outlineLevel="1">
      <c r="A50" s="296" t="s">
        <v>262</v>
      </c>
      <c r="B50" s="208" t="str">
        <f>"Volatilities beyond "&amp;TEXT(P3,"0.0%")&amp;" are considered as outliers and not included in the analysis."</f>
        <v>Volatilities beyond 150.0% are considered as outliers and not included in the analysis.</v>
      </c>
    </row>
    <row r="51" spans="1:15" ht="30" customHeight="1" collapsed="1">
      <c r="A51" s="803" t="s">
        <v>223</v>
      </c>
      <c r="B51" s="1905" t="s">
        <v>1966</v>
      </c>
      <c r="C51" s="1905"/>
      <c r="D51" s="1905"/>
      <c r="E51" s="1905"/>
      <c r="F51" s="1905"/>
      <c r="G51" s="1905"/>
      <c r="H51" s="1905"/>
      <c r="I51" s="1905"/>
      <c r="J51" s="1905"/>
      <c r="K51" s="1905"/>
    </row>
    <row r="52" spans="1:15" ht="14.85" customHeight="1">
      <c r="A52" s="296"/>
    </row>
    <row r="53" spans="1:15" s="229" customFormat="1" ht="14.85" customHeight="1">
      <c r="B53" s="880" t="s">
        <v>119</v>
      </c>
      <c r="C53" s="881"/>
      <c r="D53" s="882" t="s">
        <v>120</v>
      </c>
      <c r="E53" s="882" t="s">
        <v>121</v>
      </c>
      <c r="F53" s="882" t="s">
        <v>122</v>
      </c>
      <c r="G53" s="882" t="s">
        <v>123</v>
      </c>
      <c r="H53" s="883" t="s">
        <v>124</v>
      </c>
      <c r="I53" s="884"/>
      <c r="J53" s="884"/>
      <c r="K53" s="884"/>
      <c r="O53" s="885"/>
    </row>
    <row r="54" spans="1:15" ht="14.85" customHeight="1"/>
    <row r="55" spans="1:15" ht="14.85" customHeight="1">
      <c r="D55" s="284">
        <f>SUM(D10:D12,D24:D30)</f>
        <v>1.637</v>
      </c>
      <c r="E55" s="284">
        <f>SUM(E10:E12,E24:E30)</f>
        <v>1.4790000000000001</v>
      </c>
      <c r="F55" s="284">
        <f>SUM(F10:F12,F24:F30)</f>
        <v>1.4220000000000002</v>
      </c>
      <c r="G55" s="284">
        <f>SUM(G10:G12,G24:G30)</f>
        <v>1.425</v>
      </c>
      <c r="H55" s="284">
        <f>SUM(H10:H12,H24:H30)</f>
        <v>1.3959999999999999</v>
      </c>
      <c r="I55" s="284"/>
      <c r="J55" s="284"/>
      <c r="K55" s="284"/>
      <c r="L55" s="284"/>
    </row>
    <row r="56" spans="1:15" ht="14.85" customHeight="1">
      <c r="D56" s="284">
        <v>6.8621152681439881</v>
      </c>
      <c r="E56" s="284">
        <v>7.3109729417617446</v>
      </c>
      <c r="F56" s="284">
        <v>7.2585751105709271</v>
      </c>
      <c r="G56" s="284">
        <v>7.1922062699769693</v>
      </c>
      <c r="H56" s="284">
        <v>7.1432071472452066</v>
      </c>
      <c r="I56" s="284"/>
      <c r="J56" s="284"/>
      <c r="K56" s="284"/>
    </row>
    <row r="57" spans="1:15" ht="14.85" customHeight="1"/>
    <row r="58" spans="1:15" ht="14.85" customHeight="1"/>
    <row r="59" spans="1:15" ht="14.85" customHeight="1"/>
    <row r="60" spans="1:15" ht="14.85" customHeight="1"/>
    <row r="61" spans="1:15" ht="14.85" customHeight="1"/>
    <row r="62" spans="1:15" ht="14.85" customHeight="1"/>
    <row r="63" spans="1:15" ht="14.85" customHeight="1"/>
    <row r="64" spans="1:15"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sheetData>
  <mergeCells count="2">
    <mergeCell ref="B49:K49"/>
    <mergeCell ref="B51:K51"/>
  </mergeCells>
  <conditionalFormatting sqref="B10:B40">
    <cfRule type="cellIs" dxfId="206" priority="4" operator="equal">
      <formula>"(Invalid Identifier)"</formula>
    </cfRule>
  </conditionalFormatting>
  <conditionalFormatting sqref="B4:K4">
    <cfRule type="cellIs" dxfId="205" priority="3" stopIfTrue="1" operator="equal">
      <formula>"input"</formula>
    </cfRule>
  </conditionalFormatting>
  <pageMargins left="0.5" right="0.5" top="0.5" bottom="0.5" header="0.5" footer="0.5"/>
  <pageSetup scale="84" orientation="landscape" r:id="rId1"/>
  <drawing r:id="rId2"/>
  <legacyDrawingHF r:id="rId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44"/>
  <dimension ref="B1:L732"/>
  <sheetViews>
    <sheetView showGridLines="0" view="pageBreakPreview" zoomScale="80" zoomScaleNormal="100" zoomScaleSheetLayoutView="80" workbookViewId="0">
      <selection activeCell="D11" sqref="D11"/>
    </sheetView>
  </sheetViews>
  <sheetFormatPr defaultRowHeight="12.75" outlineLevelRow="1"/>
  <cols>
    <col min="1" max="1" width="4.5" style="208" customWidth="1"/>
    <col min="2" max="2" width="79.83203125" style="208" customWidth="1"/>
    <col min="3" max="3" width="2.83203125" style="208" customWidth="1"/>
    <col min="4" max="5" width="30.83203125" style="208" customWidth="1"/>
    <col min="6" max="6" width="4.5" style="208" customWidth="1"/>
    <col min="7" max="7" width="19.5" style="208" bestFit="1" customWidth="1"/>
    <col min="8" max="8" width="1.83203125" style="208" customWidth="1"/>
    <col min="9" max="10" width="12.83203125" style="208" customWidth="1"/>
    <col min="11" max="11" width="1.83203125" style="208" customWidth="1"/>
    <col min="12" max="16384" width="9.33203125" style="208"/>
  </cols>
  <sheetData>
    <row r="1" spans="2:12" ht="10.7" customHeight="1" thickBot="1"/>
    <row r="2" spans="2:12" ht="16.5" customHeight="1" thickTop="1">
      <c r="B2" s="216" t="str">
        <f>'MASTER PubCo Inputs'!$C$5</f>
        <v>Medikine, Inc.</v>
      </c>
      <c r="C2" s="216"/>
      <c r="D2" s="216"/>
      <c r="E2" s="216"/>
    </row>
    <row r="3" spans="2:12" ht="15.75" customHeight="1">
      <c r="B3" s="217" t="str">
        <f>VLOOKUP(B4,Outline!$E$8:$G$79,COLUMNS(Outline!$E$8:$G$8),FALSE)</f>
        <v>Exhibit G.5</v>
      </c>
      <c r="C3" s="217"/>
      <c r="D3" s="217"/>
      <c r="E3" s="217"/>
    </row>
    <row r="4" spans="2:12" ht="16.5" customHeight="1" thickBot="1">
      <c r="B4" s="444" t="s">
        <v>125</v>
      </c>
      <c r="C4" s="444"/>
      <c r="D4" s="444"/>
      <c r="E4" s="444"/>
      <c r="G4" s="870" t="s">
        <v>402</v>
      </c>
      <c r="H4" s="886"/>
      <c r="I4" s="887">
        <f>+'OPM 1'!$D$10</f>
        <v>3</v>
      </c>
      <c r="J4" s="888" t="s">
        <v>2338</v>
      </c>
      <c r="K4" s="889"/>
      <c r="L4" s="890">
        <f>'DLOM - CVM'!H10</f>
        <v>4</v>
      </c>
    </row>
    <row r="5" spans="2:12" ht="14.85" customHeight="1" thickTop="1">
      <c r="G5" s="870" t="s">
        <v>87</v>
      </c>
      <c r="H5" s="886"/>
      <c r="I5" s="891">
        <f>'MASTER PubCo Inputs'!$C$6</f>
        <v>43496</v>
      </c>
    </row>
    <row r="6" spans="2:12" ht="14.85" customHeight="1">
      <c r="G6" s="870" t="s">
        <v>401</v>
      </c>
      <c r="H6" s="886"/>
      <c r="I6" s="887">
        <f>'DLOM - CVM'!H10</f>
        <v>4</v>
      </c>
      <c r="J6" s="888"/>
      <c r="K6" s="889"/>
      <c r="L6" s="890"/>
    </row>
    <row r="7" spans="2:12" s="229" customFormat="1" ht="14.85" customHeight="1">
      <c r="B7" s="892" t="s">
        <v>127</v>
      </c>
      <c r="D7" s="893" t="s">
        <v>126</v>
      </c>
      <c r="E7" s="894" t="s">
        <v>72</v>
      </c>
      <c r="G7" s="895" t="s">
        <v>128</v>
      </c>
      <c r="H7" s="896"/>
      <c r="I7" s="896" t="s">
        <v>129</v>
      </c>
      <c r="J7" s="897" t="s">
        <v>130</v>
      </c>
    </row>
    <row r="8" spans="2:12" ht="14.85" customHeight="1"/>
    <row r="9" spans="2:12" ht="14.85" customHeight="1">
      <c r="B9" s="208" t="str">
        <f>'Capital IQ Sheet-GPC'!E57</f>
        <v>United States Treasury Constant Maturity - 1 Month</v>
      </c>
      <c r="D9" s="320">
        <f>'Capital IQ Sheet-GPC'!C57</f>
        <v>0.08</v>
      </c>
      <c r="E9" s="331">
        <f>'Capital IQ Sheet-GPC'!D57</f>
        <v>2.4199999999999999E-2</v>
      </c>
      <c r="G9" s="898">
        <f>'Capital IQ Sheet-GPC'!B79</f>
        <v>0</v>
      </c>
      <c r="H9" s="320"/>
      <c r="I9" s="899">
        <v>0</v>
      </c>
      <c r="J9" s="320">
        <f>D10</f>
        <v>0.25</v>
      </c>
    </row>
    <row r="10" spans="2:12" ht="14.85" customHeight="1">
      <c r="B10" s="208" t="str">
        <f>'Capital IQ Sheet-GPC'!E58</f>
        <v>United States Treasury Constant Maturity - 3 Month</v>
      </c>
      <c r="D10" s="320">
        <f>'Capital IQ Sheet-GPC'!C58</f>
        <v>0.25</v>
      </c>
      <c r="E10" s="331">
        <f>'Capital IQ Sheet-GPC'!D58</f>
        <v>2.41E-2</v>
      </c>
      <c r="G10" s="898">
        <f>'Capital IQ Sheet-GPC'!B80</f>
        <v>0</v>
      </c>
      <c r="H10" s="320"/>
      <c r="I10" s="320">
        <f>D9</f>
        <v>0.08</v>
      </c>
      <c r="J10" s="320">
        <f>D11</f>
        <v>0.5</v>
      </c>
    </row>
    <row r="11" spans="2:12" ht="14.85" customHeight="1">
      <c r="B11" s="208" t="str">
        <f>'Capital IQ Sheet-GPC'!E59</f>
        <v>United States Treasury Constant Maturity - 6 Month</v>
      </c>
      <c r="D11" s="320">
        <f>'Capital IQ Sheet-GPC'!C59</f>
        <v>0.5</v>
      </c>
      <c r="E11" s="331">
        <f>'Capital IQ Sheet-GPC'!D59</f>
        <v>2.46E-2</v>
      </c>
      <c r="G11" s="898">
        <f>'Capital IQ Sheet-GPC'!B81</f>
        <v>0</v>
      </c>
      <c r="H11" s="320"/>
      <c r="I11" s="320">
        <f t="shared" ref="I11:I19" si="0">D10</f>
        <v>0.25</v>
      </c>
      <c r="J11" s="320">
        <f t="shared" ref="J11:J18" si="1">D12</f>
        <v>1</v>
      </c>
    </row>
    <row r="12" spans="2:12" ht="14.85" customHeight="1">
      <c r="B12" s="208" t="str">
        <f>'Capital IQ Sheet-GPC'!E60</f>
        <v>United States Treasury Constant Maturity - 1 Year</v>
      </c>
      <c r="D12" s="320">
        <f>'Capital IQ Sheet-GPC'!C60</f>
        <v>1</v>
      </c>
      <c r="E12" s="331">
        <f>'Capital IQ Sheet-GPC'!D60</f>
        <v>2.5499999999999998E-2</v>
      </c>
      <c r="G12" s="898">
        <f>'Capital IQ Sheet-GPC'!B82</f>
        <v>0</v>
      </c>
      <c r="H12" s="320"/>
      <c r="I12" s="320">
        <f t="shared" si="0"/>
        <v>0.5</v>
      </c>
      <c r="J12" s="320">
        <f t="shared" si="1"/>
        <v>2</v>
      </c>
    </row>
    <row r="13" spans="2:12" ht="14.85" customHeight="1">
      <c r="B13" s="208" t="str">
        <f>'Capital IQ Sheet-GPC'!E61</f>
        <v>United States Treasury Constant Maturity - 2 Year</v>
      </c>
      <c r="D13" s="320">
        <f>'Capital IQ Sheet-GPC'!C61</f>
        <v>2</v>
      </c>
      <c r="E13" s="331">
        <f>'Capital IQ Sheet-GPC'!D61</f>
        <v>2.4500000000000001E-2</v>
      </c>
      <c r="G13" s="898">
        <f>'Capital IQ Sheet-GPC'!B83</f>
        <v>0</v>
      </c>
      <c r="H13" s="320"/>
      <c r="I13" s="320">
        <f t="shared" si="0"/>
        <v>1</v>
      </c>
      <c r="J13" s="320">
        <f t="shared" si="1"/>
        <v>3</v>
      </c>
    </row>
    <row r="14" spans="2:12" ht="14.85" customHeight="1">
      <c r="B14" s="208" t="str">
        <f>'Capital IQ Sheet-GPC'!E62</f>
        <v>United States Treasury Constant Maturity - 3 Year</v>
      </c>
      <c r="D14" s="320">
        <f>'Capital IQ Sheet-GPC'!C62</f>
        <v>3</v>
      </c>
      <c r="E14" s="331">
        <f>'Capital IQ Sheet-GPC'!D62</f>
        <v>2.4299999999999999E-2</v>
      </c>
      <c r="G14" s="898">
        <f>'Capital IQ Sheet-GPC'!B84</f>
        <v>0</v>
      </c>
      <c r="H14" s="320"/>
      <c r="I14" s="320">
        <f t="shared" si="0"/>
        <v>2</v>
      </c>
      <c r="J14" s="320">
        <f t="shared" si="1"/>
        <v>5</v>
      </c>
    </row>
    <row r="15" spans="2:12" ht="14.85" customHeight="1">
      <c r="B15" s="208" t="str">
        <f>'Capital IQ Sheet-GPC'!E63</f>
        <v>United States Treasury Constant Maturity - 5 Year</v>
      </c>
      <c r="D15" s="320">
        <f>'Capital IQ Sheet-GPC'!C63</f>
        <v>5</v>
      </c>
      <c r="E15" s="331">
        <f>'Capital IQ Sheet-GPC'!D63</f>
        <v>2.4299999999999999E-2</v>
      </c>
      <c r="G15" s="898">
        <f>'Capital IQ Sheet-GPC'!B85</f>
        <v>0</v>
      </c>
      <c r="H15" s="320"/>
      <c r="I15" s="320">
        <f t="shared" si="0"/>
        <v>3</v>
      </c>
      <c r="J15" s="320">
        <f t="shared" si="1"/>
        <v>7</v>
      </c>
    </row>
    <row r="16" spans="2:12" ht="14.85" customHeight="1">
      <c r="B16" s="208" t="str">
        <f>'Capital IQ Sheet-GPC'!E64</f>
        <v>United States Treasury Constant Maturity - 7 Year</v>
      </c>
      <c r="D16" s="320">
        <f>'Capital IQ Sheet-GPC'!C64</f>
        <v>7</v>
      </c>
      <c r="E16" s="331">
        <f>'Capital IQ Sheet-GPC'!D64</f>
        <v>2.5100000000000001E-2</v>
      </c>
      <c r="G16" s="898">
        <f>'Capital IQ Sheet-GPC'!B86</f>
        <v>0</v>
      </c>
      <c r="H16" s="320"/>
      <c r="I16" s="320">
        <f t="shared" si="0"/>
        <v>5</v>
      </c>
      <c r="J16" s="320">
        <f t="shared" si="1"/>
        <v>10</v>
      </c>
    </row>
    <row r="17" spans="2:10" ht="14.85" customHeight="1">
      <c r="B17" s="208" t="str">
        <f>'Capital IQ Sheet-GPC'!E65</f>
        <v>United States Treasury Constant Maturity - 10 Year</v>
      </c>
      <c r="D17" s="320">
        <f>'Capital IQ Sheet-GPC'!C65</f>
        <v>10</v>
      </c>
      <c r="E17" s="331">
        <f>'Capital IQ Sheet-GPC'!D65</f>
        <v>2.63E-2</v>
      </c>
      <c r="G17" s="898">
        <f>'Capital IQ Sheet-GPC'!B87</f>
        <v>0</v>
      </c>
      <c r="H17" s="320"/>
      <c r="I17" s="320">
        <f t="shared" si="0"/>
        <v>7</v>
      </c>
      <c r="J17" s="320">
        <f t="shared" si="1"/>
        <v>20</v>
      </c>
    </row>
    <row r="18" spans="2:10" ht="14.85" customHeight="1">
      <c r="B18" s="208" t="str">
        <f>'Capital IQ Sheet-GPC'!E66</f>
        <v>United States Treasury Constant Maturity - 20 Year</v>
      </c>
      <c r="D18" s="320">
        <f>'Capital IQ Sheet-GPC'!C66</f>
        <v>20</v>
      </c>
      <c r="E18" s="331">
        <f>'Capital IQ Sheet-GPC'!D66</f>
        <v>2.8299999999999999E-2</v>
      </c>
      <c r="G18" s="898">
        <f>'Capital IQ Sheet-GPC'!B88</f>
        <v>0</v>
      </c>
      <c r="H18" s="320"/>
      <c r="I18" s="320">
        <f t="shared" si="0"/>
        <v>10</v>
      </c>
      <c r="J18" s="320">
        <f t="shared" si="1"/>
        <v>30</v>
      </c>
    </row>
    <row r="19" spans="2:10" ht="14.85" customHeight="1">
      <c r="B19" s="208" t="str">
        <f>'Capital IQ Sheet-GPC'!E67</f>
        <v>United States Treasury Constant Maturity - 30 Year</v>
      </c>
      <c r="D19" s="320">
        <f>'Capital IQ Sheet-GPC'!C67</f>
        <v>30</v>
      </c>
      <c r="E19" s="331">
        <f>'Capital IQ Sheet-GPC'!D67</f>
        <v>2.9899999999999999E-2</v>
      </c>
      <c r="G19" s="898">
        <f>'Capital IQ Sheet-GPC'!B89</f>
        <v>0</v>
      </c>
      <c r="H19" s="320"/>
      <c r="I19" s="320">
        <f t="shared" si="0"/>
        <v>20</v>
      </c>
      <c r="J19" s="900"/>
    </row>
    <row r="20" spans="2:10" ht="14.85" customHeight="1"/>
    <row r="21" spans="2:10" ht="14.85" customHeight="1">
      <c r="B21" s="901" t="s">
        <v>2511</v>
      </c>
      <c r="C21" s="902"/>
      <c r="D21" s="902"/>
      <c r="E21" s="903"/>
      <c r="H21" s="560"/>
      <c r="I21" s="560"/>
      <c r="J21" s="560"/>
    </row>
    <row r="22" spans="2:10" ht="14.85" customHeight="1">
      <c r="B22" s="423" t="s">
        <v>129</v>
      </c>
      <c r="C22" s="424"/>
      <c r="D22" s="904">
        <f>SUMIFS($D$9:$D$19,$D$9:$D$19,"&lt;"&amp;D24,J$9:J$19,"&gt;"&amp;D24)</f>
        <v>3</v>
      </c>
      <c r="E22" s="905">
        <f>IF(ISERROR(VLOOKUP(D22,$D$9:$E$19,COLUMNS($D$7:$E$7),FALSE)), "n/a", VLOOKUP(D22,$D$9:$E$19,COLUMNS($D$7:$E$7),FALSE))</f>
        <v>2.4299999999999999E-2</v>
      </c>
      <c r="G22" s="906"/>
      <c r="H22" s="560"/>
      <c r="I22" s="560"/>
      <c r="J22" s="560"/>
    </row>
    <row r="23" spans="2:10" ht="14.85" customHeight="1">
      <c r="B23" s="423" t="s">
        <v>130</v>
      </c>
      <c r="C23" s="424"/>
      <c r="D23" s="904">
        <f>SUMIFS($D$9:$D$19,$D$9:$D$19,"&gt;"&amp;D24,I$9:I$19,"&lt;"&amp;D24)</f>
        <v>5</v>
      </c>
      <c r="E23" s="905">
        <f>IF(ISERROR(VLOOKUP(D23,$D$9:$E$19,COLUMNS($D$7:$E$7),FALSE)), "n/a", VLOOKUP(D23,$D$9:$E$19,COLUMNS($D$7:$E$7),FALSE))</f>
        <v>2.4299999999999999E-2</v>
      </c>
      <c r="G23" s="331"/>
      <c r="H23" s="560"/>
      <c r="I23" s="560"/>
      <c r="J23" s="560"/>
    </row>
    <row r="24" spans="2:10" ht="14.85" customHeight="1">
      <c r="B24" s="423" t="s">
        <v>102</v>
      </c>
      <c r="C24" s="424"/>
      <c r="D24" s="904">
        <f>L4</f>
        <v>4</v>
      </c>
      <c r="E24" s="905">
        <f>IF(ISERROR(+E22+(E23-E22)/(D23-D22)*(D24-D22)), "n/a", +E22+(E23-E22)/(D23-D22)*(D24-D22))</f>
        <v>2.4299999999999999E-2</v>
      </c>
      <c r="H24" s="560"/>
      <c r="I24" s="560"/>
      <c r="J24" s="560"/>
    </row>
    <row r="25" spans="2:10" ht="14.85" customHeight="1">
      <c r="B25" s="423" t="s">
        <v>142</v>
      </c>
      <c r="C25" s="424"/>
      <c r="D25" s="904">
        <f>D24</f>
        <v>4</v>
      </c>
      <c r="E25" s="905" t="str">
        <f>IF(ISERROR(VLOOKUP(D25,$D$9:$E$19,COLUMNS($D$7:$E$7),FALSE)), "n/a", VLOOKUP(D25,$D$9:$E$19,COLUMNS($D$7:$E$7),FALSE))</f>
        <v>n/a</v>
      </c>
      <c r="H25" s="560"/>
      <c r="I25" s="560"/>
      <c r="J25" s="560"/>
    </row>
    <row r="26" spans="2:10" ht="14.85" customHeight="1">
      <c r="B26" s="431"/>
      <c r="C26" s="424"/>
      <c r="D26" s="424"/>
      <c r="E26" s="907"/>
      <c r="H26" s="560"/>
      <c r="I26" s="560"/>
      <c r="J26" s="560"/>
    </row>
    <row r="27" spans="2:10" ht="14.85" customHeight="1">
      <c r="B27" s="572" t="s">
        <v>143</v>
      </c>
      <c r="C27" s="908"/>
      <c r="D27" s="908"/>
      <c r="E27" s="909">
        <f>IF(E24="n/a",E25,E24)</f>
        <v>2.4299999999999999E-2</v>
      </c>
      <c r="H27" s="354"/>
      <c r="I27" s="354"/>
      <c r="J27" s="354"/>
    </row>
    <row r="28" spans="2:10" ht="14.85" customHeight="1">
      <c r="H28" s="560"/>
      <c r="I28" s="560"/>
      <c r="J28" s="560"/>
    </row>
    <row r="29" spans="2:10" ht="14.85" hidden="1" customHeight="1" outlineLevel="1">
      <c r="B29" s="901" t="s">
        <v>400</v>
      </c>
      <c r="C29" s="902"/>
      <c r="D29" s="902"/>
      <c r="E29" s="903"/>
      <c r="H29" s="560"/>
      <c r="I29" s="560"/>
      <c r="J29" s="560"/>
    </row>
    <row r="30" spans="2:10" ht="14.85" hidden="1" customHeight="1" outlineLevel="1">
      <c r="B30" s="423" t="s">
        <v>129</v>
      </c>
      <c r="C30" s="424"/>
      <c r="D30" s="904">
        <f>SUMIFS($D$9:$D$19,$D$9:$D$19,"&lt;"&amp;D32,$J$9:$J$19,"&gt;"&amp;D32)</f>
        <v>3</v>
      </c>
      <c r="E30" s="905">
        <f>IF(ISERROR(VLOOKUP(D30,$D$9:$E$19,COLUMNS($D$7:$E$7),FALSE)), "n/a", VLOOKUP(D30,$D$9:$E$19,COLUMNS($D$7:$E$7),FALSE))</f>
        <v>2.4299999999999999E-2</v>
      </c>
      <c r="H30" s="560"/>
      <c r="I30" s="560"/>
      <c r="J30" s="560"/>
    </row>
    <row r="31" spans="2:10" ht="14.85" hidden="1" customHeight="1" outlineLevel="1">
      <c r="B31" s="423" t="s">
        <v>130</v>
      </c>
      <c r="C31" s="424"/>
      <c r="D31" s="904">
        <f>SUMIFS($D$9:$D$19,$D$9:$D$19,"&gt;"&amp;D32,$I$9:$I$19,"&lt;"&amp;D32)</f>
        <v>5</v>
      </c>
      <c r="E31" s="905">
        <f>IF(ISERROR(VLOOKUP(D31,$D$9:$E$19,COLUMNS($D$7:$E$7),FALSE)), "n/a", VLOOKUP(D31,$D$9:$E$19,COLUMNS($D$7:$E$7),FALSE))</f>
        <v>2.4299999999999999E-2</v>
      </c>
      <c r="G31" s="284"/>
      <c r="H31" s="560"/>
      <c r="I31" s="560"/>
      <c r="J31" s="560"/>
    </row>
    <row r="32" spans="2:10" ht="14.85" hidden="1" customHeight="1" outlineLevel="1">
      <c r="B32" s="423" t="s">
        <v>102</v>
      </c>
      <c r="C32" s="424"/>
      <c r="D32" s="904">
        <f>I6</f>
        <v>4</v>
      </c>
      <c r="E32" s="905">
        <f>IF(ISERROR(+E30+(E31-E30)/(D31-D30)*(D32-D30)), "n/a", +E30+(E31-E30)/(D31-D30)*(D32-D30))</f>
        <v>2.4299999999999999E-2</v>
      </c>
      <c r="H32" s="560"/>
      <c r="I32" s="560"/>
      <c r="J32" s="560"/>
    </row>
    <row r="33" spans="2:10" ht="14.85" hidden="1" customHeight="1" outlineLevel="1">
      <c r="B33" s="423" t="s">
        <v>142</v>
      </c>
      <c r="C33" s="424"/>
      <c r="D33" s="904">
        <f>D32</f>
        <v>4</v>
      </c>
      <c r="E33" s="905" t="str">
        <f>IF(ISERROR(VLOOKUP(D33,$D$9:$E$19,COLUMNS($D$7:$E$7),FALSE)), "n/a", VLOOKUP(D33,$D$9:$E$19,COLUMNS($D$7:$E$7),FALSE))</f>
        <v>n/a</v>
      </c>
      <c r="H33" s="560"/>
      <c r="I33" s="560"/>
      <c r="J33" s="560"/>
    </row>
    <row r="34" spans="2:10" ht="14.85" hidden="1" customHeight="1" outlineLevel="1">
      <c r="B34" s="431"/>
      <c r="C34" s="424"/>
      <c r="D34" s="424"/>
      <c r="E34" s="907"/>
      <c r="H34" s="560"/>
      <c r="I34" s="560"/>
      <c r="J34" s="560"/>
    </row>
    <row r="35" spans="2:10" ht="14.85" hidden="1" customHeight="1" outlineLevel="1">
      <c r="B35" s="572" t="s">
        <v>143</v>
      </c>
      <c r="C35" s="908"/>
      <c r="D35" s="908"/>
      <c r="E35" s="909">
        <f>IF(E32="n/a",E33,E32)</f>
        <v>2.4299999999999999E-2</v>
      </c>
      <c r="H35" s="354"/>
      <c r="I35" s="354"/>
      <c r="J35" s="354"/>
    </row>
    <row r="36" spans="2:10" ht="14.85" hidden="1" customHeight="1" outlineLevel="1"/>
    <row r="37" spans="2:10" ht="14.85" hidden="1" customHeight="1" outlineLevel="1">
      <c r="B37" s="901" t="s">
        <v>1697</v>
      </c>
      <c r="C37" s="902"/>
      <c r="D37" s="902"/>
      <c r="E37" s="903"/>
      <c r="H37" s="560"/>
      <c r="I37" s="560"/>
      <c r="J37" s="560"/>
    </row>
    <row r="38" spans="2:10" ht="14.85" hidden="1" customHeight="1" outlineLevel="1">
      <c r="B38" s="423" t="s">
        <v>129</v>
      </c>
      <c r="C38" s="424"/>
      <c r="D38" s="904">
        <f>SUMIFS($D$9:$D$19,$D$9:$D$19,"&lt;"&amp;D40,J$9:J$19,"&gt;"&amp;D40)</f>
        <v>3</v>
      </c>
      <c r="E38" s="905">
        <f>IF(ISERROR(VLOOKUP(D38,$D$9:$E$19,COLUMNS($D$7:$E$7),FALSE)), "n/a", VLOOKUP(D38,$D$9:$E$19,COLUMNS($D$7:$E$7),FALSE))</f>
        <v>2.4299999999999999E-2</v>
      </c>
      <c r="G38" s="906"/>
      <c r="H38" s="560"/>
      <c r="I38" s="560"/>
      <c r="J38" s="560"/>
    </row>
    <row r="39" spans="2:10" ht="14.85" hidden="1" customHeight="1" outlineLevel="1">
      <c r="B39" s="423" t="s">
        <v>130</v>
      </c>
      <c r="C39" s="424"/>
      <c r="D39" s="904">
        <f>SUMIFS($D$9:$D$19,$D$9:$D$19,"&gt;"&amp;D40,I$9:I$19,"&lt;"&amp;D40)</f>
        <v>5</v>
      </c>
      <c r="E39" s="905">
        <f>IF(ISERROR(VLOOKUP(D39,$D$9:$E$19,COLUMNS($D$7:$E$7),FALSE)), "n/a", VLOOKUP(D39,$D$9:$E$19,COLUMNS($D$7:$E$7),FALSE))</f>
        <v>2.4299999999999999E-2</v>
      </c>
      <c r="H39" s="560"/>
      <c r="I39" s="560"/>
      <c r="J39" s="560"/>
    </row>
    <row r="40" spans="2:10" ht="14.85" hidden="1" customHeight="1" outlineLevel="1">
      <c r="B40" s="423" t="s">
        <v>102</v>
      </c>
      <c r="C40" s="424"/>
      <c r="D40" s="904">
        <f>L4</f>
        <v>4</v>
      </c>
      <c r="E40" s="905">
        <f>IF(ISERROR(+E38+(E39-E38)/(D39-D38)*(D40-D38)), "n/a", +E38+(E39-E38)/(D39-D38)*(D40-D38))</f>
        <v>2.4299999999999999E-2</v>
      </c>
      <c r="H40" s="560"/>
      <c r="I40" s="560"/>
      <c r="J40" s="560"/>
    </row>
    <row r="41" spans="2:10" ht="14.85" hidden="1" customHeight="1" outlineLevel="1">
      <c r="B41" s="423" t="s">
        <v>142</v>
      </c>
      <c r="C41" s="424"/>
      <c r="D41" s="904">
        <f>D40</f>
        <v>4</v>
      </c>
      <c r="E41" s="905" t="str">
        <f>IF(ISERROR(VLOOKUP(D41,$D$9:$E$19,COLUMNS($D$7:$E$7),FALSE)), "n/a", VLOOKUP(D41,$D$9:$E$19,COLUMNS($D$7:$E$7),FALSE))</f>
        <v>n/a</v>
      </c>
      <c r="H41" s="560"/>
      <c r="I41" s="560"/>
      <c r="J41" s="560"/>
    </row>
    <row r="42" spans="2:10" ht="14.85" hidden="1" customHeight="1" outlineLevel="1">
      <c r="B42" s="431"/>
      <c r="C42" s="424"/>
      <c r="D42" s="424"/>
      <c r="E42" s="907"/>
      <c r="H42" s="560"/>
      <c r="I42" s="560"/>
      <c r="J42" s="560"/>
    </row>
    <row r="43" spans="2:10" ht="14.85" hidden="1" customHeight="1" outlineLevel="1">
      <c r="B43" s="572" t="s">
        <v>143</v>
      </c>
      <c r="C43" s="908"/>
      <c r="D43" s="908"/>
      <c r="E43" s="909">
        <f>IF(E40="n/a",E41,E40)</f>
        <v>2.4299999999999999E-2</v>
      </c>
      <c r="H43" s="354"/>
      <c r="I43" s="354"/>
      <c r="J43" s="354"/>
    </row>
    <row r="44" spans="2:10" ht="14.85" hidden="1" customHeight="1" outlineLevel="1">
      <c r="H44" s="560"/>
      <c r="I44" s="560"/>
      <c r="J44" s="560"/>
    </row>
    <row r="45" spans="2:10" ht="14.85" hidden="1" customHeight="1" outlineLevel="1">
      <c r="B45" s="901" t="s">
        <v>1699</v>
      </c>
      <c r="C45" s="902"/>
      <c r="D45" s="902"/>
      <c r="E45" s="903"/>
      <c r="H45" s="560"/>
      <c r="I45" s="560"/>
      <c r="J45" s="560"/>
    </row>
    <row r="46" spans="2:10" ht="14.85" hidden="1" customHeight="1" outlineLevel="1">
      <c r="B46" s="423" t="s">
        <v>129</v>
      </c>
      <c r="C46" s="424"/>
      <c r="D46" s="904">
        <f>SUMIFS($D$9:$D$19,$D$9:$D$19,"&lt;"&amp;D48,J$9:J$19,"&gt;"&amp;D48)</f>
        <v>0</v>
      </c>
      <c r="E46" s="905" t="str">
        <f>IF(ISERROR(VLOOKUP(D46,$D$9:$E$19,COLUMNS($D$7:$E$7),FALSE)), "n/a", VLOOKUP(D46,$D$9:$E$19,COLUMNS($D$7:$E$7),FALSE))</f>
        <v>n/a</v>
      </c>
      <c r="G46" s="906"/>
      <c r="H46" s="560"/>
      <c r="I46" s="560"/>
      <c r="J46" s="560"/>
    </row>
    <row r="47" spans="2:10" ht="14.85" hidden="1" customHeight="1" outlineLevel="1">
      <c r="B47" s="423" t="s">
        <v>130</v>
      </c>
      <c r="C47" s="424"/>
      <c r="D47" s="904">
        <f>SUMIFS($D$9:$D$19,$D$9:$D$19,"&gt;"&amp;D48,I$9:I$19,"&lt;"&amp;D48)</f>
        <v>0</v>
      </c>
      <c r="E47" s="905" t="str">
        <f>IF(ISERROR(VLOOKUP(D47,$D$9:$E$19,COLUMNS($D$7:$E$7),FALSE)), "n/a", VLOOKUP(D47,$D$9:$E$19,COLUMNS($D$7:$E$7),FALSE))</f>
        <v>n/a</v>
      </c>
      <c r="H47" s="560"/>
      <c r="I47" s="560"/>
      <c r="J47" s="560"/>
    </row>
    <row r="48" spans="2:10" ht="14.85" hidden="1" customHeight="1" outlineLevel="1">
      <c r="B48" s="423" t="s">
        <v>102</v>
      </c>
      <c r="C48" s="424"/>
      <c r="D48" s="904">
        <f>L6</f>
        <v>0</v>
      </c>
      <c r="E48" s="905" t="str">
        <f>IF(ISERROR(+E46+(E47-E46)/(D47-D46)*(D48-D46)), "n/a", +E46+(E47-E46)/(D47-D46)*(D48-D46))</f>
        <v>n/a</v>
      </c>
      <c r="H48" s="560"/>
      <c r="I48" s="560"/>
      <c r="J48" s="560"/>
    </row>
    <row r="49" spans="2:10" ht="14.85" hidden="1" customHeight="1" outlineLevel="1">
      <c r="B49" s="423" t="s">
        <v>142</v>
      </c>
      <c r="C49" s="424"/>
      <c r="D49" s="904">
        <f>D48</f>
        <v>0</v>
      </c>
      <c r="E49" s="905" t="str">
        <f>IF(ISERROR(VLOOKUP(D49,$D$9:$E$19,COLUMNS($D$7:$E$7),FALSE)), "n/a", VLOOKUP(D49,$D$9:$E$19,COLUMNS($D$7:$E$7),FALSE))</f>
        <v>n/a</v>
      </c>
      <c r="H49" s="560"/>
      <c r="I49" s="560"/>
      <c r="J49" s="560"/>
    </row>
    <row r="50" spans="2:10" ht="14.85" hidden="1" customHeight="1" outlineLevel="1">
      <c r="B50" s="431"/>
      <c r="C50" s="424"/>
      <c r="D50" s="424"/>
      <c r="E50" s="907"/>
      <c r="H50" s="560"/>
      <c r="I50" s="560"/>
      <c r="J50" s="560"/>
    </row>
    <row r="51" spans="2:10" ht="14.85" hidden="1" customHeight="1" outlineLevel="1">
      <c r="B51" s="572" t="s">
        <v>143</v>
      </c>
      <c r="C51" s="908"/>
      <c r="D51" s="908"/>
      <c r="E51" s="909" t="str">
        <f>IF(E48="n/a",E49,E48)</f>
        <v>n/a</v>
      </c>
      <c r="H51" s="354"/>
      <c r="I51" s="354"/>
      <c r="J51" s="354"/>
    </row>
    <row r="52" spans="2:10" ht="14.85" hidden="1" customHeight="1" outlineLevel="1" collapsed="1">
      <c r="H52" s="560"/>
      <c r="I52" s="560"/>
      <c r="J52" s="560"/>
    </row>
    <row r="53" spans="2:10" ht="14.85" customHeight="1" collapsed="1">
      <c r="B53" s="295" t="s">
        <v>116</v>
      </c>
    </row>
    <row r="54" spans="2:10" ht="14.85" customHeight="1"/>
    <row r="55" spans="2:10" ht="14.85" customHeight="1"/>
    <row r="56" spans="2:10" ht="14.85" customHeight="1"/>
    <row r="57" spans="2:10" ht="14.85" customHeight="1"/>
    <row r="58" spans="2:10" ht="14.85" customHeight="1"/>
    <row r="59" spans="2:10" ht="14.85" customHeight="1"/>
    <row r="60" spans="2:10" ht="14.85" customHeight="1"/>
    <row r="61" spans="2:10" ht="14.85" customHeight="1"/>
    <row r="62" spans="2:10" ht="14.85" customHeight="1"/>
    <row r="63" spans="2:10" ht="14.85" customHeight="1"/>
    <row r="64" spans="2:10"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sheetData>
  <conditionalFormatting sqref="B4:E4">
    <cfRule type="cellIs" dxfId="204" priority="3" stopIfTrue="1" operator="equal">
      <formula>"input"</formula>
    </cfRule>
  </conditionalFormatting>
  <pageMargins left="0.5" right="0.5" top="0.5" bottom="0.5" header="0.5" footer="0.5"/>
  <pageSetup orientation="landscape" r:id="rId1"/>
  <legacyDrawing r:id="rId2"/>
  <legacyDrawingHF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45">
    <tabColor theme="1"/>
    <pageSetUpPr fitToPage="1"/>
  </sheetPr>
  <dimension ref="B1:J28"/>
  <sheetViews>
    <sheetView showGridLines="0" view="pageBreakPreview" zoomScale="80" zoomScaleNormal="100" zoomScaleSheetLayoutView="80" workbookViewId="0"/>
  </sheetViews>
  <sheetFormatPr defaultColWidth="9.33203125" defaultRowHeight="14.25"/>
  <cols>
    <col min="1" max="1" width="4.5" style="260" customWidth="1"/>
    <col min="2" max="2" width="3.83203125" style="185" customWidth="1"/>
    <col min="3" max="3" width="15.83203125" style="185" customWidth="1"/>
    <col min="4" max="4" width="115.83203125" style="202" customWidth="1"/>
    <col min="5" max="5" width="8.33203125" style="185" customWidth="1"/>
    <col min="6" max="6" width="3.83203125" style="185" customWidth="1"/>
    <col min="7" max="7" width="4.5" style="260" customWidth="1"/>
    <col min="8" max="8" width="9.33203125" style="260"/>
    <col min="9" max="9" width="21.33203125" style="260" customWidth="1"/>
    <col min="10" max="10" width="19" style="260" bestFit="1" customWidth="1"/>
    <col min="11" max="16384" width="9.33203125" style="260"/>
  </cols>
  <sheetData>
    <row r="1" spans="2:8" ht="12.75">
      <c r="B1" s="260"/>
      <c r="C1" s="260"/>
      <c r="D1" s="300"/>
      <c r="E1" s="260"/>
      <c r="F1" s="260"/>
    </row>
    <row r="2" spans="2:8" ht="12.75">
      <c r="B2" s="260"/>
      <c r="C2" s="260"/>
      <c r="D2" s="300"/>
      <c r="E2" s="260"/>
      <c r="F2" s="260"/>
    </row>
    <row r="3" spans="2:8" ht="12.75">
      <c r="B3" s="260"/>
      <c r="C3" s="260"/>
      <c r="D3" s="300"/>
      <c r="E3" s="260"/>
      <c r="F3" s="260"/>
    </row>
    <row r="4" spans="2:8" ht="12.75">
      <c r="B4" s="260"/>
      <c r="C4" s="260"/>
      <c r="D4" s="300"/>
      <c r="E4" s="260"/>
      <c r="F4" s="260"/>
      <c r="H4" s="1243"/>
    </row>
    <row r="5" spans="2:8" ht="12.75">
      <c r="B5" s="260"/>
      <c r="C5" s="260"/>
      <c r="D5" s="300"/>
      <c r="E5" s="260"/>
      <c r="F5" s="260"/>
    </row>
    <row r="6" spans="2:8" ht="12.75">
      <c r="B6" s="301"/>
      <c r="C6" s="302"/>
      <c r="D6" s="303"/>
      <c r="E6" s="302"/>
      <c r="F6" s="302"/>
    </row>
    <row r="7" spans="2:8" ht="13.5" thickBot="1">
      <c r="B7" s="301"/>
      <c r="C7" s="302"/>
      <c r="D7" s="303"/>
      <c r="E7" s="302"/>
      <c r="F7" s="302"/>
    </row>
    <row r="8" spans="2:8" ht="13.5" thickTop="1">
      <c r="B8" s="1244"/>
      <c r="C8" s="582"/>
      <c r="D8" s="1245"/>
      <c r="E8" s="582"/>
      <c r="F8" s="582"/>
    </row>
    <row r="9" spans="2:8" ht="39.75">
      <c r="B9" s="189"/>
      <c r="C9" s="195"/>
      <c r="D9" s="190" t="str">
        <f>+'MASTER PubCo Inputs'!C8</f>
        <v>IRC 409A Common Stock Independent Appraisal</v>
      </c>
      <c r="E9" s="191"/>
      <c r="F9" s="191"/>
    </row>
    <row r="10" spans="2:8">
      <c r="B10" s="1246"/>
      <c r="C10" s="584"/>
      <c r="D10" s="1248"/>
      <c r="E10" s="195"/>
      <c r="F10" s="195"/>
    </row>
    <row r="11" spans="2:8" ht="23.25">
      <c r="B11" s="1246"/>
      <c r="C11" s="584"/>
      <c r="D11" s="197" t="s">
        <v>551</v>
      </c>
      <c r="E11" s="195"/>
      <c r="F11" s="195"/>
    </row>
    <row r="12" spans="2:8" ht="19.5">
      <c r="B12" s="1246"/>
      <c r="C12" s="584"/>
      <c r="D12" s="198" t="s">
        <v>372</v>
      </c>
      <c r="E12" s="195"/>
      <c r="F12" s="195"/>
    </row>
    <row r="13" spans="2:8" ht="23.25">
      <c r="B13" s="1246"/>
      <c r="C13" s="584"/>
      <c r="D13" s="197" t="str">
        <f>IF('MASTER PubCo Inputs'!C5="","",'MASTER PubCo Inputs'!C5)</f>
        <v>Medikine, Inc.</v>
      </c>
      <c r="E13" s="195"/>
      <c r="F13" s="195"/>
    </row>
    <row r="14" spans="2:8">
      <c r="B14" s="1246"/>
      <c r="C14" s="584"/>
      <c r="D14" s="1248"/>
      <c r="E14" s="195"/>
      <c r="F14" s="195"/>
    </row>
    <row r="15" spans="2:8" ht="23.25">
      <c r="B15" s="1246"/>
      <c r="C15" s="584"/>
      <c r="D15" s="197" t="str">
        <f>"Valuation Date as of "&amp;TEXT('MASTER PubCo Inputs'!$C$6,"mmmm d, yyyy")&amp;""</f>
        <v>Valuation Date as of January 31, 2019</v>
      </c>
      <c r="E15" s="195"/>
      <c r="F15" s="195"/>
    </row>
    <row r="16" spans="2:8" ht="15" thickBot="1">
      <c r="B16" s="1247"/>
      <c r="C16" s="586"/>
      <c r="D16" s="1249"/>
      <c r="E16" s="200"/>
      <c r="F16" s="200"/>
    </row>
    <row r="17" spans="2:10" ht="13.5" thickTop="1">
      <c r="B17" s="260"/>
      <c r="C17" s="260"/>
      <c r="D17" s="300"/>
      <c r="E17" s="260"/>
      <c r="F17" s="260"/>
    </row>
    <row r="18" spans="2:10" ht="12.75">
      <c r="B18" s="260"/>
      <c r="C18" s="260"/>
      <c r="D18" s="300"/>
      <c r="E18" s="260"/>
      <c r="F18" s="260"/>
    </row>
    <row r="19" spans="2:10" ht="18">
      <c r="B19" s="260"/>
      <c r="C19" s="260"/>
      <c r="D19" s="203" t="s">
        <v>373</v>
      </c>
      <c r="E19" s="260"/>
      <c r="F19" s="260"/>
    </row>
    <row r="20" spans="2:10" ht="18">
      <c r="B20" s="260"/>
      <c r="C20" s="260"/>
      <c r="D20" s="204" t="str">
        <f ca="1">TEXT(J20,"mmmm d, yyyy")</f>
        <v>February 13, 2019</v>
      </c>
      <c r="E20" s="260"/>
      <c r="F20" s="260"/>
      <c r="I20" s="260" t="s">
        <v>375</v>
      </c>
      <c r="J20" s="261">
        <f ca="1">Title!J20</f>
        <v>43509</v>
      </c>
    </row>
    <row r="21" spans="2:10" ht="12.75">
      <c r="B21" s="260"/>
      <c r="C21" s="260"/>
      <c r="D21" s="300"/>
      <c r="E21" s="260"/>
      <c r="F21" s="260"/>
    </row>
    <row r="22" spans="2:10" ht="12.75">
      <c r="B22" s="260"/>
      <c r="C22" s="260"/>
      <c r="D22" s="300"/>
      <c r="E22" s="260"/>
      <c r="F22" s="260"/>
    </row>
    <row r="23" spans="2:10" ht="12.75">
      <c r="B23" s="260"/>
      <c r="C23" s="260"/>
      <c r="D23" s="300"/>
      <c r="E23" s="260"/>
      <c r="F23" s="260"/>
    </row>
    <row r="24" spans="2:10" ht="12.75">
      <c r="B24" s="260"/>
      <c r="C24" s="260"/>
      <c r="D24" s="300"/>
      <c r="E24" s="260"/>
      <c r="F24" s="260"/>
    </row>
    <row r="25" spans="2:10" ht="23.25">
      <c r="B25" s="260"/>
      <c r="C25" s="260"/>
      <c r="D25" s="205"/>
      <c r="E25" s="260"/>
      <c r="F25" s="260"/>
    </row>
    <row r="26" spans="2:10" ht="12.75">
      <c r="B26" s="260"/>
      <c r="C26" s="260"/>
      <c r="D26" s="300"/>
      <c r="E26" s="260"/>
      <c r="F26" s="260"/>
    </row>
    <row r="27" spans="2:10" ht="18">
      <c r="B27" s="260"/>
      <c r="C27" s="260"/>
      <c r="D27" s="206"/>
      <c r="E27" s="260"/>
      <c r="F27" s="260"/>
    </row>
    <row r="28" spans="2:10" ht="36">
      <c r="B28" s="260"/>
      <c r="C28" s="260"/>
      <c r="D28" s="207" t="s">
        <v>374</v>
      </c>
      <c r="E28" s="260"/>
      <c r="F28" s="260"/>
    </row>
  </sheetData>
  <pageMargins left="0.5" right="0.5" top="0.5" bottom="0.5" header="0.5" footer="0.5"/>
  <pageSetup scale="98" orientation="landscape"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8">
    <pageSetUpPr fitToPage="1"/>
  </sheetPr>
  <dimension ref="B1:F764"/>
  <sheetViews>
    <sheetView showGridLines="0" view="pageBreakPreview" zoomScale="80" zoomScaleNormal="100" zoomScaleSheetLayoutView="80" workbookViewId="0"/>
  </sheetViews>
  <sheetFormatPr defaultRowHeight="12.75" outlineLevelRow="1"/>
  <cols>
    <col min="1" max="1" width="4.5" style="208" customWidth="1"/>
    <col min="2" max="2" width="20.83203125" style="208" customWidth="1"/>
    <col min="3" max="4" width="14.83203125" style="208" customWidth="1"/>
    <col min="5" max="5" width="70.83203125" style="209" customWidth="1"/>
    <col min="6" max="6" width="30.83203125" style="208" customWidth="1"/>
    <col min="7" max="7" width="4.5" style="208" customWidth="1"/>
    <col min="8" max="8" width="2.83203125" style="208" customWidth="1"/>
    <col min="9" max="16384" width="9.33203125" style="208"/>
  </cols>
  <sheetData>
    <row r="1" spans="2:6" ht="10.7" customHeight="1" thickBot="1"/>
    <row r="2" spans="2:6" ht="16.5" customHeight="1" thickTop="1">
      <c r="B2" s="216" t="str">
        <f>'MASTER PubCo Inputs'!$C$5</f>
        <v>Medikine, Inc.</v>
      </c>
      <c r="C2" s="216"/>
      <c r="D2" s="216"/>
      <c r="E2" s="220"/>
      <c r="F2" s="216"/>
    </row>
    <row r="3" spans="2:6" ht="16.5" customHeight="1" thickBot="1">
      <c r="B3" s="444" t="s">
        <v>1484</v>
      </c>
      <c r="C3" s="444"/>
      <c r="D3" s="444"/>
      <c r="E3" s="221"/>
      <c r="F3" s="444"/>
    </row>
    <row r="4" spans="2:6" ht="12.75" customHeight="1" thickTop="1"/>
    <row r="5" spans="2:6" ht="14.85" customHeight="1"/>
    <row r="6" spans="2:6" ht="14.85" customHeight="1">
      <c r="B6" s="210" t="s">
        <v>1485</v>
      </c>
      <c r="C6" s="211"/>
      <c r="D6" s="211"/>
      <c r="E6" s="1790" t="s">
        <v>1486</v>
      </c>
      <c r="F6" s="211"/>
    </row>
    <row r="7" spans="2:6" ht="14.85" customHeight="1">
      <c r="B7" s="212"/>
      <c r="C7" s="211"/>
      <c r="D7" s="211"/>
      <c r="E7" s="210"/>
      <c r="F7" s="211"/>
    </row>
    <row r="8" spans="2:6" ht="14.85" customHeight="1">
      <c r="B8" s="213" t="str">
        <f>Outline!B59</f>
        <v>#1</v>
      </c>
      <c r="E8" s="209" t="str">
        <f>Outline!E59</f>
        <v>Valuation Summary - OPM</v>
      </c>
    </row>
    <row r="9" spans="2:6" ht="14.85" customHeight="1">
      <c r="B9" s="213" t="str">
        <f>Outline!B60</f>
        <v>#2</v>
      </c>
      <c r="E9" s="209" t="str">
        <f>Outline!E60</f>
        <v>Option Pricing Method - Breakpoints &amp; Allocation</v>
      </c>
    </row>
    <row r="10" spans="2:6" ht="14.85" customHeight="1">
      <c r="B10" s="213" t="str">
        <f>Outline!B61</f>
        <v>#3</v>
      </c>
      <c r="E10" s="209" t="str">
        <f>Outline!E61</f>
        <v>Option Pricing Method - Implied Value Per Share</v>
      </c>
    </row>
    <row r="11" spans="2:6" ht="14.85" customHeight="1">
      <c r="B11" s="213" t="str">
        <f>Outline!B62</f>
        <v>#4</v>
      </c>
      <c r="E11" s="209" t="str">
        <f>Outline!E62</f>
        <v>Discount for Lack of Marketability</v>
      </c>
    </row>
    <row r="12" spans="2:6" ht="14.85" customHeight="1">
      <c r="B12" s="213" t="str">
        <f>Outline!B63</f>
        <v>#5</v>
      </c>
      <c r="E12" s="209" t="str">
        <f>Outline!E63</f>
        <v>Asset Volatility - OPM</v>
      </c>
    </row>
    <row r="13" spans="2:6" ht="14.85" customHeight="1">
      <c r="B13" s="213" t="str">
        <f>Outline!B64</f>
        <v>#6</v>
      </c>
      <c r="E13" s="209" t="str">
        <f>Outline!E65</f>
        <v>Risk-Free Rates - OPM</v>
      </c>
    </row>
    <row r="14" spans="2:6" ht="14.85" customHeight="1">
      <c r="B14" s="213" t="str">
        <f>Outline!B65</f>
        <v>#7</v>
      </c>
      <c r="E14" s="209" t="str">
        <f>Outline!E66</f>
        <v>Market Trends Since Previous Valuation</v>
      </c>
    </row>
    <row r="15" spans="2:6" ht="14.85" customHeight="1">
      <c r="B15" s="213" t="str">
        <f>Outline!B66</f>
        <v>#8</v>
      </c>
      <c r="E15" s="209" t="str">
        <f>Outline!E67</f>
        <v>Comparative Sheet</v>
      </c>
    </row>
    <row r="16" spans="2:6" ht="14.85" hidden="1" customHeight="1" outlineLevel="1">
      <c r="B16" s="213" t="str">
        <f>Outline!B67</f>
        <v>#9</v>
      </c>
    </row>
    <row r="17" spans="2:5" ht="14.85" hidden="1" customHeight="1" outlineLevel="1">
      <c r="B17" s="213" t="str">
        <f>Outline!B68</f>
        <v>#10</v>
      </c>
      <c r="E17" s="209">
        <f>Outline!E68</f>
        <v>0</v>
      </c>
    </row>
    <row r="18" spans="2:5" ht="14.85" hidden="1" customHeight="1" outlineLevel="1">
      <c r="B18" s="213" t="str">
        <f>Outline!B69</f>
        <v>#11</v>
      </c>
    </row>
    <row r="19" spans="2:5" ht="14.85" hidden="1" customHeight="1" outlineLevel="1">
      <c r="B19" s="213" t="str">
        <f>Outline!B70</f>
        <v>#12</v>
      </c>
    </row>
    <row r="20" spans="2:5" ht="14.85" hidden="1" customHeight="1" outlineLevel="1">
      <c r="B20" s="213" t="str">
        <f>Outline!B71</f>
        <v>#13</v>
      </c>
      <c r="E20" s="214">
        <f>Outline!E72</f>
        <v>0</v>
      </c>
    </row>
    <row r="21" spans="2:5" ht="14.85" hidden="1" customHeight="1" outlineLevel="1">
      <c r="B21" s="213" t="str">
        <f>Outline!B72</f>
        <v>#14</v>
      </c>
      <c r="E21" s="214">
        <f>Outline!E73</f>
        <v>0</v>
      </c>
    </row>
    <row r="22" spans="2:5" ht="14.85" customHeight="1" collapsed="1"/>
    <row r="23" spans="2:5" ht="14.85" customHeight="1">
      <c r="E23" s="208"/>
    </row>
    <row r="24" spans="2:5" ht="14.85" customHeight="1">
      <c r="E24" s="208"/>
    </row>
    <row r="25" spans="2:5" ht="14.85" customHeight="1">
      <c r="E25" s="208"/>
    </row>
    <row r="26" spans="2:5" ht="14.85" customHeight="1">
      <c r="E26" s="208"/>
    </row>
    <row r="27" spans="2:5" ht="14.85" customHeight="1"/>
    <row r="28" spans="2:5" ht="14.85" customHeight="1"/>
    <row r="29" spans="2:5" ht="14.85" customHeight="1"/>
    <row r="30" spans="2:5" ht="14.85" customHeight="1"/>
    <row r="31" spans="2:5" ht="14.85" customHeight="1"/>
    <row r="32" spans="2:5" ht="14.85" customHeight="1"/>
    <row r="33" ht="14.85" customHeight="1"/>
    <row r="34" ht="14.85" customHeight="1"/>
    <row r="35" ht="14.85" customHeight="1"/>
    <row r="36" ht="14.85" customHeight="1"/>
    <row r="37" ht="14.85" customHeight="1"/>
    <row r="38" ht="14.85" customHeight="1"/>
    <row r="39" ht="14.85" customHeight="1"/>
    <row r="40" ht="14.85" customHeight="1"/>
    <row r="41" ht="14.85" customHeight="1"/>
    <row r="42" ht="14.85" customHeight="1"/>
    <row r="43" ht="14.85" customHeight="1"/>
    <row r="44" ht="14.85" customHeight="1"/>
    <row r="45" ht="14.85" customHeight="1"/>
    <row r="46" ht="14.85" customHeight="1"/>
    <row r="47" ht="14.85" customHeight="1"/>
    <row r="48"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3:F3">
    <cfRule type="cellIs" dxfId="203" priority="15" stopIfTrue="1" operator="equal">
      <formula>"input"</formula>
    </cfRule>
  </conditionalFormatting>
  <conditionalFormatting sqref="B7">
    <cfRule type="expression" dxfId="202" priority="14">
      <formula>OR($B7="Exhibits",$B7="Workpapers")</formula>
    </cfRule>
  </conditionalFormatting>
  <conditionalFormatting sqref="E7">
    <cfRule type="expression" dxfId="201" priority="13">
      <formula>$B7=""</formula>
    </cfRule>
  </conditionalFormatting>
  <conditionalFormatting sqref="B8:B12 B14:B21">
    <cfRule type="expression" dxfId="200" priority="7">
      <formula>OR($B8="Exhibits",$B8="Workpapers")</formula>
    </cfRule>
  </conditionalFormatting>
  <conditionalFormatting sqref="E20:E21">
    <cfRule type="expression" dxfId="199" priority="8">
      <formula>$B18=""</formula>
    </cfRule>
  </conditionalFormatting>
  <conditionalFormatting sqref="B8:B10">
    <cfRule type="expression" dxfId="198" priority="3">
      <formula>OR($B8="Exhibits",$B8="Workpapers")</formula>
    </cfRule>
  </conditionalFormatting>
  <conditionalFormatting sqref="B11:B12">
    <cfRule type="expression" dxfId="197" priority="2">
      <formula>$B9=""</formula>
    </cfRule>
  </conditionalFormatting>
  <conditionalFormatting sqref="B13">
    <cfRule type="expression" dxfId="196" priority="1">
      <formula>OR($B13="Exhibits",$B13="Workpapers")</formula>
    </cfRule>
  </conditionalFormatting>
  <pageMargins left="0.5" right="0.5" top="0.5" bottom="0.5" header="0.5" footer="0.5"/>
  <pageSetup scale="95"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82">
    <pageSetUpPr fitToPage="1"/>
  </sheetPr>
  <dimension ref="A1:R749"/>
  <sheetViews>
    <sheetView showGridLines="0" view="pageBreakPreview" zoomScale="80" zoomScaleNormal="100" zoomScaleSheetLayoutView="80" workbookViewId="0"/>
  </sheetViews>
  <sheetFormatPr defaultRowHeight="12.75"/>
  <cols>
    <col min="1" max="1" width="4.5" style="208" customWidth="1"/>
    <col min="2" max="2" width="62.83203125" style="208" customWidth="1"/>
    <col min="3" max="3" width="2.83203125" style="208" customWidth="1"/>
    <col min="4" max="4" width="22.83203125" style="208" customWidth="1"/>
    <col min="5" max="5" width="2.83203125" style="208" customWidth="1"/>
    <col min="6" max="6" width="22.83203125" style="208" customWidth="1"/>
    <col min="7" max="7" width="2.83203125" style="208" customWidth="1"/>
    <col min="8" max="8" width="20.83203125" style="208" customWidth="1"/>
    <col min="9" max="9" width="2.83203125" style="208" customWidth="1"/>
    <col min="10" max="10" width="20.83203125" style="208" customWidth="1"/>
    <col min="11" max="11" width="4.5" style="208" customWidth="1"/>
    <col min="12" max="12" width="18.1640625" style="208" customWidth="1"/>
    <col min="13" max="14" width="12" style="208" bestFit="1" customWidth="1"/>
    <col min="15" max="15" width="20.83203125" style="208" customWidth="1"/>
    <col min="16" max="16" width="29.1640625" style="208" customWidth="1"/>
    <col min="17" max="17" width="10" style="208" bestFit="1" customWidth="1"/>
    <col min="18" max="18" width="9.6640625" style="208" bestFit="1" customWidth="1"/>
    <col min="19" max="16384" width="9.33203125" style="208"/>
  </cols>
  <sheetData>
    <row r="1" spans="1:18" ht="10.7" customHeight="1" thickBot="1"/>
    <row r="2" spans="1:18" ht="16.5" customHeight="1" thickTop="1">
      <c r="A2" s="215"/>
      <c r="B2" s="216" t="str">
        <f>'MASTER PubCo Inputs'!$C$5</f>
        <v>Medikine, Inc.</v>
      </c>
      <c r="C2" s="216"/>
      <c r="D2" s="216"/>
      <c r="E2" s="216"/>
      <c r="F2" s="216"/>
      <c r="G2" s="216"/>
      <c r="H2" s="216"/>
      <c r="I2" s="216"/>
      <c r="J2" s="216"/>
      <c r="K2" s="215"/>
      <c r="L2" s="265" t="s">
        <v>728</v>
      </c>
      <c r="M2" s="266"/>
      <c r="N2" s="267"/>
      <c r="O2" s="208" t="b">
        <v>1</v>
      </c>
    </row>
    <row r="3" spans="1:18" ht="15.75" customHeight="1">
      <c r="A3" s="215"/>
      <c r="B3" s="217" t="str">
        <f>VLOOKUP(B4,Outline!$E$8:$G$79,COLUMNS(Outline!$E$8:$G$8),FALSE)</f>
        <v>Workpaper #1</v>
      </c>
      <c r="C3" s="217"/>
      <c r="D3" s="217"/>
      <c r="E3" s="217"/>
      <c r="F3" s="217"/>
      <c r="G3" s="217"/>
      <c r="H3" s="217"/>
      <c r="I3" s="217"/>
      <c r="J3" s="217"/>
      <c r="K3" s="215"/>
      <c r="L3" s="268" t="s">
        <v>158</v>
      </c>
      <c r="M3" s="269" t="s">
        <v>167</v>
      </c>
      <c r="N3" s="270" t="s">
        <v>729</v>
      </c>
      <c r="O3" s="271" t="e">
        <f ca="1">IF(AND(L4=$O$2,M4=$O$2,N4=$O$2,L5=$O$2,M5=$O$2,N5=$O$2,L6=$O$2,M6=$O$2,N6=$O$2),"","Check")</f>
        <v>#NAME?</v>
      </c>
    </row>
    <row r="4" spans="1:18" ht="16.5" customHeight="1" thickBot="1">
      <c r="A4" s="215"/>
      <c r="B4" s="444" t="s">
        <v>2514</v>
      </c>
      <c r="C4" s="444"/>
      <c r="D4" s="444"/>
      <c r="E4" s="444"/>
      <c r="F4" s="444"/>
      <c r="G4" s="444"/>
      <c r="H4" s="444"/>
      <c r="I4" s="444"/>
      <c r="J4" s="445" t="str">
        <f>+'MASTER PubCo Inputs'!$C$19</f>
        <v>(in thousands of USD, except price per share)</v>
      </c>
      <c r="K4" s="215"/>
      <c r="L4" s="246" t="e">
        <f ca="1">+'Comp.1'!AE2</f>
        <v>#NAME?</v>
      </c>
      <c r="M4" s="272" t="e">
        <f ca="1">+'Comp.2'!AB2</f>
        <v>#NAME?</v>
      </c>
      <c r="N4" s="273" t="e">
        <f ca="1">+Trans.1!AR3</f>
        <v>#NAME?</v>
      </c>
    </row>
    <row r="5" spans="1:18" ht="14.85" customHeight="1" thickTop="1">
      <c r="L5" s="246" t="e">
        <f ca="1">+'Comp.1'!AE3</f>
        <v>#NAME?</v>
      </c>
      <c r="M5" s="272" t="e">
        <f ca="1">+'Comp.2'!AB3</f>
        <v>#NAME?</v>
      </c>
      <c r="N5" s="273" t="e">
        <f ca="1">+Trans.1!AR4</f>
        <v>#NAME?</v>
      </c>
    </row>
    <row r="6" spans="1:18" ht="14.85" customHeight="1">
      <c r="L6" s="250" t="e">
        <f ca="1">+'Comp.1'!AE4</f>
        <v>#NAME?</v>
      </c>
      <c r="M6" s="274" t="e">
        <f ca="1">+'Comp.2'!AB4</f>
        <v>#NAME?</v>
      </c>
      <c r="N6" s="275" t="e">
        <f ca="1">+Trans.1!AR5</f>
        <v>#NAME?</v>
      </c>
    </row>
    <row r="7" spans="1:18" ht="14.85" customHeight="1">
      <c r="A7" s="229"/>
      <c r="B7" s="276" t="s">
        <v>148</v>
      </c>
      <c r="C7" s="229"/>
      <c r="D7" s="277" t="s">
        <v>147</v>
      </c>
      <c r="E7" s="289"/>
      <c r="F7" s="277" t="s">
        <v>149</v>
      </c>
      <c r="G7" s="229"/>
      <c r="H7" s="278" t="s">
        <v>150</v>
      </c>
      <c r="I7" s="229"/>
      <c r="J7" s="278" t="s">
        <v>70</v>
      </c>
      <c r="K7" s="229"/>
      <c r="L7" s="1567"/>
      <c r="M7" s="1696"/>
    </row>
    <row r="8" spans="1:18" ht="14.85" customHeight="1">
      <c r="M8" s="326"/>
      <c r="N8" s="326"/>
      <c r="O8" s="326"/>
      <c r="P8" s="1701"/>
      <c r="Q8" s="352"/>
      <c r="R8" s="326"/>
    </row>
    <row r="9" spans="1:18" ht="14.85" customHeight="1">
      <c r="B9" s="208" t="s">
        <v>151</v>
      </c>
      <c r="D9" s="285">
        <f>'OPM 1'!D9</f>
        <v>13239.134682063337</v>
      </c>
      <c r="F9" s="290">
        <f>+'OPM 2'!L12</f>
        <v>0.52102291820323943</v>
      </c>
      <c r="H9" s="209" t="s">
        <v>153</v>
      </c>
      <c r="J9" s="214" t="str">
        <f>'OPM 1'!B3</f>
        <v>Workpaper #2</v>
      </c>
      <c r="M9" s="1697"/>
      <c r="N9" s="1698"/>
      <c r="O9" s="1698"/>
      <c r="P9" s="1699"/>
      <c r="Q9" s="1700"/>
      <c r="R9" s="326"/>
    </row>
    <row r="10" spans="1:18" s="229" customFormat="1" ht="14.85" customHeight="1">
      <c r="A10" s="208"/>
      <c r="K10" s="208"/>
      <c r="M10" s="1510">
        <v>0.52</v>
      </c>
      <c r="N10" s="208" t="s">
        <v>574</v>
      </c>
      <c r="O10" s="208"/>
      <c r="P10" s="208"/>
      <c r="Q10" s="326"/>
      <c r="R10" s="1698"/>
    </row>
    <row r="11" spans="1:18" ht="14.85" customHeight="1">
      <c r="H11" s="209"/>
      <c r="M11" s="294" t="str">
        <f>IF(OR(F12-M10&gt;0.01,F12-M10&lt;-0.01),"Check","")</f>
        <v/>
      </c>
      <c r="N11" s="284" t="s">
        <v>1909</v>
      </c>
      <c r="Q11" s="326"/>
      <c r="R11" s="326"/>
    </row>
    <row r="12" spans="1:18" ht="14.85" customHeight="1">
      <c r="B12" s="291" t="s">
        <v>154</v>
      </c>
      <c r="C12" s="292"/>
      <c r="D12" s="292"/>
      <c r="E12" s="292"/>
      <c r="F12" s="293">
        <f>F9</f>
        <v>0.52102291820323943</v>
      </c>
    </row>
    <row r="13" spans="1:18" ht="14.85" customHeight="1"/>
    <row r="14" spans="1:18" ht="14.85" customHeight="1">
      <c r="A14" s="310"/>
      <c r="B14" s="322"/>
      <c r="C14" s="310"/>
      <c r="D14" s="310"/>
      <c r="E14" s="310"/>
      <c r="F14" s="310"/>
      <c r="G14" s="310"/>
      <c r="H14" s="310"/>
      <c r="I14" s="310"/>
      <c r="J14" s="310"/>
    </row>
    <row r="15" spans="1:18" ht="14.85" customHeight="1">
      <c r="A15" s="323"/>
      <c r="B15" s="1509"/>
      <c r="C15" s="310"/>
      <c r="D15" s="310"/>
      <c r="E15" s="310"/>
      <c r="F15" s="310"/>
      <c r="G15" s="310"/>
      <c r="H15" s="310"/>
      <c r="I15" s="310"/>
      <c r="J15" s="310"/>
    </row>
    <row r="16" spans="1:18" ht="14.85" customHeight="1">
      <c r="A16" s="323"/>
      <c r="B16" s="1509"/>
      <c r="C16" s="310"/>
      <c r="D16" s="310"/>
      <c r="E16" s="310"/>
      <c r="F16" s="310"/>
      <c r="G16" s="310"/>
      <c r="H16" s="310"/>
      <c r="I16" s="310"/>
      <c r="J16" s="310"/>
    </row>
    <row r="17" spans="2:16" ht="14.85" customHeight="1"/>
    <row r="18" spans="2:16" ht="14.85" customHeight="1">
      <c r="B18" s="326"/>
      <c r="C18" s="326"/>
      <c r="D18" s="326"/>
      <c r="E18" s="326"/>
      <c r="F18" s="326"/>
      <c r="G18" s="326"/>
      <c r="J18" s="337"/>
      <c r="K18" s="337"/>
      <c r="L18" s="337"/>
    </row>
    <row r="19" spans="2:16" ht="14.85" customHeight="1">
      <c r="B19" s="326"/>
      <c r="C19" s="326"/>
      <c r="D19" s="326"/>
      <c r="E19" s="326"/>
      <c r="F19" s="326"/>
      <c r="G19" s="326"/>
      <c r="J19" s="337"/>
      <c r="K19" s="337"/>
      <c r="L19" s="337"/>
    </row>
    <row r="20" spans="2:16" ht="14.85" customHeight="1">
      <c r="B20" s="326"/>
      <c r="C20" s="326"/>
      <c r="D20" s="411"/>
      <c r="E20" s="326"/>
      <c r="F20" s="1702"/>
      <c r="G20" s="326"/>
      <c r="J20" s="337"/>
      <c r="K20" s="337"/>
      <c r="L20" s="337"/>
    </row>
    <row r="21" spans="2:16" ht="14.85" customHeight="1">
      <c r="J21" s="337"/>
      <c r="K21" s="337"/>
      <c r="L21" s="337"/>
      <c r="P21" s="211" t="s">
        <v>1987</v>
      </c>
    </row>
    <row r="22" spans="2:16" ht="14.85" customHeight="1">
      <c r="N22" s="298" t="str">
        <f>'Asset Vol_OPM'!B4</f>
        <v>Asset Volatility - OPM</v>
      </c>
      <c r="P22" s="299" t="str">
        <f>IF(SUM('Asset Vol_OPM'!$D$50,'Asset Vol_OPM'!$H$50)='Asset Vol_OPM'!$I$50,"","Check")</f>
        <v/>
      </c>
    </row>
    <row r="23" spans="2:16" ht="14.85" customHeight="1">
      <c r="N23" s="1167"/>
      <c r="O23" s="326"/>
      <c r="P23" s="272"/>
    </row>
    <row r="24" spans="2:16" ht="14.85" customHeight="1">
      <c r="N24" s="1167"/>
      <c r="O24" s="326"/>
      <c r="P24" s="272"/>
    </row>
    <row r="25" spans="2:16" ht="14.85" customHeight="1">
      <c r="N25" s="1167"/>
      <c r="O25" s="326"/>
      <c r="P25" s="272"/>
    </row>
    <row r="26" spans="2:16" ht="14.85" customHeight="1">
      <c r="N26" s="1167"/>
      <c r="O26" s="326"/>
      <c r="P26" s="272"/>
    </row>
    <row r="27" spans="2:16" ht="14.85" customHeight="1">
      <c r="N27" s="1167"/>
      <c r="O27" s="326"/>
      <c r="P27" s="272"/>
    </row>
    <row r="28" spans="2:16" ht="14.85" customHeight="1">
      <c r="N28" s="326"/>
      <c r="O28" s="326"/>
      <c r="P28" s="326"/>
    </row>
    <row r="29" spans="2:16" ht="14.85" customHeight="1">
      <c r="N29" s="1167"/>
      <c r="O29" s="326"/>
      <c r="P29" s="272"/>
    </row>
    <row r="30" spans="2:16" ht="14.85" customHeight="1"/>
    <row r="31" spans="2:16" ht="14.85" customHeight="1"/>
    <row r="32" spans="2:16" ht="14.85" customHeight="1"/>
    <row r="33" ht="14.85" customHeight="1"/>
    <row r="34" ht="14.85" customHeight="1"/>
    <row r="35" ht="14.85" customHeight="1"/>
    <row r="36" ht="14.85" customHeight="1"/>
    <row r="37" ht="14.85" customHeight="1"/>
    <row r="38" ht="14.85" customHeight="1"/>
    <row r="39" ht="14.85" customHeight="1"/>
    <row r="40" ht="14.85" customHeight="1"/>
    <row r="41" ht="14.85" customHeight="1"/>
    <row r="42" ht="14.85" customHeight="1"/>
    <row r="43" ht="14.85" customHeight="1"/>
    <row r="44" ht="14.85" customHeight="1"/>
    <row r="45" ht="14.85" customHeight="1"/>
    <row r="46" ht="14.85" customHeight="1"/>
    <row r="47" ht="14.85" customHeight="1"/>
    <row r="48"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sheetData>
  <conditionalFormatting sqref="B4:I4">
    <cfRule type="cellIs" dxfId="195" priority="3" stopIfTrue="1" operator="equal">
      <formula>"input"</formula>
    </cfRule>
  </conditionalFormatting>
  <conditionalFormatting sqref="J4">
    <cfRule type="cellIs" dxfId="194" priority="1" stopIfTrue="1" operator="equal">
      <formula>"input"</formula>
    </cfRule>
  </conditionalFormatting>
  <conditionalFormatting sqref="J4">
    <cfRule type="cellIs" dxfId="193" priority="2" stopIfTrue="1" operator="equal">
      <formula>"input"</formula>
    </cfRule>
  </conditionalFormatting>
  <pageMargins left="0.5" right="0.5" top="0.5" bottom="0.5" header="0.5" footer="0.5"/>
  <pageSetup scale="90" orientation="landscape"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4"/>
  <dimension ref="A1:Q620"/>
  <sheetViews>
    <sheetView showGridLines="0" view="pageBreakPreview" zoomScale="80" zoomScaleNormal="100" zoomScaleSheetLayoutView="80" workbookViewId="0"/>
  </sheetViews>
  <sheetFormatPr defaultRowHeight="12.75" outlineLevelRow="1"/>
  <cols>
    <col min="1" max="1" width="4.5" style="208" customWidth="1"/>
    <col min="2" max="2" width="52.5" style="208" customWidth="1"/>
    <col min="3" max="3" width="2.83203125" style="208" customWidth="1"/>
    <col min="4" max="10" width="18.1640625" style="208" customWidth="1"/>
    <col min="11" max="11" width="4.5" style="337" customWidth="1"/>
    <col min="12" max="12" width="4.5" style="208" customWidth="1"/>
    <col min="13" max="13" width="16.83203125" style="208" bestFit="1" customWidth="1"/>
    <col min="14" max="14" width="1.83203125" style="208" customWidth="1"/>
    <col min="15" max="15" width="21.6640625" style="232" bestFit="1" customWidth="1"/>
    <col min="16" max="16384" width="9.33203125" style="208"/>
  </cols>
  <sheetData>
    <row r="1" spans="2:15" ht="10.7" customHeight="1" thickBot="1"/>
    <row r="2" spans="2:15" ht="16.5" customHeight="1" thickTop="1">
      <c r="B2" s="216" t="str">
        <f>'MASTER PubCo Inputs'!$C$5</f>
        <v>Medikine, Inc.</v>
      </c>
      <c r="C2" s="216"/>
      <c r="D2" s="216"/>
      <c r="E2" s="216"/>
      <c r="F2" s="216"/>
      <c r="G2" s="216"/>
      <c r="H2" s="216"/>
      <c r="I2" s="216"/>
      <c r="J2" s="216"/>
      <c r="K2" s="219"/>
    </row>
    <row r="3" spans="2:15" ht="15.75" customHeight="1">
      <c r="B3" s="217" t="str">
        <f>VLOOKUP(B4,Outline!$E$8:$G$79,COLUMNS(Outline!$E$8:$G$8),FALSE)</f>
        <v>Workpaper #2</v>
      </c>
      <c r="C3" s="217"/>
      <c r="D3" s="217"/>
      <c r="E3" s="217"/>
      <c r="F3" s="217"/>
      <c r="G3" s="217"/>
      <c r="H3" s="217"/>
      <c r="I3" s="217"/>
      <c r="J3" s="217"/>
      <c r="K3" s="219"/>
    </row>
    <row r="4" spans="2:15" ht="16.5" customHeight="1" thickBot="1">
      <c r="B4" s="444" t="s">
        <v>513</v>
      </c>
      <c r="C4" s="444"/>
      <c r="D4" s="444"/>
      <c r="E4" s="444"/>
      <c r="F4" s="444"/>
      <c r="G4" s="444"/>
      <c r="H4" s="444"/>
      <c r="I4" s="445" t="str">
        <f>+'MASTER PubCo Inputs'!$C$20</f>
        <v>(in thousands of USD and shares, except price per share)</v>
      </c>
      <c r="J4" s="445" t="str">
        <f>+'MASTER PubCo Inputs'!$C$20</f>
        <v>(in thousands of USD and shares, except price per share)</v>
      </c>
      <c r="K4" s="1713"/>
    </row>
    <row r="5" spans="2:15" s="326" customFormat="1" ht="14.85" customHeight="1" thickTop="1">
      <c r="B5" s="208"/>
      <c r="C5" s="208"/>
      <c r="D5" s="208"/>
      <c r="E5" s="208"/>
      <c r="F5" s="208"/>
      <c r="G5" s="208"/>
      <c r="H5" s="208"/>
      <c r="I5" s="208"/>
      <c r="J5" s="208"/>
      <c r="K5" s="337"/>
      <c r="L5" s="208"/>
      <c r="M5" s="208"/>
      <c r="O5" s="353"/>
    </row>
    <row r="6" spans="2:15" s="326" customFormat="1" ht="14.85" customHeight="1">
      <c r="B6" s="208"/>
      <c r="C6" s="208"/>
      <c r="D6" s="208"/>
      <c r="E6" s="208"/>
      <c r="F6" s="208"/>
      <c r="G6" s="208"/>
      <c r="H6" s="208"/>
      <c r="I6" s="208"/>
      <c r="J6" s="208"/>
      <c r="K6" s="337"/>
      <c r="L6" s="208"/>
      <c r="O6" s="353"/>
    </row>
    <row r="7" spans="2:15" ht="14.85" customHeight="1">
      <c r="B7" s="1530" t="s">
        <v>329</v>
      </c>
      <c r="C7" s="1517"/>
      <c r="D7" s="1517"/>
      <c r="E7" s="1531" t="s">
        <v>70</v>
      </c>
      <c r="F7" s="1517"/>
      <c r="G7" s="1517"/>
      <c r="H7" s="1517"/>
      <c r="I7" s="1711"/>
      <c r="J7" s="1799"/>
      <c r="K7" s="1714"/>
    </row>
    <row r="8" spans="2:15" s="355" customFormat="1" ht="14.85" customHeight="1">
      <c r="B8" s="354"/>
      <c r="C8" s="354"/>
      <c r="D8" s="354"/>
      <c r="E8" s="354"/>
      <c r="F8" s="354"/>
      <c r="G8" s="354"/>
      <c r="H8" s="354"/>
      <c r="I8" s="354"/>
      <c r="J8" s="354"/>
      <c r="K8" s="354"/>
      <c r="O8" s="356"/>
    </row>
    <row r="9" spans="2:15" ht="14.85" customHeight="1">
      <c r="B9" s="208" t="s">
        <v>327</v>
      </c>
      <c r="C9" s="357"/>
      <c r="D9" s="358">
        <f>'OPM 2'!P7</f>
        <v>13239.134682063337</v>
      </c>
      <c r="E9" s="298" t="s">
        <v>1950</v>
      </c>
    </row>
    <row r="10" spans="2:15" ht="14.85" customHeight="1">
      <c r="B10" s="208" t="s">
        <v>328</v>
      </c>
      <c r="D10" s="359">
        <v>3</v>
      </c>
      <c r="E10" s="298" t="s">
        <v>1949</v>
      </c>
    </row>
    <row r="11" spans="2:15" ht="14.85" customHeight="1">
      <c r="B11" s="355" t="s">
        <v>74</v>
      </c>
      <c r="C11" s="360"/>
      <c r="D11" s="361">
        <f>'Asset Vol_OPM'!$Q$48</f>
        <v>0.65200000000000002</v>
      </c>
      <c r="E11" s="298" t="str">
        <f>'Asset Vol_OPM'!$B$3</f>
        <v>Workpaper #5</v>
      </c>
      <c r="G11" s="362"/>
    </row>
    <row r="12" spans="2:15" ht="14.85" customHeight="1">
      <c r="B12" s="208" t="s">
        <v>72</v>
      </c>
      <c r="C12" s="360"/>
      <c r="D12" s="363">
        <f>'Risk-Free Rates - OPM'!E27</f>
        <v>2.4299999999999999E-2</v>
      </c>
      <c r="E12" s="298" t="str">
        <f>'Risk-Free Rates - OPM'!B3</f>
        <v>Workpaper #7</v>
      </c>
      <c r="G12" s="362"/>
    </row>
    <row r="13" spans="2:15" ht="14.85" customHeight="1">
      <c r="B13" s="208" t="s">
        <v>73</v>
      </c>
      <c r="D13" s="364">
        <v>0</v>
      </c>
      <c r="E13" s="298" t="s">
        <v>1949</v>
      </c>
      <c r="G13" s="362"/>
    </row>
    <row r="14" spans="2:15" ht="14.85" customHeight="1">
      <c r="D14" s="334"/>
      <c r="E14" s="310"/>
      <c r="F14" s="310"/>
      <c r="G14" s="362"/>
    </row>
    <row r="15" spans="2:15" ht="14.85" customHeight="1">
      <c r="D15" s="1797">
        <v>1</v>
      </c>
      <c r="E15" s="1798">
        <f t="shared" ref="E15:J15" si="0">D15+1</f>
        <v>2</v>
      </c>
      <c r="F15" s="1798">
        <f t="shared" si="0"/>
        <v>3</v>
      </c>
      <c r="G15" s="1798">
        <f t="shared" si="0"/>
        <v>4</v>
      </c>
      <c r="H15" s="1798">
        <f t="shared" si="0"/>
        <v>5</v>
      </c>
      <c r="I15" s="1798">
        <f t="shared" si="0"/>
        <v>6</v>
      </c>
      <c r="J15" s="1802">
        <f t="shared" si="0"/>
        <v>7</v>
      </c>
      <c r="K15" s="1177"/>
    </row>
    <row r="16" spans="2:15" s="229" customFormat="1" ht="60" customHeight="1">
      <c r="B16" s="365" t="s">
        <v>330</v>
      </c>
      <c r="D16" s="1796" t="str">
        <f t="array" ref="D16:J16">TRANSPOSE('Econ Rights'!$J$8:$J$14)</f>
        <v>Series Seed 1 and Seed 2 Receive Liquidation Preference</v>
      </c>
      <c r="E16" s="1712" t="str">
        <v>Common Stock Starts Receiving Value</v>
      </c>
      <c r="F16" s="1712" t="str">
        <v>Options at $0.05 Strike Price Exercise</v>
      </c>
      <c r="G16" s="1712" t="str">
        <v>Options at $0.07 Strike Price Exercise</v>
      </c>
      <c r="H16" s="1712" t="str">
        <v>Options at $0.52 Strike Price Exercise</v>
      </c>
      <c r="I16" s="1712" t="str">
        <v>Series Seed 1 Converts</v>
      </c>
      <c r="J16" s="1800" t="str">
        <v>Series Seed 2 Converts</v>
      </c>
      <c r="K16" s="1715"/>
      <c r="M16" s="367"/>
      <c r="O16" s="289"/>
    </row>
    <row r="17" spans="2:17" ht="14.85" customHeight="1"/>
    <row r="18" spans="2:17" ht="14.85" customHeight="1">
      <c r="B18" s="211" t="s">
        <v>333</v>
      </c>
      <c r="O18" s="307" t="str">
        <f>B18</f>
        <v>Liquidation Preference</v>
      </c>
    </row>
    <row r="19" spans="2:17" ht="14.85" customHeight="1">
      <c r="B19" s="280" t="str">
        <f>'Cap Table'!$D$7</f>
        <v>Series Seed 1</v>
      </c>
      <c r="D19" s="306">
        <f>O19</f>
        <v>1235</v>
      </c>
      <c r="E19" s="306">
        <f>D19</f>
        <v>1235</v>
      </c>
      <c r="F19" s="306">
        <f t="shared" ref="F19:I20" si="1">E19</f>
        <v>1235</v>
      </c>
      <c r="G19" s="306">
        <f t="shared" si="1"/>
        <v>1235</v>
      </c>
      <c r="H19" s="306">
        <f t="shared" si="1"/>
        <v>1235</v>
      </c>
      <c r="I19" s="306">
        <v>0</v>
      </c>
      <c r="J19" s="306">
        <f>I19</f>
        <v>0</v>
      </c>
      <c r="K19" s="1560"/>
      <c r="M19" s="283"/>
      <c r="O19" s="368">
        <f>'Econ Rights'!$D$16</f>
        <v>1235</v>
      </c>
    </row>
    <row r="20" spans="2:17" ht="14.85" customHeight="1">
      <c r="B20" s="280" t="str">
        <f>'Cap Table'!$E$7</f>
        <v>Series Seed 2</v>
      </c>
      <c r="D20" s="306">
        <f>O20</f>
        <v>4000.0000000000005</v>
      </c>
      <c r="E20" s="306">
        <f>D20</f>
        <v>4000.0000000000005</v>
      </c>
      <c r="F20" s="306">
        <f t="shared" si="1"/>
        <v>4000.0000000000005</v>
      </c>
      <c r="G20" s="306">
        <f t="shared" si="1"/>
        <v>4000.0000000000005</v>
      </c>
      <c r="H20" s="306">
        <f t="shared" si="1"/>
        <v>4000.0000000000005</v>
      </c>
      <c r="I20" s="306">
        <f t="shared" si="1"/>
        <v>4000.0000000000005</v>
      </c>
      <c r="J20" s="306">
        <v>0</v>
      </c>
      <c r="K20" s="1560"/>
      <c r="O20" s="368">
        <f>'Econ Rights'!$E$16</f>
        <v>4000.0000000000005</v>
      </c>
    </row>
    <row r="21" spans="2:17" ht="14.85" customHeight="1">
      <c r="B21" s="288"/>
      <c r="C21" s="288"/>
      <c r="D21" s="288"/>
      <c r="E21" s="288"/>
      <c r="F21" s="288"/>
      <c r="G21" s="288"/>
      <c r="H21" s="288"/>
      <c r="I21" s="288"/>
      <c r="J21" s="288"/>
      <c r="O21" s="369"/>
    </row>
    <row r="22" spans="2:17" ht="14.85" customHeight="1">
      <c r="B22" s="307" t="s">
        <v>460</v>
      </c>
      <c r="D22" s="308">
        <f t="shared" ref="D22:I22" si="2">SUM(D19:D20)</f>
        <v>5235</v>
      </c>
      <c r="E22" s="308">
        <f t="shared" si="2"/>
        <v>5235</v>
      </c>
      <c r="F22" s="308">
        <f t="shared" si="2"/>
        <v>5235</v>
      </c>
      <c r="G22" s="308">
        <f t="shared" si="2"/>
        <v>5235</v>
      </c>
      <c r="H22" s="308">
        <f t="shared" si="2"/>
        <v>5235</v>
      </c>
      <c r="I22" s="308">
        <f t="shared" si="2"/>
        <v>4000.0000000000005</v>
      </c>
      <c r="J22" s="308">
        <f>SUM(J19:J20)</f>
        <v>0</v>
      </c>
      <c r="K22" s="595"/>
    </row>
    <row r="23" spans="2:17" ht="14.85" customHeight="1"/>
    <row r="24" spans="2:17" ht="14.85" customHeight="1">
      <c r="B24" s="319" t="s">
        <v>463</v>
      </c>
      <c r="O24" s="307" t="str">
        <f>+B24</f>
        <v>Shares Outstanding / Converted to Common Stock</v>
      </c>
    </row>
    <row r="25" spans="2:17" ht="14.85" customHeight="1">
      <c r="B25" s="309" t="str">
        <f>+$B19</f>
        <v>Series Seed 1</v>
      </c>
      <c r="D25" s="306">
        <f>IF(SUM(D19:$K19)=0,$O25,0)</f>
        <v>0</v>
      </c>
      <c r="E25" s="306">
        <f>IF(SUM(E19:$K19)=0,$O25,0)</f>
        <v>0</v>
      </c>
      <c r="F25" s="306">
        <f>IF(SUM(F19:$K19)=0,$O25,0)</f>
        <v>0</v>
      </c>
      <c r="G25" s="306">
        <f>IF(SUM(G19:$K19)=0,$O25,0)</f>
        <v>0</v>
      </c>
      <c r="H25" s="306">
        <f>IF(SUM(H19:$K19)=0,$O25,0)</f>
        <v>0</v>
      </c>
      <c r="I25" s="306">
        <f>IF(SUM(I19:$K19)=0,$O25,0)</f>
        <v>1646.6666666666665</v>
      </c>
      <c r="J25" s="306">
        <f>IF(SUM(J19:$K19)=0,$O25,0)</f>
        <v>1646.6666666666665</v>
      </c>
      <c r="K25" s="1560"/>
      <c r="O25" s="368">
        <f>+'Cap Table'!$D$11*'Cap Table'!$D$19</f>
        <v>1646.6666666666665</v>
      </c>
    </row>
    <row r="26" spans="2:17" ht="14.85" customHeight="1">
      <c r="B26" s="309" t="str">
        <f>+$B20</f>
        <v>Series Seed 2</v>
      </c>
      <c r="D26" s="306">
        <f>IF(SUM(D20:$K20)=0,$O26,0)</f>
        <v>0</v>
      </c>
      <c r="E26" s="306">
        <f>IF(SUM(E20:$K20)=0,$O26,0)</f>
        <v>0</v>
      </c>
      <c r="F26" s="306">
        <f>IF(SUM(F20:$K20)=0,$O26,0)</f>
        <v>0</v>
      </c>
      <c r="G26" s="306">
        <f>IF(SUM(G20:$K20)=0,$O26,0)</f>
        <v>0</v>
      </c>
      <c r="H26" s="306">
        <f>IF(SUM(H20:$K20)=0,$O26,0)</f>
        <v>0</v>
      </c>
      <c r="I26" s="306">
        <f>IF(SUM(I20:$K20)=0,$O26,0)</f>
        <v>0</v>
      </c>
      <c r="J26" s="306">
        <f>IF(SUM(J20:$K20)=0,$O26,0)</f>
        <v>2666.666666666667</v>
      </c>
      <c r="K26" s="1560"/>
      <c r="O26" s="368">
        <f>+'Cap Table'!$E$11*'Cap Table'!$E$19</f>
        <v>2666.666666666667</v>
      </c>
    </row>
    <row r="27" spans="2:17" ht="14.85" customHeight="1">
      <c r="B27" s="313" t="str">
        <f>'Cap Table'!$B25</f>
        <v>Options at $0.07 Strike Price</v>
      </c>
      <c r="D27" s="306">
        <f t="shared" ref="D27:J29" si="3">IF(D$34&lt;$Q27,0,$O27)</f>
        <v>0</v>
      </c>
      <c r="E27" s="306">
        <f t="shared" si="3"/>
        <v>0</v>
      </c>
      <c r="F27" s="306">
        <f t="shared" si="3"/>
        <v>0</v>
      </c>
      <c r="G27" s="306">
        <f t="shared" si="3"/>
        <v>1306</v>
      </c>
      <c r="H27" s="306">
        <f t="shared" si="3"/>
        <v>1306</v>
      </c>
      <c r="I27" s="306">
        <f t="shared" si="3"/>
        <v>1306</v>
      </c>
      <c r="J27" s="306">
        <f t="shared" si="3"/>
        <v>1306</v>
      </c>
      <c r="K27" s="1560"/>
      <c r="O27" s="368">
        <f>+'Cap Table'!$D25</f>
        <v>1306</v>
      </c>
      <c r="Q27" s="1877">
        <f>'Cap Table'!E25</f>
        <v>7.0000000000000007E-2</v>
      </c>
    </row>
    <row r="28" spans="2:17" ht="14.85" customHeight="1">
      <c r="B28" s="313" t="str">
        <f>'Cap Table'!$B26</f>
        <v>Options at $0.05 Strike Price</v>
      </c>
      <c r="D28" s="306">
        <f t="shared" si="3"/>
        <v>0</v>
      </c>
      <c r="E28" s="306">
        <f t="shared" si="3"/>
        <v>0</v>
      </c>
      <c r="F28" s="306">
        <f t="shared" si="3"/>
        <v>400</v>
      </c>
      <c r="G28" s="306">
        <f t="shared" si="3"/>
        <v>400</v>
      </c>
      <c r="H28" s="306">
        <f t="shared" si="3"/>
        <v>400</v>
      </c>
      <c r="I28" s="306">
        <f t="shared" si="3"/>
        <v>400</v>
      </c>
      <c r="J28" s="306">
        <f t="shared" si="3"/>
        <v>400</v>
      </c>
      <c r="K28" s="1560"/>
      <c r="O28" s="368">
        <f>+'Cap Table'!$D26</f>
        <v>400</v>
      </c>
      <c r="Q28" s="370">
        <f>'Cap Table'!E26</f>
        <v>0.05</v>
      </c>
    </row>
    <row r="29" spans="2:17" ht="14.85" customHeight="1">
      <c r="B29" s="313" t="str">
        <f>'Cap Table'!$B27</f>
        <v>Expected Options Grant</v>
      </c>
      <c r="D29" s="306">
        <f t="shared" si="3"/>
        <v>0</v>
      </c>
      <c r="E29" s="306">
        <f t="shared" si="3"/>
        <v>0</v>
      </c>
      <c r="F29" s="306">
        <f t="shared" si="3"/>
        <v>0</v>
      </c>
      <c r="G29" s="306">
        <f t="shared" si="3"/>
        <v>0</v>
      </c>
      <c r="H29" s="306">
        <f t="shared" si="3"/>
        <v>394</v>
      </c>
      <c r="I29" s="306">
        <f t="shared" si="3"/>
        <v>394</v>
      </c>
      <c r="J29" s="306">
        <f t="shared" si="3"/>
        <v>394</v>
      </c>
      <c r="K29" s="1560"/>
      <c r="O29" s="368">
        <f>+'Cap Table'!$D27</f>
        <v>394</v>
      </c>
      <c r="Q29" s="1878">
        <f>'Val Summ_OPM'!M10</f>
        <v>0.52</v>
      </c>
    </row>
    <row r="30" spans="2:17" ht="14.85" customHeight="1">
      <c r="B30" s="314" t="str">
        <f>'Cap Table'!$F7 &amp;" Stock"</f>
        <v>Common Stock</v>
      </c>
      <c r="D30" s="306">
        <v>0</v>
      </c>
      <c r="E30" s="306">
        <f t="shared" ref="E30:J30" si="4">$O$30</f>
        <v>6615.9830000000002</v>
      </c>
      <c r="F30" s="306">
        <f t="shared" si="4"/>
        <v>6615.9830000000002</v>
      </c>
      <c r="G30" s="306">
        <f t="shared" si="4"/>
        <v>6615.9830000000002</v>
      </c>
      <c r="H30" s="306">
        <f t="shared" si="4"/>
        <v>6615.9830000000002</v>
      </c>
      <c r="I30" s="306">
        <f t="shared" si="4"/>
        <v>6615.9830000000002</v>
      </c>
      <c r="J30" s="306">
        <f t="shared" si="4"/>
        <v>6615.9830000000002</v>
      </c>
      <c r="K30" s="1560"/>
      <c r="O30" s="368">
        <f>+'Cap Table'!F11</f>
        <v>6615.9830000000002</v>
      </c>
      <c r="Q30" s="328"/>
    </row>
    <row r="31" spans="2:17" ht="14.85" customHeight="1" thickBot="1">
      <c r="B31" s="288"/>
      <c r="C31" s="288"/>
      <c r="D31" s="288"/>
      <c r="E31" s="288"/>
      <c r="F31" s="288"/>
      <c r="G31" s="288"/>
      <c r="H31" s="288"/>
      <c r="I31" s="288"/>
      <c r="J31" s="288"/>
      <c r="O31" s="371"/>
    </row>
    <row r="32" spans="2:17" ht="14.85" customHeight="1" thickBot="1">
      <c r="B32" s="307" t="s">
        <v>1923</v>
      </c>
      <c r="D32" s="308">
        <f t="shared" ref="D32:I32" si="5">SUM(D25:D30)</f>
        <v>0</v>
      </c>
      <c r="E32" s="308">
        <f t="shared" si="5"/>
        <v>6615.9830000000002</v>
      </c>
      <c r="F32" s="308">
        <f t="shared" si="5"/>
        <v>7015.9830000000002</v>
      </c>
      <c r="G32" s="308">
        <f t="shared" si="5"/>
        <v>8321.9830000000002</v>
      </c>
      <c r="H32" s="308">
        <f t="shared" si="5"/>
        <v>8715.9830000000002</v>
      </c>
      <c r="I32" s="308">
        <f t="shared" si="5"/>
        <v>10362.649666666666</v>
      </c>
      <c r="J32" s="308">
        <f>SUM(J25:J30)</f>
        <v>13029.316333333334</v>
      </c>
      <c r="K32" s="595"/>
      <c r="M32" s="372" t="str">
        <f>IF(O32&lt;&gt;('Cap Table'!H21-'Cap Table'!H15+O29),"ERROR","")</f>
        <v/>
      </c>
      <c r="O32" s="308">
        <f>SUM(O25:O30)</f>
        <v>13029.316333333334</v>
      </c>
    </row>
    <row r="33" spans="1:15" ht="14.85" customHeight="1"/>
    <row r="34" spans="1:15" ht="14.85" customHeight="1">
      <c r="B34" s="280" t="s">
        <v>335</v>
      </c>
      <c r="D34" s="1519">
        <f t="array" ref="D34:J34">TRANSPOSE('Econ Rights'!$I$8:$I$14)</f>
        <v>0</v>
      </c>
      <c r="E34" s="1519">
        <v>0</v>
      </c>
      <c r="F34" s="1519">
        <v>0.05</v>
      </c>
      <c r="G34" s="1519">
        <v>7.0000000000000007E-2</v>
      </c>
      <c r="H34" s="1519">
        <v>0.52</v>
      </c>
      <c r="I34" s="1519">
        <v>0.75</v>
      </c>
      <c r="J34" s="1519">
        <v>1.5</v>
      </c>
      <c r="K34" s="1716"/>
    </row>
    <row r="35" spans="1:15" ht="14.85" customHeight="1">
      <c r="B35" s="288"/>
      <c r="C35" s="288"/>
      <c r="D35" s="288"/>
      <c r="E35" s="288"/>
      <c r="F35" s="288"/>
      <c r="G35" s="288"/>
      <c r="H35" s="288"/>
      <c r="I35" s="288"/>
      <c r="J35" s="288"/>
    </row>
    <row r="36" spans="1:15" ht="14.85" customHeight="1">
      <c r="B36" s="352" t="s">
        <v>1924</v>
      </c>
      <c r="C36" s="326"/>
      <c r="D36" s="373">
        <f t="shared" ref="D36:J36" si="6">D32*D34</f>
        <v>0</v>
      </c>
      <c r="E36" s="373">
        <f t="shared" si="6"/>
        <v>0</v>
      </c>
      <c r="F36" s="373">
        <f t="shared" si="6"/>
        <v>350.79915000000005</v>
      </c>
      <c r="G36" s="373">
        <f t="shared" si="6"/>
        <v>582.53881000000001</v>
      </c>
      <c r="H36" s="373">
        <f t="shared" si="6"/>
        <v>4532.3111600000002</v>
      </c>
      <c r="I36" s="373">
        <f t="shared" si="6"/>
        <v>7771.9872500000001</v>
      </c>
      <c r="J36" s="373">
        <f t="shared" si="6"/>
        <v>19543.9745</v>
      </c>
      <c r="K36" s="1717"/>
    </row>
    <row r="37" spans="1:15" ht="14.85" customHeight="1"/>
    <row r="38" spans="1:15" ht="14.85" customHeight="1">
      <c r="B38" s="280" t="s">
        <v>336</v>
      </c>
      <c r="D38" s="418">
        <f t="shared" ref="D38:J38" si="7">-SUMPRODUCT(D27:D29,$Q$27:$Q$29)</f>
        <v>0</v>
      </c>
      <c r="E38" s="418">
        <f t="shared" si="7"/>
        <v>0</v>
      </c>
      <c r="F38" s="418">
        <f t="shared" si="7"/>
        <v>-20</v>
      </c>
      <c r="G38" s="418">
        <f t="shared" si="7"/>
        <v>-111.42</v>
      </c>
      <c r="H38" s="418">
        <f t="shared" si="7"/>
        <v>-316.3</v>
      </c>
      <c r="I38" s="418">
        <f t="shared" si="7"/>
        <v>-316.3</v>
      </c>
      <c r="J38" s="418">
        <f t="shared" si="7"/>
        <v>-316.3</v>
      </c>
      <c r="K38" s="1560"/>
    </row>
    <row r="39" spans="1:15" ht="14.85" customHeight="1">
      <c r="B39" s="288"/>
      <c r="C39" s="288"/>
      <c r="D39" s="288"/>
      <c r="E39" s="288"/>
      <c r="F39" s="288"/>
      <c r="G39" s="288"/>
      <c r="H39" s="288"/>
      <c r="I39" s="288"/>
      <c r="J39" s="288"/>
    </row>
    <row r="40" spans="1:15" ht="14.85" customHeight="1">
      <c r="B40" s="307" t="s">
        <v>337</v>
      </c>
      <c r="D40" s="373">
        <f t="shared" ref="D40:J40" si="8">SUM(D36:D38)+D22</f>
        <v>5235</v>
      </c>
      <c r="E40" s="373">
        <f t="shared" si="8"/>
        <v>5235</v>
      </c>
      <c r="F40" s="373">
        <f t="shared" si="8"/>
        <v>5565.7991499999998</v>
      </c>
      <c r="G40" s="373">
        <f t="shared" si="8"/>
        <v>5706.1188099999999</v>
      </c>
      <c r="H40" s="373">
        <f t="shared" si="8"/>
        <v>9451.01116</v>
      </c>
      <c r="I40" s="373">
        <f t="shared" si="8"/>
        <v>11455.687250000001</v>
      </c>
      <c r="J40" s="373">
        <f t="shared" si="8"/>
        <v>19227.674500000001</v>
      </c>
      <c r="K40" s="1717"/>
    </row>
    <row r="41" spans="1:15" ht="14.85" customHeight="1">
      <c r="B41" s="307"/>
      <c r="D41" s="308"/>
      <c r="E41" s="308"/>
      <c r="F41" s="308"/>
      <c r="G41" s="308"/>
      <c r="H41" s="308"/>
      <c r="I41" s="308"/>
      <c r="J41" s="308"/>
      <c r="K41" s="595"/>
    </row>
    <row r="42" spans="1:15" ht="14.85" customHeight="1"/>
    <row r="43" spans="1:15" s="229" customFormat="1" ht="14.85" customHeight="1">
      <c r="A43" s="374"/>
      <c r="B43" s="375" t="s">
        <v>339</v>
      </c>
      <c r="D43" s="376">
        <f>D$15</f>
        <v>1</v>
      </c>
      <c r="E43" s="377">
        <f t="shared" ref="E43:J43" si="9">E$15</f>
        <v>2</v>
      </c>
      <c r="F43" s="377">
        <f t="shared" si="9"/>
        <v>3</v>
      </c>
      <c r="G43" s="377">
        <f t="shared" si="9"/>
        <v>4</v>
      </c>
      <c r="H43" s="1703">
        <f t="shared" si="9"/>
        <v>5</v>
      </c>
      <c r="I43" s="1703">
        <f t="shared" si="9"/>
        <v>6</v>
      </c>
      <c r="J43" s="1705">
        <f t="shared" si="9"/>
        <v>7</v>
      </c>
      <c r="K43" s="1707"/>
      <c r="O43" s="289"/>
    </row>
    <row r="44" spans="1:15" ht="14.85" customHeight="1"/>
    <row r="45" spans="1:15" ht="14.85" customHeight="1">
      <c r="B45" s="208" t="s">
        <v>340</v>
      </c>
      <c r="D45" s="378">
        <v>1E-10</v>
      </c>
      <c r="E45" s="378">
        <f t="shared" ref="E45:J45" si="10">D46</f>
        <v>5235</v>
      </c>
      <c r="F45" s="378">
        <f t="shared" si="10"/>
        <v>5565.7991499999998</v>
      </c>
      <c r="G45" s="378">
        <f t="shared" si="10"/>
        <v>5706.1188099999999</v>
      </c>
      <c r="H45" s="378">
        <f t="shared" si="10"/>
        <v>9451.01116</v>
      </c>
      <c r="I45" s="378">
        <f t="shared" si="10"/>
        <v>11455.687250000001</v>
      </c>
      <c r="J45" s="378">
        <f t="shared" si="10"/>
        <v>19227.674500000001</v>
      </c>
      <c r="K45" s="1718"/>
    </row>
    <row r="46" spans="1:15" ht="14.85" customHeight="1">
      <c r="B46" s="208" t="s">
        <v>341</v>
      </c>
      <c r="D46" s="378">
        <f>D40</f>
        <v>5235</v>
      </c>
      <c r="E46" s="378">
        <f t="shared" ref="E46:J46" si="11">IF(F40=0,"n/a",IF(D46=E40,F40,E40))</f>
        <v>5565.7991499999998</v>
      </c>
      <c r="F46" s="378">
        <f t="shared" si="11"/>
        <v>5706.1188099999999</v>
      </c>
      <c r="G46" s="378">
        <f t="shared" si="11"/>
        <v>9451.01116</v>
      </c>
      <c r="H46" s="378">
        <f t="shared" si="11"/>
        <v>11455.687250000001</v>
      </c>
      <c r="I46" s="378">
        <f t="shared" si="11"/>
        <v>19227.674500000001</v>
      </c>
      <c r="J46" s="378" t="str">
        <f t="shared" si="11"/>
        <v>n/a</v>
      </c>
      <c r="K46" s="1718"/>
    </row>
    <row r="47" spans="1:15" ht="14.85" customHeight="1"/>
    <row r="48" spans="1:15" ht="14.85" hidden="1" customHeight="1" outlineLevel="1">
      <c r="B48" s="208" t="s">
        <v>345</v>
      </c>
      <c r="D48" s="283">
        <f t="shared" ref="D48:J48" si="12">(LN($D$9/D45)+($D$12+$D$11^2/2)*$D$10)/($D$11*SQRT($D$10))</f>
        <v>29.423026606743882</v>
      </c>
      <c r="E48" s="283">
        <f t="shared" si="12"/>
        <v>1.4507841286535605</v>
      </c>
      <c r="F48" s="283">
        <f t="shared" si="12"/>
        <v>1.3965258368980293</v>
      </c>
      <c r="G48" s="283">
        <f t="shared" si="12"/>
        <v>1.3744780545752022</v>
      </c>
      <c r="H48" s="283">
        <f t="shared" si="12"/>
        <v>0.92766680316297245</v>
      </c>
      <c r="I48" s="283">
        <f t="shared" si="12"/>
        <v>0.75732671428708631</v>
      </c>
      <c r="J48" s="283">
        <f t="shared" si="12"/>
        <v>0.2987544753769954</v>
      </c>
      <c r="K48" s="1719"/>
    </row>
    <row r="49" spans="2:15" ht="14.85" hidden="1" customHeight="1" outlineLevel="1">
      <c r="B49" s="208" t="s">
        <v>347</v>
      </c>
      <c r="D49" s="283">
        <f t="shared" ref="D49:J49" si="13">D48-$D$11*SQRT($D$10)</f>
        <v>28.293729480208974</v>
      </c>
      <c r="E49" s="283">
        <f t="shared" si="13"/>
        <v>0.32148700211865266</v>
      </c>
      <c r="F49" s="283">
        <f t="shared" si="13"/>
        <v>0.26722871036312146</v>
      </c>
      <c r="G49" s="283">
        <f t="shared" si="13"/>
        <v>0.24518092804029434</v>
      </c>
      <c r="H49" s="283">
        <f t="shared" si="13"/>
        <v>-0.20163032337193543</v>
      </c>
      <c r="I49" s="283">
        <f t="shared" si="13"/>
        <v>-0.37197041224782157</v>
      </c>
      <c r="J49" s="283">
        <f t="shared" si="13"/>
        <v>-0.83054265115791248</v>
      </c>
      <c r="K49" s="1719"/>
    </row>
    <row r="50" spans="2:15" ht="14.85" hidden="1" customHeight="1" outlineLevel="1">
      <c r="D50" s="283"/>
      <c r="E50" s="283"/>
      <c r="F50" s="283"/>
      <c r="G50" s="283"/>
      <c r="H50" s="283"/>
      <c r="I50" s="283"/>
      <c r="J50" s="283"/>
      <c r="K50" s="1719"/>
    </row>
    <row r="51" spans="2:15" ht="14.85" hidden="1" customHeight="1" outlineLevel="1">
      <c r="B51" s="208" t="s">
        <v>346</v>
      </c>
      <c r="D51" s="283">
        <f>(LN($D$9/D46)+($D$12+$D$11^2/2)*$D$10)/($D$11*SQRT($D$10))</f>
        <v>1.4507841286535605</v>
      </c>
      <c r="E51" s="378">
        <f t="shared" ref="E51:J51" si="14">IF(E46="n/a","n/a",(LN($D$9/E46)+($D$12+$D$11^2/2)*$D$10)/($D$11*SQRT($D$10)))</f>
        <v>1.3965258368980293</v>
      </c>
      <c r="F51" s="378">
        <f t="shared" si="14"/>
        <v>1.3744780545752022</v>
      </c>
      <c r="G51" s="378">
        <f t="shared" si="14"/>
        <v>0.92766680316297245</v>
      </c>
      <c r="H51" s="378">
        <f t="shared" si="14"/>
        <v>0.75732671428708631</v>
      </c>
      <c r="I51" s="378">
        <f t="shared" si="14"/>
        <v>0.2987544753769954</v>
      </c>
      <c r="J51" s="378" t="str">
        <f t="shared" si="14"/>
        <v>n/a</v>
      </c>
      <c r="K51" s="1718"/>
    </row>
    <row r="52" spans="2:15" ht="14.85" hidden="1" customHeight="1" outlineLevel="1">
      <c r="B52" s="208" t="s">
        <v>348</v>
      </c>
      <c r="D52" s="283">
        <f>D51-$D$11*SQRT($D$10)</f>
        <v>0.32148700211865266</v>
      </c>
      <c r="E52" s="378">
        <f t="shared" ref="E52:J52" si="15">IF(E46="n/a","n/a",E51-$D$11*SQRT($D$10))</f>
        <v>0.26722871036312146</v>
      </c>
      <c r="F52" s="378">
        <f t="shared" si="15"/>
        <v>0.24518092804029434</v>
      </c>
      <c r="G52" s="378">
        <f t="shared" si="15"/>
        <v>-0.20163032337193543</v>
      </c>
      <c r="H52" s="378">
        <f t="shared" si="15"/>
        <v>-0.37197041224782157</v>
      </c>
      <c r="I52" s="378">
        <f t="shared" si="15"/>
        <v>-0.83054265115791248</v>
      </c>
      <c r="J52" s="378" t="str">
        <f t="shared" si="15"/>
        <v>n/a</v>
      </c>
      <c r="K52" s="1718"/>
    </row>
    <row r="53" spans="2:15" ht="14.85" hidden="1" customHeight="1" outlineLevel="1">
      <c r="D53" s="283"/>
      <c r="E53" s="283"/>
      <c r="F53" s="283"/>
      <c r="G53" s="283"/>
      <c r="H53" s="283"/>
      <c r="I53" s="283"/>
      <c r="J53" s="283"/>
      <c r="K53" s="1719"/>
    </row>
    <row r="54" spans="2:15" ht="14.85" customHeight="1" collapsed="1">
      <c r="B54" s="208" t="s">
        <v>342</v>
      </c>
      <c r="D54" s="283">
        <f t="shared" ref="D54:J54" si="16">$D$9*NORMSDIST(D48)-D45*EXP(-$D$12*$D$10)*NORMSDIST(D49)</f>
        <v>13239.134682063244</v>
      </c>
      <c r="E54" s="283">
        <f t="shared" si="16"/>
        <v>9220.0226665974005</v>
      </c>
      <c r="F54" s="283">
        <f t="shared" si="16"/>
        <v>9030.688131286006</v>
      </c>
      <c r="G54" s="283">
        <f t="shared" si="16"/>
        <v>8952.2741295020423</v>
      </c>
      <c r="H54" s="283">
        <f t="shared" si="16"/>
        <v>7207.3318305464618</v>
      </c>
      <c r="I54" s="283">
        <f t="shared" si="16"/>
        <v>6487.5178122990255</v>
      </c>
      <c r="J54" s="283">
        <f t="shared" si="16"/>
        <v>4543.4509350114186</v>
      </c>
      <c r="K54" s="1719"/>
    </row>
    <row r="55" spans="2:15" ht="14.85" customHeight="1">
      <c r="B55" s="208" t="s">
        <v>343</v>
      </c>
      <c r="D55" s="283">
        <f>$D$9*NORMSDIST(D51)-D46*EXP(-$D$12*$D$10)*NORMSDIST(D52)</f>
        <v>9220.0226665974005</v>
      </c>
      <c r="E55" s="378">
        <f t="shared" ref="E55:J55" si="17">IF(E46="n/a","n/a",$D$9*NORMSDIST(E51)-E46*EXP(-$D$12*$D$10)*NORMSDIST(E52))</f>
        <v>9030.688131286006</v>
      </c>
      <c r="F55" s="378">
        <f t="shared" si="17"/>
        <v>8952.2741295020423</v>
      </c>
      <c r="G55" s="378">
        <f t="shared" si="17"/>
        <v>7207.3318305464618</v>
      </c>
      <c r="H55" s="378">
        <f t="shared" si="17"/>
        <v>6487.5178122990255</v>
      </c>
      <c r="I55" s="378">
        <f t="shared" si="17"/>
        <v>4543.4509350114186</v>
      </c>
      <c r="J55" s="378" t="str">
        <f t="shared" si="17"/>
        <v>n/a</v>
      </c>
      <c r="K55" s="1718"/>
    </row>
    <row r="56" spans="2:15" ht="14.85" customHeight="1"/>
    <row r="57" spans="2:15" ht="14.85" customHeight="1">
      <c r="B57" s="211" t="s">
        <v>344</v>
      </c>
      <c r="C57" s="211"/>
      <c r="D57" s="373">
        <f>D54-D55</f>
        <v>4019.1120154658438</v>
      </c>
      <c r="E57" s="373">
        <f t="shared" ref="E57:J57" si="18">IF(E46="n/a",E54,E54-E55)</f>
        <v>189.33453531139457</v>
      </c>
      <c r="F57" s="373">
        <f t="shared" si="18"/>
        <v>78.414001783963613</v>
      </c>
      <c r="G57" s="373">
        <f t="shared" si="18"/>
        <v>1744.9422989555806</v>
      </c>
      <c r="H57" s="373">
        <f t="shared" si="18"/>
        <v>719.81401824743625</v>
      </c>
      <c r="I57" s="373">
        <f t="shared" si="18"/>
        <v>1944.066877287607</v>
      </c>
      <c r="J57" s="373">
        <f t="shared" si="18"/>
        <v>4543.4509350114186</v>
      </c>
      <c r="K57" s="1717"/>
    </row>
    <row r="58" spans="2:15" ht="14.85" customHeight="1"/>
    <row r="59" spans="2:15" s="229" customFormat="1" ht="14.85" customHeight="1">
      <c r="B59" s="375" t="s">
        <v>338</v>
      </c>
      <c r="D59" s="1532">
        <f>D$15</f>
        <v>1</v>
      </c>
      <c r="E59" s="1518">
        <f t="shared" ref="E59:J59" si="19">E$15</f>
        <v>2</v>
      </c>
      <c r="F59" s="1518">
        <f t="shared" si="19"/>
        <v>3</v>
      </c>
      <c r="G59" s="1518">
        <f t="shared" si="19"/>
        <v>4</v>
      </c>
      <c r="H59" s="1703">
        <f t="shared" si="19"/>
        <v>5</v>
      </c>
      <c r="I59" s="1703">
        <f t="shared" si="19"/>
        <v>6</v>
      </c>
      <c r="J59" s="1705">
        <f t="shared" si="19"/>
        <v>7</v>
      </c>
      <c r="K59" s="1707"/>
      <c r="O59" s="289"/>
    </row>
    <row r="60" spans="2:15" ht="14.85" customHeight="1"/>
    <row r="61" spans="2:15" ht="14.85" customHeight="1">
      <c r="D61" s="379" t="s">
        <v>332</v>
      </c>
      <c r="E61" s="379" t="s">
        <v>278</v>
      </c>
      <c r="F61" s="379" t="s">
        <v>278</v>
      </c>
      <c r="G61" s="379" t="s">
        <v>278</v>
      </c>
      <c r="H61" s="379" t="s">
        <v>278</v>
      </c>
      <c r="I61" s="379" t="s">
        <v>278</v>
      </c>
      <c r="J61" s="379" t="s">
        <v>278</v>
      </c>
      <c r="K61" s="1720"/>
    </row>
    <row r="62" spans="2:15" ht="14.85" customHeight="1"/>
    <row r="63" spans="2:15" ht="14.85" customHeight="1">
      <c r="B63" s="309" t="str">
        <f t="shared" ref="B63:B68" si="20">B25</f>
        <v>Series Seed 1</v>
      </c>
      <c r="D63" s="306">
        <f>D19</f>
        <v>1235</v>
      </c>
      <c r="E63" s="306">
        <f>E25</f>
        <v>0</v>
      </c>
      <c r="F63" s="306">
        <f t="shared" ref="F63:J63" si="21">F25</f>
        <v>0</v>
      </c>
      <c r="G63" s="306">
        <f t="shared" si="21"/>
        <v>0</v>
      </c>
      <c r="H63" s="306">
        <f t="shared" si="21"/>
        <v>0</v>
      </c>
      <c r="I63" s="306">
        <f t="shared" si="21"/>
        <v>1646.6666666666665</v>
      </c>
      <c r="J63" s="306">
        <f t="shared" si="21"/>
        <v>1646.6666666666665</v>
      </c>
      <c r="K63" s="1560"/>
    </row>
    <row r="64" spans="2:15" ht="14.85" customHeight="1">
      <c r="B64" s="309" t="str">
        <f t="shared" si="20"/>
        <v>Series Seed 2</v>
      </c>
      <c r="D64" s="306">
        <f>D20</f>
        <v>4000.0000000000005</v>
      </c>
      <c r="E64" s="306">
        <f t="shared" ref="E64:J68" si="22">E26</f>
        <v>0</v>
      </c>
      <c r="F64" s="306">
        <f t="shared" si="22"/>
        <v>0</v>
      </c>
      <c r="G64" s="306">
        <f t="shared" si="22"/>
        <v>0</v>
      </c>
      <c r="H64" s="306">
        <f t="shared" si="22"/>
        <v>0</v>
      </c>
      <c r="I64" s="306">
        <f t="shared" si="22"/>
        <v>0</v>
      </c>
      <c r="J64" s="306">
        <f t="shared" si="22"/>
        <v>2666.666666666667</v>
      </c>
      <c r="K64" s="1560"/>
    </row>
    <row r="65" spans="2:11" ht="14.85" customHeight="1">
      <c r="B65" s="309" t="str">
        <f t="shared" si="20"/>
        <v>Options at $0.07 Strike Price</v>
      </c>
      <c r="D65" s="306">
        <v>0</v>
      </c>
      <c r="E65" s="306">
        <f t="shared" si="22"/>
        <v>0</v>
      </c>
      <c r="F65" s="306">
        <f t="shared" si="22"/>
        <v>0</v>
      </c>
      <c r="G65" s="306">
        <f t="shared" si="22"/>
        <v>1306</v>
      </c>
      <c r="H65" s="306">
        <f t="shared" si="22"/>
        <v>1306</v>
      </c>
      <c r="I65" s="306">
        <f t="shared" si="22"/>
        <v>1306</v>
      </c>
      <c r="J65" s="306">
        <f t="shared" si="22"/>
        <v>1306</v>
      </c>
      <c r="K65" s="1560"/>
    </row>
    <row r="66" spans="2:11" ht="14.85" customHeight="1">
      <c r="B66" s="309" t="str">
        <f t="shared" si="20"/>
        <v>Options at $0.05 Strike Price</v>
      </c>
      <c r="D66" s="306">
        <v>0</v>
      </c>
      <c r="E66" s="306">
        <f t="shared" si="22"/>
        <v>0</v>
      </c>
      <c r="F66" s="306">
        <f t="shared" si="22"/>
        <v>400</v>
      </c>
      <c r="G66" s="306">
        <f t="shared" si="22"/>
        <v>400</v>
      </c>
      <c r="H66" s="306">
        <f t="shared" si="22"/>
        <v>400</v>
      </c>
      <c r="I66" s="306">
        <f t="shared" si="22"/>
        <v>400</v>
      </c>
      <c r="J66" s="306">
        <f t="shared" si="22"/>
        <v>400</v>
      </c>
      <c r="K66" s="1560"/>
    </row>
    <row r="67" spans="2:11" ht="14.85" customHeight="1">
      <c r="B67" s="313" t="str">
        <f t="shared" si="20"/>
        <v>Expected Options Grant</v>
      </c>
      <c r="D67" s="306">
        <v>0</v>
      </c>
      <c r="E67" s="306">
        <f t="shared" si="22"/>
        <v>0</v>
      </c>
      <c r="F67" s="306">
        <f t="shared" si="22"/>
        <v>0</v>
      </c>
      <c r="G67" s="306">
        <f t="shared" si="22"/>
        <v>0</v>
      </c>
      <c r="H67" s="306">
        <f t="shared" si="22"/>
        <v>394</v>
      </c>
      <c r="I67" s="306">
        <f t="shared" si="22"/>
        <v>394</v>
      </c>
      <c r="J67" s="306">
        <f t="shared" si="22"/>
        <v>394</v>
      </c>
      <c r="K67" s="1560"/>
    </row>
    <row r="68" spans="2:11" ht="14.85" customHeight="1">
      <c r="B68" s="309" t="str">
        <f t="shared" si="20"/>
        <v>Common Stock</v>
      </c>
      <c r="D68" s="306">
        <v>0</v>
      </c>
      <c r="E68" s="306">
        <f t="shared" si="22"/>
        <v>6615.9830000000002</v>
      </c>
      <c r="F68" s="306">
        <f t="shared" si="22"/>
        <v>6615.9830000000002</v>
      </c>
      <c r="G68" s="306">
        <f t="shared" si="22"/>
        <v>6615.9830000000002</v>
      </c>
      <c r="H68" s="306">
        <f t="shared" si="22"/>
        <v>6615.9830000000002</v>
      </c>
      <c r="I68" s="306">
        <f t="shared" si="22"/>
        <v>6615.9830000000002</v>
      </c>
      <c r="J68" s="306">
        <f t="shared" si="22"/>
        <v>6615.9830000000002</v>
      </c>
      <c r="K68" s="1560"/>
    </row>
    <row r="69" spans="2:11" ht="14.85" customHeight="1">
      <c r="B69" s="288"/>
      <c r="C69" s="288"/>
      <c r="D69" s="288"/>
      <c r="E69" s="288"/>
      <c r="F69" s="288"/>
      <c r="G69" s="288"/>
      <c r="H69" s="288"/>
      <c r="I69" s="288"/>
      <c r="J69" s="288"/>
    </row>
    <row r="70" spans="2:11" ht="14.85" customHeight="1">
      <c r="B70" s="307" t="s">
        <v>1925</v>
      </c>
      <c r="D70" s="308">
        <f t="shared" ref="D70:I70" si="23">SUM(D63:D68)</f>
        <v>5235</v>
      </c>
      <c r="E70" s="308">
        <f t="shared" si="23"/>
        <v>6615.9830000000002</v>
      </c>
      <c r="F70" s="308">
        <f t="shared" si="23"/>
        <v>7015.9830000000002</v>
      </c>
      <c r="G70" s="308">
        <f t="shared" si="23"/>
        <v>8321.9830000000002</v>
      </c>
      <c r="H70" s="308">
        <f t="shared" si="23"/>
        <v>8715.9830000000002</v>
      </c>
      <c r="I70" s="308">
        <f t="shared" si="23"/>
        <v>10362.649666666666</v>
      </c>
      <c r="J70" s="308">
        <f>SUM(J63:J68)</f>
        <v>13029.316333333334</v>
      </c>
      <c r="K70" s="595"/>
    </row>
    <row r="71" spans="2:11" ht="14.85" customHeight="1"/>
    <row r="72" spans="2:11" ht="14.85" customHeight="1">
      <c r="B72" s="375" t="s">
        <v>1953</v>
      </c>
      <c r="C72" s="229"/>
      <c r="D72" s="376">
        <f>D$15</f>
        <v>1</v>
      </c>
      <c r="E72" s="377">
        <f t="shared" ref="E72:J72" si="24">E$15</f>
        <v>2</v>
      </c>
      <c r="F72" s="377">
        <f t="shared" si="24"/>
        <v>3</v>
      </c>
      <c r="G72" s="377">
        <f t="shared" si="24"/>
        <v>4</v>
      </c>
      <c r="H72" s="1703">
        <f t="shared" si="24"/>
        <v>5</v>
      </c>
      <c r="I72" s="1703">
        <f t="shared" si="24"/>
        <v>6</v>
      </c>
      <c r="J72" s="1705">
        <f t="shared" si="24"/>
        <v>7</v>
      </c>
      <c r="K72" s="1707"/>
    </row>
    <row r="73" spans="2:11" ht="14.85" customHeight="1"/>
    <row r="74" spans="2:11" ht="14.85" customHeight="1">
      <c r="B74" s="280" t="str">
        <f t="shared" ref="B74:B79" si="25">B63</f>
        <v>Series Seed 1</v>
      </c>
      <c r="D74" s="312">
        <f t="shared" ref="D74:I79" si="26">D63/D$70</f>
        <v>0.23591212989493793</v>
      </c>
      <c r="E74" s="312">
        <f t="shared" si="26"/>
        <v>0</v>
      </c>
      <c r="F74" s="312">
        <f t="shared" si="26"/>
        <v>0</v>
      </c>
      <c r="G74" s="312">
        <f t="shared" si="26"/>
        <v>0</v>
      </c>
      <c r="H74" s="312">
        <f t="shared" si="26"/>
        <v>0</v>
      </c>
      <c r="I74" s="312">
        <f t="shared" si="26"/>
        <v>0.15890401775942181</v>
      </c>
      <c r="J74" s="312">
        <f t="shared" ref="J74:J79" si="27">J63/J$70</f>
        <v>0.12638166305425744</v>
      </c>
      <c r="K74" s="1709"/>
    </row>
    <row r="75" spans="2:11" ht="14.85" customHeight="1">
      <c r="B75" s="280" t="str">
        <f t="shared" si="25"/>
        <v>Series Seed 2</v>
      </c>
      <c r="D75" s="312">
        <f t="shared" si="26"/>
        <v>0.76408787010506218</v>
      </c>
      <c r="E75" s="312">
        <f t="shared" si="26"/>
        <v>0</v>
      </c>
      <c r="F75" s="312">
        <f t="shared" si="26"/>
        <v>0</v>
      </c>
      <c r="G75" s="312">
        <f t="shared" si="26"/>
        <v>0</v>
      </c>
      <c r="H75" s="312">
        <f t="shared" si="26"/>
        <v>0</v>
      </c>
      <c r="I75" s="312">
        <f t="shared" si="26"/>
        <v>0</v>
      </c>
      <c r="J75" s="312">
        <f t="shared" si="27"/>
        <v>0.20466666081661128</v>
      </c>
      <c r="K75" s="1709"/>
    </row>
    <row r="76" spans="2:11" ht="14.85" customHeight="1">
      <c r="B76" s="280" t="str">
        <f t="shared" si="25"/>
        <v>Options at $0.07 Strike Price</v>
      </c>
      <c r="D76" s="312">
        <f t="shared" si="26"/>
        <v>0</v>
      </c>
      <c r="E76" s="312">
        <f t="shared" si="26"/>
        <v>0</v>
      </c>
      <c r="F76" s="312">
        <f t="shared" si="26"/>
        <v>0</v>
      </c>
      <c r="G76" s="312">
        <f t="shared" si="26"/>
        <v>0.15693375004491117</v>
      </c>
      <c r="H76" s="312">
        <f t="shared" si="26"/>
        <v>0.14983966811316635</v>
      </c>
      <c r="I76" s="312">
        <f t="shared" si="26"/>
        <v>0.12602954283024589</v>
      </c>
      <c r="J76" s="312">
        <f t="shared" si="27"/>
        <v>0.10023549713493536</v>
      </c>
      <c r="K76" s="1709"/>
    </row>
    <row r="77" spans="2:11" ht="14.85" customHeight="1">
      <c r="B77" s="280" t="str">
        <f t="shared" si="25"/>
        <v>Options at $0.05 Strike Price</v>
      </c>
      <c r="D77" s="312">
        <f t="shared" si="26"/>
        <v>0</v>
      </c>
      <c r="E77" s="312">
        <f t="shared" si="26"/>
        <v>0</v>
      </c>
      <c r="F77" s="312">
        <f t="shared" si="26"/>
        <v>5.7012680903018149E-2</v>
      </c>
      <c r="G77" s="312">
        <f t="shared" si="26"/>
        <v>4.8065467088793619E-2</v>
      </c>
      <c r="H77" s="312">
        <f t="shared" si="26"/>
        <v>4.5892700800357226E-2</v>
      </c>
      <c r="I77" s="312">
        <f t="shared" si="26"/>
        <v>3.8600166257349432E-2</v>
      </c>
      <c r="J77" s="312">
        <f t="shared" si="27"/>
        <v>3.0699999122491689E-2</v>
      </c>
      <c r="K77" s="1709"/>
    </row>
    <row r="78" spans="2:11" ht="14.85" customHeight="1">
      <c r="B78" s="280" t="str">
        <f t="shared" si="25"/>
        <v>Expected Options Grant</v>
      </c>
      <c r="D78" s="312">
        <f t="shared" si="26"/>
        <v>0</v>
      </c>
      <c r="E78" s="312">
        <f t="shared" si="26"/>
        <v>0</v>
      </c>
      <c r="F78" s="312">
        <f t="shared" si="26"/>
        <v>0</v>
      </c>
      <c r="G78" s="312">
        <f t="shared" si="26"/>
        <v>0</v>
      </c>
      <c r="H78" s="312">
        <f t="shared" si="26"/>
        <v>4.5204310288351868E-2</v>
      </c>
      <c r="I78" s="312">
        <f t="shared" si="26"/>
        <v>3.8021163763489192E-2</v>
      </c>
      <c r="J78" s="312">
        <f t="shared" si="27"/>
        <v>3.0239499135654314E-2</v>
      </c>
      <c r="K78" s="1709"/>
    </row>
    <row r="79" spans="2:11" ht="14.85" customHeight="1">
      <c r="B79" s="280" t="str">
        <f t="shared" si="25"/>
        <v>Common Stock</v>
      </c>
      <c r="D79" s="312">
        <f t="shared" si="26"/>
        <v>0</v>
      </c>
      <c r="E79" s="312">
        <f t="shared" si="26"/>
        <v>1</v>
      </c>
      <c r="F79" s="312">
        <f t="shared" si="26"/>
        <v>0.94298731909698186</v>
      </c>
      <c r="G79" s="312">
        <f t="shared" si="26"/>
        <v>0.79500078286629516</v>
      </c>
      <c r="H79" s="312">
        <f t="shared" si="26"/>
        <v>0.75906332079812455</v>
      </c>
      <c r="I79" s="312">
        <f t="shared" si="26"/>
        <v>0.63844510938949373</v>
      </c>
      <c r="J79" s="312">
        <f t="shared" si="27"/>
        <v>0.50777668073604987</v>
      </c>
      <c r="K79" s="1709"/>
    </row>
    <row r="80" spans="2:11" ht="14.85" customHeight="1">
      <c r="B80" s="380"/>
      <c r="C80" s="380"/>
      <c r="D80" s="288"/>
      <c r="E80" s="288"/>
      <c r="F80" s="288"/>
      <c r="G80" s="288"/>
      <c r="H80" s="288"/>
      <c r="I80" s="288"/>
      <c r="J80" s="288"/>
    </row>
    <row r="81" spans="2:15" ht="14.85" customHeight="1">
      <c r="B81" s="211" t="s">
        <v>1954</v>
      </c>
      <c r="D81" s="1872">
        <f t="shared" ref="D81:I81" si="28">SUM(D74:D79)</f>
        <v>1</v>
      </c>
      <c r="E81" s="1872">
        <f t="shared" si="28"/>
        <v>1</v>
      </c>
      <c r="F81" s="1872">
        <f t="shared" si="28"/>
        <v>1</v>
      </c>
      <c r="G81" s="1872">
        <f t="shared" si="28"/>
        <v>1</v>
      </c>
      <c r="H81" s="1872">
        <f t="shared" si="28"/>
        <v>1</v>
      </c>
      <c r="I81" s="1872">
        <f t="shared" si="28"/>
        <v>1</v>
      </c>
      <c r="J81" s="1872">
        <f>SUM(J74:J79)</f>
        <v>1</v>
      </c>
      <c r="K81" s="595"/>
    </row>
    <row r="82" spans="2:15" ht="14.85" customHeight="1">
      <c r="B82" s="211"/>
      <c r="D82" s="308"/>
      <c r="E82" s="308"/>
      <c r="F82" s="308"/>
      <c r="G82" s="308"/>
      <c r="H82" s="308"/>
      <c r="I82" s="308"/>
      <c r="J82" s="308"/>
      <c r="K82" s="595"/>
    </row>
    <row r="83" spans="2:15" s="229" customFormat="1" ht="14.85" customHeight="1">
      <c r="B83" s="375" t="s">
        <v>349</v>
      </c>
      <c r="D83" s="376">
        <f>D$15</f>
        <v>1</v>
      </c>
      <c r="E83" s="377">
        <f t="shared" ref="E83:J83" si="29">E$15</f>
        <v>2</v>
      </c>
      <c r="F83" s="377">
        <f t="shared" si="29"/>
        <v>3</v>
      </c>
      <c r="G83" s="377">
        <f t="shared" si="29"/>
        <v>4</v>
      </c>
      <c r="H83" s="1703">
        <f t="shared" si="29"/>
        <v>5</v>
      </c>
      <c r="I83" s="1703">
        <f t="shared" si="29"/>
        <v>6</v>
      </c>
      <c r="J83" s="1705">
        <f t="shared" si="29"/>
        <v>7</v>
      </c>
      <c r="K83" s="1707"/>
      <c r="M83" s="381" t="s">
        <v>159</v>
      </c>
      <c r="O83" s="289"/>
    </row>
    <row r="84" spans="2:15" ht="14.85" customHeight="1"/>
    <row r="85" spans="2:15" ht="14.85" customHeight="1">
      <c r="B85" s="280" t="str">
        <f t="shared" ref="B85:B90" si="30">B63</f>
        <v>Series Seed 1</v>
      </c>
      <c r="D85" s="1879">
        <f>D$57*D74</f>
        <v>948.15727585488389</v>
      </c>
      <c r="E85" s="1879">
        <f t="shared" ref="E85:J85" si="31">E$57*E74</f>
        <v>0</v>
      </c>
      <c r="F85" s="1879">
        <f t="shared" si="31"/>
        <v>0</v>
      </c>
      <c r="G85" s="1879">
        <f t="shared" si="31"/>
        <v>0</v>
      </c>
      <c r="H85" s="1879">
        <f t="shared" si="31"/>
        <v>0</v>
      </c>
      <c r="I85" s="1879">
        <f t="shared" si="31"/>
        <v>308.92003759401359</v>
      </c>
      <c r="J85" s="1879">
        <f t="shared" si="31"/>
        <v>574.20888517216406</v>
      </c>
      <c r="K85" s="1721"/>
      <c r="M85" s="283">
        <f t="shared" ref="M85:M90" si="32">SUM(D85:K85)</f>
        <v>1831.2861986210614</v>
      </c>
    </row>
    <row r="86" spans="2:15" ht="14.85" customHeight="1">
      <c r="B86" s="280" t="str">
        <f t="shared" si="30"/>
        <v>Series Seed 2</v>
      </c>
      <c r="D86" s="283">
        <f>D$57*D75</f>
        <v>3070.9547396109601</v>
      </c>
      <c r="E86" s="283">
        <f t="shared" ref="E86:J86" si="33">E$57*E75</f>
        <v>0</v>
      </c>
      <c r="F86" s="283">
        <f t="shared" si="33"/>
        <v>0</v>
      </c>
      <c r="G86" s="283">
        <f t="shared" si="33"/>
        <v>0</v>
      </c>
      <c r="H86" s="283">
        <f t="shared" si="33"/>
        <v>0</v>
      </c>
      <c r="I86" s="283">
        <f t="shared" si="33"/>
        <v>0</v>
      </c>
      <c r="J86" s="283">
        <f t="shared" si="33"/>
        <v>929.89293145289741</v>
      </c>
      <c r="K86" s="1719"/>
      <c r="M86" s="283">
        <f t="shared" si="32"/>
        <v>4000.8476710638574</v>
      </c>
    </row>
    <row r="87" spans="2:15" ht="14.85" customHeight="1">
      <c r="B87" s="280" t="str">
        <f t="shared" si="30"/>
        <v>Options at $0.07 Strike Price</v>
      </c>
      <c r="D87" s="283">
        <f t="shared" ref="D87:D90" si="34">D$57*D76</f>
        <v>0</v>
      </c>
      <c r="E87" s="283">
        <f t="shared" ref="E87:J87" si="35">E$57*E76</f>
        <v>0</v>
      </c>
      <c r="F87" s="283">
        <f t="shared" si="35"/>
        <v>0</v>
      </c>
      <c r="G87" s="283">
        <f t="shared" si="35"/>
        <v>273.84033858708773</v>
      </c>
      <c r="H87" s="283">
        <f t="shared" si="35"/>
        <v>107.85669359740051</v>
      </c>
      <c r="I87" s="283">
        <f t="shared" si="35"/>
        <v>245.00985977598086</v>
      </c>
      <c r="J87" s="283">
        <f t="shared" si="35"/>
        <v>455.41506317905646</v>
      </c>
      <c r="K87" s="1719"/>
      <c r="M87" s="283">
        <f t="shared" si="32"/>
        <v>1082.1219551395257</v>
      </c>
    </row>
    <row r="88" spans="2:15" ht="14.85" customHeight="1">
      <c r="B88" s="280" t="str">
        <f t="shared" si="30"/>
        <v>Options at $0.05 Strike Price</v>
      </c>
      <c r="D88" s="283">
        <f t="shared" si="34"/>
        <v>0</v>
      </c>
      <c r="E88" s="283">
        <f t="shared" ref="E88:J88" si="36">E$57*E77</f>
        <v>0</v>
      </c>
      <c r="F88" s="283">
        <f t="shared" si="36"/>
        <v>4.4705924620378132</v>
      </c>
      <c r="G88" s="283">
        <f t="shared" si="36"/>
        <v>83.871466642293328</v>
      </c>
      <c r="H88" s="283">
        <f t="shared" si="36"/>
        <v>33.034209371332466</v>
      </c>
      <c r="I88" s="283">
        <f t="shared" si="36"/>
        <v>75.04130467870776</v>
      </c>
      <c r="J88" s="283">
        <f t="shared" si="36"/>
        <v>139.48393971793459</v>
      </c>
      <c r="K88" s="1719"/>
      <c r="M88" s="283">
        <f t="shared" si="32"/>
        <v>335.90151287230594</v>
      </c>
    </row>
    <row r="89" spans="2:15" ht="14.85" customHeight="1">
      <c r="B89" s="280" t="str">
        <f t="shared" si="30"/>
        <v>Expected Options Grant</v>
      </c>
      <c r="D89" s="283">
        <f t="shared" si="34"/>
        <v>0</v>
      </c>
      <c r="E89" s="283">
        <f t="shared" ref="E89:J89" si="37">E$57*E78</f>
        <v>0</v>
      </c>
      <c r="F89" s="283">
        <f t="shared" si="37"/>
        <v>0</v>
      </c>
      <c r="G89" s="283">
        <f t="shared" si="37"/>
        <v>0</v>
      </c>
      <c r="H89" s="283">
        <f t="shared" si="37"/>
        <v>32.538696230762483</v>
      </c>
      <c r="I89" s="283">
        <f t="shared" si="37"/>
        <v>73.915685108527157</v>
      </c>
      <c r="J89" s="283">
        <f t="shared" si="37"/>
        <v>137.39168062216558</v>
      </c>
      <c r="K89" s="1719"/>
      <c r="M89" s="283">
        <f t="shared" si="32"/>
        <v>243.84606196145523</v>
      </c>
    </row>
    <row r="90" spans="2:15" ht="14.85" customHeight="1">
      <c r="B90" s="280" t="str">
        <f t="shared" si="30"/>
        <v>Common Stock</v>
      </c>
      <c r="D90" s="283">
        <f t="shared" si="34"/>
        <v>0</v>
      </c>
      <c r="E90" s="283">
        <f t="shared" ref="E90:J90" si="38">E$57*E79</f>
        <v>189.33453531139457</v>
      </c>
      <c r="F90" s="283">
        <f t="shared" si="38"/>
        <v>73.943409321925799</v>
      </c>
      <c r="G90" s="283">
        <f t="shared" si="38"/>
        <v>1387.2304937261995</v>
      </c>
      <c r="H90" s="283">
        <f t="shared" si="38"/>
        <v>546.38441904794081</v>
      </c>
      <c r="I90" s="283">
        <f t="shared" si="38"/>
        <v>1241.1799901303777</v>
      </c>
      <c r="J90" s="283">
        <f t="shared" si="38"/>
        <v>2307.0584348672005</v>
      </c>
      <c r="K90" s="1719"/>
      <c r="M90" s="283">
        <f t="shared" si="32"/>
        <v>5745.1312824050383</v>
      </c>
    </row>
    <row r="91" spans="2:15" ht="14.85" customHeight="1">
      <c r="B91" s="380"/>
      <c r="C91" s="380"/>
      <c r="D91" s="288"/>
      <c r="E91" s="288"/>
      <c r="F91" s="288"/>
      <c r="G91" s="288"/>
      <c r="H91" s="288"/>
      <c r="I91" s="288"/>
      <c r="J91" s="288"/>
      <c r="M91" s="288"/>
    </row>
    <row r="92" spans="2:15" ht="14.85" customHeight="1">
      <c r="B92" s="211" t="s">
        <v>1926</v>
      </c>
      <c r="D92" s="382">
        <f t="shared" ref="D92:I92" si="39">SUM(D85:D90)</f>
        <v>4019.1120154658438</v>
      </c>
      <c r="E92" s="382">
        <f t="shared" si="39"/>
        <v>189.33453531139457</v>
      </c>
      <c r="F92" s="382">
        <f t="shared" si="39"/>
        <v>78.414001783963613</v>
      </c>
      <c r="G92" s="382">
        <f t="shared" si="39"/>
        <v>1744.9422989555806</v>
      </c>
      <c r="H92" s="382">
        <f t="shared" si="39"/>
        <v>719.81401824743625</v>
      </c>
      <c r="I92" s="382">
        <f t="shared" si="39"/>
        <v>1944.0668772876072</v>
      </c>
      <c r="J92" s="382">
        <f>SUM(J85:J90)</f>
        <v>4543.4509350114186</v>
      </c>
      <c r="K92" s="1722"/>
      <c r="M92" s="308">
        <f>SUM(M85:M90)</f>
        <v>13239.134682063243</v>
      </c>
      <c r="O92" s="383">
        <f>M92-D9</f>
        <v>-9.4587448984384537E-11</v>
      </c>
    </row>
    <row r="93" spans="2:15" ht="14.85" customHeight="1"/>
    <row r="94" spans="2:15" ht="14.85" customHeight="1"/>
    <row r="95" spans="2:15" ht="14.85" customHeight="1"/>
    <row r="96" spans="2:15" ht="14.85" customHeight="1">
      <c r="B96" s="208" t="s">
        <v>1955</v>
      </c>
      <c r="D96" s="384">
        <f>D40</f>
        <v>5235</v>
      </c>
      <c r="E96" s="384">
        <f>F40-E40</f>
        <v>330.79914999999983</v>
      </c>
      <c r="F96" s="384">
        <f>G40-F40</f>
        <v>140.31966000000011</v>
      </c>
      <c r="G96" s="384">
        <f>H40-G40</f>
        <v>3744.8923500000001</v>
      </c>
      <c r="H96" s="384">
        <f>I40-H40</f>
        <v>2004.6760900000008</v>
      </c>
      <c r="I96" s="384">
        <f>J40-I40</f>
        <v>7771.9872500000001</v>
      </c>
      <c r="J96" s="1520"/>
      <c r="K96" s="1706"/>
    </row>
    <row r="97" spans="2:11" ht="14.85" customHeight="1">
      <c r="D97" s="384"/>
      <c r="E97" s="384"/>
      <c r="F97" s="384"/>
      <c r="G97" s="384"/>
      <c r="H97" s="384"/>
      <c r="I97" s="384"/>
      <c r="J97" s="1520"/>
      <c r="K97" s="1706"/>
    </row>
    <row r="98" spans="2:11" ht="14.85" customHeight="1">
      <c r="B98" s="385" t="s">
        <v>1956</v>
      </c>
      <c r="C98" s="229"/>
      <c r="D98" s="386">
        <f t="shared" ref="D98:I98" si="40">D83</f>
        <v>1</v>
      </c>
      <c r="E98" s="387">
        <f t="shared" si="40"/>
        <v>2</v>
      </c>
      <c r="F98" s="387">
        <f t="shared" si="40"/>
        <v>3</v>
      </c>
      <c r="G98" s="1703">
        <f t="shared" si="40"/>
        <v>4</v>
      </c>
      <c r="H98" s="1801">
        <f t="shared" si="40"/>
        <v>5</v>
      </c>
      <c r="I98" s="1705">
        <f t="shared" si="40"/>
        <v>6</v>
      </c>
      <c r="J98" s="1521"/>
      <c r="K98" s="1707"/>
    </row>
    <row r="99" spans="2:11" ht="14.85" customHeight="1">
      <c r="D99" s="384"/>
      <c r="E99" s="384"/>
      <c r="F99" s="384"/>
      <c r="G99" s="384"/>
      <c r="H99" s="384"/>
      <c r="I99" s="384"/>
      <c r="J99" s="1520"/>
      <c r="K99" s="1706"/>
    </row>
    <row r="100" spans="2:11" ht="14.85" customHeight="1">
      <c r="B100" s="208" t="str">
        <f t="shared" ref="B100:B105" si="41">B85</f>
        <v>Series Seed 1</v>
      </c>
      <c r="D100" s="433">
        <f t="shared" ref="D100:H105" si="42">D63/D$70*D$96</f>
        <v>1235</v>
      </c>
      <c r="E100" s="433">
        <f t="shared" si="42"/>
        <v>0</v>
      </c>
      <c r="F100" s="433">
        <f t="shared" si="42"/>
        <v>0</v>
      </c>
      <c r="G100" s="433">
        <f t="shared" si="42"/>
        <v>0</v>
      </c>
      <c r="H100" s="433">
        <f t="shared" si="42"/>
        <v>0</v>
      </c>
      <c r="I100" s="433">
        <f t="shared" ref="I100:I105" si="43">I63/I$70*I$96</f>
        <v>1235</v>
      </c>
      <c r="J100" s="439"/>
      <c r="K100" s="1708"/>
    </row>
    <row r="101" spans="2:11" ht="14.85" customHeight="1">
      <c r="B101" s="208" t="str">
        <f t="shared" si="41"/>
        <v>Series Seed 2</v>
      </c>
      <c r="D101" s="433">
        <f t="shared" si="42"/>
        <v>4000.0000000000005</v>
      </c>
      <c r="E101" s="433">
        <f t="shared" si="42"/>
        <v>0</v>
      </c>
      <c r="F101" s="433">
        <f t="shared" si="42"/>
        <v>0</v>
      </c>
      <c r="G101" s="433">
        <f t="shared" si="42"/>
        <v>0</v>
      </c>
      <c r="H101" s="433">
        <f t="shared" si="42"/>
        <v>0</v>
      </c>
      <c r="I101" s="433">
        <f t="shared" si="43"/>
        <v>0</v>
      </c>
      <c r="J101" s="439"/>
      <c r="K101" s="1708"/>
    </row>
    <row r="102" spans="2:11" ht="14.85" customHeight="1">
      <c r="B102" s="208" t="str">
        <f t="shared" si="41"/>
        <v>Options at $0.07 Strike Price</v>
      </c>
      <c r="D102" s="433">
        <f t="shared" si="42"/>
        <v>0</v>
      </c>
      <c r="E102" s="433">
        <f t="shared" si="42"/>
        <v>0</v>
      </c>
      <c r="F102" s="433">
        <f t="shared" si="42"/>
        <v>0</v>
      </c>
      <c r="G102" s="433">
        <f t="shared" si="42"/>
        <v>587.70000000000005</v>
      </c>
      <c r="H102" s="433">
        <f t="shared" si="42"/>
        <v>300.38000000000011</v>
      </c>
      <c r="I102" s="433">
        <f t="shared" si="43"/>
        <v>979.5</v>
      </c>
      <c r="J102" s="439"/>
      <c r="K102" s="1708"/>
    </row>
    <row r="103" spans="2:11" ht="14.85" customHeight="1">
      <c r="B103" s="208" t="str">
        <f t="shared" si="41"/>
        <v>Options at $0.05 Strike Price</v>
      </c>
      <c r="D103" s="433">
        <f t="shared" si="42"/>
        <v>0</v>
      </c>
      <c r="E103" s="433">
        <f t="shared" si="42"/>
        <v>0</v>
      </c>
      <c r="F103" s="433">
        <f t="shared" si="42"/>
        <v>8.0000000000000053</v>
      </c>
      <c r="G103" s="433">
        <f t="shared" si="42"/>
        <v>180</v>
      </c>
      <c r="H103" s="433">
        <f t="shared" si="42"/>
        <v>92.000000000000028</v>
      </c>
      <c r="I103" s="433">
        <f t="shared" si="43"/>
        <v>300</v>
      </c>
      <c r="J103" s="439"/>
      <c r="K103" s="1708"/>
    </row>
    <row r="104" spans="2:11" ht="14.85" customHeight="1">
      <c r="B104" s="208" t="str">
        <f t="shared" si="41"/>
        <v>Expected Options Grant</v>
      </c>
      <c r="D104" s="433">
        <f t="shared" si="42"/>
        <v>0</v>
      </c>
      <c r="E104" s="433">
        <f t="shared" si="42"/>
        <v>0</v>
      </c>
      <c r="F104" s="433">
        <f t="shared" si="42"/>
        <v>0</v>
      </c>
      <c r="G104" s="433">
        <f t="shared" si="42"/>
        <v>0</v>
      </c>
      <c r="H104" s="433">
        <f t="shared" si="42"/>
        <v>90.620000000000033</v>
      </c>
      <c r="I104" s="433">
        <f t="shared" si="43"/>
        <v>295.5</v>
      </c>
      <c r="J104" s="439"/>
      <c r="K104" s="1708"/>
    </row>
    <row r="105" spans="2:11" ht="14.85" customHeight="1">
      <c r="B105" s="208" t="str">
        <f t="shared" si="41"/>
        <v>Common Stock</v>
      </c>
      <c r="D105" s="433">
        <f t="shared" si="42"/>
        <v>0</v>
      </c>
      <c r="E105" s="433">
        <f t="shared" si="42"/>
        <v>330.79914999999983</v>
      </c>
      <c r="F105" s="433">
        <f t="shared" si="42"/>
        <v>132.31966000000011</v>
      </c>
      <c r="G105" s="433">
        <f t="shared" si="42"/>
        <v>2977.1923499999998</v>
      </c>
      <c r="H105" s="433">
        <f t="shared" si="42"/>
        <v>1521.6760900000006</v>
      </c>
      <c r="I105" s="433">
        <f t="shared" si="43"/>
        <v>4961.987250000001</v>
      </c>
      <c r="J105" s="439"/>
      <c r="K105" s="1708"/>
    </row>
    <row r="106" spans="2:11" ht="14.85" customHeight="1">
      <c r="D106" s="312"/>
      <c r="E106" s="312"/>
      <c r="F106" s="312"/>
      <c r="G106" s="312"/>
      <c r="H106" s="312"/>
      <c r="I106" s="312"/>
      <c r="J106" s="1168"/>
      <c r="K106" s="1709"/>
    </row>
    <row r="107" spans="2:11" ht="14.85" customHeight="1">
      <c r="B107" s="385" t="s">
        <v>1957</v>
      </c>
      <c r="C107" s="229"/>
      <c r="D107" s="386">
        <f t="shared" ref="D107:I107" si="44">D98</f>
        <v>1</v>
      </c>
      <c r="E107" s="387">
        <f t="shared" si="44"/>
        <v>2</v>
      </c>
      <c r="F107" s="387">
        <f t="shared" si="44"/>
        <v>3</v>
      </c>
      <c r="G107" s="1703">
        <f t="shared" si="44"/>
        <v>4</v>
      </c>
      <c r="H107" s="1801">
        <f t="shared" si="44"/>
        <v>5</v>
      </c>
      <c r="I107" s="1705">
        <f t="shared" si="44"/>
        <v>6</v>
      </c>
      <c r="J107" s="1521"/>
      <c r="K107" s="1707"/>
    </row>
    <row r="108" spans="2:11" ht="14.85" customHeight="1">
      <c r="D108" s="312"/>
      <c r="E108" s="312"/>
      <c r="F108" s="312"/>
      <c r="G108" s="312"/>
      <c r="H108" s="312"/>
      <c r="I108" s="312"/>
      <c r="J108" s="1168"/>
      <c r="K108" s="1709"/>
    </row>
    <row r="109" spans="2:11" ht="14.85" customHeight="1">
      <c r="B109" s="208" t="str">
        <f t="shared" ref="B109:B114" si="45">B100</f>
        <v>Series Seed 1</v>
      </c>
      <c r="D109" s="388">
        <f>SUM($D100:D100)/$O25</f>
        <v>0.75000000000000011</v>
      </c>
      <c r="E109" s="388">
        <f>SUM($D100:E100)/$O25</f>
        <v>0.75000000000000011</v>
      </c>
      <c r="F109" s="388">
        <f>SUM($D100:F100)/$O25</f>
        <v>0.75000000000000011</v>
      </c>
      <c r="G109" s="388">
        <f>SUM($D100:G100)/$O25</f>
        <v>0.75000000000000011</v>
      </c>
      <c r="H109" s="388">
        <f>SUM($D100:H100)/$O25</f>
        <v>0.75000000000000011</v>
      </c>
      <c r="I109" s="388">
        <f>SUM($D100:I100)/$O25</f>
        <v>1.5000000000000002</v>
      </c>
      <c r="J109" s="1522"/>
      <c r="K109" s="1710"/>
    </row>
    <row r="110" spans="2:11" ht="14.85" customHeight="1">
      <c r="B110" s="208" t="str">
        <f t="shared" si="45"/>
        <v>Series Seed 2</v>
      </c>
      <c r="D110" s="388">
        <f>SUM($D101:D101)/$O26</f>
        <v>1.5</v>
      </c>
      <c r="E110" s="388">
        <f>SUM($D101:E101)/$O26</f>
        <v>1.5</v>
      </c>
      <c r="F110" s="388">
        <f>SUM($D101:F101)/$O26</f>
        <v>1.5</v>
      </c>
      <c r="G110" s="388">
        <f>SUM($D101:G101)/$O26</f>
        <v>1.5</v>
      </c>
      <c r="H110" s="388">
        <f>SUM($D101:H101)/$O26</f>
        <v>1.5</v>
      </c>
      <c r="I110" s="388">
        <f>SUM($D101:I101)/$O26</f>
        <v>1.5</v>
      </c>
      <c r="J110" s="1522"/>
      <c r="K110" s="1710"/>
    </row>
    <row r="111" spans="2:11" ht="14.85" customHeight="1">
      <c r="B111" s="208" t="str">
        <f t="shared" si="45"/>
        <v>Options at $0.07 Strike Price</v>
      </c>
      <c r="D111" s="388">
        <f>SUM($D102:D102)/$O27</f>
        <v>0</v>
      </c>
      <c r="E111" s="388">
        <f>SUM($D102:E102)/$O27</f>
        <v>0</v>
      </c>
      <c r="F111" s="388">
        <f>SUM($D102:F102)/$O27</f>
        <v>0</v>
      </c>
      <c r="G111" s="388">
        <f>SUM($D102:G102)/$O27</f>
        <v>0.45</v>
      </c>
      <c r="H111" s="388">
        <f>SUM($D102:H102)/$O27</f>
        <v>0.68000000000000016</v>
      </c>
      <c r="I111" s="388">
        <f>SUM($D102:I102)/$O27</f>
        <v>1.4300000000000002</v>
      </c>
      <c r="J111" s="1522"/>
      <c r="K111" s="1710"/>
    </row>
    <row r="112" spans="2:11" ht="14.85" customHeight="1">
      <c r="B112" s="208" t="str">
        <f t="shared" si="45"/>
        <v>Options at $0.05 Strike Price</v>
      </c>
      <c r="D112" s="388">
        <f>SUM($D103:D103)/$O28</f>
        <v>0</v>
      </c>
      <c r="E112" s="388">
        <f>SUM($D103:E103)/$O28</f>
        <v>0</v>
      </c>
      <c r="F112" s="388">
        <f>SUM($D103:F103)/$O28</f>
        <v>2.0000000000000014E-2</v>
      </c>
      <c r="G112" s="388">
        <f>SUM($D103:G103)/$O28</f>
        <v>0.47</v>
      </c>
      <c r="H112" s="388">
        <f>SUM($D103:H103)/$O28</f>
        <v>0.7</v>
      </c>
      <c r="I112" s="388">
        <f>SUM($D103:I103)/$O28</f>
        <v>1.45</v>
      </c>
      <c r="J112" s="1522"/>
      <c r="K112" s="1710"/>
    </row>
    <row r="113" spans="2:11" ht="14.85" customHeight="1">
      <c r="B113" s="208" t="str">
        <f t="shared" si="45"/>
        <v>Expected Options Grant</v>
      </c>
      <c r="D113" s="388">
        <f>SUM($D104:D104)/$O29</f>
        <v>0</v>
      </c>
      <c r="E113" s="388">
        <f>SUM($D104:E104)/$O29</f>
        <v>0</v>
      </c>
      <c r="F113" s="388">
        <f>SUM($D104:F104)/$O29</f>
        <v>0</v>
      </c>
      <c r="G113" s="388">
        <f>SUM($D104:G104)/$O29</f>
        <v>0</v>
      </c>
      <c r="H113" s="388">
        <f>SUM($D104:H104)/$O29</f>
        <v>0.23000000000000009</v>
      </c>
      <c r="I113" s="388">
        <f>SUM($D104:I104)/$O29</f>
        <v>0.98</v>
      </c>
      <c r="J113" s="1522"/>
      <c r="K113" s="1710"/>
    </row>
    <row r="114" spans="2:11" ht="14.85" customHeight="1">
      <c r="B114" s="208" t="str">
        <f t="shared" si="45"/>
        <v>Common Stock</v>
      </c>
      <c r="D114" s="388">
        <f>SUM($D105:D105)/$O30</f>
        <v>0</v>
      </c>
      <c r="E114" s="388">
        <f>SUM($D105:E105)/$O30</f>
        <v>4.9999999999999975E-2</v>
      </c>
      <c r="F114" s="388">
        <f>SUM($D105:F105)/$O30</f>
        <v>6.9999999999999993E-2</v>
      </c>
      <c r="G114" s="388">
        <f>SUM($D105:G105)/$O30</f>
        <v>0.51999999999999991</v>
      </c>
      <c r="H114" s="388">
        <f>SUM($D105:H105)/$O30</f>
        <v>0.75</v>
      </c>
      <c r="I114" s="388">
        <f>SUM($D105:I105)/$O30</f>
        <v>1.5</v>
      </c>
      <c r="J114" s="1522"/>
      <c r="K114" s="1710"/>
    </row>
    <row r="115" spans="2:11" ht="14.85" customHeight="1">
      <c r="D115" s="312"/>
      <c r="E115" s="312"/>
      <c r="F115" s="312"/>
      <c r="G115" s="312"/>
      <c r="H115" s="312"/>
      <c r="I115" s="312"/>
      <c r="J115" s="1168"/>
      <c r="K115" s="1709"/>
    </row>
    <row r="116" spans="2:11" ht="14.85" customHeight="1">
      <c r="D116" s="312">
        <f t="shared" ref="D116:I116" si="46">NORMSDIST(D48)</f>
        <v>1</v>
      </c>
      <c r="E116" s="312">
        <f t="shared" si="46"/>
        <v>0.92658000975081511</v>
      </c>
      <c r="F116" s="312">
        <f t="shared" si="46"/>
        <v>0.91872189709917518</v>
      </c>
      <c r="G116" s="312">
        <f t="shared" si="46"/>
        <v>0.91535334066984753</v>
      </c>
      <c r="H116" s="312">
        <f t="shared" si="46"/>
        <v>0.82320978323404115</v>
      </c>
      <c r="I116" s="312">
        <f t="shared" si="46"/>
        <v>0.77557292499931119</v>
      </c>
      <c r="J116" s="1168"/>
      <c r="K116" s="1709"/>
    </row>
    <row r="117" spans="2:11" ht="14.85" customHeight="1">
      <c r="B117" s="208" t="s">
        <v>1480</v>
      </c>
      <c r="D117" s="389">
        <f>D116-E116</f>
        <v>7.3419990249184885E-2</v>
      </c>
      <c r="E117" s="312"/>
      <c r="F117" s="312"/>
      <c r="G117" s="312"/>
      <c r="H117" s="312"/>
      <c r="I117" s="312"/>
      <c r="J117" s="1168"/>
      <c r="K117" s="1709"/>
    </row>
    <row r="118" spans="2:11" ht="14.85" customHeight="1">
      <c r="J118" s="326"/>
    </row>
    <row r="119" spans="2:11" ht="14.85" customHeight="1">
      <c r="B119" s="208" t="s">
        <v>2329</v>
      </c>
      <c r="D119" s="1523" t="str">
        <f t="shared" ref="D119:I119" si="47">IF(D114=E34,"","Check")</f>
        <v/>
      </c>
      <c r="E119" s="1523" t="str">
        <f t="shared" si="47"/>
        <v/>
      </c>
      <c r="F119" s="1523" t="str">
        <f t="shared" si="47"/>
        <v/>
      </c>
      <c r="G119" s="1523" t="str">
        <f t="shared" si="47"/>
        <v/>
      </c>
      <c r="H119" s="1704" t="str">
        <f t="shared" si="47"/>
        <v/>
      </c>
      <c r="I119" s="1704" t="str">
        <f t="shared" si="47"/>
        <v/>
      </c>
      <c r="J119" s="409"/>
    </row>
    <row r="120" spans="2:11" ht="14.85" customHeight="1">
      <c r="B120" s="208" t="s">
        <v>110</v>
      </c>
      <c r="D120" s="1523" t="str">
        <f>IF(COUNTIF(D119:I119,B120)&gt;0,B120,"")</f>
        <v/>
      </c>
    </row>
    <row r="121" spans="2:11" ht="14.85" customHeight="1"/>
    <row r="122" spans="2:11" ht="14.85" customHeight="1"/>
    <row r="123" spans="2:11" ht="14.85" customHeight="1"/>
    <row r="124" spans="2:11" ht="14.85" customHeight="1"/>
    <row r="125" spans="2:11" ht="14.85" customHeight="1"/>
    <row r="126" spans="2:11" ht="14.85" customHeight="1"/>
    <row r="127" spans="2:11" ht="14.85" customHeight="1"/>
    <row r="128" spans="2:11"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sheetData>
  <conditionalFormatting sqref="B4:H4">
    <cfRule type="cellIs" dxfId="192" priority="13" stopIfTrue="1" operator="equal">
      <formula>"input"</formula>
    </cfRule>
  </conditionalFormatting>
  <conditionalFormatting sqref="K4:L4">
    <cfRule type="cellIs" dxfId="191" priority="3" stopIfTrue="1" operator="equal">
      <formula>"input"</formula>
    </cfRule>
  </conditionalFormatting>
  <conditionalFormatting sqref="K4:L4">
    <cfRule type="cellIs" dxfId="190" priority="4" stopIfTrue="1" operator="equal">
      <formula>"input"</formula>
    </cfRule>
  </conditionalFormatting>
  <conditionalFormatting sqref="I4:J4">
    <cfRule type="cellIs" dxfId="189" priority="1" stopIfTrue="1" operator="equal">
      <formula>"input"</formula>
    </cfRule>
  </conditionalFormatting>
  <conditionalFormatting sqref="I4:K4">
    <cfRule type="cellIs" dxfId="188" priority="2" stopIfTrue="1" operator="equal">
      <formula>"input"</formula>
    </cfRule>
  </conditionalFormatting>
  <pageMargins left="0.5" right="0.5" top="0.5" bottom="0.5" header="0.5" footer="0.5"/>
  <pageSetup scale="80" fitToWidth="0" fitToHeight="0" pageOrder="overThenDown" orientation="landscape" r:id="rId1"/>
  <rowBreaks count="3" manualBreakCount="3">
    <brk id="32" max="10" man="1"/>
    <brk id="57" max="10" man="1"/>
    <brk id="81" max="10" man="1"/>
  </rowBreaks>
  <legacyDrawing r:id="rId2"/>
  <legacyDrawingHF r:id="rId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5"/>
  <dimension ref="A1:W752"/>
  <sheetViews>
    <sheetView showGridLines="0" view="pageBreakPreview" zoomScale="80" zoomScaleNormal="100" zoomScaleSheetLayoutView="80" workbookViewId="0"/>
  </sheetViews>
  <sheetFormatPr defaultRowHeight="12.75"/>
  <cols>
    <col min="1" max="1" width="4.5" style="208" customWidth="1"/>
    <col min="2" max="2" width="34" style="208" customWidth="1"/>
    <col min="3" max="3" width="2.83203125" style="208" customWidth="1"/>
    <col min="4" max="4" width="19.5" style="208" customWidth="1"/>
    <col min="5" max="5" width="2.83203125" style="208" customWidth="1"/>
    <col min="6" max="6" width="19.5" style="208" customWidth="1"/>
    <col min="7" max="7" width="3.6640625" style="208" customWidth="1"/>
    <col min="8" max="8" width="19.5" style="208" customWidth="1"/>
    <col min="9" max="9" width="3.83203125" style="208" customWidth="1"/>
    <col min="10" max="10" width="19.5" style="208" customWidth="1"/>
    <col min="11" max="11" width="3.33203125" style="208" customWidth="1"/>
    <col min="12" max="12" width="19.5" style="208" customWidth="1"/>
    <col min="13" max="13" width="4.5" style="208" customWidth="1"/>
    <col min="14" max="14" width="9.33203125" style="208"/>
    <col min="15" max="15" width="31.6640625" style="208" customWidth="1"/>
    <col min="16" max="16" width="21.1640625" style="208" customWidth="1"/>
    <col min="17" max="17" width="11.33203125" style="208" bestFit="1" customWidth="1"/>
    <col min="18" max="18" width="10.6640625" style="208" customWidth="1"/>
    <col min="19" max="16384" width="9.33203125" style="208"/>
  </cols>
  <sheetData>
    <row r="1" spans="2:17" ht="10.7" customHeight="1" thickBot="1"/>
    <row r="2" spans="2:17" ht="16.5" customHeight="1" thickTop="1">
      <c r="B2" s="216" t="str">
        <f>'MASTER PubCo Inputs'!$C$5</f>
        <v>Medikine, Inc.</v>
      </c>
      <c r="C2" s="216"/>
      <c r="D2" s="216"/>
      <c r="E2" s="216"/>
      <c r="F2" s="216"/>
      <c r="G2" s="216"/>
      <c r="H2" s="216"/>
      <c r="I2" s="216"/>
      <c r="J2" s="216"/>
      <c r="K2" s="216"/>
      <c r="L2" s="216"/>
      <c r="O2" s="390" t="s">
        <v>563</v>
      </c>
      <c r="P2" s="391"/>
    </row>
    <row r="3" spans="2:17" ht="15.75" customHeight="1">
      <c r="B3" s="217" t="str">
        <f>VLOOKUP(B4,Outline!$E$8:$G$79,COLUMNS(Outline!$E$8:$G$8),FALSE)</f>
        <v>Workpaper #3</v>
      </c>
      <c r="C3" s="217"/>
      <c r="D3" s="217"/>
      <c r="E3" s="217"/>
      <c r="F3" s="217"/>
      <c r="G3" s="217"/>
      <c r="H3" s="217"/>
      <c r="I3" s="217"/>
      <c r="J3" s="217"/>
      <c r="K3" s="217"/>
      <c r="L3" s="217"/>
      <c r="O3" s="336" t="str">
        <f>'Econ Rights'!E7</f>
        <v>Series Seed 2</v>
      </c>
      <c r="P3" s="392"/>
    </row>
    <row r="4" spans="2:17" ht="16.5" customHeight="1" thickBot="1">
      <c r="B4" s="444" t="s">
        <v>353</v>
      </c>
      <c r="C4" s="444"/>
      <c r="D4" s="444"/>
      <c r="E4" s="444"/>
      <c r="F4" s="444"/>
      <c r="G4" s="444"/>
      <c r="H4" s="444"/>
      <c r="I4" s="444"/>
      <c r="J4" s="445"/>
      <c r="K4" s="445"/>
      <c r="L4" s="445" t="str">
        <f>+'MASTER PubCo Inputs'!$C$20</f>
        <v>(in thousands of USD and shares, except price per share)</v>
      </c>
      <c r="O4" s="325" t="s">
        <v>1370</v>
      </c>
      <c r="P4" s="393">
        <f>'Econ Rights'!E12</f>
        <v>1.5</v>
      </c>
    </row>
    <row r="5" spans="2:17" s="326" customFormat="1" ht="14.85" customHeight="1" thickTop="1">
      <c r="B5" s="208"/>
      <c r="C5" s="208"/>
      <c r="D5" s="208"/>
      <c r="E5" s="208"/>
      <c r="F5" s="208"/>
      <c r="G5" s="208"/>
      <c r="H5" s="208"/>
      <c r="I5" s="208"/>
      <c r="J5" s="208"/>
      <c r="K5" s="208"/>
      <c r="L5" s="208"/>
      <c r="M5" s="208"/>
      <c r="O5" s="325" t="s">
        <v>1371</v>
      </c>
      <c r="P5" s="394">
        <f>H10</f>
        <v>1.5003178766489464</v>
      </c>
    </row>
    <row r="6" spans="2:17" ht="14.85" customHeight="1">
      <c r="O6" s="395" t="s">
        <v>1372</v>
      </c>
      <c r="P6" s="396">
        <f>P5-P4</f>
        <v>3.1787664894644685E-4</v>
      </c>
      <c r="Q6" s="318" t="str">
        <f>IF(OR(P6&lt;-0.01,P6&gt;0.01),"Chechk","")</f>
        <v/>
      </c>
    </row>
    <row r="7" spans="2:17" ht="14.85" customHeight="1">
      <c r="B7" s="397" t="s">
        <v>350</v>
      </c>
      <c r="C7" s="398"/>
      <c r="D7" s="399" t="s">
        <v>279</v>
      </c>
      <c r="E7" s="399"/>
      <c r="F7" s="399" t="s">
        <v>278</v>
      </c>
      <c r="G7" s="399"/>
      <c r="H7" s="399" t="s">
        <v>351</v>
      </c>
      <c r="I7" s="399"/>
      <c r="J7" s="399" t="s">
        <v>717</v>
      </c>
      <c r="K7" s="399"/>
      <c r="L7" s="400" t="s">
        <v>352</v>
      </c>
      <c r="O7" s="339" t="s">
        <v>327</v>
      </c>
      <c r="P7" s="401">
        <v>13239.134682063337</v>
      </c>
    </row>
    <row r="8" spans="2:17" ht="14.85" customHeight="1"/>
    <row r="9" spans="2:17" ht="14.85" customHeight="1">
      <c r="B9" s="208" t="str">
        <f>'OPM 1'!B85</f>
        <v>Series Seed 1</v>
      </c>
      <c r="D9" s="281">
        <f>'OPM 1'!$M85</f>
        <v>1831.2861986210614</v>
      </c>
      <c r="E9" s="402"/>
      <c r="F9" s="281">
        <f>'Cap Table'!$D$11</f>
        <v>1235</v>
      </c>
      <c r="G9" s="287"/>
      <c r="H9" s="403">
        <f>D9/F9</f>
        <v>1.4828228328915478</v>
      </c>
      <c r="I9" s="403"/>
      <c r="J9" s="404"/>
      <c r="K9" s="356"/>
      <c r="L9" s="404"/>
    </row>
    <row r="10" spans="2:17" ht="14.85" customHeight="1">
      <c r="B10" s="208" t="str">
        <f>'OPM 1'!B86</f>
        <v>Series Seed 2</v>
      </c>
      <c r="D10" s="281">
        <f>'OPM 1'!$M86</f>
        <v>4000.8476710638574</v>
      </c>
      <c r="E10" s="402"/>
      <c r="F10" s="281">
        <f>'Cap Table'!$E$11</f>
        <v>2666.666666666667</v>
      </c>
      <c r="G10" s="287"/>
      <c r="H10" s="403">
        <f>D10/F10</f>
        <v>1.5003178766489464</v>
      </c>
      <c r="I10" s="403"/>
      <c r="J10" s="404"/>
      <c r="K10" s="356"/>
      <c r="L10" s="404"/>
    </row>
    <row r="11" spans="2:17" ht="14.85" customHeight="1">
      <c r="B11" s="208" t="s">
        <v>462</v>
      </c>
      <c r="D11" s="281">
        <f>SUM('OPM 1'!M87:M89)</f>
        <v>1661.8695299732867</v>
      </c>
      <c r="E11" s="402"/>
      <c r="F11" s="281">
        <f>SUM('Cap Table'!D25:D27)</f>
        <v>2100</v>
      </c>
      <c r="G11" s="287"/>
      <c r="H11" s="403">
        <f>D11/F11</f>
        <v>0.79136644284442226</v>
      </c>
      <c r="I11" s="403"/>
      <c r="J11" s="404"/>
      <c r="K11" s="356"/>
      <c r="L11" s="404"/>
    </row>
    <row r="12" spans="2:17" ht="14.85" customHeight="1">
      <c r="B12" s="208" t="str">
        <f>'OPM 1'!B90</f>
        <v>Common Stock</v>
      </c>
      <c r="C12" s="405"/>
      <c r="D12" s="281">
        <f>'OPM 1'!M90</f>
        <v>5745.1312824050383</v>
      </c>
      <c r="E12" s="402"/>
      <c r="F12" s="281">
        <f>'Cap Table'!F11</f>
        <v>6615.9830000000002</v>
      </c>
      <c r="G12" s="287"/>
      <c r="H12" s="1524">
        <f>D12/F12</f>
        <v>0.86837153033873249</v>
      </c>
      <c r="I12" s="403"/>
      <c r="J12" s="361">
        <f>DLOM!D65</f>
        <v>0.4</v>
      </c>
      <c r="K12" s="356"/>
      <c r="L12" s="403">
        <f>H12*(1-J12)</f>
        <v>0.52102291820323943</v>
      </c>
    </row>
    <row r="13" spans="2:17" ht="14.85" customHeight="1">
      <c r="B13" s="288"/>
      <c r="C13" s="288"/>
      <c r="D13" s="406"/>
      <c r="E13" s="406"/>
      <c r="F13" s="406"/>
      <c r="G13" s="288"/>
      <c r="H13" s="371"/>
      <c r="I13" s="288"/>
      <c r="J13" s="371"/>
      <c r="K13" s="371"/>
      <c r="L13" s="371"/>
    </row>
    <row r="14" spans="2:17" ht="14.85" customHeight="1">
      <c r="B14" s="211" t="str">
        <f>'OPM 1'!B92</f>
        <v>Total Tranche Value</v>
      </c>
      <c r="D14" s="407">
        <f>SUM(D9:D12)</f>
        <v>13239.134682063244</v>
      </c>
      <c r="E14" s="378"/>
      <c r="F14" s="407">
        <f>SUM(F9:F12)</f>
        <v>12617.649666666668</v>
      </c>
      <c r="H14" s="232"/>
      <c r="J14" s="232"/>
      <c r="K14" s="232"/>
      <c r="L14" s="232"/>
    </row>
    <row r="15" spans="2:17" ht="14.85" customHeight="1"/>
    <row r="16" spans="2:17" ht="14.85" customHeight="1">
      <c r="B16" s="295" t="s">
        <v>86</v>
      </c>
    </row>
    <row r="17" spans="1:23" ht="14.85" customHeight="1">
      <c r="A17" s="296" t="s">
        <v>224</v>
      </c>
      <c r="B17" s="408" t="str">
        <f>"Refer to "&amp;DLOM!B3&amp;" for DLOM calculations."</f>
        <v>Refer to Workpaper #4 for DLOM calculations.</v>
      </c>
      <c r="O17" s="326"/>
      <c r="P17" s="326"/>
      <c r="Q17" s="326"/>
      <c r="R17" s="326"/>
      <c r="S17" s="326"/>
      <c r="T17" s="326"/>
      <c r="U17" s="326"/>
      <c r="V17" s="326"/>
      <c r="W17" s="326"/>
    </row>
    <row r="18" spans="1:23" ht="14.85" customHeight="1">
      <c r="O18" s="409"/>
      <c r="P18" s="326"/>
      <c r="Q18" s="326"/>
      <c r="R18" s="326"/>
      <c r="S18" s="326"/>
      <c r="T18" s="326"/>
      <c r="U18" s="326"/>
      <c r="V18" s="326"/>
      <c r="W18" s="326"/>
    </row>
    <row r="19" spans="1:23" ht="14.85" customHeight="1">
      <c r="D19" s="410"/>
      <c r="O19" s="326"/>
      <c r="P19" s="326"/>
      <c r="Q19" s="326"/>
      <c r="R19" s="326"/>
      <c r="S19" s="326"/>
      <c r="T19" s="326"/>
      <c r="U19" s="326"/>
      <c r="V19" s="326"/>
      <c r="W19" s="326"/>
    </row>
    <row r="20" spans="1:23" ht="14.85" customHeight="1">
      <c r="B20" s="208" t="s">
        <v>1702</v>
      </c>
      <c r="D20" s="294" t="str">
        <f>IF((D14&lt;&gt;'OPM 1'!M92),"Check","")</f>
        <v/>
      </c>
      <c r="O20" s="326"/>
      <c r="P20" s="326"/>
      <c r="Q20" s="326"/>
      <c r="R20" s="411"/>
      <c r="S20" s="326"/>
      <c r="T20" s="326"/>
      <c r="U20" s="326"/>
      <c r="V20" s="326"/>
      <c r="W20" s="326"/>
    </row>
    <row r="21" spans="1:23" ht="14.85" customHeight="1">
      <c r="O21" s="351"/>
      <c r="P21" s="326"/>
      <c r="Q21" s="326"/>
      <c r="R21" s="326"/>
      <c r="S21" s="326"/>
      <c r="T21" s="326"/>
      <c r="U21" s="326"/>
      <c r="V21" s="326"/>
      <c r="W21" s="326"/>
    </row>
    <row r="22" spans="1:23" ht="14.85" customHeight="1">
      <c r="O22" s="351"/>
      <c r="P22" s="326"/>
      <c r="Q22" s="326"/>
      <c r="R22" s="326"/>
      <c r="S22" s="326"/>
      <c r="T22" s="326"/>
      <c r="U22" s="326"/>
      <c r="V22" s="326"/>
      <c r="W22" s="326"/>
    </row>
    <row r="23" spans="1:23" ht="14.85" customHeight="1">
      <c r="O23" s="412"/>
      <c r="P23" s="326"/>
      <c r="Q23" s="326"/>
      <c r="R23" s="329"/>
      <c r="S23" s="326"/>
      <c r="T23" s="326"/>
      <c r="U23" s="326"/>
      <c r="V23" s="326"/>
      <c r="W23" s="326"/>
    </row>
    <row r="24" spans="1:23" ht="14.85" customHeight="1">
      <c r="O24" s="351"/>
      <c r="P24" s="326"/>
      <c r="Q24" s="326"/>
      <c r="R24" s="326"/>
      <c r="S24" s="326"/>
      <c r="T24" s="326"/>
      <c r="U24" s="326"/>
      <c r="V24" s="326"/>
      <c r="W24" s="326"/>
    </row>
    <row r="25" spans="1:23" ht="14.85" customHeight="1">
      <c r="O25" s="351"/>
      <c r="P25" s="326"/>
      <c r="Q25" s="326"/>
      <c r="R25" s="326"/>
      <c r="S25" s="326"/>
      <c r="T25" s="326"/>
      <c r="U25" s="326"/>
      <c r="V25" s="326"/>
      <c r="W25" s="326"/>
    </row>
    <row r="26" spans="1:23" ht="14.85" customHeight="1">
      <c r="O26" s="326"/>
      <c r="P26" s="326"/>
      <c r="Q26" s="326"/>
      <c r="R26" s="326"/>
      <c r="S26" s="326"/>
      <c r="T26" s="326"/>
      <c r="U26" s="326"/>
      <c r="V26" s="326"/>
      <c r="W26" s="326"/>
    </row>
    <row r="27" spans="1:23" ht="14.85" customHeight="1">
      <c r="O27" s="326"/>
      <c r="P27" s="326"/>
      <c r="Q27" s="326"/>
      <c r="R27" s="326"/>
      <c r="S27" s="326"/>
      <c r="T27" s="326"/>
      <c r="U27" s="326"/>
      <c r="V27" s="326"/>
      <c r="W27" s="326"/>
    </row>
    <row r="28" spans="1:23" ht="14.85" customHeight="1">
      <c r="O28" s="326"/>
      <c r="P28" s="326"/>
      <c r="Q28" s="326"/>
      <c r="R28" s="411"/>
      <c r="S28" s="326"/>
      <c r="T28" s="326"/>
      <c r="U28" s="326"/>
      <c r="V28" s="326"/>
      <c r="W28" s="326"/>
    </row>
    <row r="29" spans="1:23" ht="14.85" customHeight="1">
      <c r="O29" s="413"/>
      <c r="P29" s="326"/>
      <c r="Q29" s="326"/>
      <c r="R29" s="326"/>
      <c r="S29" s="326"/>
      <c r="T29" s="326"/>
      <c r="U29" s="326"/>
      <c r="V29" s="326"/>
      <c r="W29" s="326"/>
    </row>
    <row r="30" spans="1:23" ht="14.85" customHeight="1">
      <c r="O30" s="413"/>
      <c r="P30" s="326"/>
      <c r="Q30" s="326"/>
      <c r="R30" s="326"/>
      <c r="S30" s="326"/>
      <c r="T30" s="326"/>
      <c r="U30" s="326"/>
      <c r="V30" s="326"/>
      <c r="W30" s="326"/>
    </row>
    <row r="31" spans="1:23" ht="14.85" customHeight="1">
      <c r="O31" s="414"/>
      <c r="P31" s="326"/>
      <c r="Q31" s="326"/>
      <c r="R31" s="329"/>
      <c r="S31" s="326"/>
      <c r="T31" s="326"/>
      <c r="U31" s="326"/>
      <c r="V31" s="326"/>
      <c r="W31" s="326"/>
    </row>
    <row r="32" spans="1:23" ht="14.85" customHeight="1">
      <c r="O32" s="413"/>
      <c r="P32" s="326"/>
      <c r="Q32" s="326"/>
      <c r="R32" s="326"/>
      <c r="S32" s="326"/>
      <c r="T32" s="326"/>
      <c r="U32" s="326"/>
      <c r="V32" s="326"/>
      <c r="W32" s="326"/>
    </row>
    <row r="33" spans="15:23" ht="14.85" customHeight="1">
      <c r="O33" s="413"/>
      <c r="P33" s="326"/>
      <c r="Q33" s="326"/>
      <c r="R33" s="326"/>
      <c r="S33" s="326"/>
      <c r="T33" s="326"/>
      <c r="U33" s="326"/>
      <c r="V33" s="326"/>
      <c r="W33" s="326"/>
    </row>
    <row r="34" spans="15:23" ht="14.85" customHeight="1">
      <c r="O34" s="326"/>
      <c r="P34" s="326"/>
      <c r="Q34" s="326"/>
      <c r="R34" s="326"/>
      <c r="S34" s="326"/>
      <c r="T34" s="326"/>
      <c r="U34" s="326"/>
      <c r="V34" s="326"/>
      <c r="W34" s="326"/>
    </row>
    <row r="35" spans="15:23" ht="14.85" customHeight="1">
      <c r="O35" s="326"/>
      <c r="P35" s="326"/>
      <c r="Q35" s="326"/>
      <c r="R35" s="326"/>
      <c r="S35" s="326"/>
      <c r="T35" s="326"/>
      <c r="U35" s="326"/>
      <c r="V35" s="326"/>
      <c r="W35" s="326"/>
    </row>
    <row r="36" spans="15:23" ht="14.85" customHeight="1"/>
    <row r="37" spans="15:23" ht="14.85" customHeight="1"/>
    <row r="38" spans="15:23" ht="14.85" customHeight="1"/>
    <row r="39" spans="15:23" ht="14.85" customHeight="1"/>
    <row r="40" spans="15:23" ht="14.85" customHeight="1"/>
    <row r="41" spans="15:23" ht="14.85" customHeight="1"/>
    <row r="42" spans="15:23" ht="14.85" customHeight="1"/>
    <row r="43" spans="15:23" ht="14.85" customHeight="1"/>
    <row r="44" spans="15:23" ht="14.85" customHeight="1"/>
    <row r="45" spans="15:23" ht="14.85" customHeight="1"/>
    <row r="46" spans="15:23" ht="14.85" customHeight="1"/>
    <row r="47" spans="15:23" ht="14.85" customHeight="1"/>
    <row r="48" spans="15:23"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sheetData>
  <dataConsolidate/>
  <conditionalFormatting sqref="B4:I4">
    <cfRule type="cellIs" dxfId="187" priority="9" stopIfTrue="1" operator="equal">
      <formula>"input"</formula>
    </cfRule>
  </conditionalFormatting>
  <conditionalFormatting sqref="J4">
    <cfRule type="cellIs" dxfId="186" priority="7" stopIfTrue="1" operator="equal">
      <formula>"input"</formula>
    </cfRule>
  </conditionalFormatting>
  <conditionalFormatting sqref="J4">
    <cfRule type="cellIs" dxfId="185" priority="8" stopIfTrue="1" operator="equal">
      <formula>"input"</formula>
    </cfRule>
  </conditionalFormatting>
  <conditionalFormatting sqref="K4">
    <cfRule type="cellIs" dxfId="184" priority="5" stopIfTrue="1" operator="equal">
      <formula>"input"</formula>
    </cfRule>
  </conditionalFormatting>
  <conditionalFormatting sqref="K4">
    <cfRule type="cellIs" dxfId="183" priority="6" stopIfTrue="1" operator="equal">
      <formula>"input"</formula>
    </cfRule>
  </conditionalFormatting>
  <conditionalFormatting sqref="L4">
    <cfRule type="cellIs" dxfId="182" priority="1" stopIfTrue="1" operator="equal">
      <formula>"input"</formula>
    </cfRule>
  </conditionalFormatting>
  <conditionalFormatting sqref="L4">
    <cfRule type="cellIs" dxfId="181" priority="2" stopIfTrue="1" operator="equal">
      <formula>"input"</formula>
    </cfRule>
  </conditionalFormatting>
  <pageMargins left="0.5" right="0.5" top="0.5" bottom="0.5" header="0.5" footer="0.5"/>
  <pageSetup scale="98" fitToWidth="0" fitToHeight="0" orientation="landscape" r:id="rId1"/>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9"/>
  <dimension ref="A1:F763"/>
  <sheetViews>
    <sheetView showGridLines="0" view="pageBreakPreview" zoomScale="80" zoomScaleNormal="100" zoomScaleSheetLayoutView="80" workbookViewId="0"/>
  </sheetViews>
  <sheetFormatPr defaultRowHeight="12.75" outlineLevelRow="1"/>
  <cols>
    <col min="1" max="1" width="4.5" style="208" customWidth="1"/>
    <col min="2" max="2" width="94.5" style="208" customWidth="1"/>
    <col min="3" max="3" width="2.83203125" style="208" customWidth="1"/>
    <col min="4" max="4" width="50.83203125" style="208" customWidth="1"/>
    <col min="5" max="5" width="2.83203125" style="208" customWidth="1"/>
    <col min="6" max="6" width="20.83203125" style="208" customWidth="1"/>
    <col min="7" max="7" width="4.5" style="208" customWidth="1"/>
    <col min="8" max="16384" width="9.33203125" style="208"/>
  </cols>
  <sheetData>
    <row r="1" spans="2:6" ht="10.7" customHeight="1" thickBot="1"/>
    <row r="2" spans="2:6" ht="16.5" customHeight="1" thickTop="1">
      <c r="B2" s="216" t="str">
        <f>'MASTER PubCo Inputs'!$C$5</f>
        <v>Medikine, Inc.</v>
      </c>
      <c r="C2" s="216"/>
      <c r="D2" s="216"/>
      <c r="E2" s="216"/>
      <c r="F2" s="216"/>
    </row>
    <row r="3" spans="2:6" ht="15.75" customHeight="1">
      <c r="B3" s="217" t="str">
        <f>VLOOKUP(B4,Outline!$E$8:$G$79,COLUMNS(Outline!$E$8:$G$8),FALSE)</f>
        <v>Workpaper #4</v>
      </c>
      <c r="C3" s="217"/>
      <c r="D3" s="217"/>
      <c r="E3" s="217"/>
      <c r="F3" s="217"/>
    </row>
    <row r="4" spans="2:6" ht="16.5" customHeight="1" thickBot="1">
      <c r="B4" s="444" t="s">
        <v>1718</v>
      </c>
      <c r="C4" s="444"/>
      <c r="D4" s="444"/>
      <c r="E4" s="444"/>
      <c r="F4" s="445"/>
    </row>
    <row r="5" spans="2:6" ht="14.85" customHeight="1" thickTop="1">
      <c r="B5" s="334"/>
    </row>
    <row r="6" spans="2:6" ht="14.85" customHeight="1">
      <c r="B6" s="1839" t="s">
        <v>495</v>
      </c>
      <c r="C6" s="1840"/>
      <c r="D6" s="1841" t="s">
        <v>485</v>
      </c>
      <c r="F6" s="755" t="s">
        <v>70</v>
      </c>
    </row>
    <row r="7" spans="2:6" ht="14.85" customHeight="1">
      <c r="D7" s="282"/>
      <c r="F7" s="756"/>
    </row>
    <row r="8" spans="2:6" ht="14.85" customHeight="1">
      <c r="B8" s="208" t="s">
        <v>1713</v>
      </c>
      <c r="D8" s="757">
        <f>'OPM 1'!D10</f>
        <v>3</v>
      </c>
      <c r="F8" s="214" t="str">
        <f>'OPM 1'!B3</f>
        <v>Workpaper #2</v>
      </c>
    </row>
    <row r="9" spans="2:6" ht="14.85" customHeight="1">
      <c r="B9" s="208" t="s">
        <v>1714</v>
      </c>
      <c r="D9" s="1873">
        <v>1</v>
      </c>
      <c r="F9" s="758" t="s">
        <v>224</v>
      </c>
    </row>
    <row r="10" spans="2:6" ht="14.85" customHeight="1">
      <c r="B10" s="759" t="s">
        <v>1715</v>
      </c>
      <c r="C10" s="435"/>
      <c r="D10" s="760">
        <f>SUM(D8:D9)</f>
        <v>4</v>
      </c>
      <c r="F10" s="214"/>
    </row>
    <row r="11" spans="2:6" ht="14.85" customHeight="1"/>
    <row r="12" spans="2:6" ht="14.85" customHeight="1">
      <c r="B12" s="1839" t="s">
        <v>390</v>
      </c>
      <c r="C12" s="1840"/>
      <c r="D12" s="1841" t="str">
        <f>D6</f>
        <v>OPM</v>
      </c>
    </row>
    <row r="13" spans="2:6" ht="14.85" customHeight="1"/>
    <row r="14" spans="2:6" ht="14.85" customHeight="1">
      <c r="B14" s="762" t="s">
        <v>71</v>
      </c>
      <c r="C14" s="763"/>
      <c r="D14" s="1874">
        <f>D10</f>
        <v>4</v>
      </c>
      <c r="F14" s="766"/>
    </row>
    <row r="15" spans="2:6" ht="14.85" customHeight="1">
      <c r="B15" s="325" t="s">
        <v>72</v>
      </c>
      <c r="C15" s="326"/>
      <c r="D15" s="768">
        <f>'Risk-Free Rates - OPM'!E27</f>
        <v>2.4299999999999999E-2</v>
      </c>
      <c r="F15" s="1166" t="str">
        <f>'Risk-Free Rates - OPM'!B3</f>
        <v>Workpaper #7</v>
      </c>
    </row>
    <row r="16" spans="2:6" ht="14.85" customHeight="1">
      <c r="B16" s="325" t="s">
        <v>73</v>
      </c>
      <c r="C16" s="326"/>
      <c r="D16" s="770">
        <v>0</v>
      </c>
      <c r="F16" s="355"/>
    </row>
    <row r="17" spans="2:6" ht="14.85" customHeight="1">
      <c r="B17" s="771" t="s">
        <v>74</v>
      </c>
      <c r="C17" s="337"/>
      <c r="D17" s="773">
        <f>'Asset Vol_OPM DLOM'!Q50</f>
        <v>0.78738477004648599</v>
      </c>
      <c r="F17" s="766" t="str">
        <f>'Asset Vol_OPM'!B3</f>
        <v>Workpaper #5</v>
      </c>
    </row>
    <row r="18" spans="2:6" ht="14.85" customHeight="1">
      <c r="B18" s="325"/>
      <c r="C18" s="326"/>
      <c r="D18" s="327"/>
    </row>
    <row r="19" spans="2:6" ht="14.85" customHeight="1">
      <c r="B19" s="325" t="s">
        <v>75</v>
      </c>
      <c r="C19" s="326"/>
      <c r="D19" s="775">
        <f>D17^2*D14</f>
        <v>2.4798991044046304</v>
      </c>
    </row>
    <row r="20" spans="2:6" ht="14.85" customHeight="1">
      <c r="B20" s="325" t="s">
        <v>76</v>
      </c>
      <c r="C20" s="326"/>
      <c r="D20" s="775">
        <f>(D17^2*D14+LN(2*(EXP(D19)-D17^2*D14-1))-2*LN(EXP(D19)-1))^0.5</f>
        <v>0.72356888824456089</v>
      </c>
    </row>
    <row r="21" spans="2:6" ht="14.85" customHeight="1">
      <c r="B21" s="325" t="s">
        <v>77</v>
      </c>
      <c r="C21" s="326"/>
      <c r="D21" s="775">
        <f>((D15-D16)*D14)/D20+0.5*D20</f>
        <v>0.49611857813378468</v>
      </c>
    </row>
    <row r="22" spans="2:6" ht="14.85" customHeight="1">
      <c r="B22" s="325" t="s">
        <v>78</v>
      </c>
      <c r="C22" s="326"/>
      <c r="D22" s="775">
        <f>((D15-D16)*D14)/D20-0.5*D20</f>
        <v>-0.22745031011077618</v>
      </c>
    </row>
    <row r="23" spans="2:6" ht="14.85" customHeight="1">
      <c r="B23" s="325"/>
      <c r="C23" s="326"/>
      <c r="D23" s="777"/>
    </row>
    <row r="24" spans="2:6" ht="14.85" customHeight="1">
      <c r="B24" s="778" t="s">
        <v>79</v>
      </c>
      <c r="C24" s="779"/>
      <c r="D24" s="781">
        <f>EXP((D15-D16)*D14)*NORMSDIST(D21)-NORMSDIST(D22)</f>
        <v>0.35050321108302995</v>
      </c>
    </row>
    <row r="25" spans="2:6" ht="14.85" hidden="1" customHeight="1" outlineLevel="1"/>
    <row r="26" spans="2:6" ht="14.85" hidden="1" customHeight="1" outlineLevel="1">
      <c r="B26" s="1839" t="s">
        <v>80</v>
      </c>
      <c r="C26" s="1840"/>
      <c r="D26" s="1841" t="str">
        <f>D12</f>
        <v>OPM</v>
      </c>
    </row>
    <row r="27" spans="2:6" ht="14.85" hidden="1" customHeight="1" outlineLevel="1"/>
    <row r="28" spans="2:6" ht="14.85" hidden="1" customHeight="1" outlineLevel="1">
      <c r="B28" s="762" t="s">
        <v>81</v>
      </c>
      <c r="C28" s="763"/>
      <c r="D28" s="782">
        <v>1</v>
      </c>
    </row>
    <row r="29" spans="2:6" ht="14.85" hidden="1" customHeight="1" outlineLevel="1">
      <c r="B29" s="771" t="s">
        <v>82</v>
      </c>
      <c r="C29" s="326"/>
      <c r="D29" s="329">
        <v>1</v>
      </c>
    </row>
    <row r="30" spans="2:6" ht="14.85" hidden="1" customHeight="1" outlineLevel="1">
      <c r="B30" s="771" t="s">
        <v>83</v>
      </c>
      <c r="C30" s="326"/>
      <c r="D30" s="426">
        <f>D14</f>
        <v>4</v>
      </c>
      <c r="F30" s="507"/>
    </row>
    <row r="31" spans="2:6" ht="14.85" hidden="1" customHeight="1" outlineLevel="1">
      <c r="B31" s="325" t="s">
        <v>72</v>
      </c>
      <c r="C31" s="326"/>
      <c r="D31" s="413">
        <f>D15</f>
        <v>2.4299999999999999E-2</v>
      </c>
      <c r="F31" s="507" t="str">
        <f>+F15</f>
        <v>Workpaper #7</v>
      </c>
    </row>
    <row r="32" spans="2:6" ht="14.85" hidden="1" customHeight="1" outlineLevel="1">
      <c r="B32" s="325" t="s">
        <v>74</v>
      </c>
      <c r="C32" s="326"/>
      <c r="D32" s="351">
        <f>D17</f>
        <v>0.78738477004648599</v>
      </c>
      <c r="F32" s="507" t="str">
        <f>+F17</f>
        <v>Workpaper #5</v>
      </c>
    </row>
    <row r="33" spans="2:6" ht="14.85" hidden="1" customHeight="1" outlineLevel="1">
      <c r="B33" s="325"/>
      <c r="C33" s="326"/>
      <c r="D33" s="326"/>
    </row>
    <row r="34" spans="2:6" ht="14.85" hidden="1" customHeight="1" outlineLevel="1">
      <c r="B34" s="325" t="s">
        <v>84</v>
      </c>
      <c r="C34" s="326"/>
      <c r="D34" s="774">
        <f>(LN(D28/D29)+(D31+D32^2/2)*D30)/(D32*SQRT(D30))</f>
        <v>0.8491080873480521</v>
      </c>
    </row>
    <row r="35" spans="2:6" ht="14.85" hidden="1" customHeight="1" outlineLevel="1">
      <c r="B35" s="325" t="s">
        <v>85</v>
      </c>
      <c r="C35" s="326"/>
      <c r="D35" s="774">
        <f>D34-D32*SQRT(D30)</f>
        <v>-0.72566145274491989</v>
      </c>
    </row>
    <row r="36" spans="2:6" ht="14.85" hidden="1" customHeight="1" outlineLevel="1">
      <c r="B36" s="325"/>
      <c r="C36" s="326"/>
      <c r="D36" s="326"/>
    </row>
    <row r="37" spans="2:6" ht="14.85" hidden="1" customHeight="1" outlineLevel="1">
      <c r="B37" s="778" t="s">
        <v>79</v>
      </c>
      <c r="C37" s="288"/>
      <c r="D37" s="780">
        <f>D29*EXP(-D31*D30)*NORMSDIST(-D35)-D28*NORMSDIST(-D34)</f>
        <v>0.497117278643608</v>
      </c>
    </row>
    <row r="38" spans="2:6" ht="14.85" customHeight="1" collapsed="1"/>
    <row r="39" spans="2:6" ht="14.85" customHeight="1">
      <c r="B39" s="1839" t="s">
        <v>386</v>
      </c>
      <c r="C39" s="1840"/>
      <c r="D39" s="1841" t="str">
        <f>D12</f>
        <v>OPM</v>
      </c>
    </row>
    <row r="40" spans="2:6" ht="14.85" customHeight="1"/>
    <row r="41" spans="2:6" ht="14.85" customHeight="1">
      <c r="B41" s="762" t="s">
        <v>83</v>
      </c>
      <c r="C41" s="763"/>
      <c r="D41" s="1875">
        <f>+D30</f>
        <v>4</v>
      </c>
      <c r="F41" s="1166" t="str">
        <f>F8</f>
        <v>Workpaper #2</v>
      </c>
    </row>
    <row r="42" spans="2:6" ht="14.85" customHeight="1">
      <c r="B42" s="325" t="s">
        <v>81</v>
      </c>
      <c r="C42" s="326"/>
      <c r="D42" s="394">
        <f>+D28</f>
        <v>1</v>
      </c>
    </row>
    <row r="43" spans="2:6" ht="14.85" customHeight="1">
      <c r="B43" s="325" t="s">
        <v>82</v>
      </c>
      <c r="C43" s="326"/>
      <c r="D43" s="394">
        <f>+D29</f>
        <v>1</v>
      </c>
    </row>
    <row r="44" spans="2:6" ht="14.85" customHeight="1">
      <c r="B44" s="325" t="s">
        <v>73</v>
      </c>
      <c r="C44" s="326"/>
      <c r="D44" s="784">
        <f>+D16</f>
        <v>0</v>
      </c>
    </row>
    <row r="45" spans="2:6" ht="14.85" customHeight="1">
      <c r="B45" s="325" t="s">
        <v>74</v>
      </c>
      <c r="C45" s="326"/>
      <c r="D45" s="350">
        <f>+D17</f>
        <v>0.78738477004648599</v>
      </c>
      <c r="F45" s="507"/>
    </row>
    <row r="46" spans="2:6" ht="14.85" customHeight="1">
      <c r="B46" s="325"/>
      <c r="C46" s="326"/>
      <c r="D46" s="327"/>
    </row>
    <row r="47" spans="2:6" ht="14.85" customHeight="1">
      <c r="B47" s="325" t="s">
        <v>388</v>
      </c>
      <c r="C47" s="326"/>
      <c r="D47" s="775">
        <f>LN(2*(EXP((D45^2)*D41)-((D45^2)*D41)-1))-2*(LN((D45^2)*D41))</f>
        <v>1.012079580639407</v>
      </c>
    </row>
    <row r="48" spans="2:6" ht="14.85" customHeight="1">
      <c r="B48" s="325" t="s">
        <v>389</v>
      </c>
      <c r="C48" s="326"/>
      <c r="D48" s="775">
        <f>SQRT(D47)</f>
        <v>1.0060216601243768</v>
      </c>
    </row>
    <row r="49" spans="2:6" ht="14.85" customHeight="1">
      <c r="B49" s="325"/>
      <c r="C49" s="326"/>
      <c r="D49" s="327"/>
    </row>
    <row r="50" spans="2:6" ht="14.85" customHeight="1">
      <c r="B50" s="778" t="s">
        <v>79</v>
      </c>
      <c r="C50" s="288"/>
      <c r="D50" s="781">
        <f>EXP(-D44*D41)*D43*(2*NORMSDIST(D48/2)-1)</f>
        <v>0.38504334213513935</v>
      </c>
    </row>
    <row r="51" spans="2:6" ht="14.85" customHeight="1"/>
    <row r="52" spans="2:6" ht="14.85" hidden="1" customHeight="1" outlineLevel="1">
      <c r="B52" s="787" t="s">
        <v>1972</v>
      </c>
      <c r="C52" s="788"/>
      <c r="D52" s="789" t="str">
        <f>D6</f>
        <v>OPM</v>
      </c>
    </row>
    <row r="53" spans="2:6" ht="14.85" hidden="1" customHeight="1" outlineLevel="1"/>
    <row r="54" spans="2:6" ht="14.85" hidden="1" customHeight="1" outlineLevel="1">
      <c r="B54" s="791" t="s">
        <v>71</v>
      </c>
      <c r="C54" s="792"/>
      <c r="D54" s="793">
        <f>D10</f>
        <v>4</v>
      </c>
      <c r="F54" s="214" t="str">
        <f>F8</f>
        <v>Workpaper #2</v>
      </c>
    </row>
    <row r="55" spans="2:6" ht="14.85" hidden="1" customHeight="1" outlineLevel="1">
      <c r="B55" s="325" t="s">
        <v>72</v>
      </c>
      <c r="C55" s="326"/>
      <c r="D55" s="795">
        <f>D15</f>
        <v>2.4299999999999999E-2</v>
      </c>
      <c r="F55" s="209" t="str">
        <f>F15</f>
        <v>Workpaper #7</v>
      </c>
    </row>
    <row r="56" spans="2:6" ht="14.85" hidden="1" customHeight="1" outlineLevel="1">
      <c r="B56" s="325" t="s">
        <v>73</v>
      </c>
      <c r="C56" s="326"/>
      <c r="D56" s="797">
        <f>D16</f>
        <v>0</v>
      </c>
    </row>
    <row r="57" spans="2:6" ht="14.85" hidden="1" customHeight="1" outlineLevel="1">
      <c r="B57" s="771" t="s">
        <v>74</v>
      </c>
      <c r="C57" s="337"/>
      <c r="D57" s="797">
        <f>D17</f>
        <v>0.78738477004648599</v>
      </c>
      <c r="F57" s="310"/>
    </row>
    <row r="58" spans="2:6" ht="14.85" hidden="1" customHeight="1" outlineLevel="1">
      <c r="B58" s="325"/>
      <c r="C58" s="326"/>
      <c r="D58" s="326"/>
    </row>
    <row r="59" spans="2:6" ht="14.85" hidden="1" customHeight="1" outlineLevel="1">
      <c r="B59" s="325" t="s">
        <v>75</v>
      </c>
      <c r="C59" s="326"/>
      <c r="D59" s="774">
        <f>D57^2*D54</f>
        <v>2.4798991044046304</v>
      </c>
    </row>
    <row r="60" spans="2:6" ht="14.85" hidden="1" customHeight="1" outlineLevel="1">
      <c r="B60" s="325"/>
      <c r="C60" s="326"/>
      <c r="D60" s="774"/>
    </row>
    <row r="61" spans="2:6" ht="14.85" hidden="1" customHeight="1" outlineLevel="1">
      <c r="B61" s="325" t="s">
        <v>1973</v>
      </c>
      <c r="C61" s="326"/>
      <c r="D61" s="351">
        <f>(2+(D59/2))*NORMSDIST(SQRT(D59)/2)+(SQRT(D59/(2*PI()))*EXP(-D59/8))-1</f>
        <v>2.0024367419263145</v>
      </c>
    </row>
    <row r="62" spans="2:6" ht="14.85" hidden="1" customHeight="1" outlineLevel="1">
      <c r="B62" s="325"/>
      <c r="C62" s="326"/>
      <c r="D62" s="774"/>
    </row>
    <row r="63" spans="2:6" ht="14.85" hidden="1" customHeight="1" outlineLevel="1">
      <c r="B63" s="778" t="s">
        <v>1974</v>
      </c>
      <c r="C63" s="779"/>
      <c r="D63" s="780">
        <f>D61/(1+D61)</f>
        <v>0.66693719603284085</v>
      </c>
    </row>
    <row r="64" spans="2:6" ht="14.85" hidden="1" customHeight="1" outlineLevel="1"/>
    <row r="65" spans="1:6" ht="14.85" customHeight="1" collapsed="1">
      <c r="B65" s="1570" t="s">
        <v>391</v>
      </c>
      <c r="C65" s="1837"/>
      <c r="D65" s="1838">
        <f>MROUND(AVERAGE(D50,D37,D24),5%)</f>
        <v>0.4</v>
      </c>
    </row>
    <row r="66" spans="1:6" ht="14.85" customHeight="1"/>
    <row r="67" spans="1:6" ht="20.25" customHeight="1">
      <c r="B67" s="295" t="s">
        <v>86</v>
      </c>
    </row>
    <row r="68" spans="1:6" ht="27.75" customHeight="1">
      <c r="A68" s="803" t="s">
        <v>224</v>
      </c>
      <c r="B68" s="1906" t="str">
        <f>"We applied an additional term of "&amp;TEXT(D9,"0.0")&amp;" year to account for a structured exit for a biopharma company in which cash flows to a preferred shareholder and a common shareholder would accrue over a period given the split of deal value between upfront and milestone payments."</f>
        <v>We applied an additional term of 1.0 year to account for a structured exit for a biopharma company in which cash flows to a preferred shareholder and a common shareholder would accrue over a period given the split of deal value between upfront and milestone payments.</v>
      </c>
      <c r="C68" s="1906"/>
      <c r="D68" s="1906"/>
      <c r="E68" s="1906"/>
      <c r="F68" s="1906"/>
    </row>
    <row r="69" spans="1:6" ht="14.85" customHeight="1">
      <c r="A69" s="803"/>
    </row>
    <row r="70" spans="1:6" ht="14.85" customHeight="1">
      <c r="A70" s="806"/>
      <c r="B70" s="804"/>
      <c r="C70" s="805"/>
      <c r="D70" s="805"/>
      <c r="E70" s="805"/>
      <c r="F70" s="805"/>
    </row>
    <row r="71" spans="1:6" ht="14.85" customHeight="1"/>
    <row r="72" spans="1:6" ht="14.85" customHeight="1"/>
    <row r="73" spans="1:6" ht="14.85" customHeight="1"/>
    <row r="74" spans="1:6" ht="14.85" customHeight="1"/>
    <row r="75" spans="1:6" ht="14.85" customHeight="1"/>
    <row r="76" spans="1:6" ht="14.85" customHeight="1"/>
    <row r="77" spans="1:6" ht="14.85" customHeight="1"/>
    <row r="78" spans="1:6" ht="14.85" customHeight="1"/>
    <row r="79" spans="1:6" ht="14.85" customHeight="1"/>
    <row r="80" spans="1:6"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sheetData>
  <mergeCells count="1">
    <mergeCell ref="B68:F68"/>
  </mergeCells>
  <conditionalFormatting sqref="B4:E4">
    <cfRule type="cellIs" dxfId="180" priority="8" stopIfTrue="1" operator="equal">
      <formula>"input"</formula>
    </cfRule>
  </conditionalFormatting>
  <conditionalFormatting sqref="F4">
    <cfRule type="cellIs" dxfId="179" priority="4" stopIfTrue="1" operator="equal">
      <formula>"input"</formula>
    </cfRule>
  </conditionalFormatting>
  <conditionalFormatting sqref="F4">
    <cfRule type="cellIs" dxfId="178" priority="5" stopIfTrue="1" operator="equal">
      <formula>"input"</formula>
    </cfRule>
  </conditionalFormatting>
  <conditionalFormatting sqref="D9">
    <cfRule type="cellIs" dxfId="177" priority="2" operator="equal">
      <formula>0</formula>
    </cfRule>
  </conditionalFormatting>
  <pageMargins left="0.5" right="0.5" top="0.5" bottom="0.5" header="0.5" footer="0.5"/>
  <pageSetup scale="85" fitToWidth="0" fitToHeight="0" orientation="landscape" r:id="rId1"/>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41"/>
  <dimension ref="A1:AI764"/>
  <sheetViews>
    <sheetView showGridLines="0" view="pageBreakPreview" topLeftCell="A9" zoomScale="80" zoomScaleNormal="100" zoomScaleSheetLayoutView="80" workbookViewId="0"/>
  </sheetViews>
  <sheetFormatPr defaultRowHeight="12.75" outlineLevelRow="1" outlineLevelCol="1"/>
  <cols>
    <col min="1" max="1" width="4.5" style="208" customWidth="1"/>
    <col min="2" max="2" width="29.1640625" style="208" customWidth="1"/>
    <col min="3" max="3" width="3.5" style="208" customWidth="1"/>
    <col min="4" max="4" width="15.83203125" style="208" customWidth="1"/>
    <col min="5" max="5" width="10.83203125" style="208" hidden="1" customWidth="1" outlineLevel="1"/>
    <col min="6" max="7" width="9.83203125" style="208" hidden="1" customWidth="1" outlineLevel="1"/>
    <col min="8" max="8" width="15.83203125" style="208" customWidth="1" collapsed="1"/>
    <col min="9" max="9" width="15.83203125" style="208" customWidth="1"/>
    <col min="10" max="10" width="12.83203125" style="208" customWidth="1"/>
    <col min="11" max="11" width="15.83203125" style="208" customWidth="1"/>
    <col min="12" max="12" width="2.83203125" style="208" customWidth="1"/>
    <col min="13" max="15" width="12.83203125" style="208" customWidth="1"/>
    <col min="16" max="16" width="2.83203125" style="355" customWidth="1"/>
    <col min="17" max="17" width="12.83203125" style="208" customWidth="1"/>
    <col min="18" max="18" width="2.83203125" style="208" customWidth="1"/>
    <col min="19" max="19" width="11.6640625" style="208" hidden="1" customWidth="1" outlineLevel="1"/>
    <col min="20" max="23" width="8.83203125" style="208" hidden="1" customWidth="1" outlineLevel="1"/>
    <col min="24" max="24" width="15.83203125" style="208" customWidth="1" collapsed="1"/>
    <col min="25" max="25" width="12.83203125" style="208" customWidth="1"/>
    <col min="26" max="26" width="4.5" style="208" customWidth="1"/>
    <col min="27" max="27" width="17.5" style="208" bestFit="1" customWidth="1"/>
    <col min="28" max="28" width="14.33203125" style="208" bestFit="1" customWidth="1"/>
    <col min="29" max="29" width="9.6640625" style="208" bestFit="1" customWidth="1"/>
    <col min="30" max="30" width="10.1640625" style="208" bestFit="1" customWidth="1"/>
    <col min="31" max="16384" width="9.33203125" style="208"/>
  </cols>
  <sheetData>
    <row r="1" spans="2:35" ht="10.7" customHeight="1" thickBot="1">
      <c r="P1" s="208"/>
    </row>
    <row r="2" spans="2:35" ht="16.5" customHeight="1" thickTop="1">
      <c r="B2" s="216" t="str">
        <f>'MASTER PubCo Inputs'!$C$5</f>
        <v>Medikine, Inc.</v>
      </c>
      <c r="C2" s="216"/>
      <c r="D2" s="216"/>
      <c r="E2" s="216"/>
      <c r="F2" s="216"/>
      <c r="G2" s="216"/>
      <c r="H2" s="216"/>
      <c r="I2" s="216"/>
      <c r="J2" s="216"/>
      <c r="K2" s="216"/>
      <c r="L2" s="216"/>
      <c r="M2" s="216"/>
      <c r="N2" s="216"/>
      <c r="O2" s="216"/>
      <c r="P2" s="216"/>
      <c r="Q2" s="216"/>
      <c r="R2" s="216"/>
      <c r="S2" s="216"/>
      <c r="T2" s="216"/>
      <c r="U2" s="216"/>
      <c r="V2" s="216"/>
      <c r="W2" s="216"/>
      <c r="X2" s="216"/>
      <c r="Y2" s="216"/>
      <c r="AA2" s="532" t="s">
        <v>87</v>
      </c>
      <c r="AB2" s="533">
        <f>+'Comp.1'!$AL$2</f>
        <v>43496</v>
      </c>
    </row>
    <row r="3" spans="2:35" ht="15.75" customHeight="1">
      <c r="B3" s="217" t="str">
        <f>VLOOKUP(B4,Outline!$E$8:$G$79,COLUMNS(Outline!$E$8:$G$8),FALSE)</f>
        <v>Workpaper #5</v>
      </c>
      <c r="C3" s="217"/>
      <c r="D3" s="217"/>
      <c r="E3" s="217"/>
      <c r="F3" s="217"/>
      <c r="G3" s="217"/>
      <c r="H3" s="217"/>
      <c r="I3" s="217"/>
      <c r="J3" s="217"/>
      <c r="K3" s="217"/>
      <c r="L3" s="217"/>
      <c r="M3" s="217"/>
      <c r="N3" s="217"/>
      <c r="O3" s="217"/>
      <c r="P3" s="217"/>
      <c r="Q3" s="217"/>
      <c r="R3" s="217"/>
      <c r="S3" s="217"/>
      <c r="T3" s="217"/>
      <c r="U3" s="217"/>
      <c r="V3" s="217"/>
      <c r="W3" s="217"/>
      <c r="X3" s="217"/>
      <c r="Y3" s="217"/>
      <c r="AA3" s="534" t="s">
        <v>378</v>
      </c>
      <c r="AB3" s="535" t="str">
        <f>+'Comp.1'!$AL$3</f>
        <v>F</v>
      </c>
    </row>
    <row r="4" spans="2:35" ht="16.5" customHeight="1" thickBot="1">
      <c r="B4" s="444" t="s">
        <v>1716</v>
      </c>
      <c r="C4" s="444"/>
      <c r="D4" s="444"/>
      <c r="E4" s="444"/>
      <c r="F4" s="444"/>
      <c r="G4" s="444"/>
      <c r="H4" s="444"/>
      <c r="I4" s="444"/>
      <c r="J4" s="445"/>
      <c r="K4" s="445"/>
      <c r="L4" s="445"/>
      <c r="M4" s="445"/>
      <c r="N4" s="445"/>
      <c r="O4" s="445"/>
      <c r="P4" s="445"/>
      <c r="Q4" s="445"/>
      <c r="R4" s="445"/>
      <c r="S4" s="445"/>
      <c r="T4" s="445"/>
      <c r="U4" s="445"/>
      <c r="V4" s="445"/>
      <c r="W4" s="445"/>
      <c r="X4" s="445"/>
      <c r="Y4" s="445" t="str">
        <f>+'MASTER PubCo Inputs'!$C$24</f>
        <v>(in millions of USD)</v>
      </c>
      <c r="AA4" s="534" t="s">
        <v>379</v>
      </c>
      <c r="AB4" s="535" t="str">
        <f>+'Comp.1'!$AL$4</f>
        <v>USD</v>
      </c>
    </row>
    <row r="5" spans="2:35" ht="14.85" customHeight="1" thickTop="1">
      <c r="B5" s="355"/>
      <c r="AA5" s="339" t="s">
        <v>89</v>
      </c>
      <c r="AB5" s="536" t="str">
        <f>+'Comp.1'!$AL$5</f>
        <v>H</v>
      </c>
    </row>
    <row r="6" spans="2:35" ht="14.85" hidden="1" customHeight="1" outlineLevel="1">
      <c r="N6" s="807">
        <f>'OPM 1'!D10</f>
        <v>3</v>
      </c>
      <c r="O6" s="808">
        <f>'Risk-Free Rates - OPM'!E27</f>
        <v>2.4299999999999999E-2</v>
      </c>
      <c r="Q6" s="809">
        <f>HLOOKUP(ROUND(N6,0),'Equity Vol'!$D$8:$K$8,1,TRUE)</f>
        <v>3</v>
      </c>
    </row>
    <row r="7" spans="2:35" ht="14.85" customHeight="1" collapsed="1">
      <c r="D7" s="810" t="s">
        <v>91</v>
      </c>
      <c r="E7" s="811"/>
      <c r="F7" s="811"/>
      <c r="G7" s="811"/>
      <c r="H7" s="811"/>
      <c r="I7" s="811"/>
      <c r="J7" s="811"/>
      <c r="K7" s="812"/>
      <c r="M7" s="810" t="s">
        <v>92</v>
      </c>
      <c r="N7" s="811"/>
      <c r="O7" s="811"/>
      <c r="P7" s="813"/>
      <c r="Q7" s="812"/>
      <c r="S7" s="810" t="s">
        <v>93</v>
      </c>
      <c r="T7" s="811"/>
      <c r="U7" s="811"/>
      <c r="V7" s="811"/>
      <c r="W7" s="811"/>
      <c r="X7" s="814" t="s">
        <v>93</v>
      </c>
      <c r="Y7" s="815"/>
    </row>
    <row r="8" spans="2:35" s="229" customFormat="1" ht="45" customHeight="1">
      <c r="B8" s="816" t="s">
        <v>597</v>
      </c>
      <c r="D8" s="817" t="s">
        <v>94</v>
      </c>
      <c r="E8" s="818" t="s">
        <v>95</v>
      </c>
      <c r="F8" s="818" t="s">
        <v>96</v>
      </c>
      <c r="G8" s="818" t="s">
        <v>97</v>
      </c>
      <c r="H8" s="818" t="s">
        <v>98</v>
      </c>
      <c r="I8" s="818" t="s">
        <v>99</v>
      </c>
      <c r="J8" s="818" t="s">
        <v>100</v>
      </c>
      <c r="K8" s="819" t="s">
        <v>101</v>
      </c>
      <c r="L8" s="289"/>
      <c r="M8" s="817" t="s">
        <v>73</v>
      </c>
      <c r="N8" s="818" t="s">
        <v>102</v>
      </c>
      <c r="O8" s="819" t="s">
        <v>72</v>
      </c>
      <c r="P8" s="623"/>
      <c r="Q8" s="820" t="s">
        <v>103</v>
      </c>
      <c r="R8" s="623"/>
      <c r="S8" s="817" t="s">
        <v>104</v>
      </c>
      <c r="T8" s="818" t="s">
        <v>84</v>
      </c>
      <c r="U8" s="818" t="s">
        <v>85</v>
      </c>
      <c r="V8" s="818" t="s">
        <v>105</v>
      </c>
      <c r="W8" s="818" t="s">
        <v>106</v>
      </c>
      <c r="X8" s="821" t="s">
        <v>107</v>
      </c>
      <c r="Y8" s="819" t="s">
        <v>2000</v>
      </c>
      <c r="AA8" s="550" t="s">
        <v>108</v>
      </c>
      <c r="AB8" s="551" t="s">
        <v>109</v>
      </c>
      <c r="AC8" s="551" t="s">
        <v>110</v>
      </c>
      <c r="AD8" s="822"/>
    </row>
    <row r="9" spans="2:35" ht="14.85" customHeight="1"/>
    <row r="10" spans="2:35" ht="14.85" customHeight="1">
      <c r="B10" s="208" t="str">
        <f>'Comp.1'!B12</f>
        <v>Nektar Therapeutics</v>
      </c>
      <c r="D10" s="378">
        <f>IF($B10="(Invalid Identifier)","n/a",'Beta Calc'!K10)</f>
        <v>7328.4</v>
      </c>
      <c r="E10" s="378">
        <f>IF($B10="(Invalid Identifier)","n/a",'Beta Calc'!L10)</f>
        <v>246.5</v>
      </c>
      <c r="F10" s="378" t="str">
        <f>IF($B10="(Invalid Identifier)","n/a",'Beta Calc'!M10)</f>
        <v xml:space="preserve"> n/a </v>
      </c>
      <c r="G10" s="378" t="str">
        <f>IF($B10="(Invalid Identifier)","n/a",'Beta Calc'!N10)</f>
        <v xml:space="preserve"> n/a </v>
      </c>
      <c r="H10" s="283">
        <f>SUM(E10:G10)</f>
        <v>246.5</v>
      </c>
      <c r="I10" s="283">
        <f>SUM(D10:G10)</f>
        <v>7574.9</v>
      </c>
      <c r="J10" s="378">
        <f>IF($B10="(Invalid Identifier)","n/a",'Beta Calc'!Q10)</f>
        <v>1420.4</v>
      </c>
      <c r="K10" s="378">
        <f>IF($B10="(Invalid Identifier)","n/a",I10-J10)</f>
        <v>6154.5</v>
      </c>
      <c r="M10" s="458">
        <f>IFERROR('Capital IQ Sheet-GPC'!AT13,"n/a")</f>
        <v>0</v>
      </c>
      <c r="N10" s="283">
        <f t="shared" ref="N10:O22" si="0">N$6</f>
        <v>3</v>
      </c>
      <c r="O10" s="823">
        <f t="shared" si="0"/>
        <v>2.4299999999999999E-2</v>
      </c>
      <c r="P10" s="824"/>
      <c r="Q10" s="825">
        <f>IFERROR(HLOOKUP($Q$6,'Equity Vol'!$B$8:$K10,ROWS('Equity Vol'!$C$8:$C10),FALSE),"n/a")</f>
        <v>0.66700000000000004</v>
      </c>
      <c r="R10" s="826"/>
      <c r="S10" s="827">
        <f>IFERROR(IF(Q10="n/a","n/a",Q10^2),"n/a")</f>
        <v>0.44488900000000003</v>
      </c>
      <c r="T10" s="827">
        <f>IF(OR(K10="n/a",S10="n/a"),"n/a",IF(H10=0,0,IF(M10=0,(LN(K10/H10)+((O10+(S10/2))*N10))/((S10*N10)^0.5),(LN(K10/H10)+((O10-M10+(S10/2))*N10))/((S10*N10)^0.5))))</f>
        <v>3.4258513436086315</v>
      </c>
      <c r="U10" s="828">
        <f>IF(T10="n/a","n/a",IF(H10=0,0,T10-(S10*N10)^0.5))</f>
        <v>2.2705734549601901</v>
      </c>
      <c r="V10" s="828">
        <f>IF(OR(T10="n/a",S10="n/a"),"n/a",IF(H10=0,0,NORMSDIST(T10)))</f>
        <v>0.99969356214340555</v>
      </c>
      <c r="W10" s="828">
        <f>IF(OR(U10="n/a",S10="n/a"),"n/a",IF(H10=0,0,NORMSDIST(U10)))</f>
        <v>0.98841359403867224</v>
      </c>
      <c r="X10" s="378">
        <f>IF(OR(K10="n/a",S10="n/a"),"n/a",IF(M10=0,(K10*V10)-((H10*EXP(1)^(-O10*N10))*W10),(K10*(2.718^(-M10*N10))*V10)-(H10*(2.718^(-O10*N10))*W10)))</f>
        <v>5926.099758901405</v>
      </c>
      <c r="Y10" s="825">
        <f>IFERROR(IF(LEN(B10)&gt;0,IF(H10=0,Q10,IF(ISERROR(Q10/((K10/X10)*V10)),"n/a",Q10/((K10/X10)*V10)))),"n/a")</f>
        <v>0.64244376797616054</v>
      </c>
      <c r="AA10" s="557" t="str">
        <f>IF('MASTER PubCo Inputs'!B28=0,"",'MASTER PubCo Inputs'!B28)</f>
        <v>NasdaqGS:NKTR</v>
      </c>
      <c r="AB10" s="378">
        <f>IF($B10="(Invalid Identifier)","n/a",'Beta Calc'!Z10)</f>
        <v>6154.5326800000003</v>
      </c>
      <c r="AC10" s="1613">
        <f t="shared" ref="AC10:AC22" si="1">IF($B10="(Invalid Identifier)","n/a",K10-AB10)</f>
        <v>-3.268000000025495E-2</v>
      </c>
      <c r="AI10" s="559"/>
    </row>
    <row r="11" spans="2:35" ht="14.85" customHeight="1">
      <c r="B11" s="208" t="str">
        <f>'Comp.1'!B13</f>
        <v>Fate Therapeutics, Inc.</v>
      </c>
      <c r="D11" s="378">
        <f>IF($B11="(Invalid Identifier)","n/a",'Beta Calc'!K11)</f>
        <v>978.1</v>
      </c>
      <c r="E11" s="378">
        <f>IF($B11="(Invalid Identifier)","n/a",'Beta Calc'!L11)</f>
        <v>14.9</v>
      </c>
      <c r="F11" s="378">
        <f>IF($B11="(Invalid Identifier)","n/a",'Beta Calc'!M11)</f>
        <v>0</v>
      </c>
      <c r="G11" s="378" t="str">
        <f>IF($B11="(Invalid Identifier)","n/a",'Beta Calc'!N11)</f>
        <v xml:space="preserve"> n/a </v>
      </c>
      <c r="H11" s="283">
        <f t="shared" ref="H11:H22" si="2">SUM(E11:G11)</f>
        <v>14.9</v>
      </c>
      <c r="I11" s="283">
        <f t="shared" ref="I11:I22" si="3">SUM(D11:G11)</f>
        <v>993</v>
      </c>
      <c r="J11" s="378">
        <f>IF($B11="(Invalid Identifier)","n/a",'Beta Calc'!Q11)</f>
        <v>211.2</v>
      </c>
      <c r="K11" s="378">
        <f t="shared" ref="K11:K22" si="4">IF($B11="(Invalid Identifier)","n/a",I11-J11)</f>
        <v>781.8</v>
      </c>
      <c r="M11" s="458">
        <f>IFERROR('Capital IQ Sheet-GPC'!AT14,"n/a")</f>
        <v>0</v>
      </c>
      <c r="N11" s="283">
        <f t="shared" si="0"/>
        <v>3</v>
      </c>
      <c r="O11" s="823">
        <f t="shared" si="0"/>
        <v>2.4299999999999999E-2</v>
      </c>
      <c r="P11" s="824"/>
      <c r="Q11" s="825">
        <f>IFERROR(HLOOKUP($Q$6,'Equity Vol'!$B$8:$K11,ROWS('Equity Vol'!$C$8:$C11),FALSE),"n/a")</f>
        <v>0.755</v>
      </c>
      <c r="R11" s="826"/>
      <c r="S11" s="827">
        <f t="shared" ref="S11:S22" si="5">IFERROR(IF(Q11="n/a","n/a",Q11^2),"n/a")</f>
        <v>0.570025</v>
      </c>
      <c r="T11" s="827">
        <f t="shared" ref="T11:T22" si="6">IF(OR(K11="n/a",S11="n/a"),"n/a",IF(H11=0,0,IF(M11=0,(LN(K11/H11)+((O11+(S11/2))*N11))/((S11*N11)^0.5),(LN(K11/H11)+((O11-M11+(S11/2))*N11))/((S11*N11)^0.5))))</f>
        <v>3.7379990607884763</v>
      </c>
      <c r="U11" s="828">
        <f t="shared" ref="U11:U22" si="7">IF(T11="n/a","n/a",IF(H11=0,0,T11-(S11*N11)^0.5))</f>
        <v>2.4303007010739739</v>
      </c>
      <c r="V11" s="828">
        <f t="shared" ref="V11:V22" si="8">IF(OR(T11="n/a",S11="n/a"),"n/a",IF(H11=0,0,NORMSDIST(T11)))</f>
        <v>0.99990725468020791</v>
      </c>
      <c r="W11" s="828">
        <f t="shared" ref="W11:W22" si="9">IF(OR(U11="n/a",S11="n/a"),"n/a",IF(H11=0,0,NORMSDIST(U11)))</f>
        <v>0.99245684972686254</v>
      </c>
      <c r="X11" s="378">
        <f t="shared" ref="X11:X21" si="10">IF(OR(K11="n/a",S11="n/a"),"n/a",IF(M11=0,(K11*V11)-((H11*EXP(1)^(-O11*N11))*W11),(K11*(2.718^(-M11*N11))*V11)-(H11*(2.718^(-O11*N11))*W11)))</f>
        <v>767.97954518513552</v>
      </c>
      <c r="Y11" s="825">
        <f t="shared" ref="Y11:Y22" si="11">IFERROR(IF(LEN(B11)&gt;0,IF(H11=0,Q11,IF(ISERROR(Q11/((K11/X11)*V11)),"n/a",Q11/((K11/X11)*V11)))),"n/a")</f>
        <v>0.74172209979104653</v>
      </c>
      <c r="AA11" s="557" t="str">
        <f>IF('MASTER PubCo Inputs'!B29=0,"",'MASTER PubCo Inputs'!B29)</f>
        <v>NasdaqGM:FATE</v>
      </c>
      <c r="AB11" s="378">
        <f>IF($B11="(Invalid Identifier)","n/a",'Beta Calc'!Z11)</f>
        <v>781.76391000000001</v>
      </c>
      <c r="AC11" s="1613">
        <f t="shared" si="1"/>
        <v>3.6089999999944666E-2</v>
      </c>
      <c r="AI11" s="559"/>
    </row>
    <row r="12" spans="2:35" ht="14.85" customHeight="1">
      <c r="B12" s="208" t="str">
        <f>'Comp.1'!B14</f>
        <v>Synthorx, Inc.</v>
      </c>
      <c r="D12" s="378">
        <f>IF($B12="(Invalid Identifier)","n/a",'Beta Calc'!K12)</f>
        <v>441.9</v>
      </c>
      <c r="E12" s="378" t="str">
        <f>IF($B12="(Invalid Identifier)","n/a",'Beta Calc'!L12)</f>
        <v xml:space="preserve"> -   </v>
      </c>
      <c r="F12" s="378">
        <f>IF($B12="(Invalid Identifier)","n/a",'Beta Calc'!M12)</f>
        <v>37.5</v>
      </c>
      <c r="G12" s="378" t="str">
        <f>IF($B12="(Invalid Identifier)","n/a",'Beta Calc'!N12)</f>
        <v xml:space="preserve"> n/a </v>
      </c>
      <c r="H12" s="283">
        <f t="shared" si="2"/>
        <v>37.5</v>
      </c>
      <c r="I12" s="283">
        <f t="shared" si="3"/>
        <v>479.4</v>
      </c>
      <c r="J12" s="378">
        <f>IF($B12="(Invalid Identifier)","n/a",'Beta Calc'!Q12)</f>
        <v>20.6</v>
      </c>
      <c r="K12" s="378">
        <f t="shared" si="4"/>
        <v>458.79999999999995</v>
      </c>
      <c r="M12" s="458">
        <f>IFERROR('Capital IQ Sheet-GPC'!AT15,"n/a")</f>
        <v>0</v>
      </c>
      <c r="N12" s="283">
        <f t="shared" si="0"/>
        <v>3</v>
      </c>
      <c r="O12" s="823">
        <f t="shared" si="0"/>
        <v>2.4299999999999999E-2</v>
      </c>
      <c r="P12" s="824"/>
      <c r="Q12" s="825" t="str">
        <f>IFERROR(HLOOKUP($Q$6,'Equity Vol'!$B$8:$K12,ROWS('Equity Vol'!$C$8:$C12),FALSE),"n/a")</f>
        <v>NM</v>
      </c>
      <c r="R12" s="826"/>
      <c r="S12" s="827" t="str">
        <f t="shared" si="5"/>
        <v>n/a</v>
      </c>
      <c r="T12" s="827" t="str">
        <f t="shared" si="6"/>
        <v>n/a</v>
      </c>
      <c r="U12" s="828" t="str">
        <f t="shared" si="7"/>
        <v>n/a</v>
      </c>
      <c r="V12" s="828" t="str">
        <f t="shared" si="8"/>
        <v>n/a</v>
      </c>
      <c r="W12" s="828" t="str">
        <f t="shared" si="9"/>
        <v>n/a</v>
      </c>
      <c r="X12" s="378" t="str">
        <f t="shared" si="10"/>
        <v>n/a</v>
      </c>
      <c r="Y12" s="825" t="str">
        <f t="shared" si="11"/>
        <v>n/a</v>
      </c>
      <c r="AA12" s="557" t="str">
        <f>IF('MASTER PubCo Inputs'!B30=0,"",'MASTER PubCo Inputs'!B30)</f>
        <v>NasdaqGS:THOR</v>
      </c>
      <c r="AB12" s="378">
        <f>IF($B12="(Invalid Identifier)","n/a",'Beta Calc'!Z12)</f>
        <v>458.77701999999999</v>
      </c>
      <c r="AC12" s="1613">
        <f t="shared" si="1"/>
        <v>2.2979999999961365E-2</v>
      </c>
      <c r="AI12" s="559"/>
    </row>
    <row r="13" spans="2:35" ht="14.85" customHeight="1">
      <c r="B13" s="208" t="str">
        <f>'Comp.1'!B15</f>
        <v>ZIOPHARM Oncology, Inc.</v>
      </c>
      <c r="D13" s="378">
        <f>IF($B13="(Invalid Identifier)","n/a",'Beta Calc'!K13)</f>
        <v>316.3</v>
      </c>
      <c r="E13" s="378" t="str">
        <f>IF($B13="(Invalid Identifier)","n/a",'Beta Calc'!L13)</f>
        <v xml:space="preserve"> -   </v>
      </c>
      <c r="F13" s="378">
        <f>IF($B13="(Invalid Identifier)","n/a",'Beta Calc'!M13)</f>
        <v>160.4</v>
      </c>
      <c r="G13" s="378" t="str">
        <f>IF($B13="(Invalid Identifier)","n/a",'Beta Calc'!N13)</f>
        <v xml:space="preserve"> n/a </v>
      </c>
      <c r="H13" s="283">
        <f t="shared" si="2"/>
        <v>160.4</v>
      </c>
      <c r="I13" s="283">
        <f t="shared" si="3"/>
        <v>476.70000000000005</v>
      </c>
      <c r="J13" s="378">
        <f>IF($B13="(Invalid Identifier)","n/a",'Beta Calc'!Q13)</f>
        <v>31.7</v>
      </c>
      <c r="K13" s="378">
        <f t="shared" si="4"/>
        <v>445.00000000000006</v>
      </c>
      <c r="M13" s="458">
        <f>IFERROR('Capital IQ Sheet-GPC'!AT16,"n/a")</f>
        <v>0</v>
      </c>
      <c r="N13" s="283">
        <f t="shared" si="0"/>
        <v>3</v>
      </c>
      <c r="O13" s="823">
        <f t="shared" si="0"/>
        <v>2.4299999999999999E-2</v>
      </c>
      <c r="P13" s="824"/>
      <c r="Q13" s="825">
        <f>IFERROR(HLOOKUP($Q$6,'Equity Vol'!$B$8:$K13,ROWS('Equity Vol'!$C$8:$C13),FALSE),"n/a")</f>
        <v>0.69399999999999995</v>
      </c>
      <c r="R13" s="826"/>
      <c r="S13" s="827">
        <f t="shared" si="5"/>
        <v>0.48163599999999995</v>
      </c>
      <c r="T13" s="827">
        <f t="shared" si="6"/>
        <v>1.5105592672678383</v>
      </c>
      <c r="U13" s="828">
        <f t="shared" si="7"/>
        <v>0.30851600681503744</v>
      </c>
      <c r="V13" s="828">
        <f t="shared" si="8"/>
        <v>0.93454961075547327</v>
      </c>
      <c r="W13" s="828">
        <f t="shared" si="9"/>
        <v>0.62115513890114238</v>
      </c>
      <c r="X13" s="378">
        <f t="shared" si="10"/>
        <v>323.2461306400528</v>
      </c>
      <c r="Y13" s="825">
        <f t="shared" si="11"/>
        <v>0.53942420909161104</v>
      </c>
      <c r="AA13" s="557" t="str">
        <f>IF('MASTER PubCo Inputs'!B31=0,"",'MASTER PubCo Inputs'!B31)</f>
        <v>NasdaqCM:ZIOP</v>
      </c>
      <c r="AB13" s="378">
        <f>IF($B13="(Invalid Identifier)","n/a",'Beta Calc'!Z13)</f>
        <v>445.02354000000003</v>
      </c>
      <c r="AC13" s="1613">
        <f t="shared" si="1"/>
        <v>-2.3539999999968586E-2</v>
      </c>
      <c r="AI13" s="559"/>
    </row>
    <row r="14" spans="2:35" ht="14.85" customHeight="1">
      <c r="B14" s="208" t="str">
        <f>'Comp.1'!B16</f>
        <v>Stemline Therapeutics, Inc.</v>
      </c>
      <c r="D14" s="378">
        <f>IF($B14="(Invalid Identifier)","n/a",'Beta Calc'!K14)</f>
        <v>434.2</v>
      </c>
      <c r="E14" s="378" t="str">
        <f>IF($B14="(Invalid Identifier)","n/a",'Beta Calc'!L14)</f>
        <v xml:space="preserve"> -   </v>
      </c>
      <c r="F14" s="378" t="str">
        <f>IF($B14="(Invalid Identifier)","n/a",'Beta Calc'!M14)</f>
        <v xml:space="preserve"> n/a </v>
      </c>
      <c r="G14" s="378" t="str">
        <f>IF($B14="(Invalid Identifier)","n/a",'Beta Calc'!N14)</f>
        <v xml:space="preserve"> n/a </v>
      </c>
      <c r="H14" s="283">
        <f t="shared" si="2"/>
        <v>0</v>
      </c>
      <c r="I14" s="283">
        <f t="shared" si="3"/>
        <v>434.2</v>
      </c>
      <c r="J14" s="378">
        <f>IF($B14="(Invalid Identifier)","n/a",'Beta Calc'!Q14)</f>
        <v>78.599999999999994</v>
      </c>
      <c r="K14" s="378">
        <f t="shared" si="4"/>
        <v>355.6</v>
      </c>
      <c r="M14" s="458">
        <f>IFERROR('Capital IQ Sheet-GPC'!AT17,"n/a")</f>
        <v>0</v>
      </c>
      <c r="N14" s="283">
        <f t="shared" si="0"/>
        <v>3</v>
      </c>
      <c r="O14" s="823">
        <f t="shared" si="0"/>
        <v>2.4299999999999999E-2</v>
      </c>
      <c r="P14" s="824"/>
      <c r="Q14" s="825">
        <f>IFERROR(HLOOKUP($Q$6,'Equity Vol'!$B$8:$K14,ROWS('Equity Vol'!$C$8:$C14),FALSE),"n/a")</f>
        <v>0.68500000000000005</v>
      </c>
      <c r="R14" s="826"/>
      <c r="S14" s="827">
        <f t="shared" si="5"/>
        <v>0.46922500000000006</v>
      </c>
      <c r="T14" s="827">
        <f t="shared" si="6"/>
        <v>0</v>
      </c>
      <c r="U14" s="828">
        <f t="shared" si="7"/>
        <v>0</v>
      </c>
      <c r="V14" s="828">
        <f t="shared" si="8"/>
        <v>0</v>
      </c>
      <c r="W14" s="828">
        <f t="shared" si="9"/>
        <v>0</v>
      </c>
      <c r="X14" s="378">
        <f t="shared" si="10"/>
        <v>0</v>
      </c>
      <c r="Y14" s="825">
        <f t="shared" si="11"/>
        <v>0.68500000000000005</v>
      </c>
      <c r="AA14" s="557" t="str">
        <f>IF('MASTER PubCo Inputs'!B32=0,"",'MASTER PubCo Inputs'!B32)</f>
        <v>NasdaqCM:STML</v>
      </c>
      <c r="AB14" s="378">
        <f>IF($B14="(Invalid Identifier)","n/a",'Beta Calc'!Z14)</f>
        <v>355.63204999999999</v>
      </c>
      <c r="AC14" s="1613">
        <f t="shared" si="1"/>
        <v>-3.2049999999969714E-2</v>
      </c>
      <c r="AI14" s="559"/>
    </row>
    <row r="15" spans="2:35" ht="14.85" customHeight="1">
      <c r="B15" s="208" t="str">
        <f>'Comp.1'!B17</f>
        <v>TG Therapeutics, Inc.</v>
      </c>
      <c r="D15" s="378">
        <f>IF($B15="(Invalid Identifier)","n/a",'Beta Calc'!K15)</f>
        <v>315</v>
      </c>
      <c r="E15" s="378">
        <f>IF($B15="(Invalid Identifier)","n/a",'Beta Calc'!L15)</f>
        <v>0.1</v>
      </c>
      <c r="F15" s="378" t="str">
        <f>IF($B15="(Invalid Identifier)","n/a",'Beta Calc'!M15)</f>
        <v xml:space="preserve"> n/a </v>
      </c>
      <c r="G15" s="378" t="str">
        <f>IF($B15="(Invalid Identifier)","n/a",'Beta Calc'!N15)</f>
        <v xml:space="preserve"> n/a </v>
      </c>
      <c r="H15" s="283">
        <f t="shared" si="2"/>
        <v>0.1</v>
      </c>
      <c r="I15" s="283">
        <f t="shared" si="3"/>
        <v>315.10000000000002</v>
      </c>
      <c r="J15" s="378">
        <f>IF($B15="(Invalid Identifier)","n/a",'Beta Calc'!Q15)</f>
        <v>97.7</v>
      </c>
      <c r="K15" s="378">
        <f t="shared" si="4"/>
        <v>217.40000000000003</v>
      </c>
      <c r="M15" s="458">
        <f>IFERROR('Capital IQ Sheet-GPC'!AT18,"n/a")</f>
        <v>0</v>
      </c>
      <c r="N15" s="283">
        <f t="shared" si="0"/>
        <v>3</v>
      </c>
      <c r="O15" s="823">
        <f t="shared" si="0"/>
        <v>2.4299999999999999E-2</v>
      </c>
      <c r="P15" s="824"/>
      <c r="Q15" s="825">
        <f>IFERROR(HLOOKUP($Q$6,'Equity Vol'!$B$8:$K15,ROWS('Equity Vol'!$C$8:$C15),FALSE),"n/a")</f>
        <v>0.82799999999999996</v>
      </c>
      <c r="R15" s="826"/>
      <c r="S15" s="827">
        <f t="shared" si="5"/>
        <v>0.68558399999999997</v>
      </c>
      <c r="T15" s="827">
        <f t="shared" si="6"/>
        <v>6.1260489904204221</v>
      </c>
      <c r="U15" s="828">
        <f t="shared" si="7"/>
        <v>4.6919109217533919</v>
      </c>
      <c r="V15" s="828">
        <f t="shared" si="8"/>
        <v>0.99999999954955965</v>
      </c>
      <c r="W15" s="828">
        <f t="shared" si="9"/>
        <v>0.99999864667510308</v>
      </c>
      <c r="X15" s="378">
        <f t="shared" si="10"/>
        <v>217.3070306484164</v>
      </c>
      <c r="Y15" s="825">
        <f t="shared" si="11"/>
        <v>0.82764591286999356</v>
      </c>
      <c r="AA15" s="557" t="str">
        <f>IF('MASTER PubCo Inputs'!B33=0,"",'MASTER PubCo Inputs'!B33)</f>
        <v>NasdaqCM:TGTX</v>
      </c>
      <c r="AB15" s="378">
        <f>IF($B15="(Invalid Identifier)","n/a",'Beta Calc'!Z15)</f>
        <v>217.34072</v>
      </c>
      <c r="AC15" s="1613">
        <f t="shared" si="1"/>
        <v>5.9280000000029531E-2</v>
      </c>
      <c r="AI15" s="559"/>
    </row>
    <row r="16" spans="2:35" ht="14.85" customHeight="1">
      <c r="B16" s="208" t="str">
        <f>'Comp.1'!B18</f>
        <v>XOMA Corporation</v>
      </c>
      <c r="D16" s="378">
        <f>IF($B16="(Invalid Identifier)","n/a",'Beta Calc'!K16)</f>
        <v>104.8</v>
      </c>
      <c r="E16" s="378">
        <f>IF($B16="(Invalid Identifier)","n/a",'Beta Calc'!L16)</f>
        <v>22</v>
      </c>
      <c r="F16" s="378" t="str">
        <f>IF($B16="(Invalid Identifier)","n/a",'Beta Calc'!M16)</f>
        <v xml:space="preserve"> n/a </v>
      </c>
      <c r="G16" s="378" t="str">
        <f>IF($B16="(Invalid Identifier)","n/a",'Beta Calc'!N16)</f>
        <v xml:space="preserve"> n/a </v>
      </c>
      <c r="H16" s="283">
        <f t="shared" si="2"/>
        <v>22</v>
      </c>
      <c r="I16" s="283">
        <f t="shared" si="3"/>
        <v>126.8</v>
      </c>
      <c r="J16" s="378">
        <f>IF($B16="(Invalid Identifier)","n/a",'Beta Calc'!Q16)</f>
        <v>28.4</v>
      </c>
      <c r="K16" s="378">
        <f t="shared" si="4"/>
        <v>98.4</v>
      </c>
      <c r="M16" s="458">
        <f>IFERROR('Capital IQ Sheet-GPC'!AT19,"n/a")</f>
        <v>0</v>
      </c>
      <c r="N16" s="283">
        <f t="shared" si="0"/>
        <v>3</v>
      </c>
      <c r="O16" s="823">
        <f t="shared" si="0"/>
        <v>2.4299999999999999E-2</v>
      </c>
      <c r="P16" s="824"/>
      <c r="Q16" s="825">
        <f>IFERROR(HLOOKUP($Q$6,'Equity Vol'!$B$8:$K16,ROWS('Equity Vol'!$C$8:$C16),FALSE),"n/a")</f>
        <v>0.76700000000000002</v>
      </c>
      <c r="R16" s="826"/>
      <c r="S16" s="827">
        <f t="shared" si="5"/>
        <v>0.58828900000000006</v>
      </c>
      <c r="T16" s="827">
        <f t="shared" si="6"/>
        <v>1.8467168245281165</v>
      </c>
      <c r="U16" s="828">
        <f t="shared" si="7"/>
        <v>0.51823385512278741</v>
      </c>
      <c r="V16" s="828">
        <f t="shared" si="8"/>
        <v>0.96760590400228008</v>
      </c>
      <c r="W16" s="828">
        <f t="shared" si="9"/>
        <v>0.69785244178975803</v>
      </c>
      <c r="X16" s="378">
        <f t="shared" si="10"/>
        <v>80.939061088489979</v>
      </c>
      <c r="Y16" s="825">
        <f t="shared" si="11"/>
        <v>0.65201849961339797</v>
      </c>
      <c r="AA16" s="557" t="str">
        <f>IF('MASTER PubCo Inputs'!B34=0,"",'MASTER PubCo Inputs'!B34)</f>
        <v>NasdaqGM:XOMA</v>
      </c>
      <c r="AB16" s="378">
        <f>IF($B16="(Invalid Identifier)","n/a",'Beta Calc'!Z16)</f>
        <v>98.380399999999995</v>
      </c>
      <c r="AC16" s="1613">
        <f t="shared" si="1"/>
        <v>1.9600000000011164E-2</v>
      </c>
      <c r="AI16" s="559"/>
    </row>
    <row r="17" spans="2:35" ht="14.85" customHeight="1">
      <c r="B17" s="208" t="str">
        <f>'Comp.1'!B19</f>
        <v>Five Prime Therapeutics, Inc.</v>
      </c>
      <c r="D17" s="378">
        <f>IF($B17="(Invalid Identifier)","n/a",'Beta Calc'!K17)</f>
        <v>399</v>
      </c>
      <c r="E17" s="378" t="str">
        <f>IF($B17="(Invalid Identifier)","n/a",'Beta Calc'!L17)</f>
        <v xml:space="preserve"> -   </v>
      </c>
      <c r="F17" s="378" t="str">
        <f>IF($B17="(Invalid Identifier)","n/a",'Beta Calc'!M17)</f>
        <v xml:space="preserve"> n/a </v>
      </c>
      <c r="G17" s="378" t="str">
        <f>IF($B17="(Invalid Identifier)","n/a",'Beta Calc'!N17)</f>
        <v xml:space="preserve"> n/a </v>
      </c>
      <c r="H17" s="283">
        <f t="shared" si="2"/>
        <v>0</v>
      </c>
      <c r="I17" s="283">
        <f t="shared" si="3"/>
        <v>399</v>
      </c>
      <c r="J17" s="378">
        <f>IF($B17="(Invalid Identifier)","n/a",'Beta Calc'!Q17)</f>
        <v>321.60000000000002</v>
      </c>
      <c r="K17" s="378">
        <f t="shared" si="4"/>
        <v>77.399999999999977</v>
      </c>
      <c r="M17" s="458">
        <f>IFERROR('Capital IQ Sheet-GPC'!AT20,"n/a")</f>
        <v>0</v>
      </c>
      <c r="N17" s="283">
        <f t="shared" si="0"/>
        <v>3</v>
      </c>
      <c r="O17" s="823">
        <f t="shared" si="0"/>
        <v>2.4299999999999999E-2</v>
      </c>
      <c r="P17" s="824"/>
      <c r="Q17" s="825">
        <f>IFERROR(HLOOKUP($Q$6,'Equity Vol'!$B$8:$K17,ROWS('Equity Vol'!$C$8:$C17),FALSE),"n/a")</f>
        <v>0.625</v>
      </c>
      <c r="R17" s="826"/>
      <c r="S17" s="827">
        <f t="shared" si="5"/>
        <v>0.390625</v>
      </c>
      <c r="T17" s="827">
        <f t="shared" si="6"/>
        <v>0</v>
      </c>
      <c r="U17" s="828">
        <f t="shared" si="7"/>
        <v>0</v>
      </c>
      <c r="V17" s="828">
        <f t="shared" si="8"/>
        <v>0</v>
      </c>
      <c r="W17" s="828">
        <f t="shared" si="9"/>
        <v>0</v>
      </c>
      <c r="X17" s="378">
        <f t="shared" si="10"/>
        <v>0</v>
      </c>
      <c r="Y17" s="825">
        <f t="shared" si="11"/>
        <v>0.625</v>
      </c>
      <c r="AA17" s="557" t="str">
        <f>IF('MASTER PubCo Inputs'!B35=0,"",'MASTER PubCo Inputs'!B35)</f>
        <v>NasdaqGS:FPRX</v>
      </c>
      <c r="AB17" s="378">
        <f>IF($B17="(Invalid Identifier)","n/a",'Beta Calc'!Z17)</f>
        <v>77.393370000000004</v>
      </c>
      <c r="AC17" s="1613">
        <f t="shared" si="1"/>
        <v>6.6299999999728243E-3</v>
      </c>
      <c r="AI17" s="559"/>
    </row>
    <row r="18" spans="2:35" ht="14.85" customHeight="1">
      <c r="B18" s="208" t="str">
        <f>'Comp.1'!B20</f>
        <v>Cue Biopharma, Inc.</v>
      </c>
      <c r="D18" s="378">
        <f>IF($B18="(Invalid Identifier)","n/a",'Beta Calc'!K18)</f>
        <v>105.8</v>
      </c>
      <c r="E18" s="378" t="str">
        <f>IF($B18="(Invalid Identifier)","n/a",'Beta Calc'!L18)</f>
        <v xml:space="preserve"> -   </v>
      </c>
      <c r="F18" s="378" t="str">
        <f>IF($B18="(Invalid Identifier)","n/a",'Beta Calc'!M18)</f>
        <v xml:space="preserve"> n/a </v>
      </c>
      <c r="G18" s="378" t="str">
        <f>IF($B18="(Invalid Identifier)","n/a",'Beta Calc'!N18)</f>
        <v xml:space="preserve"> n/a </v>
      </c>
      <c r="H18" s="283">
        <f t="shared" si="2"/>
        <v>0</v>
      </c>
      <c r="I18" s="283">
        <f t="shared" si="3"/>
        <v>105.8</v>
      </c>
      <c r="J18" s="378">
        <f>IF($B18="(Invalid Identifier)","n/a",'Beta Calc'!Q18)</f>
        <v>39.200000000000003</v>
      </c>
      <c r="K18" s="378">
        <f t="shared" si="4"/>
        <v>66.599999999999994</v>
      </c>
      <c r="M18" s="458">
        <f>IFERROR('Capital IQ Sheet-GPC'!AT21,"n/a")</f>
        <v>0</v>
      </c>
      <c r="N18" s="283">
        <f t="shared" si="0"/>
        <v>3</v>
      </c>
      <c r="O18" s="823">
        <f t="shared" si="0"/>
        <v>2.4299999999999999E-2</v>
      </c>
      <c r="P18" s="824"/>
      <c r="Q18" s="825">
        <f>IFERROR(HLOOKUP($Q$6,'Equity Vol'!$B$8:$K18,ROWS('Equity Vol'!$C$8:$C18),FALSE),"n/a")</f>
        <v>0.65</v>
      </c>
      <c r="R18" s="826"/>
      <c r="S18" s="827">
        <f t="shared" si="5"/>
        <v>0.42250000000000004</v>
      </c>
      <c r="T18" s="827">
        <f t="shared" si="6"/>
        <v>0</v>
      </c>
      <c r="U18" s="828">
        <f t="shared" si="7"/>
        <v>0</v>
      </c>
      <c r="V18" s="828">
        <f t="shared" si="8"/>
        <v>0</v>
      </c>
      <c r="W18" s="828">
        <f t="shared" si="9"/>
        <v>0</v>
      </c>
      <c r="X18" s="378">
        <f t="shared" si="10"/>
        <v>0</v>
      </c>
      <c r="Y18" s="825">
        <f t="shared" si="11"/>
        <v>0.65</v>
      </c>
      <c r="AA18" s="557" t="str">
        <f>IF('MASTER PubCo Inputs'!B36=0,"",'MASTER PubCo Inputs'!B36)</f>
        <v>NasdaqCM:CUE</v>
      </c>
      <c r="AB18" s="378">
        <f>IF($B18="(Invalid Identifier)","n/a",'Beta Calc'!Z18)</f>
        <v>66.582980000000006</v>
      </c>
      <c r="AC18" s="1613">
        <f t="shared" si="1"/>
        <v>1.7019999999988045E-2</v>
      </c>
      <c r="AI18" s="559"/>
    </row>
    <row r="19" spans="2:35" ht="14.85" customHeight="1">
      <c r="B19" s="208" t="str">
        <f>'Comp.1'!B21</f>
        <v>OncoSec Medical Incorporated</v>
      </c>
      <c r="D19" s="378">
        <f>IF($B19="(Invalid Identifier)","n/a",'Beta Calc'!K19)</f>
        <v>56.8</v>
      </c>
      <c r="E19" s="378" t="str">
        <f>IF($B19="(Invalid Identifier)","n/a",'Beta Calc'!L19)</f>
        <v xml:space="preserve"> -   </v>
      </c>
      <c r="F19" s="378" t="str">
        <f>IF($B19="(Invalid Identifier)","n/a",'Beta Calc'!M19)</f>
        <v xml:space="preserve"> n/a </v>
      </c>
      <c r="G19" s="378" t="str">
        <f>IF($B19="(Invalid Identifier)","n/a",'Beta Calc'!N19)</f>
        <v xml:space="preserve"> n/a </v>
      </c>
      <c r="H19" s="283">
        <f t="shared" si="2"/>
        <v>0</v>
      </c>
      <c r="I19" s="283">
        <f t="shared" si="3"/>
        <v>56.8</v>
      </c>
      <c r="J19" s="378">
        <f>IF($B19="(Invalid Identifier)","n/a",'Beta Calc'!Q19)</f>
        <v>28.5</v>
      </c>
      <c r="K19" s="378">
        <f t="shared" si="4"/>
        <v>28.299999999999997</v>
      </c>
      <c r="M19" s="458">
        <f>IFERROR('Capital IQ Sheet-GPC'!AT22,"n/a")</f>
        <v>0</v>
      </c>
      <c r="N19" s="283">
        <f t="shared" si="0"/>
        <v>3</v>
      </c>
      <c r="O19" s="823">
        <f t="shared" si="0"/>
        <v>2.4299999999999999E-2</v>
      </c>
      <c r="P19" s="824"/>
      <c r="Q19" s="825">
        <f>IFERROR(HLOOKUP($Q$6,'Equity Vol'!$B$8:$K19,ROWS('Equity Vol'!$C$8:$C19),FALSE),"n/a")</f>
        <v>0.82799999999999996</v>
      </c>
      <c r="R19" s="826"/>
      <c r="S19" s="827">
        <f t="shared" si="5"/>
        <v>0.68558399999999997</v>
      </c>
      <c r="T19" s="827">
        <f t="shared" si="6"/>
        <v>0</v>
      </c>
      <c r="U19" s="828">
        <f t="shared" si="7"/>
        <v>0</v>
      </c>
      <c r="V19" s="828">
        <f t="shared" si="8"/>
        <v>0</v>
      </c>
      <c r="W19" s="828">
        <f t="shared" si="9"/>
        <v>0</v>
      </c>
      <c r="X19" s="378">
        <f t="shared" si="10"/>
        <v>0</v>
      </c>
      <c r="Y19" s="825">
        <f t="shared" si="11"/>
        <v>0.82799999999999996</v>
      </c>
      <c r="AA19" s="557" t="str">
        <f>IF('MASTER PubCo Inputs'!B37=0,"",'MASTER PubCo Inputs'!B37)</f>
        <v>NasdaqCM:ONCS</v>
      </c>
      <c r="AB19" s="378">
        <f>IF($B19="(Invalid Identifier)","n/a",'Beta Calc'!Z19)</f>
        <v>28.29128</v>
      </c>
      <c r="AC19" s="1613">
        <f t="shared" si="1"/>
        <v>8.7199999999967304E-3</v>
      </c>
      <c r="AI19" s="559"/>
    </row>
    <row r="20" spans="2:35" ht="14.85" customHeight="1">
      <c r="B20" s="208" t="str">
        <f>'Comp.1'!B22</f>
        <v>NantKwest, Inc.</v>
      </c>
      <c r="D20" s="378">
        <f>IF($B20="(Invalid Identifier)","n/a",'Beta Calc'!K20)</f>
        <v>85.6</v>
      </c>
      <c r="E20" s="378">
        <f>IF($B20="(Invalid Identifier)","n/a",'Beta Calc'!L20)</f>
        <v>7.3</v>
      </c>
      <c r="F20" s="378" t="str">
        <f>IF($B20="(Invalid Identifier)","n/a",'Beta Calc'!M20)</f>
        <v xml:space="preserve"> n/a </v>
      </c>
      <c r="G20" s="378" t="str">
        <f>IF($B20="(Invalid Identifier)","n/a",'Beta Calc'!N20)</f>
        <v xml:space="preserve"> n/a </v>
      </c>
      <c r="H20" s="283">
        <f t="shared" si="2"/>
        <v>7.3</v>
      </c>
      <c r="I20" s="283">
        <f t="shared" si="3"/>
        <v>92.899999999999991</v>
      </c>
      <c r="J20" s="378">
        <f>IF($B20="(Invalid Identifier)","n/a",'Beta Calc'!Q20)</f>
        <v>83.9</v>
      </c>
      <c r="K20" s="378">
        <f t="shared" si="4"/>
        <v>8.9999999999999858</v>
      </c>
      <c r="M20" s="458">
        <f>IFERROR('Capital IQ Sheet-GPC'!AT23,"n/a")</f>
        <v>0</v>
      </c>
      <c r="N20" s="283">
        <f t="shared" si="0"/>
        <v>3</v>
      </c>
      <c r="O20" s="823">
        <f t="shared" si="0"/>
        <v>2.4299999999999999E-2</v>
      </c>
      <c r="P20" s="824"/>
      <c r="Q20" s="825">
        <f>IFERROR(HLOOKUP($Q$6,'Equity Vol'!$B$8:$K20,ROWS('Equity Vol'!$C$8:$C20),FALSE),"n/a")</f>
        <v>0.79300000000000004</v>
      </c>
      <c r="R20" s="826"/>
      <c r="S20" s="827">
        <f t="shared" si="5"/>
        <v>0.6288490000000001</v>
      </c>
      <c r="T20" s="827">
        <f t="shared" si="6"/>
        <v>0.89225278050621426</v>
      </c>
      <c r="U20" s="828">
        <f t="shared" si="7"/>
        <v>-0.48126350989590561</v>
      </c>
      <c r="V20" s="828">
        <f t="shared" si="8"/>
        <v>0.8138712711891205</v>
      </c>
      <c r="W20" s="828">
        <f t="shared" si="9"/>
        <v>0.31516461396227269</v>
      </c>
      <c r="X20" s="378">
        <f t="shared" si="10"/>
        <v>5.1858933634298934</v>
      </c>
      <c r="Y20" s="825">
        <f t="shared" si="11"/>
        <v>0.56143378262748278</v>
      </c>
      <c r="AA20" s="557" t="str">
        <f>IF('MASTER PubCo Inputs'!B38=0,"",'MASTER PubCo Inputs'!B38)</f>
        <v>NasdaqGS:NK</v>
      </c>
      <c r="AB20" s="378">
        <f>IF($B20="(Invalid Identifier)","n/a",'Beta Calc'!Z20)</f>
        <v>8.9691700000000001</v>
      </c>
      <c r="AC20" s="1613">
        <f t="shared" si="1"/>
        <v>3.0829999999985702E-2</v>
      </c>
      <c r="AI20" s="559"/>
    </row>
    <row r="21" spans="2:35" ht="14.85" customHeight="1">
      <c r="B21" s="208" t="str">
        <f>'Comp.1'!B23</f>
        <v>Corvus Pharmaceuticals, Inc.</v>
      </c>
      <c r="D21" s="378">
        <f>IF($B21="(Invalid Identifier)","n/a",'Beta Calc'!K21)</f>
        <v>116.8</v>
      </c>
      <c r="E21" s="378" t="str">
        <f>IF($B21="(Invalid Identifier)","n/a",'Beta Calc'!L21)</f>
        <v xml:space="preserve"> -   </v>
      </c>
      <c r="F21" s="378" t="str">
        <f>IF($B21="(Invalid Identifier)","n/a",'Beta Calc'!M21)</f>
        <v xml:space="preserve"> n/a </v>
      </c>
      <c r="G21" s="378" t="str">
        <f>IF($B21="(Invalid Identifier)","n/a",'Beta Calc'!N21)</f>
        <v xml:space="preserve"> n/a </v>
      </c>
      <c r="H21" s="283">
        <f t="shared" si="2"/>
        <v>0</v>
      </c>
      <c r="I21" s="283">
        <f t="shared" si="3"/>
        <v>116.8</v>
      </c>
      <c r="J21" s="378">
        <f>IF($B21="(Invalid Identifier)","n/a",'Beta Calc'!Q21)</f>
        <v>122.6</v>
      </c>
      <c r="K21" s="378">
        <f t="shared" si="4"/>
        <v>-5.7999999999999972</v>
      </c>
      <c r="M21" s="458">
        <f>IFERROR('Capital IQ Sheet-GPC'!AT24,"n/a")</f>
        <v>0</v>
      </c>
      <c r="N21" s="283">
        <f t="shared" si="0"/>
        <v>3</v>
      </c>
      <c r="O21" s="823">
        <f t="shared" si="0"/>
        <v>2.4299999999999999E-2</v>
      </c>
      <c r="P21" s="824"/>
      <c r="Q21" s="825">
        <f>IFERROR(HLOOKUP($Q$6,'Equity Vol'!$B$8:$K21,ROWS('Equity Vol'!$C$8:$C21),FALSE),"n/a")</f>
        <v>0.69</v>
      </c>
      <c r="R21" s="826"/>
      <c r="S21" s="827">
        <f t="shared" si="5"/>
        <v>0.47609999999999991</v>
      </c>
      <c r="T21" s="827">
        <f t="shared" si="6"/>
        <v>0</v>
      </c>
      <c r="U21" s="828">
        <f t="shared" si="7"/>
        <v>0</v>
      </c>
      <c r="V21" s="828">
        <f t="shared" si="8"/>
        <v>0</v>
      </c>
      <c r="W21" s="828">
        <f t="shared" si="9"/>
        <v>0</v>
      </c>
      <c r="X21" s="378">
        <f t="shared" si="10"/>
        <v>0</v>
      </c>
      <c r="Y21" s="825">
        <f t="shared" si="11"/>
        <v>0.69</v>
      </c>
      <c r="AA21" s="557" t="str">
        <f>IF('MASTER PubCo Inputs'!B39=0,"",'MASTER PubCo Inputs'!B39)</f>
        <v>NasdaqGM:CRVS</v>
      </c>
      <c r="AB21" s="378">
        <f>IF($B21="(Invalid Identifier)","n/a",'Beta Calc'!Z21)</f>
        <v>-5.8034800000000004</v>
      </c>
      <c r="AC21" s="1613">
        <f t="shared" si="1"/>
        <v>3.4800000000032583E-3</v>
      </c>
      <c r="AI21" s="559"/>
    </row>
    <row r="22" spans="2:35" ht="14.85" customHeight="1">
      <c r="B22" s="208" t="str">
        <f>'Comp.1'!B24</f>
        <v>Surface Oncology, Inc.</v>
      </c>
      <c r="D22" s="378">
        <f>IF($B22="(Invalid Identifier)","n/a",'Beta Calc'!K22)</f>
        <v>159.19999999999999</v>
      </c>
      <c r="E22" s="378" t="str">
        <f>IF($B22="(Invalid Identifier)","n/a",'Beta Calc'!L22)</f>
        <v xml:space="preserve"> -   </v>
      </c>
      <c r="F22" s="378" t="str">
        <f>IF($B22="(Invalid Identifier)","n/a",'Beta Calc'!M22)</f>
        <v xml:space="preserve"> n/a </v>
      </c>
      <c r="G22" s="378" t="str">
        <f>IF($B22="(Invalid Identifier)","n/a",'Beta Calc'!N22)</f>
        <v xml:space="preserve"> n/a </v>
      </c>
      <c r="H22" s="283">
        <f t="shared" si="2"/>
        <v>0</v>
      </c>
      <c r="I22" s="283">
        <f t="shared" si="3"/>
        <v>159.19999999999999</v>
      </c>
      <c r="J22" s="378">
        <f>IF($B22="(Invalid Identifier)","n/a",'Beta Calc'!Q22)</f>
        <v>173.4</v>
      </c>
      <c r="K22" s="378">
        <f t="shared" si="4"/>
        <v>-14.200000000000017</v>
      </c>
      <c r="M22" s="458">
        <f>IFERROR('Capital IQ Sheet-GPC'!AT25,"n/a")</f>
        <v>0</v>
      </c>
      <c r="N22" s="283">
        <f t="shared" si="0"/>
        <v>3</v>
      </c>
      <c r="O22" s="823">
        <f t="shared" si="0"/>
        <v>2.4299999999999999E-2</v>
      </c>
      <c r="P22" s="824"/>
      <c r="Q22" s="825" t="str">
        <f>IFERROR(HLOOKUP($Q$6,'Equity Vol'!$B$8:$K22,ROWS('Equity Vol'!$C$8:$C22),FALSE),"n/a")</f>
        <v>NM</v>
      </c>
      <c r="R22" s="826"/>
      <c r="S22" s="827" t="str">
        <f t="shared" si="5"/>
        <v>n/a</v>
      </c>
      <c r="T22" s="827" t="str">
        <f t="shared" si="6"/>
        <v>n/a</v>
      </c>
      <c r="U22" s="828" t="str">
        <f t="shared" si="7"/>
        <v>n/a</v>
      </c>
      <c r="V22" s="828" t="str">
        <f t="shared" si="8"/>
        <v>n/a</v>
      </c>
      <c r="W22" s="828" t="str">
        <f t="shared" si="9"/>
        <v>n/a</v>
      </c>
      <c r="X22" s="378" t="str">
        <f>IF(OR(K22="n/a",S22="n/a"),"n/a",IF(M22=0,(K22*V22)-((H22*EXP(1)^(-O22*N22))*W22),(K22*(2.718^(-M22*N22))*V22)-(H22*(2.718^(-O22*N22))*W22)))</f>
        <v>n/a</v>
      </c>
      <c r="Y22" s="825" t="str">
        <f t="shared" si="11"/>
        <v>NM</v>
      </c>
      <c r="AA22" s="557" t="str">
        <f>IF('MASTER PubCo Inputs'!B40=0,"",'MASTER PubCo Inputs'!B40)</f>
        <v>NasdaqGM:SURF</v>
      </c>
      <c r="AB22" s="378">
        <f>IF($B22="(Invalid Identifier)","n/a",'Beta Calc'!Z22)</f>
        <v>-14.20509</v>
      </c>
      <c r="AC22" s="1613">
        <f t="shared" si="1"/>
        <v>5.0899999999831635E-3</v>
      </c>
      <c r="AI22" s="559"/>
    </row>
    <row r="23" spans="2:35" ht="14.85" hidden="1" customHeight="1" outlineLevel="1">
      <c r="D23" s="378"/>
      <c r="E23" s="378"/>
      <c r="F23" s="378"/>
      <c r="G23" s="378"/>
      <c r="H23" s="283"/>
      <c r="I23" s="283"/>
      <c r="J23" s="378"/>
      <c r="K23" s="378"/>
      <c r="M23" s="458"/>
      <c r="N23" s="283"/>
      <c r="O23" s="823"/>
      <c r="P23" s="824"/>
      <c r="Q23" s="825"/>
      <c r="R23" s="826"/>
      <c r="S23" s="827"/>
      <c r="T23" s="827"/>
      <c r="U23" s="828"/>
      <c r="V23" s="828"/>
      <c r="W23" s="828"/>
      <c r="X23" s="378"/>
      <c r="Y23" s="825"/>
      <c r="AA23" s="557"/>
      <c r="AB23" s="378"/>
      <c r="AC23" s="1613"/>
      <c r="AI23" s="559"/>
    </row>
    <row r="24" spans="2:35" ht="14.85" hidden="1" customHeight="1" outlineLevel="1">
      <c r="D24" s="378"/>
      <c r="E24" s="378"/>
      <c r="F24" s="378"/>
      <c r="G24" s="378"/>
      <c r="H24" s="283"/>
      <c r="I24" s="283"/>
      <c r="J24" s="378"/>
      <c r="K24" s="378"/>
      <c r="M24" s="458"/>
      <c r="N24" s="283"/>
      <c r="O24" s="823"/>
      <c r="P24" s="824"/>
      <c r="Q24" s="825"/>
      <c r="R24" s="826"/>
      <c r="S24" s="827"/>
      <c r="T24" s="827"/>
      <c r="U24" s="828"/>
      <c r="V24" s="828"/>
      <c r="W24" s="828"/>
      <c r="X24" s="378"/>
      <c r="Y24" s="825"/>
      <c r="AA24" s="557"/>
      <c r="AB24" s="378"/>
      <c r="AC24" s="1613"/>
      <c r="AI24" s="559"/>
    </row>
    <row r="25" spans="2:35" ht="14.85" hidden="1" customHeight="1" outlineLevel="1">
      <c r="D25" s="378"/>
      <c r="E25" s="378"/>
      <c r="F25" s="378"/>
      <c r="G25" s="378"/>
      <c r="H25" s="283"/>
      <c r="I25" s="283"/>
      <c r="J25" s="378"/>
      <c r="K25" s="378"/>
      <c r="M25" s="458"/>
      <c r="N25" s="283"/>
      <c r="O25" s="823"/>
      <c r="P25" s="824"/>
      <c r="Q25" s="825"/>
      <c r="R25" s="826"/>
      <c r="S25" s="827"/>
      <c r="T25" s="827"/>
      <c r="U25" s="828"/>
      <c r="V25" s="828"/>
      <c r="W25" s="828"/>
      <c r="X25" s="378"/>
      <c r="Y25" s="825"/>
      <c r="AA25" s="557"/>
      <c r="AB25" s="378"/>
      <c r="AC25" s="1613"/>
      <c r="AI25" s="559"/>
    </row>
    <row r="26" spans="2:35" ht="14.85" hidden="1" customHeight="1" outlineLevel="1">
      <c r="D26" s="378"/>
      <c r="E26" s="378"/>
      <c r="F26" s="378"/>
      <c r="G26" s="378"/>
      <c r="H26" s="283"/>
      <c r="I26" s="283"/>
      <c r="J26" s="378"/>
      <c r="K26" s="378"/>
      <c r="M26" s="458"/>
      <c r="N26" s="283"/>
      <c r="O26" s="823"/>
      <c r="P26" s="824"/>
      <c r="Q26" s="825"/>
      <c r="R26" s="826"/>
      <c r="S26" s="827"/>
      <c r="T26" s="827"/>
      <c r="U26" s="828"/>
      <c r="V26" s="828"/>
      <c r="W26" s="828"/>
      <c r="X26" s="378"/>
      <c r="Y26" s="825"/>
      <c r="AA26" s="557"/>
      <c r="AB26" s="378"/>
      <c r="AC26" s="1613"/>
      <c r="AI26" s="559"/>
    </row>
    <row r="27" spans="2:35" ht="14.85" hidden="1" customHeight="1" outlineLevel="1">
      <c r="D27" s="378"/>
      <c r="E27" s="378"/>
      <c r="F27" s="378"/>
      <c r="G27" s="378"/>
      <c r="H27" s="283"/>
      <c r="I27" s="283"/>
      <c r="J27" s="378"/>
      <c r="K27" s="378"/>
      <c r="M27" s="458"/>
      <c r="N27" s="283"/>
      <c r="O27" s="823"/>
      <c r="P27" s="824"/>
      <c r="Q27" s="825"/>
      <c r="R27" s="826"/>
      <c r="S27" s="827"/>
      <c r="T27" s="827"/>
      <c r="U27" s="828"/>
      <c r="V27" s="828"/>
      <c r="W27" s="828"/>
      <c r="X27" s="378"/>
      <c r="Y27" s="825"/>
      <c r="AA27" s="557"/>
      <c r="AB27" s="378"/>
      <c r="AC27" s="1613"/>
      <c r="AI27" s="559"/>
    </row>
    <row r="28" spans="2:35" ht="14.85" hidden="1" customHeight="1" outlineLevel="1">
      <c r="D28" s="378"/>
      <c r="E28" s="378"/>
      <c r="F28" s="378"/>
      <c r="G28" s="378"/>
      <c r="H28" s="283"/>
      <c r="I28" s="283"/>
      <c r="J28" s="378"/>
      <c r="K28" s="378"/>
      <c r="M28" s="458"/>
      <c r="N28" s="283"/>
      <c r="O28" s="823"/>
      <c r="P28" s="824"/>
      <c r="Q28" s="825"/>
      <c r="R28" s="826"/>
      <c r="S28" s="827"/>
      <c r="T28" s="827"/>
      <c r="U28" s="828"/>
      <c r="V28" s="828"/>
      <c r="W28" s="828"/>
      <c r="X28" s="378"/>
      <c r="Y28" s="825"/>
      <c r="AA28" s="557"/>
      <c r="AB28" s="378"/>
      <c r="AC28" s="1613"/>
      <c r="AI28" s="559"/>
    </row>
    <row r="29" spans="2:35" ht="14.85" hidden="1" customHeight="1" outlineLevel="1">
      <c r="D29" s="378"/>
      <c r="E29" s="378"/>
      <c r="F29" s="378"/>
      <c r="G29" s="378"/>
      <c r="H29" s="283"/>
      <c r="I29" s="283"/>
      <c r="J29" s="378"/>
      <c r="K29" s="378"/>
      <c r="M29" s="458"/>
      <c r="N29" s="283"/>
      <c r="O29" s="823"/>
      <c r="P29" s="824"/>
      <c r="Q29" s="825"/>
      <c r="R29" s="826"/>
      <c r="S29" s="827"/>
      <c r="T29" s="827"/>
      <c r="U29" s="828"/>
      <c r="V29" s="828"/>
      <c r="W29" s="828"/>
      <c r="X29" s="378"/>
      <c r="Y29" s="825"/>
      <c r="AA29" s="557"/>
      <c r="AB29" s="378"/>
      <c r="AC29" s="1613"/>
      <c r="AI29" s="559"/>
    </row>
    <row r="30" spans="2:35" ht="14.85" hidden="1" customHeight="1" outlineLevel="1">
      <c r="D30" s="378"/>
      <c r="E30" s="378"/>
      <c r="F30" s="378"/>
      <c r="G30" s="378"/>
      <c r="H30" s="283"/>
      <c r="I30" s="283"/>
      <c r="J30" s="378"/>
      <c r="K30" s="378"/>
      <c r="M30" s="458"/>
      <c r="N30" s="283"/>
      <c r="O30" s="823"/>
      <c r="P30" s="824"/>
      <c r="Q30" s="825"/>
      <c r="R30" s="826"/>
      <c r="S30" s="827"/>
      <c r="T30" s="827"/>
      <c r="U30" s="828"/>
      <c r="V30" s="828"/>
      <c r="W30" s="828"/>
      <c r="X30" s="378"/>
      <c r="Y30" s="825"/>
      <c r="AA30" s="557"/>
      <c r="AB30" s="378"/>
      <c r="AC30" s="1613"/>
      <c r="AI30" s="559"/>
    </row>
    <row r="31" spans="2:35" ht="14.85" hidden="1" customHeight="1" outlineLevel="1">
      <c r="D31" s="378"/>
      <c r="E31" s="378"/>
      <c r="F31" s="378"/>
      <c r="G31" s="378"/>
      <c r="H31" s="283"/>
      <c r="I31" s="283"/>
      <c r="J31" s="378"/>
      <c r="K31" s="378"/>
      <c r="M31" s="458"/>
      <c r="N31" s="283"/>
      <c r="O31" s="823"/>
      <c r="P31" s="824"/>
      <c r="Q31" s="825"/>
      <c r="R31" s="826"/>
      <c r="S31" s="827"/>
      <c r="T31" s="827"/>
      <c r="U31" s="828"/>
      <c r="V31" s="828"/>
      <c r="W31" s="828"/>
      <c r="X31" s="378"/>
      <c r="Y31" s="825"/>
      <c r="AA31" s="557"/>
      <c r="AB31" s="378"/>
      <c r="AC31" s="1613"/>
      <c r="AI31" s="559"/>
    </row>
    <row r="32" spans="2:35" ht="14.85" hidden="1" customHeight="1" outlineLevel="1">
      <c r="D32" s="378"/>
      <c r="E32" s="378"/>
      <c r="F32" s="378"/>
      <c r="G32" s="378"/>
      <c r="H32" s="283"/>
      <c r="I32" s="283"/>
      <c r="J32" s="378"/>
      <c r="K32" s="378"/>
      <c r="M32" s="458"/>
      <c r="N32" s="283"/>
      <c r="O32" s="823"/>
      <c r="P32" s="824"/>
      <c r="Q32" s="825"/>
      <c r="R32" s="826"/>
      <c r="S32" s="827"/>
      <c r="T32" s="827"/>
      <c r="U32" s="828"/>
      <c r="V32" s="828"/>
      <c r="W32" s="828"/>
      <c r="X32" s="378"/>
      <c r="Y32" s="825"/>
      <c r="AA32" s="557"/>
      <c r="AB32" s="378"/>
      <c r="AC32" s="1613"/>
      <c r="AI32" s="559"/>
    </row>
    <row r="33" spans="2:35" ht="14.85" hidden="1" customHeight="1" outlineLevel="1">
      <c r="D33" s="378"/>
      <c r="E33" s="378"/>
      <c r="F33" s="378"/>
      <c r="G33" s="378"/>
      <c r="H33" s="283"/>
      <c r="I33" s="283"/>
      <c r="J33" s="378"/>
      <c r="K33" s="378"/>
      <c r="M33" s="458"/>
      <c r="N33" s="283"/>
      <c r="O33" s="823"/>
      <c r="P33" s="824"/>
      <c r="Q33" s="825"/>
      <c r="R33" s="826"/>
      <c r="S33" s="827"/>
      <c r="T33" s="827"/>
      <c r="U33" s="828"/>
      <c r="V33" s="828"/>
      <c r="W33" s="828"/>
      <c r="X33" s="378"/>
      <c r="Y33" s="825"/>
      <c r="AA33" s="557"/>
      <c r="AB33" s="378"/>
      <c r="AC33" s="1613"/>
      <c r="AI33" s="559"/>
    </row>
    <row r="34" spans="2:35" ht="14.85" hidden="1" customHeight="1" outlineLevel="1">
      <c r="D34" s="378"/>
      <c r="E34" s="378"/>
      <c r="F34" s="378"/>
      <c r="G34" s="378"/>
      <c r="H34" s="283"/>
      <c r="I34" s="283"/>
      <c r="J34" s="378"/>
      <c r="K34" s="378"/>
      <c r="M34" s="458"/>
      <c r="N34" s="283"/>
      <c r="O34" s="823"/>
      <c r="P34" s="824"/>
      <c r="Q34" s="825"/>
      <c r="R34" s="826"/>
      <c r="S34" s="827"/>
      <c r="T34" s="827"/>
      <c r="U34" s="828"/>
      <c r="V34" s="828"/>
      <c r="W34" s="828"/>
      <c r="X34" s="378"/>
      <c r="Y34" s="825"/>
      <c r="AA34" s="557"/>
      <c r="AB34" s="378"/>
      <c r="AC34" s="1613"/>
      <c r="AI34" s="559"/>
    </row>
    <row r="35" spans="2:35" ht="14.85" hidden="1" customHeight="1" outlineLevel="1">
      <c r="D35" s="378"/>
      <c r="E35" s="378"/>
      <c r="F35" s="378"/>
      <c r="G35" s="378"/>
      <c r="H35" s="283"/>
      <c r="I35" s="283"/>
      <c r="J35" s="378"/>
      <c r="K35" s="378"/>
      <c r="M35" s="458"/>
      <c r="N35" s="283"/>
      <c r="O35" s="823"/>
      <c r="P35" s="824"/>
      <c r="Q35" s="825"/>
      <c r="R35" s="826"/>
      <c r="S35" s="827"/>
      <c r="T35" s="827"/>
      <c r="U35" s="828"/>
      <c r="V35" s="828"/>
      <c r="W35" s="828"/>
      <c r="X35" s="378"/>
      <c r="Y35" s="825"/>
      <c r="AA35" s="557"/>
      <c r="AB35" s="378"/>
      <c r="AC35" s="1613"/>
      <c r="AI35" s="559"/>
    </row>
    <row r="36" spans="2:35" ht="14.85" hidden="1" customHeight="1" outlineLevel="1">
      <c r="D36" s="378"/>
      <c r="E36" s="378"/>
      <c r="F36" s="378"/>
      <c r="G36" s="378"/>
      <c r="H36" s="283"/>
      <c r="I36" s="283"/>
      <c r="J36" s="378"/>
      <c r="K36" s="378"/>
      <c r="M36" s="458"/>
      <c r="N36" s="283"/>
      <c r="O36" s="823"/>
      <c r="P36" s="824"/>
      <c r="Q36" s="825"/>
      <c r="R36" s="826"/>
      <c r="S36" s="827"/>
      <c r="T36" s="827"/>
      <c r="U36" s="828"/>
      <c r="V36" s="828"/>
      <c r="W36" s="828"/>
      <c r="X36" s="378"/>
      <c r="Y36" s="825"/>
      <c r="AA36" s="557"/>
      <c r="AB36" s="378"/>
      <c r="AC36" s="1613"/>
      <c r="AI36" s="559"/>
    </row>
    <row r="37" spans="2:35" ht="14.85" hidden="1" customHeight="1" outlineLevel="1">
      <c r="D37" s="378"/>
      <c r="E37" s="378"/>
      <c r="F37" s="378"/>
      <c r="G37" s="378"/>
      <c r="H37" s="283"/>
      <c r="I37" s="283"/>
      <c r="J37" s="378"/>
      <c r="K37" s="378"/>
      <c r="M37" s="458"/>
      <c r="N37" s="283"/>
      <c r="O37" s="823"/>
      <c r="P37" s="824"/>
      <c r="Q37" s="825"/>
      <c r="R37" s="826"/>
      <c r="S37" s="827"/>
      <c r="T37" s="827"/>
      <c r="U37" s="828"/>
      <c r="V37" s="828"/>
      <c r="W37" s="828"/>
      <c r="X37" s="378"/>
      <c r="Y37" s="825"/>
      <c r="AA37" s="557"/>
      <c r="AB37" s="378"/>
      <c r="AC37" s="1613"/>
      <c r="AI37" s="559"/>
    </row>
    <row r="38" spans="2:35" ht="14.85" hidden="1" customHeight="1" outlineLevel="1">
      <c r="D38" s="378"/>
      <c r="E38" s="378"/>
      <c r="F38" s="378"/>
      <c r="G38" s="378"/>
      <c r="H38" s="283"/>
      <c r="I38" s="283"/>
      <c r="J38" s="378"/>
      <c r="K38" s="378"/>
      <c r="M38" s="458"/>
      <c r="N38" s="283"/>
      <c r="O38" s="823"/>
      <c r="P38" s="824"/>
      <c r="Q38" s="825"/>
      <c r="R38" s="826"/>
      <c r="S38" s="827"/>
      <c r="T38" s="827"/>
      <c r="U38" s="828"/>
      <c r="V38" s="828"/>
      <c r="W38" s="828"/>
      <c r="X38" s="378"/>
      <c r="Y38" s="825"/>
      <c r="AA38" s="557"/>
      <c r="AB38" s="378"/>
      <c r="AC38" s="1613"/>
      <c r="AI38" s="559"/>
    </row>
    <row r="39" spans="2:35" ht="14.85" hidden="1" customHeight="1" outlineLevel="1">
      <c r="D39" s="378"/>
      <c r="E39" s="378"/>
      <c r="F39" s="378"/>
      <c r="G39" s="378"/>
      <c r="H39" s="283"/>
      <c r="I39" s="283"/>
      <c r="J39" s="378"/>
      <c r="K39" s="378"/>
      <c r="M39" s="458"/>
      <c r="N39" s="283"/>
      <c r="O39" s="823"/>
      <c r="P39" s="824"/>
      <c r="Q39" s="825"/>
      <c r="R39" s="826"/>
      <c r="S39" s="827"/>
      <c r="T39" s="827"/>
      <c r="U39" s="828"/>
      <c r="V39" s="828"/>
      <c r="W39" s="828"/>
      <c r="X39" s="378"/>
      <c r="Y39" s="825"/>
      <c r="AA39" s="557"/>
      <c r="AB39" s="378"/>
      <c r="AC39" s="1613"/>
      <c r="AI39" s="559"/>
    </row>
    <row r="40" spans="2:35" ht="14.85" customHeight="1" collapsed="1">
      <c r="D40" s="283"/>
      <c r="E40" s="283"/>
      <c r="F40" s="283"/>
      <c r="G40" s="283"/>
      <c r="H40" s="283"/>
      <c r="I40" s="283"/>
      <c r="J40" s="283"/>
      <c r="K40" s="283"/>
      <c r="R40" s="355"/>
    </row>
    <row r="41" spans="2:35" ht="14.85" customHeight="1">
      <c r="B41" s="561" t="s">
        <v>111</v>
      </c>
      <c r="C41" s="562"/>
      <c r="D41" s="564">
        <f>MAX(D10:D39)</f>
        <v>7328.4</v>
      </c>
      <c r="E41" s="564">
        <f t="shared" ref="E41:K41" si="12">MAX(E10:E39)</f>
        <v>246.5</v>
      </c>
      <c r="F41" s="564">
        <f t="shared" si="12"/>
        <v>160.4</v>
      </c>
      <c r="G41" s="564">
        <f t="shared" si="12"/>
        <v>0</v>
      </c>
      <c r="H41" s="564">
        <f t="shared" si="12"/>
        <v>246.5</v>
      </c>
      <c r="I41" s="564">
        <f t="shared" si="12"/>
        <v>7574.9</v>
      </c>
      <c r="J41" s="564">
        <f t="shared" si="12"/>
        <v>1420.4</v>
      </c>
      <c r="K41" s="564">
        <f t="shared" si="12"/>
        <v>6154.5</v>
      </c>
      <c r="L41" s="562"/>
      <c r="M41" s="657">
        <f>MAX(M10:M39)</f>
        <v>0</v>
      </c>
      <c r="N41" s="564">
        <f>MAX(N10:N39)</f>
        <v>3</v>
      </c>
      <c r="O41" s="829">
        <f>MAX(O10:O39)</f>
        <v>2.4299999999999999E-2</v>
      </c>
      <c r="P41" s="830"/>
      <c r="Q41" s="831">
        <f>MAX(Q10:Q39)</f>
        <v>0.82799999999999996</v>
      </c>
      <c r="R41" s="832"/>
      <c r="S41" s="833">
        <f>MAX(S10:S40)</f>
        <v>0.68558399999999997</v>
      </c>
      <c r="T41" s="833">
        <f>MAX(T10:T40)</f>
        <v>6.1260489904204221</v>
      </c>
      <c r="U41" s="834">
        <f>MAX(U10:U40)</f>
        <v>4.6919109217533919</v>
      </c>
      <c r="V41" s="834">
        <f>MAX(V10:V40)</f>
        <v>0.99999999954955965</v>
      </c>
      <c r="W41" s="834">
        <f>MAX(W10:W40)</f>
        <v>0.99999864667510308</v>
      </c>
      <c r="X41" s="564">
        <f>MAX(X10:X39)</f>
        <v>5926.099758901405</v>
      </c>
      <c r="Y41" s="835">
        <f>MAX(Y10:Y39)</f>
        <v>0.82799999999999996</v>
      </c>
      <c r="AB41" s="836">
        <f>+'Asset Vol_OPM'!Y48</f>
        <v>0.65200000000000002</v>
      </c>
      <c r="AC41" s="837" t="s">
        <v>1438</v>
      </c>
      <c r="AD41" s="837"/>
      <c r="AE41" s="837"/>
      <c r="AF41" s="392"/>
    </row>
    <row r="42" spans="2:35" ht="14.85" customHeight="1">
      <c r="B42" s="567" t="s">
        <v>115</v>
      </c>
      <c r="C42" s="568"/>
      <c r="D42" s="570">
        <f t="shared" ref="D42:K42" si="13">QUARTILE(D10:D39,3)</f>
        <v>434.2</v>
      </c>
      <c r="E42" s="570">
        <f t="shared" si="13"/>
        <v>22</v>
      </c>
      <c r="F42" s="570">
        <f t="shared" si="13"/>
        <v>98.95</v>
      </c>
      <c r="G42" s="570" t="e">
        <f t="shared" si="13"/>
        <v>#NUM!</v>
      </c>
      <c r="H42" s="570">
        <f t="shared" si="13"/>
        <v>22</v>
      </c>
      <c r="I42" s="570">
        <f t="shared" si="13"/>
        <v>476.70000000000005</v>
      </c>
      <c r="J42" s="570">
        <f t="shared" si="13"/>
        <v>173.4</v>
      </c>
      <c r="K42" s="570">
        <f t="shared" si="13"/>
        <v>445.00000000000006</v>
      </c>
      <c r="L42" s="568"/>
      <c r="M42" s="659">
        <f>QUARTILE(M10:M39,3)</f>
        <v>0</v>
      </c>
      <c r="N42" s="570">
        <f>QUARTILE(N10:N39,3)</f>
        <v>3</v>
      </c>
      <c r="O42" s="838">
        <f>QUARTILE(O10:O39,3)</f>
        <v>2.4299999999999999E-2</v>
      </c>
      <c r="P42" s="839"/>
      <c r="Q42" s="840">
        <f>QUARTILE(Q10:Q39,3)</f>
        <v>0.78</v>
      </c>
      <c r="R42" s="841"/>
      <c r="S42" s="842">
        <f>QUARTILE(S10:S40,3)</f>
        <v>0.60856900000000014</v>
      </c>
      <c r="T42" s="842">
        <f>QUARTILE(T10:T40,3)</f>
        <v>2.6362840840683739</v>
      </c>
      <c r="U42" s="843">
        <f>QUARTILE(U10:U40,3)</f>
        <v>1.3944036550414887</v>
      </c>
      <c r="V42" s="843">
        <f>QUARTILE(V10:V40,3)</f>
        <v>0.98364973307284287</v>
      </c>
      <c r="W42" s="843">
        <f>QUARTILE(W10:W40,3)</f>
        <v>0.84313301791421513</v>
      </c>
      <c r="X42" s="570">
        <f>QUARTILE(X10:X39,3)</f>
        <v>270.27658064423463</v>
      </c>
      <c r="Y42" s="844">
        <f>QUARTILE(Y10:Y39,3)</f>
        <v>0.71586104989552324</v>
      </c>
      <c r="AB42" s="845">
        <f>+'Asset Vol_OPM'!Y50</f>
        <v>0.65202815247042001</v>
      </c>
      <c r="AC42" s="326" t="s">
        <v>1439</v>
      </c>
      <c r="AD42" s="326"/>
      <c r="AE42" s="326"/>
      <c r="AF42" s="327"/>
    </row>
    <row r="43" spans="2:35" ht="14.85" customHeight="1">
      <c r="B43" s="567" t="s">
        <v>113</v>
      </c>
      <c r="C43" s="568"/>
      <c r="D43" s="570">
        <f>AVERAGE(D10:D39)</f>
        <v>833.99230769230758</v>
      </c>
      <c r="E43" s="570">
        <f t="shared" ref="E43:K43" si="14">AVERAGE(E10:E39)</f>
        <v>58.160000000000004</v>
      </c>
      <c r="F43" s="570">
        <f t="shared" si="14"/>
        <v>65.966666666666669</v>
      </c>
      <c r="G43" s="570" t="e">
        <f t="shared" si="14"/>
        <v>#DIV/0!</v>
      </c>
      <c r="H43" s="570">
        <f t="shared" si="14"/>
        <v>37.592307692307692</v>
      </c>
      <c r="I43" s="570">
        <f t="shared" si="14"/>
        <v>871.58461538461529</v>
      </c>
      <c r="J43" s="570">
        <f t="shared" si="14"/>
        <v>204.44615384615386</v>
      </c>
      <c r="K43" s="570">
        <f t="shared" si="14"/>
        <v>667.13846153846146</v>
      </c>
      <c r="L43" s="568"/>
      <c r="M43" s="659">
        <f>AVERAGE(M10:M39)</f>
        <v>0</v>
      </c>
      <c r="N43" s="570">
        <f>AVERAGE(N10:N39)</f>
        <v>3</v>
      </c>
      <c r="O43" s="838">
        <f>AVERAGE(O10:O39)</f>
        <v>2.4299999999999992E-2</v>
      </c>
      <c r="P43" s="839"/>
      <c r="Q43" s="840">
        <f>AVERAGE(Q10:Q39)</f>
        <v>0.72563636363636375</v>
      </c>
      <c r="R43" s="841"/>
      <c r="S43" s="842">
        <f>AVERAGE(S10:S40)</f>
        <v>0.53120963636363638</v>
      </c>
      <c r="T43" s="842">
        <f>AVERAGE(T10:T40)</f>
        <v>1.5944934788290637</v>
      </c>
      <c r="U43" s="843">
        <f>AVERAGE(U10:U40)</f>
        <v>0.8852974027117706</v>
      </c>
      <c r="V43" s="843">
        <f>AVERAGE(V10:V40)</f>
        <v>0.51960250930182239</v>
      </c>
      <c r="W43" s="843">
        <f>AVERAGE(W10:W40)</f>
        <v>0.41954920773580096</v>
      </c>
      <c r="X43" s="570">
        <f>AVERAGE(X10:X39)</f>
        <v>665.52340180244823</v>
      </c>
      <c r="Y43" s="844">
        <f>AVERAGE(Y10:Y39)</f>
        <v>0.67660802472451753</v>
      </c>
      <c r="AB43" s="845">
        <f>+'Asset Vol_OPM'!Y44</f>
        <v>0.65201849961339797</v>
      </c>
      <c r="AC43" s="326" t="s">
        <v>1437</v>
      </c>
      <c r="AD43" s="326"/>
      <c r="AE43" s="326"/>
      <c r="AF43" s="846" t="s">
        <v>1708</v>
      </c>
    </row>
    <row r="44" spans="2:35" ht="14.85" customHeight="1">
      <c r="B44" s="567" t="s">
        <v>44</v>
      </c>
      <c r="C44" s="568"/>
      <c r="D44" s="570">
        <f>MEDIAN(D10:D39)</f>
        <v>315</v>
      </c>
      <c r="E44" s="570">
        <f t="shared" ref="E44:K44" si="15">MEDIAN(E10:E39)</f>
        <v>14.9</v>
      </c>
      <c r="F44" s="570">
        <f t="shared" si="15"/>
        <v>37.5</v>
      </c>
      <c r="G44" s="570" t="e">
        <f t="shared" si="15"/>
        <v>#NUM!</v>
      </c>
      <c r="H44" s="570">
        <f t="shared" si="15"/>
        <v>0.1</v>
      </c>
      <c r="I44" s="570">
        <f t="shared" si="15"/>
        <v>315.10000000000002</v>
      </c>
      <c r="J44" s="570">
        <f t="shared" si="15"/>
        <v>83.9</v>
      </c>
      <c r="K44" s="570">
        <f t="shared" si="15"/>
        <v>98.4</v>
      </c>
      <c r="L44" s="568"/>
      <c r="M44" s="659">
        <f>MEDIAN(M10:M39)</f>
        <v>0</v>
      </c>
      <c r="N44" s="570">
        <f>MEDIAN(N10:N39)</f>
        <v>3</v>
      </c>
      <c r="O44" s="838">
        <f>MEDIAN(O10:O39)</f>
        <v>2.4299999999999999E-2</v>
      </c>
      <c r="P44" s="839"/>
      <c r="Q44" s="840">
        <f>MEDIAN(Q10:Q39)</f>
        <v>0.69399999999999995</v>
      </c>
      <c r="R44" s="841"/>
      <c r="S44" s="842">
        <f>MEDIAN(S10:S40)</f>
        <v>0.48163599999999995</v>
      </c>
      <c r="T44" s="842">
        <f>MEDIAN(T10:T40)</f>
        <v>0.89225278050621426</v>
      </c>
      <c r="U44" s="843">
        <f>MEDIAN(U10:U40)</f>
        <v>0</v>
      </c>
      <c r="V44" s="843">
        <f>MEDIAN(V10:V40)</f>
        <v>0.8138712711891205</v>
      </c>
      <c r="W44" s="843">
        <f>MEDIAN(W10:W40)</f>
        <v>0.31516461396227269</v>
      </c>
      <c r="X44" s="570">
        <f>MEDIAN(X10:X39)</f>
        <v>5.1858933634298934</v>
      </c>
      <c r="Y44" s="844">
        <f>MEDIAN(Y10:Y39)</f>
        <v>0.65201849961339797</v>
      </c>
      <c r="AB44" s="847" t="str">
        <f>IF(ROUND(AB41,3)=ROUND(AB43,3),"","Update Volatility - OPM")</f>
        <v/>
      </c>
      <c r="AC44" s="326"/>
      <c r="AD44" s="326"/>
      <c r="AE44" s="326"/>
      <c r="AF44" s="327"/>
    </row>
    <row r="45" spans="2:35" ht="14.85" customHeight="1">
      <c r="B45" s="567" t="s">
        <v>114</v>
      </c>
      <c r="C45" s="568"/>
      <c r="D45" s="570">
        <f>QUARTILE(D10:D39,1)</f>
        <v>105.8</v>
      </c>
      <c r="E45" s="570">
        <f t="shared" ref="E45:K45" si="16">QUARTILE(E10:E39,1)</f>
        <v>7.3</v>
      </c>
      <c r="F45" s="570">
        <f t="shared" si="16"/>
        <v>18.75</v>
      </c>
      <c r="G45" s="570" t="e">
        <f t="shared" si="16"/>
        <v>#NUM!</v>
      </c>
      <c r="H45" s="570">
        <f t="shared" si="16"/>
        <v>0</v>
      </c>
      <c r="I45" s="570">
        <f t="shared" si="16"/>
        <v>116.8</v>
      </c>
      <c r="J45" s="570">
        <f t="shared" si="16"/>
        <v>31.7</v>
      </c>
      <c r="K45" s="570">
        <f t="shared" si="16"/>
        <v>28.299999999999997</v>
      </c>
      <c r="L45" s="568"/>
      <c r="M45" s="659">
        <f>QUARTILE(M10:M39,1)</f>
        <v>0</v>
      </c>
      <c r="N45" s="570">
        <f>QUARTILE(N10:N39,1)</f>
        <v>3</v>
      </c>
      <c r="O45" s="838">
        <f>QUARTILE(O10:O39,1)</f>
        <v>2.4299999999999999E-2</v>
      </c>
      <c r="P45" s="839"/>
      <c r="Q45" s="840">
        <f>QUARTILE(Q10:Q39,1)</f>
        <v>0.67600000000000005</v>
      </c>
      <c r="R45" s="841"/>
      <c r="S45" s="842">
        <f>QUARTILE(S10:S40,1)</f>
        <v>0.45705700000000005</v>
      </c>
      <c r="T45" s="842">
        <f>QUARTILE(T10:T40,1)</f>
        <v>0</v>
      </c>
      <c r="U45" s="843">
        <f>QUARTILE(U10:U40,1)</f>
        <v>0</v>
      </c>
      <c r="V45" s="843">
        <f>QUARTILE(V10:V40,1)</f>
        <v>0</v>
      </c>
      <c r="W45" s="843">
        <f>QUARTILE(W10:W40,1)</f>
        <v>0</v>
      </c>
      <c r="X45" s="570">
        <f>QUARTILE(X10:X39,1)</f>
        <v>0</v>
      </c>
      <c r="Y45" s="844">
        <f>QUARTILE(Y10:Y39,1)</f>
        <v>0.63372188398808027</v>
      </c>
      <c r="AB45" s="848" t="str">
        <f>IF(ROUND(AB42,3)=ROUND(AB43,3),"","Update Volatility - DLOM")</f>
        <v/>
      </c>
      <c r="AC45" s="288"/>
      <c r="AD45" s="288"/>
      <c r="AE45" s="288"/>
      <c r="AF45" s="440"/>
    </row>
    <row r="46" spans="2:35" ht="14.85" customHeight="1">
      <c r="B46" s="572" t="s">
        <v>112</v>
      </c>
      <c r="C46" s="427"/>
      <c r="D46" s="430">
        <f t="shared" ref="D46:K46" si="17">MIN(D10:D39)</f>
        <v>56.8</v>
      </c>
      <c r="E46" s="430">
        <f t="shared" si="17"/>
        <v>0.1</v>
      </c>
      <c r="F46" s="430">
        <f t="shared" si="17"/>
        <v>0</v>
      </c>
      <c r="G46" s="430">
        <f t="shared" si="17"/>
        <v>0</v>
      </c>
      <c r="H46" s="430">
        <f t="shared" si="17"/>
        <v>0</v>
      </c>
      <c r="I46" s="430">
        <f t="shared" si="17"/>
        <v>56.8</v>
      </c>
      <c r="J46" s="430">
        <f t="shared" si="17"/>
        <v>20.6</v>
      </c>
      <c r="K46" s="430">
        <f t="shared" si="17"/>
        <v>-14.200000000000017</v>
      </c>
      <c r="L46" s="427"/>
      <c r="M46" s="661">
        <f>MIN(M10:M39)</f>
        <v>0</v>
      </c>
      <c r="N46" s="430">
        <f>MIN(N10:N39)</f>
        <v>3</v>
      </c>
      <c r="O46" s="849">
        <f>MIN(O10:O39)</f>
        <v>2.4299999999999999E-2</v>
      </c>
      <c r="P46" s="850"/>
      <c r="Q46" s="851">
        <f>MIN(Q10:Q39)</f>
        <v>0.625</v>
      </c>
      <c r="R46" s="852"/>
      <c r="S46" s="853">
        <f>MIN(S10:S40)</f>
        <v>0.390625</v>
      </c>
      <c r="T46" s="853">
        <f>MIN(T10:T40)</f>
        <v>0</v>
      </c>
      <c r="U46" s="854">
        <f>MIN(U10:U40)</f>
        <v>-0.48126350989590561</v>
      </c>
      <c r="V46" s="854">
        <f>MIN(V10:V40)</f>
        <v>0</v>
      </c>
      <c r="W46" s="854">
        <f>MIN(W10:W40)</f>
        <v>0</v>
      </c>
      <c r="X46" s="430">
        <f>MIN(X10:X39)</f>
        <v>0</v>
      </c>
      <c r="Y46" s="855">
        <f>MIN(Y10:Y39)</f>
        <v>0.53942420909161104</v>
      </c>
      <c r="AB46" s="318" t="str">
        <f>IF(K48&lt;&gt;K50,"Check","")</f>
        <v/>
      </c>
    </row>
    <row r="47" spans="2:35" ht="14.85" customHeight="1">
      <c r="AB47" s="485" t="str">
        <f>IF(AND(AB44=$AF$45,AB46=$AF$45,AB45=$AF$45),"","Check")</f>
        <v/>
      </c>
    </row>
    <row r="48" spans="2:35" ht="14.85" customHeight="1">
      <c r="B48" s="856" t="str">
        <f>B2</f>
        <v>Medikine, Inc.</v>
      </c>
      <c r="C48" s="857" t="s">
        <v>223</v>
      </c>
      <c r="D48" s="859">
        <f>'OPM 1'!D9/1000</f>
        <v>13.239134682063337</v>
      </c>
      <c r="E48" s="859">
        <f>'Hist BS'!G68</f>
        <v>0</v>
      </c>
      <c r="F48" s="858"/>
      <c r="G48" s="858"/>
      <c r="H48" s="861">
        <f>SUM(E48:G48)</f>
        <v>0</v>
      </c>
      <c r="I48" s="861">
        <f>SUM(D48:G48)</f>
        <v>13.239134682063337</v>
      </c>
      <c r="J48" s="858"/>
      <c r="K48" s="861">
        <f>I48-J48</f>
        <v>13.239134682063337</v>
      </c>
      <c r="L48" s="858"/>
      <c r="M48" s="860">
        <f>'OPM 1'!D13</f>
        <v>0</v>
      </c>
      <c r="N48" s="861">
        <f>N$6</f>
        <v>3</v>
      </c>
      <c r="O48" s="862">
        <f>O$6</f>
        <v>2.4299999999999999E-2</v>
      </c>
      <c r="P48" s="863"/>
      <c r="Q48" s="864">
        <v>0.65200000000000002</v>
      </c>
      <c r="R48" s="858"/>
      <c r="S48" s="865">
        <f>IF(Q48="n/a","n/a",Q48^2)</f>
        <v>0.42510400000000004</v>
      </c>
      <c r="T48" s="865">
        <f>IF(OR(K48="n/a",S48="n/a"),"n/a",IF(H48=0,0,IF(M48=0,(LN(K48/H48)+((O48+(S48/2))*N48))/((S48*N48)^0.5),(LN(K48/H48)+((O48-M48+(S48/2))*N48))/((S48*N48)^0.5))))</f>
        <v>0</v>
      </c>
      <c r="U48" s="866">
        <f>IF(T48="n/a","n/a",IF(H48=0,0,T48-(S48*N48)^0.5))</f>
        <v>0</v>
      </c>
      <c r="V48" s="866">
        <f>IF(OR(T48="n/a",S48="n/a"),"n/a",IF(H48=0,0,NORMSDIST(T48)))</f>
        <v>0</v>
      </c>
      <c r="W48" s="866">
        <f>IF(OR(U48="n/a",S48="n/a"),"n/a",IF(H48=0,0,NORMSDIST(U48)))</f>
        <v>0</v>
      </c>
      <c r="X48" s="866">
        <f>IF(OR(K48="n/a",S48="n/a"),"n/a",IF(M48=0,(K48*V48)-((H48*EXP(1)^(-O48*N48))*W48),(K48*(2.718^(-M48*N48))*V48)-(H48*(2.718^(-O48*N48))*W48)))</f>
        <v>0</v>
      </c>
      <c r="Y48" s="867">
        <f>IF(LEN(B48)&gt;0,IF(H48=0,Q48,IF(ISERROR(Q48/((K48/X48)*V48)),"n/a",Q48/((K48/X48)*V48))))</f>
        <v>0.65200000000000002</v>
      </c>
    </row>
    <row r="49" spans="1:27" ht="14.85" hidden="1" customHeight="1" outlineLevel="1">
      <c r="C49" s="310"/>
      <c r="D49" s="310"/>
      <c r="E49" s="310"/>
      <c r="F49" s="310"/>
      <c r="G49" s="310"/>
      <c r="H49" s="310"/>
      <c r="I49" s="310"/>
      <c r="J49" s="310"/>
    </row>
    <row r="50" spans="1:27" ht="14.85" hidden="1" customHeight="1" outlineLevel="1">
      <c r="B50" s="856" t="str">
        <f>B48</f>
        <v>Medikine, Inc.</v>
      </c>
      <c r="C50" s="857" t="s">
        <v>262</v>
      </c>
      <c r="D50" s="861">
        <f>D48-E50</f>
        <v>9.2200226665974938</v>
      </c>
      <c r="E50" s="859">
        <f>'OPM 1'!D57/1000+E48</f>
        <v>4.0191120154658435</v>
      </c>
      <c r="F50" s="858"/>
      <c r="G50" s="858"/>
      <c r="H50" s="861">
        <f>SUM(E50:G50)</f>
        <v>4.0191120154658435</v>
      </c>
      <c r="I50" s="861">
        <f>SUM(D50:G50)</f>
        <v>13.239134682063337</v>
      </c>
      <c r="J50" s="858"/>
      <c r="K50" s="861">
        <f>K48</f>
        <v>13.239134682063337</v>
      </c>
      <c r="L50" s="858"/>
      <c r="M50" s="868">
        <f>M48</f>
        <v>0</v>
      </c>
      <c r="N50" s="861">
        <f>N$6</f>
        <v>3</v>
      </c>
      <c r="O50" s="862">
        <f>O$6</f>
        <v>2.4299999999999999E-2</v>
      </c>
      <c r="P50" s="863"/>
      <c r="Q50" s="864">
        <v>0.79222604375044514</v>
      </c>
      <c r="R50" s="858"/>
      <c r="S50" s="865">
        <f>IF(Q50="n/a","n/a",Q50^2)</f>
        <v>0.62762210439648225</v>
      </c>
      <c r="T50" s="865">
        <f>IF(OR(K50="n/a",S50="n/a"),"n/a",IF(H50=0,0,IF(M50=0,(LN(K50/H50)+((O50+(S50/2))*N50))/((S50*N50)^0.5),(LN(K50/H50)+((O50-M50+(S50/2))*N50))/((S50*N50)^0.5))))</f>
        <v>1.6079932529296368</v>
      </c>
      <c r="U50" s="866">
        <f>IF(T50="n/a","n/a",IF(H50=0,0,T50-(S50*N50)^0.5))</f>
        <v>0.23581749407458164</v>
      </c>
      <c r="V50" s="866">
        <f>IF(OR(T50="n/a",S50="n/a"),"n/a",IF(H50=0,0,NORMSDIST(T50)))</f>
        <v>0.94608167175738744</v>
      </c>
      <c r="W50" s="866">
        <f>IF(OR(U50="n/a",S50="n/a"),"n/a",IF(H50=0,0,NORMSDIST(U50)))</f>
        <v>0.59321285368035048</v>
      </c>
      <c r="X50" s="866">
        <f>IF(OR(K50="n/a",S50="n/a"),"n/a",IF(M50=0,(K50*V50)-((H50*EXP(1)^(-O50*N50))*W50),(K50*(2.718^(-M50*N50))*V50)-(H50*(2.718^(-O50*N50))*W50)))</f>
        <v>10.308737039373124</v>
      </c>
      <c r="Y50" s="867">
        <f>IF(LEN(B50)&gt;0,IF(H50=0,Q50,IF(ISERROR(Q50/((K50/X50)*V50)),"n/a",Q50/((K50/X50)*V50))))</f>
        <v>0.65202815247042001</v>
      </c>
    </row>
    <row r="51" spans="1:27" ht="14.85" customHeight="1" collapsed="1"/>
    <row r="52" spans="1:27" ht="14.85" customHeight="1">
      <c r="B52" s="295" t="s">
        <v>86</v>
      </c>
    </row>
    <row r="53" spans="1:27" ht="14.85" customHeight="1">
      <c r="A53" s="296" t="s">
        <v>224</v>
      </c>
      <c r="B53" s="231" t="s">
        <v>2001</v>
      </c>
    </row>
    <row r="54" spans="1:27" s="297" customFormat="1" ht="14.85" customHeight="1">
      <c r="A54" s="323" t="s">
        <v>223</v>
      </c>
      <c r="B54" s="340" t="s">
        <v>786</v>
      </c>
      <c r="C54" s="310"/>
      <c r="D54" s="310"/>
      <c r="E54" s="310"/>
      <c r="F54" s="310"/>
      <c r="G54" s="310"/>
      <c r="H54" s="310"/>
      <c r="I54" s="310"/>
      <c r="J54" s="310"/>
      <c r="K54" s="310"/>
      <c r="L54" s="310"/>
      <c r="M54" s="310"/>
      <c r="N54" s="310"/>
      <c r="O54" s="310"/>
      <c r="P54" s="355"/>
      <c r="Q54" s="310"/>
      <c r="R54" s="310"/>
      <c r="S54" s="310"/>
      <c r="T54" s="310"/>
      <c r="U54" s="310"/>
      <c r="V54" s="310"/>
      <c r="W54" s="310"/>
      <c r="X54" s="310"/>
      <c r="Y54" s="310"/>
      <c r="Z54" s="310"/>
      <c r="AA54" s="310"/>
    </row>
    <row r="55" spans="1:27" s="297" customFormat="1" ht="14.85" hidden="1" customHeight="1" outlineLevel="1">
      <c r="A55" s="323" t="s">
        <v>262</v>
      </c>
      <c r="B55" s="340" t="s">
        <v>787</v>
      </c>
      <c r="C55" s="310"/>
      <c r="D55" s="310"/>
      <c r="E55" s="310"/>
      <c r="F55" s="310"/>
      <c r="G55" s="310"/>
      <c r="H55" s="310"/>
      <c r="I55" s="310"/>
      <c r="J55" s="310"/>
      <c r="K55" s="310"/>
      <c r="L55" s="310"/>
      <c r="M55" s="310"/>
      <c r="N55" s="310"/>
      <c r="O55" s="310"/>
      <c r="P55" s="355"/>
      <c r="Q55" s="310"/>
      <c r="R55" s="310"/>
      <c r="S55" s="310"/>
      <c r="T55" s="310"/>
      <c r="U55" s="310"/>
      <c r="V55" s="310"/>
      <c r="W55" s="310"/>
      <c r="X55" s="310"/>
      <c r="Y55" s="310"/>
      <c r="Z55" s="310"/>
      <c r="AA55" s="310"/>
    </row>
    <row r="56" spans="1:27" ht="14.85" customHeight="1" collapsed="1"/>
    <row r="57" spans="1:27" ht="14.85" customHeight="1">
      <c r="B57" s="295" t="s">
        <v>116</v>
      </c>
    </row>
    <row r="58" spans="1:27" ht="14.85" customHeight="1"/>
    <row r="59" spans="1:27" ht="14.85" customHeight="1">
      <c r="B59" s="208" t="s">
        <v>1465</v>
      </c>
    </row>
    <row r="60" spans="1:27" ht="14.85" customHeight="1">
      <c r="B60" s="208" t="s">
        <v>1466</v>
      </c>
    </row>
    <row r="61" spans="1:27" ht="14.85" customHeight="1">
      <c r="B61" s="208" t="s">
        <v>1467</v>
      </c>
    </row>
    <row r="62" spans="1:27" ht="14.85" customHeight="1">
      <c r="B62" s="208" t="s">
        <v>1468</v>
      </c>
    </row>
    <row r="63" spans="1:27" ht="14.85" customHeight="1">
      <c r="B63" s="208" t="s">
        <v>1469</v>
      </c>
    </row>
    <row r="64" spans="1:27" ht="14.85" customHeight="1">
      <c r="B64" s="208" t="s">
        <v>1470</v>
      </c>
    </row>
    <row r="65" spans="2:2" ht="14.85" customHeight="1">
      <c r="B65" s="208" t="s">
        <v>1471</v>
      </c>
    </row>
    <row r="66" spans="2:2" ht="14.85" customHeight="1"/>
    <row r="67" spans="2:2" ht="14.85" customHeight="1">
      <c r="B67" s="208" t="s">
        <v>1472</v>
      </c>
    </row>
    <row r="68" spans="2:2" ht="14.85" customHeight="1">
      <c r="B68" s="208" t="s">
        <v>1473</v>
      </c>
    </row>
    <row r="69" spans="2:2" ht="14.85" customHeight="1">
      <c r="B69" s="208" t="s">
        <v>1474</v>
      </c>
    </row>
    <row r="70" spans="2:2" ht="14.85" customHeight="1">
      <c r="B70" s="208" t="s">
        <v>1475</v>
      </c>
    </row>
    <row r="71" spans="2:2" ht="14.85" customHeight="1">
      <c r="B71" s="208" t="s">
        <v>1476</v>
      </c>
    </row>
    <row r="72" spans="2:2" ht="14.85" customHeight="1">
      <c r="B72" s="208" t="s">
        <v>1477</v>
      </c>
    </row>
    <row r="73" spans="2:2" ht="14.85" customHeight="1"/>
    <row r="74" spans="2:2" ht="14.85" customHeight="1"/>
    <row r="75" spans="2:2" ht="14.85" customHeight="1"/>
    <row r="76" spans="2:2" ht="14.85" customHeight="1"/>
    <row r="77" spans="2:2" ht="14.85" customHeight="1"/>
    <row r="78" spans="2:2" ht="14.85" customHeight="1"/>
    <row r="79" spans="2:2" ht="14.85" customHeight="1"/>
    <row r="80" spans="2:2"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10:B39">
    <cfRule type="cellIs" dxfId="176" priority="8" operator="equal">
      <formula>"(Invalid Identifier)"</formula>
    </cfRule>
  </conditionalFormatting>
  <conditionalFormatting sqref="B4:I4">
    <cfRule type="cellIs" dxfId="175" priority="7" stopIfTrue="1" operator="equal">
      <formula>"input"</formula>
    </cfRule>
  </conditionalFormatting>
  <conditionalFormatting sqref="J4">
    <cfRule type="cellIs" dxfId="174" priority="5" stopIfTrue="1" operator="equal">
      <formula>"input"</formula>
    </cfRule>
  </conditionalFormatting>
  <conditionalFormatting sqref="J4">
    <cfRule type="cellIs" dxfId="173" priority="6" stopIfTrue="1" operator="equal">
      <formula>"input"</formula>
    </cfRule>
  </conditionalFormatting>
  <conditionalFormatting sqref="K4:X4">
    <cfRule type="cellIs" dxfId="172" priority="3" stopIfTrue="1" operator="equal">
      <formula>"input"</formula>
    </cfRule>
  </conditionalFormatting>
  <conditionalFormatting sqref="K4:X4">
    <cfRule type="cellIs" dxfId="171" priority="4" stopIfTrue="1" operator="equal">
      <formula>"input"</formula>
    </cfRule>
  </conditionalFormatting>
  <conditionalFormatting sqref="Y4">
    <cfRule type="cellIs" dxfId="170" priority="1" stopIfTrue="1" operator="equal">
      <formula>"input"</formula>
    </cfRule>
  </conditionalFormatting>
  <conditionalFormatting sqref="Y4">
    <cfRule type="cellIs" dxfId="169" priority="2" stopIfTrue="1" operator="equal">
      <formula>"input"</formula>
    </cfRule>
  </conditionalFormatting>
  <pageMargins left="0.5" right="0.5" top="0.5" bottom="0.5" header="0.5" footer="0.5"/>
  <pageSetup scale="74" fitToWidth="0" fitToHeight="0" orientation="landscape" r:id="rId1"/>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84"/>
  <dimension ref="A1:AI764"/>
  <sheetViews>
    <sheetView showGridLines="0" view="pageBreakPreview" topLeftCell="A9" zoomScale="80" zoomScaleNormal="100" zoomScaleSheetLayoutView="80" workbookViewId="0"/>
  </sheetViews>
  <sheetFormatPr defaultRowHeight="12.75" outlineLevelRow="1" outlineLevelCol="1"/>
  <cols>
    <col min="1" max="1" width="4.5" style="208" customWidth="1"/>
    <col min="2" max="2" width="29.1640625" style="208" customWidth="1"/>
    <col min="3" max="3" width="3.5" style="208" customWidth="1"/>
    <col min="4" max="4" width="15.83203125" style="208" customWidth="1"/>
    <col min="5" max="5" width="10.83203125" style="208" hidden="1" customWidth="1" outlineLevel="1"/>
    <col min="6" max="7" width="9.83203125" style="208" hidden="1" customWidth="1" outlineLevel="1"/>
    <col min="8" max="8" width="15.83203125" style="208" customWidth="1" collapsed="1"/>
    <col min="9" max="9" width="15.83203125" style="208" customWidth="1"/>
    <col min="10" max="10" width="12.83203125" style="208" customWidth="1"/>
    <col min="11" max="11" width="15.83203125" style="208" customWidth="1"/>
    <col min="12" max="12" width="2.83203125" style="208" customWidth="1"/>
    <col min="13" max="15" width="12.83203125" style="208" customWidth="1"/>
    <col min="16" max="16" width="2.83203125" style="355" customWidth="1"/>
    <col min="17" max="17" width="12.83203125" style="208" customWidth="1"/>
    <col min="18" max="18" width="2.83203125" style="208" customWidth="1"/>
    <col min="19" max="19" width="11.6640625" style="208" hidden="1" customWidth="1" outlineLevel="1"/>
    <col min="20" max="23" width="8.83203125" style="208" hidden="1" customWidth="1" outlineLevel="1"/>
    <col min="24" max="24" width="15.83203125" style="208" customWidth="1" collapsed="1"/>
    <col min="25" max="25" width="12.83203125" style="208" customWidth="1"/>
    <col min="26" max="26" width="4.5" style="208" customWidth="1"/>
    <col min="27" max="27" width="17.5" style="208" bestFit="1" customWidth="1"/>
    <col min="28" max="28" width="14.33203125" style="208" bestFit="1" customWidth="1"/>
    <col min="29" max="29" width="9.6640625" style="208" bestFit="1" customWidth="1"/>
    <col min="30" max="30" width="10.1640625" style="208" bestFit="1" customWidth="1"/>
    <col min="31" max="16384" width="9.33203125" style="208"/>
  </cols>
  <sheetData>
    <row r="1" spans="2:35" ht="10.7" customHeight="1" thickBot="1">
      <c r="P1" s="208"/>
    </row>
    <row r="2" spans="2:35" ht="16.5" customHeight="1" thickTop="1">
      <c r="B2" s="216" t="str">
        <f>'MASTER PubCo Inputs'!$C$5</f>
        <v>Medikine, Inc.</v>
      </c>
      <c r="C2" s="216"/>
      <c r="D2" s="216"/>
      <c r="E2" s="216"/>
      <c r="F2" s="216"/>
      <c r="G2" s="216"/>
      <c r="H2" s="216"/>
      <c r="I2" s="216"/>
      <c r="J2" s="216"/>
      <c r="K2" s="216"/>
      <c r="L2" s="216"/>
      <c r="M2" s="216"/>
      <c r="N2" s="216"/>
      <c r="O2" s="216"/>
      <c r="P2" s="216"/>
      <c r="Q2" s="216"/>
      <c r="R2" s="216"/>
      <c r="S2" s="216"/>
      <c r="T2" s="216"/>
      <c r="U2" s="216"/>
      <c r="V2" s="216"/>
      <c r="W2" s="216"/>
      <c r="X2" s="216"/>
      <c r="Y2" s="216"/>
      <c r="AA2" s="532" t="s">
        <v>87</v>
      </c>
      <c r="AB2" s="533">
        <f>+'Comp.1'!$AL$2</f>
        <v>43496</v>
      </c>
    </row>
    <row r="3" spans="2:35" ht="15.75" customHeight="1">
      <c r="B3" s="217" t="str">
        <f>VLOOKUP(B4,Outline!$E$8:$G$79,COLUMNS(Outline!$E$8:$G$8),FALSE)</f>
        <v>Workpaper #6</v>
      </c>
      <c r="C3" s="217"/>
      <c r="D3" s="217"/>
      <c r="E3" s="217"/>
      <c r="F3" s="217"/>
      <c r="G3" s="217"/>
      <c r="H3" s="217"/>
      <c r="I3" s="217"/>
      <c r="J3" s="217"/>
      <c r="K3" s="217"/>
      <c r="L3" s="217"/>
      <c r="M3" s="217"/>
      <c r="N3" s="217"/>
      <c r="O3" s="217"/>
      <c r="P3" s="217"/>
      <c r="Q3" s="217"/>
      <c r="R3" s="217"/>
      <c r="S3" s="217"/>
      <c r="T3" s="217"/>
      <c r="U3" s="217"/>
      <c r="V3" s="217"/>
      <c r="W3" s="217"/>
      <c r="X3" s="217"/>
      <c r="Y3" s="217"/>
      <c r="AA3" s="534" t="s">
        <v>378</v>
      </c>
      <c r="AB3" s="535" t="str">
        <f>+'Comp.1'!$AL$3</f>
        <v>F</v>
      </c>
    </row>
    <row r="4" spans="2:35" ht="16.5" customHeight="1" thickBot="1">
      <c r="B4" s="444" t="s">
        <v>1717</v>
      </c>
      <c r="C4" s="444"/>
      <c r="D4" s="444"/>
      <c r="E4" s="444"/>
      <c r="F4" s="444"/>
      <c r="G4" s="444"/>
      <c r="H4" s="444"/>
      <c r="I4" s="444"/>
      <c r="J4" s="445"/>
      <c r="K4" s="445"/>
      <c r="L4" s="445"/>
      <c r="M4" s="445"/>
      <c r="N4" s="445"/>
      <c r="O4" s="445"/>
      <c r="P4" s="445"/>
      <c r="Q4" s="445"/>
      <c r="R4" s="445"/>
      <c r="S4" s="445"/>
      <c r="T4" s="445"/>
      <c r="U4" s="445"/>
      <c r="V4" s="445"/>
      <c r="W4" s="445"/>
      <c r="X4" s="445"/>
      <c r="Y4" s="445" t="str">
        <f>+'MASTER PubCo Inputs'!$C$24</f>
        <v>(in millions of USD)</v>
      </c>
      <c r="AA4" s="534" t="s">
        <v>379</v>
      </c>
      <c r="AB4" s="535" t="str">
        <f>+'Comp.1'!$AL$4</f>
        <v>USD</v>
      </c>
    </row>
    <row r="5" spans="2:35" ht="14.85" customHeight="1" thickTop="1">
      <c r="B5" s="355"/>
      <c r="AA5" s="339" t="s">
        <v>89</v>
      </c>
      <c r="AB5" s="536" t="str">
        <f>+'Comp.1'!$AL$5</f>
        <v>H</v>
      </c>
    </row>
    <row r="6" spans="2:35" ht="14.85" hidden="1" customHeight="1" outlineLevel="1">
      <c r="N6" s="807">
        <f>DLOM!D10</f>
        <v>4</v>
      </c>
      <c r="O6" s="808">
        <f>'Risk-Free Rates - OPM'!E35</f>
        <v>2.4299999999999999E-2</v>
      </c>
      <c r="Q6" s="809">
        <f>HLOOKUP(ROUND(N6,0),'Equity Vol'!$D$8:$K$8,1,TRUE)</f>
        <v>4</v>
      </c>
    </row>
    <row r="7" spans="2:35" ht="14.85" customHeight="1" collapsed="1">
      <c r="D7" s="810" t="s">
        <v>91</v>
      </c>
      <c r="E7" s="811"/>
      <c r="F7" s="811"/>
      <c r="G7" s="811"/>
      <c r="H7" s="811"/>
      <c r="I7" s="811"/>
      <c r="J7" s="811"/>
      <c r="K7" s="812"/>
      <c r="M7" s="810" t="s">
        <v>92</v>
      </c>
      <c r="N7" s="811"/>
      <c r="O7" s="811"/>
      <c r="P7" s="813"/>
      <c r="Q7" s="812"/>
      <c r="S7" s="810" t="s">
        <v>93</v>
      </c>
      <c r="T7" s="811"/>
      <c r="U7" s="811"/>
      <c r="V7" s="811"/>
      <c r="W7" s="811"/>
      <c r="X7" s="814" t="s">
        <v>93</v>
      </c>
      <c r="Y7" s="815"/>
    </row>
    <row r="8" spans="2:35" s="229" customFormat="1" ht="45" customHeight="1">
      <c r="B8" s="816" t="s">
        <v>597</v>
      </c>
      <c r="D8" s="817" t="s">
        <v>94</v>
      </c>
      <c r="E8" s="818" t="s">
        <v>95</v>
      </c>
      <c r="F8" s="818" t="s">
        <v>96</v>
      </c>
      <c r="G8" s="818" t="s">
        <v>97</v>
      </c>
      <c r="H8" s="818" t="s">
        <v>98</v>
      </c>
      <c r="I8" s="818" t="s">
        <v>99</v>
      </c>
      <c r="J8" s="818" t="s">
        <v>100</v>
      </c>
      <c r="K8" s="819" t="s">
        <v>101</v>
      </c>
      <c r="L8" s="289"/>
      <c r="M8" s="817" t="s">
        <v>73</v>
      </c>
      <c r="N8" s="818" t="s">
        <v>102</v>
      </c>
      <c r="O8" s="819" t="s">
        <v>72</v>
      </c>
      <c r="P8" s="623"/>
      <c r="Q8" s="820" t="s">
        <v>103</v>
      </c>
      <c r="R8" s="623"/>
      <c r="S8" s="817" t="s">
        <v>104</v>
      </c>
      <c r="T8" s="818" t="s">
        <v>84</v>
      </c>
      <c r="U8" s="818" t="s">
        <v>85</v>
      </c>
      <c r="V8" s="818" t="s">
        <v>105</v>
      </c>
      <c r="W8" s="818" t="s">
        <v>106</v>
      </c>
      <c r="X8" s="821" t="s">
        <v>107</v>
      </c>
      <c r="Y8" s="819" t="s">
        <v>2000</v>
      </c>
      <c r="AA8" s="550" t="s">
        <v>108</v>
      </c>
      <c r="AB8" s="551" t="s">
        <v>109</v>
      </c>
      <c r="AC8" s="551" t="s">
        <v>110</v>
      </c>
      <c r="AD8" s="822"/>
    </row>
    <row r="9" spans="2:35" ht="14.85" customHeight="1"/>
    <row r="10" spans="2:35" ht="14.85" customHeight="1">
      <c r="B10" s="208" t="str">
        <f>'Comp.1'!B12</f>
        <v>Nektar Therapeutics</v>
      </c>
      <c r="D10" s="378">
        <f>IF($B10="(Invalid Identifier)","n/a",'Beta Calc'!K10)</f>
        <v>7328.4</v>
      </c>
      <c r="E10" s="378">
        <f>IF($B10="(Invalid Identifier)","n/a",'Beta Calc'!L10)</f>
        <v>246.5</v>
      </c>
      <c r="F10" s="378" t="str">
        <f>IF($B10="(Invalid Identifier)","n/a",'Beta Calc'!M10)</f>
        <v xml:space="preserve"> n/a </v>
      </c>
      <c r="G10" s="378" t="str">
        <f>IF($B10="(Invalid Identifier)","n/a",'Beta Calc'!N10)</f>
        <v xml:space="preserve"> n/a </v>
      </c>
      <c r="H10" s="283">
        <f>SUM(E10:G10)</f>
        <v>246.5</v>
      </c>
      <c r="I10" s="283">
        <f>SUM(D10:G10)</f>
        <v>7574.9</v>
      </c>
      <c r="J10" s="378">
        <f>IF($B10="(Invalid Identifier)","n/a",'Beta Calc'!Q10)</f>
        <v>1420.4</v>
      </c>
      <c r="K10" s="378">
        <f>IF($B10="(Invalid Identifier)","n/a",I10-J10)</f>
        <v>6154.5</v>
      </c>
      <c r="M10" s="458">
        <f>IFERROR('Capital IQ Sheet-GPC'!AT13,"n/a")</f>
        <v>0</v>
      </c>
      <c r="N10" s="283">
        <f t="shared" ref="N10:O22" si="0">N$6</f>
        <v>4</v>
      </c>
      <c r="O10" s="823">
        <f t="shared" si="0"/>
        <v>2.4299999999999999E-2</v>
      </c>
      <c r="P10" s="824"/>
      <c r="Q10" s="825">
        <f>IFERROR(HLOOKUP($Q$6,'Equity Vol'!$B$8:$K10,ROWS('Equity Vol'!$C$8:$C10),FALSE),"n/a")</f>
        <v>0.64100000000000001</v>
      </c>
      <c r="R10" s="826"/>
      <c r="S10" s="827">
        <f>IFERROR(IF(Q10="n/a","n/a",Q10^2),"n/a")</f>
        <v>0.410881</v>
      </c>
      <c r="T10" s="827">
        <f>IF(OR(K10="n/a",S10="n/a"),"n/a",IF(H10=0,0,IF(M10=0,(LN(K10/H10)+((O10+(S10/2))*N10))/((S10*N10)^0.5),(LN(K10/H10)+((O10-M10+(S10/2))*N10))/((S10*N10)^0.5))))</f>
        <v>3.2266293346861197</v>
      </c>
      <c r="U10" s="828">
        <f>IF(T10="n/a","n/a",IF(H10=0,0,T10-(S10*N10)^0.5))</f>
        <v>1.9446293346861196</v>
      </c>
      <c r="V10" s="828">
        <f>IF(OR(T10="n/a",S10="n/a"),"n/a",IF(H10=0,0,NORMSDIST(T10)))</f>
        <v>0.99937371195717117</v>
      </c>
      <c r="W10" s="828">
        <f>IF(OR(U10="n/a",S10="n/a"),"n/a",IF(H10=0,0,NORMSDIST(U10)))</f>
        <v>0.9740901969636635</v>
      </c>
      <c r="X10" s="378">
        <f>IF(OR(K10="n/a",S10="n/a"),"n/a",IF(M10=0,(K10*V10)-((H10*EXP(1)^(-O10*N10))*W10),(K10*(2.718^(-M10*N10))*V10)-(H10*(2.718^(-O10*N10))*W10)))</f>
        <v>5932.7728818620444</v>
      </c>
      <c r="Y10" s="825">
        <f>IFERROR(IF(LEN(B10)&gt;0,IF(H10=0,Q10,IF(ISERROR(Q10/((K10/X10)*V10)),"n/a",Q10/((K10/X10)*V10)))),"n/a")</f>
        <v>0.6182940328689055</v>
      </c>
      <c r="AA10" s="557" t="str">
        <f>IF('MASTER PubCo Inputs'!B28=0,"",'MASTER PubCo Inputs'!B28)</f>
        <v>NasdaqGS:NKTR</v>
      </c>
      <c r="AB10" s="378">
        <f>IF($B10="(Invalid Identifier)","n/a",'Beta Calc'!Z10)</f>
        <v>6154.5326800000003</v>
      </c>
      <c r="AC10" s="1613">
        <f t="shared" ref="AC10:AC22" si="1">IF($B10="(Invalid Identifier)","n/a",K10-AB10)</f>
        <v>-3.268000000025495E-2</v>
      </c>
      <c r="AI10" s="559"/>
    </row>
    <row r="11" spans="2:35" ht="14.85" customHeight="1">
      <c r="B11" s="208" t="str">
        <f>'Comp.1'!B13</f>
        <v>Fate Therapeutics, Inc.</v>
      </c>
      <c r="D11" s="378">
        <f>IF($B11="(Invalid Identifier)","n/a",'Beta Calc'!K11)</f>
        <v>978.1</v>
      </c>
      <c r="E11" s="378">
        <f>IF($B11="(Invalid Identifier)","n/a",'Beta Calc'!L11)</f>
        <v>14.9</v>
      </c>
      <c r="F11" s="378">
        <f>IF($B11="(Invalid Identifier)","n/a",'Beta Calc'!M11)</f>
        <v>0</v>
      </c>
      <c r="G11" s="378" t="str">
        <f>IF($B11="(Invalid Identifier)","n/a",'Beta Calc'!N11)</f>
        <v xml:space="preserve"> n/a </v>
      </c>
      <c r="H11" s="283">
        <f t="shared" ref="H11:H22" si="2">SUM(E11:G11)</f>
        <v>14.9</v>
      </c>
      <c r="I11" s="283">
        <f t="shared" ref="I11:I22" si="3">SUM(D11:G11)</f>
        <v>993</v>
      </c>
      <c r="J11" s="378">
        <f>IF($B11="(Invalid Identifier)","n/a",'Beta Calc'!Q11)</f>
        <v>211.2</v>
      </c>
      <c r="K11" s="378">
        <f t="shared" ref="K11:K22" si="4">IF($B11="(Invalid Identifier)","n/a",I11-J11)</f>
        <v>781.8</v>
      </c>
      <c r="M11" s="458">
        <f>IFERROR('Capital IQ Sheet-GPC'!AT14,"n/a")</f>
        <v>0</v>
      </c>
      <c r="N11" s="283">
        <f t="shared" si="0"/>
        <v>4</v>
      </c>
      <c r="O11" s="823">
        <f t="shared" si="0"/>
        <v>2.4299999999999999E-2</v>
      </c>
      <c r="P11" s="824"/>
      <c r="Q11" s="825">
        <f>IFERROR(HLOOKUP($Q$6,'Equity Vol'!$B$8:$K11,ROWS('Equity Vol'!$C$8:$C11),FALSE),"n/a")</f>
        <v>0.78400000000000003</v>
      </c>
      <c r="R11" s="826"/>
      <c r="S11" s="827">
        <f t="shared" ref="S11:S22" si="5">IFERROR(IF(Q11="n/a","n/a",Q11^2),"n/a")</f>
        <v>0.61465600000000009</v>
      </c>
      <c r="T11" s="827">
        <f t="shared" ref="T11:T22" si="6">IF(OR(K11="n/a",S11="n/a"),"n/a",IF(H11=0,0,IF(M11=0,(LN(K11/H11)+((O11+(S11/2))*N11))/((S11*N11)^0.5),(LN(K11/H11)+((O11-M11+(S11/2))*N11))/((S11*N11)^0.5))))</f>
        <v>3.3716516201578064</v>
      </c>
      <c r="U11" s="828">
        <f t="shared" ref="U11:U22" si="7">IF(T11="n/a","n/a",IF(H11=0,0,T11-(S11*N11)^0.5))</f>
        <v>1.8036516201578063</v>
      </c>
      <c r="V11" s="828">
        <f t="shared" ref="V11:V22" si="8">IF(OR(T11="n/a",S11="n/a"),"n/a",IF(H11=0,0,NORMSDIST(T11)))</f>
        <v>0.99962640550942794</v>
      </c>
      <c r="W11" s="828">
        <f t="shared" ref="W11:W22" si="9">IF(OR(U11="n/a",S11="n/a"),"n/a",IF(H11=0,0,NORMSDIST(U11)))</f>
        <v>0.96435703083881108</v>
      </c>
      <c r="X11" s="378">
        <f t="shared" ref="X11:X21" si="10">IF(OR(K11="n/a",S11="n/a"),"n/a",IF(M11=0,(K11*V11)-((H11*EXP(1)^(-O11*N11))*W11),(K11*(2.718^(-M11*N11))*V11)-(H11*(2.718^(-O11*N11))*W11)))</f>
        <v>768.46993225698225</v>
      </c>
      <c r="Y11" s="825">
        <f t="shared" ref="Y11:Y22" si="11">IFERROR(IF(LEN(B11)&gt;0,IF(H11=0,Q11,IF(ISERROR(Q11/((K11/X11)*V11)),"n/a",Q11/((K11/X11)*V11)))),"n/a")</f>
        <v>0.77092043282037748</v>
      </c>
      <c r="AA11" s="557" t="str">
        <f>IF('MASTER PubCo Inputs'!B29=0,"",'MASTER PubCo Inputs'!B29)</f>
        <v>NasdaqGM:FATE</v>
      </c>
      <c r="AB11" s="378">
        <f>IF($B11="(Invalid Identifier)","n/a",'Beta Calc'!Z11)</f>
        <v>781.76391000000001</v>
      </c>
      <c r="AC11" s="1613">
        <f t="shared" si="1"/>
        <v>3.6089999999944666E-2</v>
      </c>
      <c r="AI11" s="559"/>
    </row>
    <row r="12" spans="2:35" ht="14.85" customHeight="1">
      <c r="B12" s="208" t="str">
        <f>'Comp.1'!B14</f>
        <v>Synthorx, Inc.</v>
      </c>
      <c r="D12" s="378">
        <f>IF($B12="(Invalid Identifier)","n/a",'Beta Calc'!K12)</f>
        <v>441.9</v>
      </c>
      <c r="E12" s="378" t="str">
        <f>IF($B12="(Invalid Identifier)","n/a",'Beta Calc'!L12)</f>
        <v xml:space="preserve"> -   </v>
      </c>
      <c r="F12" s="378">
        <f>IF($B12="(Invalid Identifier)","n/a",'Beta Calc'!M12)</f>
        <v>37.5</v>
      </c>
      <c r="G12" s="378" t="str">
        <f>IF($B12="(Invalid Identifier)","n/a",'Beta Calc'!N12)</f>
        <v xml:space="preserve"> n/a </v>
      </c>
      <c r="H12" s="283">
        <f t="shared" si="2"/>
        <v>37.5</v>
      </c>
      <c r="I12" s="283">
        <f t="shared" si="3"/>
        <v>479.4</v>
      </c>
      <c r="J12" s="378">
        <f>IF($B12="(Invalid Identifier)","n/a",'Beta Calc'!Q12)</f>
        <v>20.6</v>
      </c>
      <c r="K12" s="378">
        <f t="shared" si="4"/>
        <v>458.79999999999995</v>
      </c>
      <c r="M12" s="458">
        <f>IFERROR('Capital IQ Sheet-GPC'!AT15,"n/a")</f>
        <v>0</v>
      </c>
      <c r="N12" s="283">
        <f t="shared" si="0"/>
        <v>4</v>
      </c>
      <c r="O12" s="823">
        <f t="shared" si="0"/>
        <v>2.4299999999999999E-2</v>
      </c>
      <c r="P12" s="824"/>
      <c r="Q12" s="825" t="str">
        <f>IFERROR(HLOOKUP($Q$6,'Equity Vol'!$B$8:$K12,ROWS('Equity Vol'!$C$8:$C12),FALSE),"n/a")</f>
        <v>NM</v>
      </c>
      <c r="R12" s="826"/>
      <c r="S12" s="827" t="str">
        <f t="shared" si="5"/>
        <v>n/a</v>
      </c>
      <c r="T12" s="827" t="str">
        <f t="shared" si="6"/>
        <v>n/a</v>
      </c>
      <c r="U12" s="828" t="str">
        <f t="shared" si="7"/>
        <v>n/a</v>
      </c>
      <c r="V12" s="828" t="str">
        <f t="shared" si="8"/>
        <v>n/a</v>
      </c>
      <c r="W12" s="828" t="str">
        <f t="shared" si="9"/>
        <v>n/a</v>
      </c>
      <c r="X12" s="378" t="str">
        <f t="shared" si="10"/>
        <v>n/a</v>
      </c>
      <c r="Y12" s="825" t="str">
        <f t="shared" si="11"/>
        <v>n/a</v>
      </c>
      <c r="AA12" s="557" t="str">
        <f>IF('MASTER PubCo Inputs'!B30=0,"",'MASTER PubCo Inputs'!B30)</f>
        <v>NasdaqGS:THOR</v>
      </c>
      <c r="AB12" s="378">
        <f>IF($B12="(Invalid Identifier)","n/a",'Beta Calc'!Z12)</f>
        <v>458.77701999999999</v>
      </c>
      <c r="AC12" s="1613">
        <f t="shared" si="1"/>
        <v>2.2979999999961365E-2</v>
      </c>
      <c r="AI12" s="559"/>
    </row>
    <row r="13" spans="2:35" ht="14.85" customHeight="1">
      <c r="B13" s="208" t="str">
        <f>'Comp.1'!B15</f>
        <v>ZIOPHARM Oncology, Inc.</v>
      </c>
      <c r="D13" s="378">
        <f>IF($B13="(Invalid Identifier)","n/a",'Beta Calc'!K13)</f>
        <v>316.3</v>
      </c>
      <c r="E13" s="378" t="str">
        <f>IF($B13="(Invalid Identifier)","n/a",'Beta Calc'!L13)</f>
        <v xml:space="preserve"> -   </v>
      </c>
      <c r="F13" s="378">
        <f>IF($B13="(Invalid Identifier)","n/a",'Beta Calc'!M13)</f>
        <v>160.4</v>
      </c>
      <c r="G13" s="378" t="str">
        <f>IF($B13="(Invalid Identifier)","n/a",'Beta Calc'!N13)</f>
        <v xml:space="preserve"> n/a </v>
      </c>
      <c r="H13" s="283">
        <f t="shared" si="2"/>
        <v>160.4</v>
      </c>
      <c r="I13" s="283">
        <f t="shared" si="3"/>
        <v>476.70000000000005</v>
      </c>
      <c r="J13" s="378">
        <f>IF($B13="(Invalid Identifier)","n/a",'Beta Calc'!Q13)</f>
        <v>31.7</v>
      </c>
      <c r="K13" s="378">
        <f t="shared" si="4"/>
        <v>445.00000000000006</v>
      </c>
      <c r="M13" s="458">
        <f>IFERROR('Capital IQ Sheet-GPC'!AT16,"n/a")</f>
        <v>0</v>
      </c>
      <c r="N13" s="283">
        <f t="shared" si="0"/>
        <v>4</v>
      </c>
      <c r="O13" s="823">
        <f t="shared" si="0"/>
        <v>2.4299999999999999E-2</v>
      </c>
      <c r="P13" s="824"/>
      <c r="Q13" s="825">
        <f>IFERROR(HLOOKUP($Q$6,'Equity Vol'!$B$8:$K13,ROWS('Equity Vol'!$C$8:$C13),FALSE),"n/a")</f>
        <v>0.70599999999999996</v>
      </c>
      <c r="R13" s="826"/>
      <c r="S13" s="827">
        <f t="shared" si="5"/>
        <v>0.49843599999999993</v>
      </c>
      <c r="T13" s="827">
        <f t="shared" si="6"/>
        <v>1.4975039566103587</v>
      </c>
      <c r="U13" s="828">
        <f t="shared" si="7"/>
        <v>8.5503956610358811E-2</v>
      </c>
      <c r="V13" s="828">
        <f t="shared" si="8"/>
        <v>0.93286891157970553</v>
      </c>
      <c r="W13" s="828">
        <f t="shared" si="9"/>
        <v>0.53406962496359567</v>
      </c>
      <c r="X13" s="378">
        <f t="shared" si="10"/>
        <v>337.39663864209484</v>
      </c>
      <c r="Y13" s="825">
        <f t="shared" si="11"/>
        <v>0.57380565159947428</v>
      </c>
      <c r="AA13" s="557" t="str">
        <f>IF('MASTER PubCo Inputs'!B31=0,"",'MASTER PubCo Inputs'!B31)</f>
        <v>NasdaqCM:ZIOP</v>
      </c>
      <c r="AB13" s="378">
        <f>IF($B13="(Invalid Identifier)","n/a",'Beta Calc'!Z13)</f>
        <v>445.02354000000003</v>
      </c>
      <c r="AC13" s="1613">
        <f t="shared" si="1"/>
        <v>-2.3539999999968586E-2</v>
      </c>
      <c r="AI13" s="559"/>
    </row>
    <row r="14" spans="2:35" ht="14.85" customHeight="1">
      <c r="B14" s="208" t="str">
        <f>'Comp.1'!B16</f>
        <v>Stemline Therapeutics, Inc.</v>
      </c>
      <c r="D14" s="378">
        <f>IF($B14="(Invalid Identifier)","n/a",'Beta Calc'!K14)</f>
        <v>434.2</v>
      </c>
      <c r="E14" s="378" t="str">
        <f>IF($B14="(Invalid Identifier)","n/a",'Beta Calc'!L14)</f>
        <v xml:space="preserve"> -   </v>
      </c>
      <c r="F14" s="378" t="str">
        <f>IF($B14="(Invalid Identifier)","n/a",'Beta Calc'!M14)</f>
        <v xml:space="preserve"> n/a </v>
      </c>
      <c r="G14" s="378" t="str">
        <f>IF($B14="(Invalid Identifier)","n/a",'Beta Calc'!N14)</f>
        <v xml:space="preserve"> n/a </v>
      </c>
      <c r="H14" s="283">
        <f t="shared" si="2"/>
        <v>0</v>
      </c>
      <c r="I14" s="283">
        <f t="shared" si="3"/>
        <v>434.2</v>
      </c>
      <c r="J14" s="378">
        <f>IF($B14="(Invalid Identifier)","n/a",'Beta Calc'!Q14)</f>
        <v>78.599999999999994</v>
      </c>
      <c r="K14" s="378">
        <f t="shared" si="4"/>
        <v>355.6</v>
      </c>
      <c r="M14" s="458">
        <f>IFERROR('Capital IQ Sheet-GPC'!AT17,"n/a")</f>
        <v>0</v>
      </c>
      <c r="N14" s="283">
        <f t="shared" si="0"/>
        <v>4</v>
      </c>
      <c r="O14" s="823">
        <f t="shared" si="0"/>
        <v>2.4299999999999999E-2</v>
      </c>
      <c r="P14" s="824"/>
      <c r="Q14" s="825">
        <f>IFERROR(HLOOKUP($Q$6,'Equity Vol'!$B$8:$K14,ROWS('Equity Vol'!$C$8:$C14),FALSE),"n/a")</f>
        <v>0.66600000000000004</v>
      </c>
      <c r="R14" s="826"/>
      <c r="S14" s="827">
        <f t="shared" si="5"/>
        <v>0.44355600000000006</v>
      </c>
      <c r="T14" s="827">
        <f t="shared" si="6"/>
        <v>0</v>
      </c>
      <c r="U14" s="828">
        <f t="shared" si="7"/>
        <v>0</v>
      </c>
      <c r="V14" s="828">
        <f t="shared" si="8"/>
        <v>0</v>
      </c>
      <c r="W14" s="828">
        <f t="shared" si="9"/>
        <v>0</v>
      </c>
      <c r="X14" s="378">
        <f t="shared" si="10"/>
        <v>0</v>
      </c>
      <c r="Y14" s="825">
        <f t="shared" si="11"/>
        <v>0.66600000000000004</v>
      </c>
      <c r="AA14" s="557" t="str">
        <f>IF('MASTER PubCo Inputs'!B32=0,"",'MASTER PubCo Inputs'!B32)</f>
        <v>NasdaqCM:STML</v>
      </c>
      <c r="AB14" s="378">
        <f>IF($B14="(Invalid Identifier)","n/a",'Beta Calc'!Z14)</f>
        <v>355.63204999999999</v>
      </c>
      <c r="AC14" s="1613">
        <f t="shared" si="1"/>
        <v>-3.2049999999969714E-2</v>
      </c>
      <c r="AI14" s="559"/>
    </row>
    <row r="15" spans="2:35" ht="14.85" customHeight="1">
      <c r="B15" s="208" t="str">
        <f>'Comp.1'!B17</f>
        <v>TG Therapeutics, Inc.</v>
      </c>
      <c r="D15" s="378">
        <f>IF($B15="(Invalid Identifier)","n/a",'Beta Calc'!K15)</f>
        <v>315</v>
      </c>
      <c r="E15" s="378">
        <f>IF($B15="(Invalid Identifier)","n/a",'Beta Calc'!L15)</f>
        <v>0.1</v>
      </c>
      <c r="F15" s="378" t="str">
        <f>IF($B15="(Invalid Identifier)","n/a",'Beta Calc'!M15)</f>
        <v xml:space="preserve"> n/a </v>
      </c>
      <c r="G15" s="378" t="str">
        <f>IF($B15="(Invalid Identifier)","n/a",'Beta Calc'!N15)</f>
        <v xml:space="preserve"> n/a </v>
      </c>
      <c r="H15" s="283">
        <f t="shared" si="2"/>
        <v>0.1</v>
      </c>
      <c r="I15" s="283">
        <f t="shared" si="3"/>
        <v>315.10000000000002</v>
      </c>
      <c r="J15" s="378">
        <f>IF($B15="(Invalid Identifier)","n/a",'Beta Calc'!Q15)</f>
        <v>97.7</v>
      </c>
      <c r="K15" s="378">
        <f t="shared" si="4"/>
        <v>217.40000000000003</v>
      </c>
      <c r="M15" s="458">
        <f>IFERROR('Capital IQ Sheet-GPC'!AT18,"n/a")</f>
        <v>0</v>
      </c>
      <c r="N15" s="283">
        <f t="shared" si="0"/>
        <v>4</v>
      </c>
      <c r="O15" s="823">
        <f t="shared" si="0"/>
        <v>2.4299999999999999E-2</v>
      </c>
      <c r="P15" s="824"/>
      <c r="Q15" s="825">
        <f>IFERROR(HLOOKUP($Q$6,'Equity Vol'!$B$8:$K15,ROWS('Equity Vol'!$C$8:$C15),FALSE),"n/a")</f>
        <v>0.79400000000000004</v>
      </c>
      <c r="R15" s="826"/>
      <c r="S15" s="827">
        <f t="shared" si="5"/>
        <v>0.63043600000000011</v>
      </c>
      <c r="T15" s="827">
        <f t="shared" si="6"/>
        <v>5.6942040728470751</v>
      </c>
      <c r="U15" s="828">
        <f t="shared" si="7"/>
        <v>4.106204072847075</v>
      </c>
      <c r="V15" s="828">
        <f t="shared" si="8"/>
        <v>0.99999999380256188</v>
      </c>
      <c r="W15" s="828">
        <f t="shared" si="9"/>
        <v>0.99997988929152515</v>
      </c>
      <c r="X15" s="378">
        <f t="shared" si="10"/>
        <v>217.30926302616322</v>
      </c>
      <c r="Y15" s="825">
        <f t="shared" si="11"/>
        <v>0.79366861045124926</v>
      </c>
      <c r="AA15" s="557" t="str">
        <f>IF('MASTER PubCo Inputs'!B33=0,"",'MASTER PubCo Inputs'!B33)</f>
        <v>NasdaqCM:TGTX</v>
      </c>
      <c r="AB15" s="378">
        <f>IF($B15="(Invalid Identifier)","n/a",'Beta Calc'!Z15)</f>
        <v>217.34072</v>
      </c>
      <c r="AC15" s="1613">
        <f t="shared" si="1"/>
        <v>5.9280000000029531E-2</v>
      </c>
      <c r="AI15" s="559"/>
    </row>
    <row r="16" spans="2:35" ht="14.85" customHeight="1">
      <c r="B16" s="208" t="str">
        <f>'Comp.1'!B18</f>
        <v>XOMA Corporation</v>
      </c>
      <c r="D16" s="378">
        <f>IF($B16="(Invalid Identifier)","n/a",'Beta Calc'!K16)</f>
        <v>104.8</v>
      </c>
      <c r="E16" s="378">
        <f>IF($B16="(Invalid Identifier)","n/a",'Beta Calc'!L16)</f>
        <v>22</v>
      </c>
      <c r="F16" s="378" t="str">
        <f>IF($B16="(Invalid Identifier)","n/a",'Beta Calc'!M16)</f>
        <v xml:space="preserve"> n/a </v>
      </c>
      <c r="G16" s="378" t="str">
        <f>IF($B16="(Invalid Identifier)","n/a",'Beta Calc'!N16)</f>
        <v xml:space="preserve"> n/a </v>
      </c>
      <c r="H16" s="283">
        <f t="shared" si="2"/>
        <v>22</v>
      </c>
      <c r="I16" s="283">
        <f t="shared" si="3"/>
        <v>126.8</v>
      </c>
      <c r="J16" s="378">
        <f>IF($B16="(Invalid Identifier)","n/a",'Beta Calc'!Q16)</f>
        <v>28.4</v>
      </c>
      <c r="K16" s="378">
        <f t="shared" si="4"/>
        <v>98.4</v>
      </c>
      <c r="M16" s="458">
        <f>IFERROR('Capital IQ Sheet-GPC'!AT19,"n/a")</f>
        <v>0</v>
      </c>
      <c r="N16" s="283">
        <f t="shared" si="0"/>
        <v>4</v>
      </c>
      <c r="O16" s="823">
        <f t="shared" si="0"/>
        <v>2.4299999999999999E-2</v>
      </c>
      <c r="P16" s="824"/>
      <c r="Q16" s="825">
        <f>IFERROR(HLOOKUP($Q$6,'Equity Vol'!$B$8:$K16,ROWS('Equity Vol'!$C$8:$C16),FALSE),"n/a")</f>
        <v>1.117</v>
      </c>
      <c r="R16" s="826"/>
      <c r="S16" s="827">
        <f t="shared" si="5"/>
        <v>1.247689</v>
      </c>
      <c r="T16" s="827">
        <f t="shared" si="6"/>
        <v>1.8310547675469524</v>
      </c>
      <c r="U16" s="828">
        <f t="shared" si="7"/>
        <v>-0.40294523245304759</v>
      </c>
      <c r="V16" s="828">
        <f t="shared" si="8"/>
        <v>0.96645381553215315</v>
      </c>
      <c r="W16" s="828">
        <f t="shared" si="9"/>
        <v>0.34349425744093176</v>
      </c>
      <c r="X16" s="378">
        <f t="shared" si="10"/>
        <v>88.242140887341776</v>
      </c>
      <c r="Y16" s="825">
        <f t="shared" si="11"/>
        <v>1.0364610973941755</v>
      </c>
      <c r="AA16" s="557" t="str">
        <f>IF('MASTER PubCo Inputs'!B34=0,"",'MASTER PubCo Inputs'!B34)</f>
        <v>NasdaqGM:XOMA</v>
      </c>
      <c r="AB16" s="378">
        <f>IF($B16="(Invalid Identifier)","n/a",'Beta Calc'!Z16)</f>
        <v>98.380399999999995</v>
      </c>
      <c r="AC16" s="1613">
        <f t="shared" si="1"/>
        <v>1.9600000000011164E-2</v>
      </c>
      <c r="AI16" s="559"/>
    </row>
    <row r="17" spans="2:35" ht="14.85" customHeight="1">
      <c r="B17" s="208" t="str">
        <f>'Comp.1'!B19</f>
        <v>Five Prime Therapeutics, Inc.</v>
      </c>
      <c r="D17" s="378">
        <f>IF($B17="(Invalid Identifier)","n/a",'Beta Calc'!K17)</f>
        <v>399</v>
      </c>
      <c r="E17" s="378" t="str">
        <f>IF($B17="(Invalid Identifier)","n/a",'Beta Calc'!L17)</f>
        <v xml:space="preserve"> -   </v>
      </c>
      <c r="F17" s="378" t="str">
        <f>IF($B17="(Invalid Identifier)","n/a",'Beta Calc'!M17)</f>
        <v xml:space="preserve"> n/a </v>
      </c>
      <c r="G17" s="378" t="str">
        <f>IF($B17="(Invalid Identifier)","n/a",'Beta Calc'!N17)</f>
        <v xml:space="preserve"> n/a </v>
      </c>
      <c r="H17" s="283">
        <f t="shared" si="2"/>
        <v>0</v>
      </c>
      <c r="I17" s="283">
        <f t="shared" si="3"/>
        <v>399</v>
      </c>
      <c r="J17" s="378">
        <f>IF($B17="(Invalid Identifier)","n/a",'Beta Calc'!Q17)</f>
        <v>321.60000000000002</v>
      </c>
      <c r="K17" s="378">
        <f t="shared" si="4"/>
        <v>77.399999999999977</v>
      </c>
      <c r="M17" s="458">
        <f>IFERROR('Capital IQ Sheet-GPC'!AT20,"n/a")</f>
        <v>0</v>
      </c>
      <c r="N17" s="283">
        <f t="shared" si="0"/>
        <v>4</v>
      </c>
      <c r="O17" s="823">
        <f t="shared" si="0"/>
        <v>2.4299999999999999E-2</v>
      </c>
      <c r="P17" s="824"/>
      <c r="Q17" s="825">
        <f>IFERROR(HLOOKUP($Q$6,'Equity Vol'!$B$8:$K17,ROWS('Equity Vol'!$C$8:$C17),FALSE),"n/a")</f>
        <v>0.67</v>
      </c>
      <c r="R17" s="826"/>
      <c r="S17" s="827">
        <f t="shared" si="5"/>
        <v>0.44890000000000008</v>
      </c>
      <c r="T17" s="827">
        <f t="shared" si="6"/>
        <v>0</v>
      </c>
      <c r="U17" s="828">
        <f t="shared" si="7"/>
        <v>0</v>
      </c>
      <c r="V17" s="828">
        <f t="shared" si="8"/>
        <v>0</v>
      </c>
      <c r="W17" s="828">
        <f t="shared" si="9"/>
        <v>0</v>
      </c>
      <c r="X17" s="378">
        <f t="shared" si="10"/>
        <v>0</v>
      </c>
      <c r="Y17" s="825">
        <f t="shared" si="11"/>
        <v>0.67</v>
      </c>
      <c r="AA17" s="557" t="str">
        <f>IF('MASTER PubCo Inputs'!B35=0,"",'MASTER PubCo Inputs'!B35)</f>
        <v>NasdaqGS:FPRX</v>
      </c>
      <c r="AB17" s="378">
        <f>IF($B17="(Invalid Identifier)","n/a",'Beta Calc'!Z17)</f>
        <v>77.393370000000004</v>
      </c>
      <c r="AC17" s="1613">
        <f t="shared" si="1"/>
        <v>6.6299999999728243E-3</v>
      </c>
      <c r="AI17" s="559"/>
    </row>
    <row r="18" spans="2:35" ht="14.85" customHeight="1">
      <c r="B18" s="208" t="str">
        <f>'Comp.1'!B20</f>
        <v>Cue Biopharma, Inc.</v>
      </c>
      <c r="D18" s="378">
        <f>IF($B18="(Invalid Identifier)","n/a",'Beta Calc'!K18)</f>
        <v>105.8</v>
      </c>
      <c r="E18" s="378" t="str">
        <f>IF($B18="(Invalid Identifier)","n/a",'Beta Calc'!L18)</f>
        <v xml:space="preserve"> -   </v>
      </c>
      <c r="F18" s="378" t="str">
        <f>IF($B18="(Invalid Identifier)","n/a",'Beta Calc'!M18)</f>
        <v xml:space="preserve"> n/a </v>
      </c>
      <c r="G18" s="378" t="str">
        <f>IF($B18="(Invalid Identifier)","n/a",'Beta Calc'!N18)</f>
        <v xml:space="preserve"> n/a </v>
      </c>
      <c r="H18" s="283">
        <f t="shared" si="2"/>
        <v>0</v>
      </c>
      <c r="I18" s="283">
        <f t="shared" si="3"/>
        <v>105.8</v>
      </c>
      <c r="J18" s="378">
        <f>IF($B18="(Invalid Identifier)","n/a",'Beta Calc'!Q18)</f>
        <v>39.200000000000003</v>
      </c>
      <c r="K18" s="378">
        <f t="shared" si="4"/>
        <v>66.599999999999994</v>
      </c>
      <c r="M18" s="458">
        <f>IFERROR('Capital IQ Sheet-GPC'!AT21,"n/a")</f>
        <v>0</v>
      </c>
      <c r="N18" s="283">
        <f t="shared" si="0"/>
        <v>4</v>
      </c>
      <c r="O18" s="823">
        <f t="shared" si="0"/>
        <v>2.4299999999999999E-2</v>
      </c>
      <c r="P18" s="824"/>
      <c r="Q18" s="825">
        <f>IFERROR(HLOOKUP($Q$6,'Equity Vol'!$B$8:$K18,ROWS('Equity Vol'!$C$8:$C18),FALSE),"n/a")</f>
        <v>0.65</v>
      </c>
      <c r="R18" s="826"/>
      <c r="S18" s="827">
        <f t="shared" si="5"/>
        <v>0.42250000000000004</v>
      </c>
      <c r="T18" s="827">
        <f t="shared" si="6"/>
        <v>0</v>
      </c>
      <c r="U18" s="828">
        <f t="shared" si="7"/>
        <v>0</v>
      </c>
      <c r="V18" s="828">
        <f t="shared" si="8"/>
        <v>0</v>
      </c>
      <c r="W18" s="828">
        <f t="shared" si="9"/>
        <v>0</v>
      </c>
      <c r="X18" s="378">
        <f t="shared" si="10"/>
        <v>0</v>
      </c>
      <c r="Y18" s="825">
        <f t="shared" si="11"/>
        <v>0.65</v>
      </c>
      <c r="AA18" s="557" t="str">
        <f>IF('MASTER PubCo Inputs'!B36=0,"",'MASTER PubCo Inputs'!B36)</f>
        <v>NasdaqCM:CUE</v>
      </c>
      <c r="AB18" s="378">
        <f>IF($B18="(Invalid Identifier)","n/a",'Beta Calc'!Z18)</f>
        <v>66.582980000000006</v>
      </c>
      <c r="AC18" s="1613">
        <f t="shared" si="1"/>
        <v>1.7019999999988045E-2</v>
      </c>
      <c r="AI18" s="559"/>
    </row>
    <row r="19" spans="2:35" ht="14.85" customHeight="1">
      <c r="B19" s="208" t="str">
        <f>'Comp.1'!B21</f>
        <v>OncoSec Medical Incorporated</v>
      </c>
      <c r="D19" s="378">
        <f>IF($B19="(Invalid Identifier)","n/a",'Beta Calc'!K19)</f>
        <v>56.8</v>
      </c>
      <c r="E19" s="378" t="str">
        <f>IF($B19="(Invalid Identifier)","n/a",'Beta Calc'!L19)</f>
        <v xml:space="preserve"> -   </v>
      </c>
      <c r="F19" s="378" t="str">
        <f>IF($B19="(Invalid Identifier)","n/a",'Beta Calc'!M19)</f>
        <v xml:space="preserve"> n/a </v>
      </c>
      <c r="G19" s="378" t="str">
        <f>IF($B19="(Invalid Identifier)","n/a",'Beta Calc'!N19)</f>
        <v xml:space="preserve"> n/a </v>
      </c>
      <c r="H19" s="283">
        <f t="shared" si="2"/>
        <v>0</v>
      </c>
      <c r="I19" s="283">
        <f t="shared" si="3"/>
        <v>56.8</v>
      </c>
      <c r="J19" s="378">
        <f>IF($B19="(Invalid Identifier)","n/a",'Beta Calc'!Q19)</f>
        <v>28.5</v>
      </c>
      <c r="K19" s="378">
        <f t="shared" si="4"/>
        <v>28.299999999999997</v>
      </c>
      <c r="M19" s="458">
        <f>IFERROR('Capital IQ Sheet-GPC'!AT22,"n/a")</f>
        <v>0</v>
      </c>
      <c r="N19" s="283">
        <f t="shared" si="0"/>
        <v>4</v>
      </c>
      <c r="O19" s="823">
        <f t="shared" si="0"/>
        <v>2.4299999999999999E-2</v>
      </c>
      <c r="P19" s="824"/>
      <c r="Q19" s="825">
        <f>IFERROR(HLOOKUP($Q$6,'Equity Vol'!$B$8:$K19,ROWS('Equity Vol'!$C$8:$C19),FALSE),"n/a")</f>
        <v>0.81899999999999995</v>
      </c>
      <c r="R19" s="826"/>
      <c r="S19" s="827">
        <f t="shared" si="5"/>
        <v>0.67076099999999994</v>
      </c>
      <c r="T19" s="827">
        <f t="shared" si="6"/>
        <v>0</v>
      </c>
      <c r="U19" s="828">
        <f t="shared" si="7"/>
        <v>0</v>
      </c>
      <c r="V19" s="828">
        <f t="shared" si="8"/>
        <v>0</v>
      </c>
      <c r="W19" s="828">
        <f t="shared" si="9"/>
        <v>0</v>
      </c>
      <c r="X19" s="378">
        <f t="shared" si="10"/>
        <v>0</v>
      </c>
      <c r="Y19" s="825">
        <f t="shared" si="11"/>
        <v>0.81899999999999995</v>
      </c>
      <c r="AA19" s="557" t="str">
        <f>IF('MASTER PubCo Inputs'!B37=0,"",'MASTER PubCo Inputs'!B37)</f>
        <v>NasdaqCM:ONCS</v>
      </c>
      <c r="AB19" s="378">
        <f>IF($B19="(Invalid Identifier)","n/a",'Beta Calc'!Z19)</f>
        <v>28.29128</v>
      </c>
      <c r="AC19" s="1613">
        <f t="shared" si="1"/>
        <v>8.7199999999967304E-3</v>
      </c>
      <c r="AI19" s="559"/>
    </row>
    <row r="20" spans="2:35" ht="14.85" customHeight="1">
      <c r="B20" s="208" t="str">
        <f>'Comp.1'!B22</f>
        <v>NantKwest, Inc.</v>
      </c>
      <c r="D20" s="378">
        <f>IF($B20="(Invalid Identifier)","n/a",'Beta Calc'!K20)</f>
        <v>85.6</v>
      </c>
      <c r="E20" s="378">
        <f>IF($B20="(Invalid Identifier)","n/a",'Beta Calc'!L20)</f>
        <v>7.3</v>
      </c>
      <c r="F20" s="378" t="str">
        <f>IF($B20="(Invalid Identifier)","n/a",'Beta Calc'!M20)</f>
        <v xml:space="preserve"> n/a </v>
      </c>
      <c r="G20" s="378" t="str">
        <f>IF($B20="(Invalid Identifier)","n/a",'Beta Calc'!N20)</f>
        <v xml:space="preserve"> n/a </v>
      </c>
      <c r="H20" s="283">
        <f t="shared" si="2"/>
        <v>7.3</v>
      </c>
      <c r="I20" s="283">
        <f t="shared" si="3"/>
        <v>92.899999999999991</v>
      </c>
      <c r="J20" s="378">
        <f>IF($B20="(Invalid Identifier)","n/a",'Beta Calc'!Q20)</f>
        <v>83.9</v>
      </c>
      <c r="K20" s="378">
        <f t="shared" si="4"/>
        <v>8.9999999999999858</v>
      </c>
      <c r="M20" s="458">
        <f>IFERROR('Capital IQ Sheet-GPC'!AT23,"n/a")</f>
        <v>0</v>
      </c>
      <c r="N20" s="283">
        <f t="shared" si="0"/>
        <v>4</v>
      </c>
      <c r="O20" s="823">
        <f t="shared" si="0"/>
        <v>2.4299999999999999E-2</v>
      </c>
      <c r="P20" s="824"/>
      <c r="Q20" s="825">
        <f>IFERROR(HLOOKUP($Q$6,'Equity Vol'!$B$8:$K20,ROWS('Equity Vol'!$C$8:$C20),FALSE),"n/a")</f>
        <v>0.82299999999999995</v>
      </c>
      <c r="R20" s="826"/>
      <c r="S20" s="827">
        <f t="shared" si="5"/>
        <v>0.67732899999999996</v>
      </c>
      <c r="T20" s="827">
        <f t="shared" si="6"/>
        <v>1.0092395074008944</v>
      </c>
      <c r="U20" s="828">
        <f t="shared" si="7"/>
        <v>-0.6367604925991055</v>
      </c>
      <c r="V20" s="828">
        <f t="shared" si="8"/>
        <v>0.84357010817668054</v>
      </c>
      <c r="W20" s="828">
        <f t="shared" si="9"/>
        <v>0.26214043184076674</v>
      </c>
      <c r="X20" s="378">
        <f t="shared" si="10"/>
        <v>5.8557562826756637</v>
      </c>
      <c r="Y20" s="825">
        <f t="shared" si="11"/>
        <v>0.63477400974856479</v>
      </c>
      <c r="AA20" s="557" t="str">
        <f>IF('MASTER PubCo Inputs'!B38=0,"",'MASTER PubCo Inputs'!B38)</f>
        <v>NasdaqGS:NK</v>
      </c>
      <c r="AB20" s="378">
        <f>IF($B20="(Invalid Identifier)","n/a",'Beta Calc'!Z20)</f>
        <v>8.9691700000000001</v>
      </c>
      <c r="AC20" s="1613">
        <f t="shared" si="1"/>
        <v>3.0829999999985702E-2</v>
      </c>
      <c r="AI20" s="559"/>
    </row>
    <row r="21" spans="2:35" ht="14.85" customHeight="1">
      <c r="B21" s="208" t="str">
        <f>'Comp.1'!B23</f>
        <v>Corvus Pharmaceuticals, Inc.</v>
      </c>
      <c r="D21" s="378">
        <f>IF($B21="(Invalid Identifier)","n/a",'Beta Calc'!K21)</f>
        <v>116.8</v>
      </c>
      <c r="E21" s="378" t="str">
        <f>IF($B21="(Invalid Identifier)","n/a",'Beta Calc'!L21)</f>
        <v xml:space="preserve"> -   </v>
      </c>
      <c r="F21" s="378" t="str">
        <f>IF($B21="(Invalid Identifier)","n/a",'Beta Calc'!M21)</f>
        <v xml:space="preserve"> n/a </v>
      </c>
      <c r="G21" s="378" t="str">
        <f>IF($B21="(Invalid Identifier)","n/a",'Beta Calc'!N21)</f>
        <v xml:space="preserve"> n/a </v>
      </c>
      <c r="H21" s="283">
        <f t="shared" si="2"/>
        <v>0</v>
      </c>
      <c r="I21" s="283">
        <f t="shared" si="3"/>
        <v>116.8</v>
      </c>
      <c r="J21" s="378">
        <f>IF($B21="(Invalid Identifier)","n/a",'Beta Calc'!Q21)</f>
        <v>122.6</v>
      </c>
      <c r="K21" s="378">
        <f t="shared" si="4"/>
        <v>-5.7999999999999972</v>
      </c>
      <c r="M21" s="458">
        <f>IFERROR('Capital IQ Sheet-GPC'!AT24,"n/a")</f>
        <v>0</v>
      </c>
      <c r="N21" s="283">
        <f t="shared" si="0"/>
        <v>4</v>
      </c>
      <c r="O21" s="823">
        <f t="shared" si="0"/>
        <v>2.4299999999999999E-2</v>
      </c>
      <c r="P21" s="824"/>
      <c r="Q21" s="825">
        <f>IFERROR(HLOOKUP($Q$6,'Equity Vol'!$B$8:$K21,ROWS('Equity Vol'!$C$8:$C21),FALSE),"n/a")</f>
        <v>0.69</v>
      </c>
      <c r="R21" s="826"/>
      <c r="S21" s="827">
        <f t="shared" si="5"/>
        <v>0.47609999999999991</v>
      </c>
      <c r="T21" s="827">
        <f t="shared" si="6"/>
        <v>0</v>
      </c>
      <c r="U21" s="828">
        <f t="shared" si="7"/>
        <v>0</v>
      </c>
      <c r="V21" s="828">
        <f t="shared" si="8"/>
        <v>0</v>
      </c>
      <c r="W21" s="828">
        <f t="shared" si="9"/>
        <v>0</v>
      </c>
      <c r="X21" s="378">
        <f t="shared" si="10"/>
        <v>0</v>
      </c>
      <c r="Y21" s="825">
        <f t="shared" si="11"/>
        <v>0.69</v>
      </c>
      <c r="AA21" s="557" t="str">
        <f>IF('MASTER PubCo Inputs'!B39=0,"",'MASTER PubCo Inputs'!B39)</f>
        <v>NasdaqGM:CRVS</v>
      </c>
      <c r="AB21" s="378">
        <f>IF($B21="(Invalid Identifier)","n/a",'Beta Calc'!Z21)</f>
        <v>-5.8034800000000004</v>
      </c>
      <c r="AC21" s="1613">
        <f t="shared" si="1"/>
        <v>3.4800000000032583E-3</v>
      </c>
      <c r="AI21" s="559"/>
    </row>
    <row r="22" spans="2:35" ht="14.85" customHeight="1">
      <c r="B22" s="208" t="str">
        <f>'Comp.1'!B24</f>
        <v>Surface Oncology, Inc.</v>
      </c>
      <c r="D22" s="378">
        <f>IF($B22="(Invalid Identifier)","n/a",'Beta Calc'!K22)</f>
        <v>159.19999999999999</v>
      </c>
      <c r="E22" s="378" t="str">
        <f>IF($B22="(Invalid Identifier)","n/a",'Beta Calc'!L22)</f>
        <v xml:space="preserve"> -   </v>
      </c>
      <c r="F22" s="378" t="str">
        <f>IF($B22="(Invalid Identifier)","n/a",'Beta Calc'!M22)</f>
        <v xml:space="preserve"> n/a </v>
      </c>
      <c r="G22" s="378" t="str">
        <f>IF($B22="(Invalid Identifier)","n/a",'Beta Calc'!N22)</f>
        <v xml:space="preserve"> n/a </v>
      </c>
      <c r="H22" s="283">
        <f t="shared" si="2"/>
        <v>0</v>
      </c>
      <c r="I22" s="283">
        <f t="shared" si="3"/>
        <v>159.19999999999999</v>
      </c>
      <c r="J22" s="378">
        <f>IF($B22="(Invalid Identifier)","n/a",'Beta Calc'!Q22)</f>
        <v>173.4</v>
      </c>
      <c r="K22" s="378">
        <f t="shared" si="4"/>
        <v>-14.200000000000017</v>
      </c>
      <c r="M22" s="458">
        <f>IFERROR('Capital IQ Sheet-GPC'!AT25,"n/a")</f>
        <v>0</v>
      </c>
      <c r="N22" s="283">
        <f t="shared" si="0"/>
        <v>4</v>
      </c>
      <c r="O22" s="823">
        <f t="shared" si="0"/>
        <v>2.4299999999999999E-2</v>
      </c>
      <c r="P22" s="824"/>
      <c r="Q22" s="825" t="str">
        <f>IFERROR(HLOOKUP($Q$6,'Equity Vol'!$B$8:$K22,ROWS('Equity Vol'!$C$8:$C22),FALSE),"n/a")</f>
        <v>NM</v>
      </c>
      <c r="R22" s="826"/>
      <c r="S22" s="827" t="str">
        <f t="shared" si="5"/>
        <v>n/a</v>
      </c>
      <c r="T22" s="827" t="str">
        <f t="shared" si="6"/>
        <v>n/a</v>
      </c>
      <c r="U22" s="828" t="str">
        <f t="shared" si="7"/>
        <v>n/a</v>
      </c>
      <c r="V22" s="828" t="str">
        <f t="shared" si="8"/>
        <v>n/a</v>
      </c>
      <c r="W22" s="828" t="str">
        <f t="shared" si="9"/>
        <v>n/a</v>
      </c>
      <c r="X22" s="378" t="str">
        <f>IF(OR(K22="n/a",S22="n/a"),"n/a",IF(M22=0,(K22*V22)-((H22*EXP(1)^(-O22*N22))*W22),(K22*(2.718^(-M22*N22))*V22)-(H22*(2.718^(-O22*N22))*W22)))</f>
        <v>n/a</v>
      </c>
      <c r="Y22" s="825" t="str">
        <f t="shared" si="11"/>
        <v>NM</v>
      </c>
      <c r="AA22" s="557" t="str">
        <f>IF('MASTER PubCo Inputs'!B40=0,"",'MASTER PubCo Inputs'!B40)</f>
        <v>NasdaqGM:SURF</v>
      </c>
      <c r="AB22" s="378">
        <f>IF($B22="(Invalid Identifier)","n/a",'Beta Calc'!Z22)</f>
        <v>-14.20509</v>
      </c>
      <c r="AC22" s="1613">
        <f t="shared" si="1"/>
        <v>5.0899999999831635E-3</v>
      </c>
      <c r="AI22" s="559"/>
    </row>
    <row r="23" spans="2:35" ht="14.85" hidden="1" customHeight="1" outlineLevel="1">
      <c r="D23" s="378"/>
      <c r="E23" s="378"/>
      <c r="F23" s="378"/>
      <c r="G23" s="378"/>
      <c r="H23" s="283"/>
      <c r="I23" s="283"/>
      <c r="J23" s="378"/>
      <c r="K23" s="378"/>
      <c r="M23" s="458"/>
      <c r="N23" s="283"/>
      <c r="O23" s="823"/>
      <c r="P23" s="824"/>
      <c r="Q23" s="825"/>
      <c r="R23" s="826"/>
      <c r="S23" s="827"/>
      <c r="T23" s="827"/>
      <c r="U23" s="828"/>
      <c r="V23" s="828"/>
      <c r="W23" s="828"/>
      <c r="X23" s="378"/>
      <c r="Y23" s="825"/>
      <c r="AA23" s="557"/>
      <c r="AB23" s="378"/>
      <c r="AC23" s="1613"/>
      <c r="AI23" s="559"/>
    </row>
    <row r="24" spans="2:35" ht="14.85" hidden="1" customHeight="1" outlineLevel="1">
      <c r="D24" s="378"/>
      <c r="E24" s="378"/>
      <c r="F24" s="378"/>
      <c r="G24" s="378"/>
      <c r="H24" s="283"/>
      <c r="I24" s="283"/>
      <c r="J24" s="378"/>
      <c r="K24" s="378"/>
      <c r="M24" s="458"/>
      <c r="N24" s="283"/>
      <c r="O24" s="823"/>
      <c r="P24" s="824"/>
      <c r="Q24" s="825"/>
      <c r="R24" s="826"/>
      <c r="S24" s="827"/>
      <c r="T24" s="827"/>
      <c r="U24" s="828"/>
      <c r="V24" s="828"/>
      <c r="W24" s="828"/>
      <c r="X24" s="378"/>
      <c r="Y24" s="825"/>
      <c r="AA24" s="557"/>
      <c r="AB24" s="378"/>
      <c r="AC24" s="1613"/>
      <c r="AI24" s="559"/>
    </row>
    <row r="25" spans="2:35" ht="14.85" hidden="1" customHeight="1" outlineLevel="1">
      <c r="D25" s="378"/>
      <c r="E25" s="378"/>
      <c r="F25" s="378"/>
      <c r="G25" s="378"/>
      <c r="H25" s="283"/>
      <c r="I25" s="283"/>
      <c r="J25" s="378"/>
      <c r="K25" s="378"/>
      <c r="M25" s="458"/>
      <c r="N25" s="283"/>
      <c r="O25" s="823"/>
      <c r="P25" s="824"/>
      <c r="Q25" s="825"/>
      <c r="R25" s="826"/>
      <c r="S25" s="827"/>
      <c r="T25" s="827"/>
      <c r="U25" s="828"/>
      <c r="V25" s="828"/>
      <c r="W25" s="828"/>
      <c r="X25" s="378"/>
      <c r="Y25" s="825"/>
      <c r="AA25" s="557"/>
      <c r="AB25" s="378"/>
      <c r="AC25" s="1613"/>
      <c r="AI25" s="559"/>
    </row>
    <row r="26" spans="2:35" ht="14.85" hidden="1" customHeight="1" outlineLevel="1">
      <c r="D26" s="378"/>
      <c r="E26" s="378"/>
      <c r="F26" s="378"/>
      <c r="G26" s="378"/>
      <c r="H26" s="283"/>
      <c r="I26" s="283"/>
      <c r="J26" s="378"/>
      <c r="K26" s="378"/>
      <c r="M26" s="458"/>
      <c r="N26" s="283"/>
      <c r="O26" s="823"/>
      <c r="P26" s="824"/>
      <c r="Q26" s="825"/>
      <c r="R26" s="826"/>
      <c r="S26" s="827"/>
      <c r="T26" s="827"/>
      <c r="U26" s="828"/>
      <c r="V26" s="828"/>
      <c r="W26" s="828"/>
      <c r="X26" s="378"/>
      <c r="Y26" s="825"/>
      <c r="AA26" s="557"/>
      <c r="AB26" s="378"/>
      <c r="AC26" s="1613"/>
      <c r="AI26" s="559"/>
    </row>
    <row r="27" spans="2:35" ht="14.85" hidden="1" customHeight="1" outlineLevel="1">
      <c r="D27" s="378"/>
      <c r="E27" s="378"/>
      <c r="F27" s="378"/>
      <c r="G27" s="378"/>
      <c r="H27" s="283"/>
      <c r="I27" s="283"/>
      <c r="J27" s="378"/>
      <c r="K27" s="378"/>
      <c r="M27" s="458"/>
      <c r="N27" s="283"/>
      <c r="O27" s="823"/>
      <c r="P27" s="824"/>
      <c r="Q27" s="825"/>
      <c r="R27" s="826"/>
      <c r="S27" s="827"/>
      <c r="T27" s="827"/>
      <c r="U27" s="828"/>
      <c r="V27" s="828"/>
      <c r="W27" s="828"/>
      <c r="X27" s="378"/>
      <c r="Y27" s="825"/>
      <c r="AA27" s="557"/>
      <c r="AB27" s="378"/>
      <c r="AC27" s="1613"/>
      <c r="AI27" s="559"/>
    </row>
    <row r="28" spans="2:35" ht="14.85" hidden="1" customHeight="1" outlineLevel="1">
      <c r="D28" s="378"/>
      <c r="E28" s="378"/>
      <c r="F28" s="378"/>
      <c r="G28" s="378"/>
      <c r="H28" s="283"/>
      <c r="I28" s="283"/>
      <c r="J28" s="378"/>
      <c r="K28" s="378"/>
      <c r="M28" s="458"/>
      <c r="N28" s="283"/>
      <c r="O28" s="823"/>
      <c r="P28" s="824"/>
      <c r="Q28" s="825"/>
      <c r="R28" s="826"/>
      <c r="S28" s="827"/>
      <c r="T28" s="827"/>
      <c r="U28" s="828"/>
      <c r="V28" s="828"/>
      <c r="W28" s="828"/>
      <c r="X28" s="378"/>
      <c r="Y28" s="825"/>
      <c r="AA28" s="557"/>
      <c r="AB28" s="378"/>
      <c r="AC28" s="1613"/>
      <c r="AI28" s="559"/>
    </row>
    <row r="29" spans="2:35" ht="14.85" hidden="1" customHeight="1" outlineLevel="1">
      <c r="D29" s="378"/>
      <c r="E29" s="378"/>
      <c r="F29" s="378"/>
      <c r="G29" s="378"/>
      <c r="H29" s="283"/>
      <c r="I29" s="283"/>
      <c r="J29" s="378"/>
      <c r="K29" s="378"/>
      <c r="M29" s="458"/>
      <c r="N29" s="283"/>
      <c r="O29" s="823"/>
      <c r="P29" s="824"/>
      <c r="Q29" s="825"/>
      <c r="R29" s="826"/>
      <c r="S29" s="827"/>
      <c r="T29" s="827"/>
      <c r="U29" s="828"/>
      <c r="V29" s="828"/>
      <c r="W29" s="828"/>
      <c r="X29" s="378"/>
      <c r="Y29" s="825"/>
      <c r="AA29" s="557"/>
      <c r="AB29" s="378"/>
      <c r="AC29" s="1613"/>
      <c r="AI29" s="559"/>
    </row>
    <row r="30" spans="2:35" ht="14.85" hidden="1" customHeight="1" outlineLevel="1">
      <c r="D30" s="378"/>
      <c r="E30" s="378"/>
      <c r="F30" s="378"/>
      <c r="G30" s="378"/>
      <c r="H30" s="283"/>
      <c r="I30" s="283"/>
      <c r="J30" s="378"/>
      <c r="K30" s="378"/>
      <c r="M30" s="458"/>
      <c r="N30" s="283"/>
      <c r="O30" s="823"/>
      <c r="P30" s="824"/>
      <c r="Q30" s="825"/>
      <c r="R30" s="826"/>
      <c r="S30" s="827"/>
      <c r="T30" s="827"/>
      <c r="U30" s="828"/>
      <c r="V30" s="828"/>
      <c r="W30" s="828"/>
      <c r="X30" s="378"/>
      <c r="Y30" s="825"/>
      <c r="AA30" s="557"/>
      <c r="AB30" s="378"/>
      <c r="AC30" s="1613"/>
      <c r="AI30" s="559"/>
    </row>
    <row r="31" spans="2:35" ht="14.85" hidden="1" customHeight="1" outlineLevel="1">
      <c r="D31" s="378"/>
      <c r="E31" s="378"/>
      <c r="F31" s="378"/>
      <c r="G31" s="378"/>
      <c r="H31" s="283"/>
      <c r="I31" s="283"/>
      <c r="J31" s="378"/>
      <c r="K31" s="378"/>
      <c r="M31" s="458"/>
      <c r="N31" s="283"/>
      <c r="O31" s="823"/>
      <c r="P31" s="824"/>
      <c r="Q31" s="825"/>
      <c r="R31" s="826"/>
      <c r="S31" s="827"/>
      <c r="T31" s="827"/>
      <c r="U31" s="828"/>
      <c r="V31" s="828"/>
      <c r="W31" s="828"/>
      <c r="X31" s="378"/>
      <c r="Y31" s="825"/>
      <c r="AA31" s="557"/>
      <c r="AB31" s="378"/>
      <c r="AC31" s="1613"/>
      <c r="AI31" s="559"/>
    </row>
    <row r="32" spans="2:35" ht="14.85" hidden="1" customHeight="1" outlineLevel="1">
      <c r="D32" s="378"/>
      <c r="E32" s="378"/>
      <c r="F32" s="378"/>
      <c r="G32" s="378"/>
      <c r="H32" s="283"/>
      <c r="I32" s="283"/>
      <c r="J32" s="378"/>
      <c r="K32" s="378"/>
      <c r="M32" s="458"/>
      <c r="N32" s="283"/>
      <c r="O32" s="823"/>
      <c r="P32" s="824"/>
      <c r="Q32" s="825"/>
      <c r="R32" s="826"/>
      <c r="S32" s="827"/>
      <c r="T32" s="827"/>
      <c r="U32" s="828"/>
      <c r="V32" s="828"/>
      <c r="W32" s="828"/>
      <c r="X32" s="378"/>
      <c r="Y32" s="825"/>
      <c r="AA32" s="557"/>
      <c r="AB32" s="378"/>
      <c r="AC32" s="1613"/>
      <c r="AI32" s="559"/>
    </row>
    <row r="33" spans="2:35" ht="14.85" hidden="1" customHeight="1" outlineLevel="1">
      <c r="D33" s="378"/>
      <c r="E33" s="378"/>
      <c r="F33" s="378"/>
      <c r="G33" s="378"/>
      <c r="H33" s="283"/>
      <c r="I33" s="283"/>
      <c r="J33" s="378"/>
      <c r="K33" s="378"/>
      <c r="M33" s="458"/>
      <c r="N33" s="283"/>
      <c r="O33" s="823"/>
      <c r="P33" s="824"/>
      <c r="Q33" s="825"/>
      <c r="R33" s="826"/>
      <c r="S33" s="827"/>
      <c r="T33" s="827"/>
      <c r="U33" s="828"/>
      <c r="V33" s="828"/>
      <c r="W33" s="828"/>
      <c r="X33" s="378"/>
      <c r="Y33" s="825"/>
      <c r="AA33" s="557"/>
      <c r="AB33" s="378"/>
      <c r="AC33" s="1613"/>
      <c r="AI33" s="559"/>
    </row>
    <row r="34" spans="2:35" ht="14.85" hidden="1" customHeight="1" outlineLevel="1">
      <c r="D34" s="378"/>
      <c r="E34" s="378"/>
      <c r="F34" s="378"/>
      <c r="G34" s="378"/>
      <c r="H34" s="283"/>
      <c r="I34" s="283"/>
      <c r="J34" s="378"/>
      <c r="K34" s="378"/>
      <c r="M34" s="458"/>
      <c r="N34" s="283"/>
      <c r="O34" s="823"/>
      <c r="P34" s="824"/>
      <c r="Q34" s="825"/>
      <c r="R34" s="826"/>
      <c r="S34" s="827"/>
      <c r="T34" s="827"/>
      <c r="U34" s="828"/>
      <c r="V34" s="828"/>
      <c r="W34" s="828"/>
      <c r="X34" s="378"/>
      <c r="Y34" s="825"/>
      <c r="AA34" s="557"/>
      <c r="AB34" s="378"/>
      <c r="AC34" s="1613"/>
      <c r="AI34" s="559"/>
    </row>
    <row r="35" spans="2:35" ht="14.85" hidden="1" customHeight="1" outlineLevel="1">
      <c r="D35" s="378"/>
      <c r="E35" s="378"/>
      <c r="F35" s="378"/>
      <c r="G35" s="378"/>
      <c r="H35" s="283"/>
      <c r="I35" s="283"/>
      <c r="J35" s="378"/>
      <c r="K35" s="378"/>
      <c r="M35" s="458"/>
      <c r="N35" s="283"/>
      <c r="O35" s="823"/>
      <c r="P35" s="824"/>
      <c r="Q35" s="825"/>
      <c r="R35" s="826"/>
      <c r="S35" s="827"/>
      <c r="T35" s="827"/>
      <c r="U35" s="828"/>
      <c r="V35" s="828"/>
      <c r="W35" s="828"/>
      <c r="X35" s="378"/>
      <c r="Y35" s="825"/>
      <c r="AA35" s="557"/>
      <c r="AB35" s="378"/>
      <c r="AC35" s="1613"/>
      <c r="AI35" s="559"/>
    </row>
    <row r="36" spans="2:35" ht="14.85" hidden="1" customHeight="1" outlineLevel="1">
      <c r="D36" s="378"/>
      <c r="E36" s="378"/>
      <c r="F36" s="378"/>
      <c r="G36" s="378"/>
      <c r="H36" s="283"/>
      <c r="I36" s="283"/>
      <c r="J36" s="378"/>
      <c r="K36" s="378"/>
      <c r="M36" s="458"/>
      <c r="N36" s="283"/>
      <c r="O36" s="823"/>
      <c r="P36" s="824"/>
      <c r="Q36" s="825"/>
      <c r="R36" s="826"/>
      <c r="S36" s="827"/>
      <c r="T36" s="827"/>
      <c r="U36" s="828"/>
      <c r="V36" s="828"/>
      <c r="W36" s="828"/>
      <c r="X36" s="378"/>
      <c r="Y36" s="825"/>
      <c r="AA36" s="557"/>
      <c r="AB36" s="378"/>
      <c r="AC36" s="1613"/>
      <c r="AI36" s="559"/>
    </row>
    <row r="37" spans="2:35" ht="14.85" hidden="1" customHeight="1" outlineLevel="1">
      <c r="D37" s="378"/>
      <c r="E37" s="378"/>
      <c r="F37" s="378"/>
      <c r="G37" s="378"/>
      <c r="H37" s="283"/>
      <c r="I37" s="283"/>
      <c r="J37" s="378"/>
      <c r="K37" s="378"/>
      <c r="M37" s="458"/>
      <c r="N37" s="283"/>
      <c r="O37" s="823"/>
      <c r="P37" s="824"/>
      <c r="Q37" s="825"/>
      <c r="R37" s="826"/>
      <c r="S37" s="827"/>
      <c r="T37" s="827"/>
      <c r="U37" s="828"/>
      <c r="V37" s="828"/>
      <c r="W37" s="828"/>
      <c r="X37" s="378"/>
      <c r="Y37" s="825"/>
      <c r="AA37" s="557"/>
      <c r="AB37" s="378"/>
      <c r="AC37" s="1613"/>
      <c r="AI37" s="559"/>
    </row>
    <row r="38" spans="2:35" ht="14.85" hidden="1" customHeight="1" outlineLevel="1">
      <c r="D38" s="378"/>
      <c r="E38" s="378"/>
      <c r="F38" s="378"/>
      <c r="G38" s="378"/>
      <c r="H38" s="283"/>
      <c r="I38" s="283"/>
      <c r="J38" s="378"/>
      <c r="K38" s="378"/>
      <c r="M38" s="458"/>
      <c r="N38" s="283"/>
      <c r="O38" s="823"/>
      <c r="P38" s="824"/>
      <c r="Q38" s="825"/>
      <c r="R38" s="826"/>
      <c r="S38" s="827"/>
      <c r="T38" s="827"/>
      <c r="U38" s="828"/>
      <c r="V38" s="828"/>
      <c r="W38" s="828"/>
      <c r="X38" s="378"/>
      <c r="Y38" s="825"/>
      <c r="AA38" s="557"/>
      <c r="AB38" s="378"/>
      <c r="AC38" s="1613"/>
      <c r="AI38" s="559"/>
    </row>
    <row r="39" spans="2:35" ht="14.85" hidden="1" customHeight="1" outlineLevel="1">
      <c r="D39" s="378"/>
      <c r="E39" s="378"/>
      <c r="F39" s="378"/>
      <c r="G39" s="378"/>
      <c r="H39" s="283"/>
      <c r="I39" s="283"/>
      <c r="J39" s="378"/>
      <c r="K39" s="378"/>
      <c r="M39" s="458"/>
      <c r="N39" s="283"/>
      <c r="O39" s="823"/>
      <c r="P39" s="824"/>
      <c r="Q39" s="825"/>
      <c r="R39" s="826"/>
      <c r="S39" s="827"/>
      <c r="T39" s="827"/>
      <c r="U39" s="828"/>
      <c r="V39" s="828"/>
      <c r="W39" s="828"/>
      <c r="X39" s="378"/>
      <c r="Y39" s="825"/>
      <c r="AA39" s="557"/>
      <c r="AB39" s="378"/>
      <c r="AC39" s="1613"/>
      <c r="AI39" s="559"/>
    </row>
    <row r="40" spans="2:35" ht="14.85" customHeight="1" collapsed="1">
      <c r="D40" s="283"/>
      <c r="E40" s="283"/>
      <c r="F40" s="283"/>
      <c r="G40" s="283"/>
      <c r="H40" s="283"/>
      <c r="I40" s="283"/>
      <c r="J40" s="283"/>
      <c r="K40" s="283"/>
      <c r="R40" s="355"/>
    </row>
    <row r="41" spans="2:35" ht="14.85" customHeight="1">
      <c r="B41" s="561" t="s">
        <v>111</v>
      </c>
      <c r="C41" s="562"/>
      <c r="D41" s="564">
        <f>MAX(D10:D39)</f>
        <v>7328.4</v>
      </c>
      <c r="E41" s="564">
        <f t="shared" ref="E41:K41" si="12">MAX(E10:E39)</f>
        <v>246.5</v>
      </c>
      <c r="F41" s="564">
        <f t="shared" si="12"/>
        <v>160.4</v>
      </c>
      <c r="G41" s="564">
        <f t="shared" si="12"/>
        <v>0</v>
      </c>
      <c r="H41" s="564">
        <f t="shared" si="12"/>
        <v>246.5</v>
      </c>
      <c r="I41" s="564">
        <f t="shared" si="12"/>
        <v>7574.9</v>
      </c>
      <c r="J41" s="564">
        <f t="shared" si="12"/>
        <v>1420.4</v>
      </c>
      <c r="K41" s="564">
        <f t="shared" si="12"/>
        <v>6154.5</v>
      </c>
      <c r="L41" s="562"/>
      <c r="M41" s="657">
        <f>MAX(M10:M39)</f>
        <v>0</v>
      </c>
      <c r="N41" s="564">
        <f>MAX(N10:N39)</f>
        <v>4</v>
      </c>
      <c r="O41" s="829">
        <f>MAX(O10:O39)</f>
        <v>2.4299999999999999E-2</v>
      </c>
      <c r="P41" s="830"/>
      <c r="Q41" s="831">
        <f>MAX(Q10:Q39)</f>
        <v>1.117</v>
      </c>
      <c r="R41" s="832"/>
      <c r="S41" s="833">
        <f>MAX(S10:S40)</f>
        <v>1.247689</v>
      </c>
      <c r="T41" s="833">
        <f>MAX(T10:T40)</f>
        <v>5.6942040728470751</v>
      </c>
      <c r="U41" s="834">
        <f>MAX(U10:U40)</f>
        <v>4.106204072847075</v>
      </c>
      <c r="V41" s="834">
        <f>MAX(V10:V40)</f>
        <v>0.99999999380256188</v>
      </c>
      <c r="W41" s="834">
        <f>MAX(W10:W40)</f>
        <v>0.99997988929152515</v>
      </c>
      <c r="X41" s="564">
        <f>MAX(X10:X39)</f>
        <v>5932.7728818620444</v>
      </c>
      <c r="Y41" s="835">
        <f>MAX(Y10:Y39)</f>
        <v>1.0364610973941755</v>
      </c>
      <c r="AB41" s="836">
        <f>+'Asset Vol_OPM DLOM'!Y48</f>
        <v>0.65400000000000003</v>
      </c>
      <c r="AC41" s="837" t="s">
        <v>1438</v>
      </c>
      <c r="AD41" s="837"/>
      <c r="AE41" s="837"/>
      <c r="AF41" s="392"/>
    </row>
    <row r="42" spans="2:35" ht="14.85" customHeight="1">
      <c r="B42" s="567" t="s">
        <v>115</v>
      </c>
      <c r="C42" s="568"/>
      <c r="D42" s="570">
        <f t="shared" ref="D42:K42" si="13">QUARTILE(D10:D39,3)</f>
        <v>434.2</v>
      </c>
      <c r="E42" s="570">
        <f t="shared" si="13"/>
        <v>22</v>
      </c>
      <c r="F42" s="570">
        <f t="shared" si="13"/>
        <v>98.95</v>
      </c>
      <c r="G42" s="570" t="e">
        <f t="shared" si="13"/>
        <v>#NUM!</v>
      </c>
      <c r="H42" s="570">
        <f t="shared" si="13"/>
        <v>22</v>
      </c>
      <c r="I42" s="570">
        <f t="shared" si="13"/>
        <v>476.70000000000005</v>
      </c>
      <c r="J42" s="570">
        <f t="shared" si="13"/>
        <v>173.4</v>
      </c>
      <c r="K42" s="570">
        <f t="shared" si="13"/>
        <v>445.00000000000006</v>
      </c>
      <c r="L42" s="568"/>
      <c r="M42" s="659">
        <f>QUARTILE(M10:M39,3)</f>
        <v>0</v>
      </c>
      <c r="N42" s="570">
        <f>QUARTILE(N10:N39,3)</f>
        <v>4</v>
      </c>
      <c r="O42" s="838">
        <f>QUARTILE(O10:O39,3)</f>
        <v>2.4299999999999999E-2</v>
      </c>
      <c r="P42" s="839"/>
      <c r="Q42" s="840">
        <f>QUARTILE(Q10:Q39,3)</f>
        <v>0.80649999999999999</v>
      </c>
      <c r="R42" s="841"/>
      <c r="S42" s="842">
        <f>QUARTILE(S10:S40,3)</f>
        <v>0.65059850000000008</v>
      </c>
      <c r="T42" s="842">
        <f>QUARTILE(T10:T40,3)</f>
        <v>2.5288420511165359</v>
      </c>
      <c r="U42" s="843">
        <f>QUARTILE(U10:U40,3)</f>
        <v>0.94457778838408257</v>
      </c>
      <c r="V42" s="843">
        <f>QUARTILE(V10:V40,3)</f>
        <v>0.98291376374466211</v>
      </c>
      <c r="W42" s="843">
        <f>QUARTILE(W10:W40,3)</f>
        <v>0.74921332790120343</v>
      </c>
      <c r="X42" s="570">
        <f>QUARTILE(X10:X39,3)</f>
        <v>277.35295083412905</v>
      </c>
      <c r="Y42" s="844">
        <f>QUARTILE(Y10:Y39,3)</f>
        <v>0.78229452163581337</v>
      </c>
      <c r="AB42" s="845">
        <f>+'Asset Vol_OPM DLOM'!Y50</f>
        <v>0.66986598111013351</v>
      </c>
      <c r="AC42" s="326" t="s">
        <v>1439</v>
      </c>
      <c r="AD42" s="326"/>
      <c r="AE42" s="326"/>
      <c r="AF42" s="327"/>
    </row>
    <row r="43" spans="2:35" ht="14.85" customHeight="1">
      <c r="B43" s="567" t="s">
        <v>113</v>
      </c>
      <c r="C43" s="568"/>
      <c r="D43" s="570">
        <f>AVERAGE(D10:D39)</f>
        <v>833.99230769230758</v>
      </c>
      <c r="E43" s="570">
        <f t="shared" ref="E43:K43" si="14">AVERAGE(E10:E39)</f>
        <v>58.160000000000004</v>
      </c>
      <c r="F43" s="570">
        <f t="shared" si="14"/>
        <v>65.966666666666669</v>
      </c>
      <c r="G43" s="570" t="e">
        <f t="shared" si="14"/>
        <v>#DIV/0!</v>
      </c>
      <c r="H43" s="570">
        <f t="shared" si="14"/>
        <v>37.592307692307692</v>
      </c>
      <c r="I43" s="570">
        <f t="shared" si="14"/>
        <v>871.58461538461529</v>
      </c>
      <c r="J43" s="570">
        <f t="shared" si="14"/>
        <v>204.44615384615386</v>
      </c>
      <c r="K43" s="570">
        <f t="shared" si="14"/>
        <v>667.13846153846146</v>
      </c>
      <c r="L43" s="568"/>
      <c r="M43" s="659">
        <f>AVERAGE(M10:M39)</f>
        <v>0</v>
      </c>
      <c r="N43" s="570">
        <f>AVERAGE(N10:N39)</f>
        <v>4</v>
      </c>
      <c r="O43" s="838">
        <f>AVERAGE(O10:O39)</f>
        <v>2.4299999999999992E-2</v>
      </c>
      <c r="P43" s="839"/>
      <c r="Q43" s="840">
        <f>AVERAGE(Q10:Q39)</f>
        <v>0.7599999999999999</v>
      </c>
      <c r="R43" s="841"/>
      <c r="S43" s="842">
        <f>AVERAGE(S10:S40)</f>
        <v>0.59465854545454555</v>
      </c>
      <c r="T43" s="842">
        <f>AVERAGE(T10:T40)</f>
        <v>1.511843932659019</v>
      </c>
      <c r="U43" s="843">
        <f>AVERAGE(U10:U40)</f>
        <v>0.62729847811356432</v>
      </c>
      <c r="V43" s="843">
        <f>AVERAGE(V10:V40)</f>
        <v>0.52199026786888192</v>
      </c>
      <c r="W43" s="843">
        <f>AVERAGE(W10:W40)</f>
        <v>0.37073922103084489</v>
      </c>
      <c r="X43" s="570">
        <f>AVERAGE(X10:X39)</f>
        <v>668.18605572339118</v>
      </c>
      <c r="Y43" s="844">
        <f>AVERAGE(Y10:Y39)</f>
        <v>0.72026580317115885</v>
      </c>
      <c r="AB43" s="845">
        <f>+'Asset Vol_OPM DLOM'!Y44</f>
        <v>0.67</v>
      </c>
      <c r="AC43" s="326" t="s">
        <v>1437</v>
      </c>
      <c r="AD43" s="326"/>
      <c r="AE43" s="326"/>
      <c r="AF43" s="846" t="s">
        <v>1708</v>
      </c>
    </row>
    <row r="44" spans="2:35" ht="14.85" customHeight="1">
      <c r="B44" s="567" t="s">
        <v>44</v>
      </c>
      <c r="C44" s="568"/>
      <c r="D44" s="570">
        <f>MEDIAN(D10:D39)</f>
        <v>315</v>
      </c>
      <c r="E44" s="570">
        <f t="shared" ref="E44:K44" si="15">MEDIAN(E10:E39)</f>
        <v>14.9</v>
      </c>
      <c r="F44" s="570">
        <f t="shared" si="15"/>
        <v>37.5</v>
      </c>
      <c r="G44" s="570" t="e">
        <f t="shared" si="15"/>
        <v>#NUM!</v>
      </c>
      <c r="H44" s="570">
        <f t="shared" si="15"/>
        <v>0.1</v>
      </c>
      <c r="I44" s="570">
        <f t="shared" si="15"/>
        <v>315.10000000000002</v>
      </c>
      <c r="J44" s="570">
        <f t="shared" si="15"/>
        <v>83.9</v>
      </c>
      <c r="K44" s="570">
        <f t="shared" si="15"/>
        <v>98.4</v>
      </c>
      <c r="L44" s="568"/>
      <c r="M44" s="659">
        <f>MEDIAN(M10:M39)</f>
        <v>0</v>
      </c>
      <c r="N44" s="570">
        <f>MEDIAN(N10:N39)</f>
        <v>4</v>
      </c>
      <c r="O44" s="838">
        <f>MEDIAN(O10:O39)</f>
        <v>2.4299999999999999E-2</v>
      </c>
      <c r="P44" s="839"/>
      <c r="Q44" s="840">
        <f>MEDIAN(Q10:Q39)</f>
        <v>0.70599999999999996</v>
      </c>
      <c r="R44" s="841"/>
      <c r="S44" s="842">
        <f>MEDIAN(S10:S40)</f>
        <v>0.49843599999999993</v>
      </c>
      <c r="T44" s="842">
        <f>MEDIAN(T10:T40)</f>
        <v>1.0092395074008944</v>
      </c>
      <c r="U44" s="843">
        <f>MEDIAN(U10:U40)</f>
        <v>0</v>
      </c>
      <c r="V44" s="843">
        <f>MEDIAN(V10:V40)</f>
        <v>0.84357010817668054</v>
      </c>
      <c r="W44" s="843">
        <f>MEDIAN(W10:W40)</f>
        <v>0.26214043184076674</v>
      </c>
      <c r="X44" s="570">
        <f>MEDIAN(X10:X39)</f>
        <v>5.8557562826756637</v>
      </c>
      <c r="Y44" s="844">
        <f>MEDIAN(Y10:Y39)</f>
        <v>0.67</v>
      </c>
      <c r="AB44" s="847"/>
      <c r="AC44" s="326"/>
      <c r="AD44" s="326"/>
      <c r="AE44" s="326"/>
      <c r="AF44" s="327"/>
    </row>
    <row r="45" spans="2:35" ht="14.85" customHeight="1">
      <c r="B45" s="567" t="s">
        <v>114</v>
      </c>
      <c r="C45" s="568"/>
      <c r="D45" s="570">
        <f>QUARTILE(D10:D39,1)</f>
        <v>105.8</v>
      </c>
      <c r="E45" s="570">
        <f t="shared" ref="E45:K45" si="16">QUARTILE(E10:E39,1)</f>
        <v>7.3</v>
      </c>
      <c r="F45" s="570">
        <f t="shared" si="16"/>
        <v>18.75</v>
      </c>
      <c r="G45" s="570" t="e">
        <f t="shared" si="16"/>
        <v>#NUM!</v>
      </c>
      <c r="H45" s="570">
        <f t="shared" si="16"/>
        <v>0</v>
      </c>
      <c r="I45" s="570">
        <f t="shared" si="16"/>
        <v>116.8</v>
      </c>
      <c r="J45" s="570">
        <f t="shared" si="16"/>
        <v>31.7</v>
      </c>
      <c r="K45" s="570">
        <f t="shared" si="16"/>
        <v>28.299999999999997</v>
      </c>
      <c r="L45" s="568"/>
      <c r="M45" s="659">
        <f>QUARTILE(M10:M39,1)</f>
        <v>0</v>
      </c>
      <c r="N45" s="570">
        <f>QUARTILE(N10:N39,1)</f>
        <v>4</v>
      </c>
      <c r="O45" s="838">
        <f>QUARTILE(O10:O39,1)</f>
        <v>2.4299999999999999E-2</v>
      </c>
      <c r="P45" s="839"/>
      <c r="Q45" s="840">
        <f>QUARTILE(Q10:Q39,1)</f>
        <v>0.66800000000000004</v>
      </c>
      <c r="R45" s="841"/>
      <c r="S45" s="842">
        <f>QUARTILE(S10:S40,1)</f>
        <v>0.44622800000000007</v>
      </c>
      <c r="T45" s="842">
        <f>QUARTILE(T10:T40,1)</f>
        <v>0</v>
      </c>
      <c r="U45" s="843">
        <f>QUARTILE(U10:U40,1)</f>
        <v>0</v>
      </c>
      <c r="V45" s="843">
        <f>QUARTILE(V10:V40,1)</f>
        <v>0</v>
      </c>
      <c r="W45" s="843">
        <f>QUARTILE(W10:W40,1)</f>
        <v>0</v>
      </c>
      <c r="X45" s="570">
        <f>QUARTILE(X10:X39,1)</f>
        <v>0</v>
      </c>
      <c r="Y45" s="844">
        <f>QUARTILE(Y10:Y39,1)</f>
        <v>0.64238700487428235</v>
      </c>
      <c r="AB45" s="848" t="str">
        <f>IF(ROUND(AB42,3)=ROUND(AB43,3),"","Update Volatility - DLOM")</f>
        <v/>
      </c>
      <c r="AC45" s="288"/>
      <c r="AD45" s="288"/>
      <c r="AE45" s="288"/>
      <c r="AF45" s="440"/>
    </row>
    <row r="46" spans="2:35" ht="14.85" customHeight="1">
      <c r="B46" s="572" t="s">
        <v>112</v>
      </c>
      <c r="C46" s="427"/>
      <c r="D46" s="430">
        <f t="shared" ref="D46:K46" si="17">MIN(D10:D39)</f>
        <v>56.8</v>
      </c>
      <c r="E46" s="430">
        <f t="shared" si="17"/>
        <v>0.1</v>
      </c>
      <c r="F46" s="430">
        <f t="shared" si="17"/>
        <v>0</v>
      </c>
      <c r="G46" s="430">
        <f t="shared" si="17"/>
        <v>0</v>
      </c>
      <c r="H46" s="430">
        <f t="shared" si="17"/>
        <v>0</v>
      </c>
      <c r="I46" s="430">
        <f t="shared" si="17"/>
        <v>56.8</v>
      </c>
      <c r="J46" s="430">
        <f t="shared" si="17"/>
        <v>20.6</v>
      </c>
      <c r="K46" s="430">
        <f t="shared" si="17"/>
        <v>-14.200000000000017</v>
      </c>
      <c r="L46" s="427"/>
      <c r="M46" s="661">
        <f>MIN(M10:M39)</f>
        <v>0</v>
      </c>
      <c r="N46" s="430">
        <f>MIN(N10:N39)</f>
        <v>4</v>
      </c>
      <c r="O46" s="849">
        <f>MIN(O10:O39)</f>
        <v>2.4299999999999999E-2</v>
      </c>
      <c r="P46" s="850"/>
      <c r="Q46" s="851">
        <f>MIN(Q10:Q39)</f>
        <v>0.64100000000000001</v>
      </c>
      <c r="R46" s="852"/>
      <c r="S46" s="853">
        <f>MIN(S10:S40)</f>
        <v>0.410881</v>
      </c>
      <c r="T46" s="853">
        <f>MIN(T10:T40)</f>
        <v>0</v>
      </c>
      <c r="U46" s="854">
        <f>MIN(U10:U40)</f>
        <v>-0.6367604925991055</v>
      </c>
      <c r="V46" s="854">
        <f>MIN(V10:V40)</f>
        <v>0</v>
      </c>
      <c r="W46" s="854">
        <f>MIN(W10:W40)</f>
        <v>0</v>
      </c>
      <c r="X46" s="430">
        <f>MIN(X10:X39)</f>
        <v>0</v>
      </c>
      <c r="Y46" s="855">
        <f>MIN(Y10:Y39)</f>
        <v>0.57380565159947428</v>
      </c>
      <c r="AB46" s="318" t="str">
        <f>IF(K48&lt;&gt;K50,"Check","")</f>
        <v/>
      </c>
    </row>
    <row r="47" spans="2:35" ht="14.85" customHeight="1">
      <c r="AB47" s="485" t="str">
        <f>IF(AND(AB44=$AF$45,AB46=$AF$45,AB45=$AF$45),"","Check")</f>
        <v/>
      </c>
    </row>
    <row r="48" spans="2:35" ht="14.85" hidden="1" customHeight="1" outlineLevel="1">
      <c r="B48" s="856" t="str">
        <f>B2</f>
        <v>Medikine, Inc.</v>
      </c>
      <c r="C48" s="857" t="s">
        <v>223</v>
      </c>
      <c r="D48" s="859">
        <f>'OPM 1'!D9/1000</f>
        <v>13.239134682063337</v>
      </c>
      <c r="E48" s="859">
        <f>'Hist BS'!G68</f>
        <v>0</v>
      </c>
      <c r="F48" s="858"/>
      <c r="G48" s="858"/>
      <c r="H48" s="861">
        <f>SUM(E48:G48)</f>
        <v>0</v>
      </c>
      <c r="I48" s="861">
        <f>SUM(D48:G48)</f>
        <v>13.239134682063337</v>
      </c>
      <c r="J48" s="858"/>
      <c r="K48" s="861">
        <f>I48-J48</f>
        <v>13.239134682063337</v>
      </c>
      <c r="L48" s="858"/>
      <c r="M48" s="860">
        <f>'OPM 1'!D13</f>
        <v>0</v>
      </c>
      <c r="N48" s="861">
        <f>N$6</f>
        <v>4</v>
      </c>
      <c r="O48" s="862">
        <f>O$6</f>
        <v>2.4299999999999999E-2</v>
      </c>
      <c r="P48" s="863"/>
      <c r="Q48" s="864">
        <v>0.65400000000000003</v>
      </c>
      <c r="R48" s="858"/>
      <c r="S48" s="865">
        <f>IF(Q48="n/a","n/a",Q48^2)</f>
        <v>0.42771600000000004</v>
      </c>
      <c r="T48" s="865">
        <f>IF(OR(K48="n/a",S48="n/a"),"n/a",IF(H48=0,0,IF(M48=0,(LN(K48/H48)+((O48+(S48/2))*N48))/((S48*N48)^0.5),(LN(K48/H48)+((O48-M48+(S48/2))*N48))/((S48*N48)^0.5))))</f>
        <v>0</v>
      </c>
      <c r="U48" s="866">
        <f>IF(T48="n/a","n/a",IF(H48=0,0,T48-(S48*N48)^0.5))</f>
        <v>0</v>
      </c>
      <c r="V48" s="866">
        <f>IF(OR(T48="n/a",S48="n/a"),"n/a",IF(H48=0,0,NORMSDIST(T48)))</f>
        <v>0</v>
      </c>
      <c r="W48" s="866">
        <f>IF(OR(U48="n/a",S48="n/a"),"n/a",IF(H48=0,0,NORMSDIST(U48)))</f>
        <v>0</v>
      </c>
      <c r="X48" s="866">
        <f>IF(OR(K48="n/a",S48="n/a"),"n/a",IF(M48=0,(K48*V48)-((H48*EXP(1)^(-O48*N48))*W48),(K48*(2.718^(-M48*N48))*V48)-(H48*(2.718^(-O48*N48))*W48)))</f>
        <v>0</v>
      </c>
      <c r="Y48" s="867">
        <f>IF(LEN(B48)&gt;0,IF(H48=0,Q48,IF(ISERROR(Q48/((K48/X48)*V48)),"n/a",Q48/((K48/X48)*V48))))</f>
        <v>0.65400000000000003</v>
      </c>
    </row>
    <row r="49" spans="1:27" ht="14.85" hidden="1" customHeight="1" outlineLevel="1">
      <c r="C49" s="310"/>
      <c r="D49" s="310"/>
      <c r="E49" s="310"/>
      <c r="F49" s="310"/>
      <c r="G49" s="310"/>
      <c r="H49" s="310"/>
      <c r="I49" s="310"/>
      <c r="J49" s="310"/>
    </row>
    <row r="50" spans="1:27" ht="14.85" customHeight="1" collapsed="1">
      <c r="B50" s="856" t="str">
        <f>B48</f>
        <v>Medikine, Inc.</v>
      </c>
      <c r="C50" s="857" t="s">
        <v>223</v>
      </c>
      <c r="D50" s="861">
        <f>D48-E50</f>
        <v>9.2200226665974938</v>
      </c>
      <c r="E50" s="859">
        <f>'OPM 1'!D57/1000+E48</f>
        <v>4.0191120154658435</v>
      </c>
      <c r="F50" s="858"/>
      <c r="G50" s="858"/>
      <c r="H50" s="861">
        <f>SUM(E50:G50)</f>
        <v>4.0191120154658435</v>
      </c>
      <c r="I50" s="861">
        <f>SUM(D50:G50)</f>
        <v>13.239134682063337</v>
      </c>
      <c r="J50" s="858"/>
      <c r="K50" s="861">
        <f>K48</f>
        <v>13.239134682063337</v>
      </c>
      <c r="L50" s="858"/>
      <c r="M50" s="868">
        <f>M48</f>
        <v>0</v>
      </c>
      <c r="N50" s="861">
        <f>N$6</f>
        <v>4</v>
      </c>
      <c r="O50" s="862">
        <f>O$6</f>
        <v>2.4299999999999999E-2</v>
      </c>
      <c r="P50" s="863"/>
      <c r="Q50" s="864">
        <v>0.78738477004648599</v>
      </c>
      <c r="R50" s="858"/>
      <c r="S50" s="865">
        <f>IF(Q50="n/a","n/a",Q50^2)</f>
        <v>0.61997477610115759</v>
      </c>
      <c r="T50" s="865">
        <f>IF(OR(K50="n/a",S50="n/a"),"n/a",IF(H50=0,0,IF(M50=0,(LN(K50/H50)+((O50+(S50/2))*N50))/((S50*N50)^0.5),(LN(K50/H50)+((O50-M50+(S50/2))*N50))/((S50*N50)^0.5))))</f>
        <v>1.6061180339637511</v>
      </c>
      <c r="U50" s="866">
        <f>IF(T50="n/a","n/a",IF(H50=0,0,T50-(S50*N50)^0.5))</f>
        <v>3.1348493870779093E-2</v>
      </c>
      <c r="V50" s="866">
        <f>IF(OR(T50="n/a",S50="n/a"),"n/a",IF(H50=0,0,NORMSDIST(T50)))</f>
        <v>0.94587601089943318</v>
      </c>
      <c r="W50" s="866">
        <f>IF(OR(U50="n/a",S50="n/a"),"n/a",IF(H50=0,0,NORMSDIST(U50)))</f>
        <v>0.51250419156175409</v>
      </c>
      <c r="X50" s="866">
        <f>IF(OR(K50="n/a",S50="n/a"),"n/a",IF(M50=0,(K50*V50)-((H50*EXP(1)^(-O50*N50))*W50),(K50*(2.718^(-M50*N50))*V50)-(H50*(2.718^(-O50*N50))*W50)))</f>
        <v>10.653559213247872</v>
      </c>
      <c r="Y50" s="867">
        <f>IF(LEN(B50)&gt;0,IF(H50=0,Q50,IF(ISERROR(Q50/((K50/X50)*V50)),"n/a",Q50/((K50/X50)*V50))))</f>
        <v>0.66986598111013351</v>
      </c>
    </row>
    <row r="51" spans="1:27" ht="14.85" customHeight="1"/>
    <row r="52" spans="1:27" ht="14.85" customHeight="1">
      <c r="B52" s="295" t="s">
        <v>86</v>
      </c>
    </row>
    <row r="53" spans="1:27" ht="14.85" customHeight="1">
      <c r="A53" s="296" t="s">
        <v>224</v>
      </c>
      <c r="B53" s="231" t="s">
        <v>2001</v>
      </c>
    </row>
    <row r="54" spans="1:27" s="297" customFormat="1" ht="14.85" customHeight="1">
      <c r="A54" s="323" t="s">
        <v>223</v>
      </c>
      <c r="B54" s="340" t="s">
        <v>786</v>
      </c>
      <c r="C54" s="310"/>
      <c r="D54" s="310"/>
      <c r="E54" s="310"/>
      <c r="F54" s="310"/>
      <c r="G54" s="310"/>
      <c r="H54" s="310"/>
      <c r="I54" s="310"/>
      <c r="J54" s="310"/>
      <c r="K54" s="310"/>
      <c r="L54" s="310"/>
      <c r="M54" s="310"/>
      <c r="N54" s="310"/>
      <c r="O54" s="310"/>
      <c r="P54" s="355"/>
      <c r="Q54" s="310"/>
      <c r="R54" s="310"/>
      <c r="S54" s="310"/>
      <c r="T54" s="310"/>
      <c r="U54" s="310"/>
      <c r="V54" s="310"/>
      <c r="W54" s="310"/>
      <c r="X54" s="310"/>
      <c r="Y54" s="310"/>
      <c r="Z54" s="310"/>
      <c r="AA54" s="310"/>
    </row>
    <row r="55" spans="1:27" s="297" customFormat="1" ht="14.85" customHeight="1">
      <c r="A55" s="323" t="s">
        <v>223</v>
      </c>
      <c r="B55" s="340" t="s">
        <v>787</v>
      </c>
      <c r="C55" s="310"/>
      <c r="D55" s="310"/>
      <c r="E55" s="310"/>
      <c r="F55" s="310"/>
      <c r="G55" s="310"/>
      <c r="H55" s="310"/>
      <c r="I55" s="310"/>
      <c r="J55" s="310"/>
      <c r="K55" s="310"/>
      <c r="L55" s="310"/>
      <c r="M55" s="310"/>
      <c r="N55" s="310"/>
      <c r="O55" s="310"/>
      <c r="P55" s="355"/>
      <c r="Q55" s="310"/>
      <c r="R55" s="310"/>
      <c r="S55" s="310"/>
      <c r="T55" s="310"/>
      <c r="U55" s="310"/>
      <c r="V55" s="310"/>
      <c r="W55" s="310"/>
      <c r="X55" s="310"/>
      <c r="Y55" s="310"/>
      <c r="Z55" s="310"/>
      <c r="AA55" s="310"/>
    </row>
    <row r="56" spans="1:27" ht="14.85" customHeight="1"/>
    <row r="57" spans="1:27" ht="14.85" customHeight="1">
      <c r="B57" s="295" t="s">
        <v>116</v>
      </c>
    </row>
    <row r="58" spans="1:27" ht="14.85" customHeight="1"/>
    <row r="59" spans="1:27" ht="14.85" customHeight="1">
      <c r="B59" s="208" t="s">
        <v>1465</v>
      </c>
    </row>
    <row r="60" spans="1:27" ht="14.85" customHeight="1">
      <c r="B60" s="208" t="s">
        <v>1466</v>
      </c>
    </row>
    <row r="61" spans="1:27" ht="14.85" customHeight="1">
      <c r="B61" s="208" t="s">
        <v>1467</v>
      </c>
    </row>
    <row r="62" spans="1:27" ht="14.85" customHeight="1">
      <c r="B62" s="208" t="s">
        <v>1468</v>
      </c>
    </row>
    <row r="63" spans="1:27" ht="14.85" customHeight="1">
      <c r="B63" s="208" t="s">
        <v>1469</v>
      </c>
    </row>
    <row r="64" spans="1:27" ht="14.85" customHeight="1">
      <c r="B64" s="208" t="s">
        <v>1470</v>
      </c>
    </row>
    <row r="65" spans="2:2" ht="14.85" customHeight="1">
      <c r="B65" s="208" t="s">
        <v>1471</v>
      </c>
    </row>
    <row r="66" spans="2:2" ht="14.85" customHeight="1"/>
    <row r="67" spans="2:2" ht="14.85" customHeight="1">
      <c r="B67" s="208" t="s">
        <v>1472</v>
      </c>
    </row>
    <row r="68" spans="2:2" ht="14.85" customHeight="1">
      <c r="B68" s="208" t="s">
        <v>1473</v>
      </c>
    </row>
    <row r="69" spans="2:2" ht="14.85" customHeight="1">
      <c r="B69" s="208" t="s">
        <v>1474</v>
      </c>
    </row>
    <row r="70" spans="2:2" ht="14.85" customHeight="1">
      <c r="B70" s="208" t="s">
        <v>1475</v>
      </c>
    </row>
    <row r="71" spans="2:2" ht="14.85" customHeight="1">
      <c r="B71" s="208" t="s">
        <v>1476</v>
      </c>
    </row>
    <row r="72" spans="2:2" ht="14.85" customHeight="1">
      <c r="B72" s="208" t="s">
        <v>1477</v>
      </c>
    </row>
    <row r="73" spans="2:2" ht="14.85" customHeight="1"/>
    <row r="74" spans="2:2" ht="14.85" customHeight="1"/>
    <row r="75" spans="2:2" ht="14.85" customHeight="1"/>
    <row r="76" spans="2:2" ht="14.85" customHeight="1"/>
    <row r="77" spans="2:2" ht="14.85" customHeight="1"/>
    <row r="78" spans="2:2" ht="14.85" customHeight="1"/>
    <row r="79" spans="2:2" ht="14.85" customHeight="1"/>
    <row r="80" spans="2:2"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10:B39">
    <cfRule type="cellIs" dxfId="168" priority="8" operator="equal">
      <formula>"(Invalid Identifier)"</formula>
    </cfRule>
  </conditionalFormatting>
  <conditionalFormatting sqref="B4:I4">
    <cfRule type="cellIs" dxfId="167" priority="7" stopIfTrue="1" operator="equal">
      <formula>"input"</formula>
    </cfRule>
  </conditionalFormatting>
  <conditionalFormatting sqref="J4">
    <cfRule type="cellIs" dxfId="166" priority="5" stopIfTrue="1" operator="equal">
      <formula>"input"</formula>
    </cfRule>
  </conditionalFormatting>
  <conditionalFormatting sqref="J4">
    <cfRule type="cellIs" dxfId="165" priority="6" stopIfTrue="1" operator="equal">
      <formula>"input"</formula>
    </cfRule>
  </conditionalFormatting>
  <conditionalFormatting sqref="K4:X4">
    <cfRule type="cellIs" dxfId="164" priority="3" stopIfTrue="1" operator="equal">
      <formula>"input"</formula>
    </cfRule>
  </conditionalFormatting>
  <conditionalFormatting sqref="K4:X4">
    <cfRule type="cellIs" dxfId="163" priority="4" stopIfTrue="1" operator="equal">
      <formula>"input"</formula>
    </cfRule>
  </conditionalFormatting>
  <conditionalFormatting sqref="Y4">
    <cfRule type="cellIs" dxfId="162" priority="1" stopIfTrue="1" operator="equal">
      <formula>"input"</formula>
    </cfRule>
  </conditionalFormatting>
  <conditionalFormatting sqref="Y4">
    <cfRule type="cellIs" dxfId="161" priority="2" stopIfTrue="1" operator="equal">
      <formula>"input"</formula>
    </cfRule>
  </conditionalFormatting>
  <pageMargins left="0.5" right="0.5" top="0.5" bottom="0.5" header="0.5" footer="0.5"/>
  <pageSetup scale="74" fitToWidth="0" fitToHeight="0" orientation="landscape" r:id="rId1"/>
  <legacyDrawingHF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81"/>
  <dimension ref="B1:L732"/>
  <sheetViews>
    <sheetView showGridLines="0" view="pageBreakPreview" zoomScale="80" zoomScaleNormal="100" zoomScaleSheetLayoutView="80" workbookViewId="0">
      <selection activeCell="K6" sqref="K6"/>
    </sheetView>
  </sheetViews>
  <sheetFormatPr defaultRowHeight="12.75" outlineLevelRow="1"/>
  <cols>
    <col min="1" max="1" width="4.5" style="208" customWidth="1"/>
    <col min="2" max="2" width="79.83203125" style="208" customWidth="1"/>
    <col min="3" max="3" width="2.83203125" style="208" customWidth="1"/>
    <col min="4" max="5" width="30.83203125" style="208" customWidth="1"/>
    <col min="6" max="6" width="4.5" style="208" customWidth="1"/>
    <col min="7" max="7" width="19.5" style="208" bestFit="1" customWidth="1"/>
    <col min="8" max="8" width="1.83203125" style="208" customWidth="1"/>
    <col min="9" max="10" width="12.83203125" style="208" customWidth="1"/>
    <col min="11" max="11" width="1.83203125" style="208" customWidth="1"/>
    <col min="12" max="16384" width="9.33203125" style="208"/>
  </cols>
  <sheetData>
    <row r="1" spans="2:12" ht="10.7" customHeight="1" thickBot="1"/>
    <row r="2" spans="2:12" ht="16.5" customHeight="1" thickTop="1">
      <c r="B2" s="216" t="str">
        <f>'MASTER PubCo Inputs'!$C$5</f>
        <v>Medikine, Inc.</v>
      </c>
      <c r="C2" s="216"/>
      <c r="D2" s="216"/>
      <c r="E2" s="216"/>
    </row>
    <row r="3" spans="2:12" ht="15.75" customHeight="1">
      <c r="B3" s="217" t="str">
        <f>VLOOKUP(B4,Outline!$E$8:$G$79,COLUMNS(Outline!$E$8:$G$8),FALSE)</f>
        <v>Workpaper #7</v>
      </c>
      <c r="C3" s="217"/>
      <c r="D3" s="217"/>
      <c r="E3" s="217"/>
    </row>
    <row r="4" spans="2:12" ht="16.5" customHeight="1" thickBot="1">
      <c r="B4" s="444" t="s">
        <v>2513</v>
      </c>
      <c r="C4" s="444"/>
      <c r="D4" s="444"/>
      <c r="E4" s="444"/>
      <c r="G4" s="870" t="s">
        <v>402</v>
      </c>
      <c r="H4" s="886"/>
      <c r="I4" s="887">
        <f>+'OPM 1'!$D$10</f>
        <v>3</v>
      </c>
      <c r="J4" s="888" t="s">
        <v>2338</v>
      </c>
      <c r="K4" s="889"/>
      <c r="L4" s="890">
        <f>'DLOM - CVM'!H10</f>
        <v>4</v>
      </c>
    </row>
    <row r="5" spans="2:12" ht="14.85" customHeight="1" thickTop="1">
      <c r="G5" s="870" t="s">
        <v>87</v>
      </c>
      <c r="H5" s="886"/>
      <c r="I5" s="891">
        <f>'MASTER PubCo Inputs'!$C$6</f>
        <v>43496</v>
      </c>
    </row>
    <row r="6" spans="2:12" ht="14.85" customHeight="1">
      <c r="G6" s="870" t="s">
        <v>2578</v>
      </c>
      <c r="H6" s="886"/>
      <c r="I6" s="887">
        <f>DLOM!D10</f>
        <v>4</v>
      </c>
      <c r="J6" s="888"/>
      <c r="K6" s="889"/>
      <c r="L6" s="890"/>
    </row>
    <row r="7" spans="2:12" s="229" customFormat="1" ht="14.85" customHeight="1">
      <c r="B7" s="892" t="s">
        <v>127</v>
      </c>
      <c r="D7" s="893" t="s">
        <v>126</v>
      </c>
      <c r="E7" s="894" t="s">
        <v>72</v>
      </c>
      <c r="G7" s="895" t="s">
        <v>128</v>
      </c>
      <c r="H7" s="896"/>
      <c r="I7" s="896" t="s">
        <v>129</v>
      </c>
      <c r="J7" s="897" t="s">
        <v>130</v>
      </c>
    </row>
    <row r="8" spans="2:12" ht="14.85" customHeight="1"/>
    <row r="9" spans="2:12" ht="14.85" customHeight="1">
      <c r="B9" s="208" t="str">
        <f>'Capital IQ Sheet-GPC'!E57</f>
        <v>United States Treasury Constant Maturity - 1 Month</v>
      </c>
      <c r="D9" s="320">
        <f>'Capital IQ Sheet-GPC'!C57</f>
        <v>0.08</v>
      </c>
      <c r="E9" s="331">
        <f>'Capital IQ Sheet-GPC'!D57</f>
        <v>2.4199999999999999E-2</v>
      </c>
      <c r="G9" s="898">
        <f>'Capital IQ Sheet-GPC'!B79</f>
        <v>0</v>
      </c>
      <c r="H9" s="320"/>
      <c r="I9" s="899">
        <v>0</v>
      </c>
      <c r="J9" s="320">
        <f>D10</f>
        <v>0.25</v>
      </c>
    </row>
    <row r="10" spans="2:12" ht="14.85" customHeight="1">
      <c r="B10" s="208" t="str">
        <f>'Capital IQ Sheet-GPC'!E58</f>
        <v>United States Treasury Constant Maturity - 3 Month</v>
      </c>
      <c r="D10" s="320">
        <f>'Capital IQ Sheet-GPC'!C58</f>
        <v>0.25</v>
      </c>
      <c r="E10" s="331">
        <f>'Capital IQ Sheet-GPC'!D58</f>
        <v>2.41E-2</v>
      </c>
      <c r="G10" s="898">
        <f>'Capital IQ Sheet-GPC'!B80</f>
        <v>0</v>
      </c>
      <c r="H10" s="320"/>
      <c r="I10" s="320">
        <f>D9</f>
        <v>0.08</v>
      </c>
      <c r="J10" s="320">
        <f>D11</f>
        <v>0.5</v>
      </c>
    </row>
    <row r="11" spans="2:12" ht="14.85" customHeight="1">
      <c r="B11" s="208" t="str">
        <f>'Capital IQ Sheet-GPC'!E59</f>
        <v>United States Treasury Constant Maturity - 6 Month</v>
      </c>
      <c r="D11" s="320">
        <f>'Capital IQ Sheet-GPC'!C59</f>
        <v>0.5</v>
      </c>
      <c r="E11" s="331">
        <f>'Capital IQ Sheet-GPC'!D59</f>
        <v>2.46E-2</v>
      </c>
      <c r="G11" s="898">
        <f>'Capital IQ Sheet-GPC'!B81</f>
        <v>0</v>
      </c>
      <c r="H11" s="320"/>
      <c r="I11" s="320">
        <f t="shared" ref="I11:I19" si="0">D10</f>
        <v>0.25</v>
      </c>
      <c r="J11" s="320">
        <f t="shared" ref="J11:J18" si="1">D12</f>
        <v>1</v>
      </c>
    </row>
    <row r="12" spans="2:12" ht="14.85" customHeight="1">
      <c r="B12" s="208" t="str">
        <f>'Capital IQ Sheet-GPC'!E60</f>
        <v>United States Treasury Constant Maturity - 1 Year</v>
      </c>
      <c r="D12" s="320">
        <f>'Capital IQ Sheet-GPC'!C60</f>
        <v>1</v>
      </c>
      <c r="E12" s="331">
        <f>'Capital IQ Sheet-GPC'!D60</f>
        <v>2.5499999999999998E-2</v>
      </c>
      <c r="G12" s="898">
        <f>'Capital IQ Sheet-GPC'!B82</f>
        <v>0</v>
      </c>
      <c r="H12" s="320"/>
      <c r="I12" s="320">
        <f t="shared" si="0"/>
        <v>0.5</v>
      </c>
      <c r="J12" s="320">
        <f t="shared" si="1"/>
        <v>2</v>
      </c>
    </row>
    <row r="13" spans="2:12" ht="14.85" customHeight="1">
      <c r="B13" s="208" t="str">
        <f>'Capital IQ Sheet-GPC'!E61</f>
        <v>United States Treasury Constant Maturity - 2 Year</v>
      </c>
      <c r="D13" s="320">
        <f>'Capital IQ Sheet-GPC'!C61</f>
        <v>2</v>
      </c>
      <c r="E13" s="331">
        <f>'Capital IQ Sheet-GPC'!D61</f>
        <v>2.4500000000000001E-2</v>
      </c>
      <c r="G13" s="898">
        <f>'Capital IQ Sheet-GPC'!B83</f>
        <v>0</v>
      </c>
      <c r="H13" s="320"/>
      <c r="I13" s="320">
        <f t="shared" si="0"/>
        <v>1</v>
      </c>
      <c r="J13" s="320">
        <f t="shared" si="1"/>
        <v>3</v>
      </c>
    </row>
    <row r="14" spans="2:12" ht="14.85" customHeight="1">
      <c r="B14" s="208" t="str">
        <f>'Capital IQ Sheet-GPC'!E62</f>
        <v>United States Treasury Constant Maturity - 3 Year</v>
      </c>
      <c r="D14" s="320">
        <f>'Capital IQ Sheet-GPC'!C62</f>
        <v>3</v>
      </c>
      <c r="E14" s="331">
        <f>'Capital IQ Sheet-GPC'!D62</f>
        <v>2.4299999999999999E-2</v>
      </c>
      <c r="G14" s="898">
        <f>'Capital IQ Sheet-GPC'!B84</f>
        <v>0</v>
      </c>
      <c r="H14" s="320"/>
      <c r="I14" s="320">
        <f t="shared" si="0"/>
        <v>2</v>
      </c>
      <c r="J14" s="320">
        <f t="shared" si="1"/>
        <v>5</v>
      </c>
    </row>
    <row r="15" spans="2:12" ht="14.85" customHeight="1">
      <c r="B15" s="208" t="str">
        <f>'Capital IQ Sheet-GPC'!E63</f>
        <v>United States Treasury Constant Maturity - 5 Year</v>
      </c>
      <c r="D15" s="320">
        <f>'Capital IQ Sheet-GPC'!C63</f>
        <v>5</v>
      </c>
      <c r="E15" s="331">
        <f>'Capital IQ Sheet-GPC'!D63</f>
        <v>2.4299999999999999E-2</v>
      </c>
      <c r="G15" s="898">
        <f>'Capital IQ Sheet-GPC'!B85</f>
        <v>0</v>
      </c>
      <c r="H15" s="320"/>
      <c r="I15" s="320">
        <f t="shared" si="0"/>
        <v>3</v>
      </c>
      <c r="J15" s="320">
        <f t="shared" si="1"/>
        <v>7</v>
      </c>
    </row>
    <row r="16" spans="2:12" ht="14.85" customHeight="1">
      <c r="B16" s="208" t="str">
        <f>'Capital IQ Sheet-GPC'!E64</f>
        <v>United States Treasury Constant Maturity - 7 Year</v>
      </c>
      <c r="D16" s="320">
        <f>'Capital IQ Sheet-GPC'!C64</f>
        <v>7</v>
      </c>
      <c r="E16" s="331">
        <f>'Capital IQ Sheet-GPC'!D64</f>
        <v>2.5100000000000001E-2</v>
      </c>
      <c r="G16" s="898">
        <f>'Capital IQ Sheet-GPC'!B86</f>
        <v>0</v>
      </c>
      <c r="H16" s="320"/>
      <c r="I16" s="320">
        <f t="shared" si="0"/>
        <v>5</v>
      </c>
      <c r="J16" s="320">
        <f t="shared" si="1"/>
        <v>10</v>
      </c>
    </row>
    <row r="17" spans="2:10" ht="14.85" customHeight="1">
      <c r="B17" s="208" t="str">
        <f>'Capital IQ Sheet-GPC'!E65</f>
        <v>United States Treasury Constant Maturity - 10 Year</v>
      </c>
      <c r="D17" s="320">
        <f>'Capital IQ Sheet-GPC'!C65</f>
        <v>10</v>
      </c>
      <c r="E17" s="331">
        <f>'Capital IQ Sheet-GPC'!D65</f>
        <v>2.63E-2</v>
      </c>
      <c r="G17" s="898">
        <f>'Capital IQ Sheet-GPC'!B87</f>
        <v>0</v>
      </c>
      <c r="H17" s="320"/>
      <c r="I17" s="320">
        <f t="shared" si="0"/>
        <v>7</v>
      </c>
      <c r="J17" s="320">
        <f t="shared" si="1"/>
        <v>20</v>
      </c>
    </row>
    <row r="18" spans="2:10" ht="14.85" customHeight="1">
      <c r="B18" s="208" t="str">
        <f>'Capital IQ Sheet-GPC'!E66</f>
        <v>United States Treasury Constant Maturity - 20 Year</v>
      </c>
      <c r="D18" s="320">
        <f>'Capital IQ Sheet-GPC'!C66</f>
        <v>20</v>
      </c>
      <c r="E18" s="331">
        <f>'Capital IQ Sheet-GPC'!D66</f>
        <v>2.8299999999999999E-2</v>
      </c>
      <c r="G18" s="898">
        <f>'Capital IQ Sheet-GPC'!B88</f>
        <v>0</v>
      </c>
      <c r="H18" s="320"/>
      <c r="I18" s="320">
        <f t="shared" si="0"/>
        <v>10</v>
      </c>
      <c r="J18" s="320">
        <f t="shared" si="1"/>
        <v>30</v>
      </c>
    </row>
    <row r="19" spans="2:10" ht="14.85" customHeight="1">
      <c r="B19" s="208" t="str">
        <f>'Capital IQ Sheet-GPC'!E67</f>
        <v>United States Treasury Constant Maturity - 30 Year</v>
      </c>
      <c r="D19" s="320">
        <f>'Capital IQ Sheet-GPC'!C67</f>
        <v>30</v>
      </c>
      <c r="E19" s="331">
        <f>'Capital IQ Sheet-GPC'!D67</f>
        <v>2.9899999999999999E-2</v>
      </c>
      <c r="G19" s="898">
        <f>'Capital IQ Sheet-GPC'!B89</f>
        <v>0</v>
      </c>
      <c r="H19" s="320"/>
      <c r="I19" s="320">
        <f t="shared" si="0"/>
        <v>20</v>
      </c>
      <c r="J19" s="900"/>
    </row>
    <row r="20" spans="2:10" ht="14.85" customHeight="1"/>
    <row r="21" spans="2:10" ht="14.85" customHeight="1">
      <c r="B21" s="901" t="s">
        <v>399</v>
      </c>
      <c r="C21" s="902"/>
      <c r="D21" s="902"/>
      <c r="E21" s="903"/>
      <c r="H21" s="560"/>
      <c r="I21" s="560"/>
      <c r="J21" s="560"/>
    </row>
    <row r="22" spans="2:10" ht="14.85" customHeight="1">
      <c r="B22" s="423" t="s">
        <v>129</v>
      </c>
      <c r="C22" s="424"/>
      <c r="D22" s="904">
        <f>SUMIFS($D$9:$D$19,$D$9:$D$19,"&lt;"&amp;D24,J$9:J$19,"&gt;"&amp;D24)</f>
        <v>0</v>
      </c>
      <c r="E22" s="905" t="str">
        <f>IF(ISERROR(VLOOKUP(D22,$D$9:$E$19,COLUMNS($D$7:$E$7),FALSE)), "n/a", VLOOKUP(D22,$D$9:$E$19,COLUMNS($D$7:$E$7),FALSE))</f>
        <v>n/a</v>
      </c>
      <c r="G22" s="906"/>
      <c r="H22" s="560"/>
      <c r="I22" s="560"/>
      <c r="J22" s="560"/>
    </row>
    <row r="23" spans="2:10" ht="14.85" customHeight="1">
      <c r="B23" s="423" t="s">
        <v>130</v>
      </c>
      <c r="C23" s="424"/>
      <c r="D23" s="904">
        <f>SUMIFS($D$9:$D$19,$D$9:$D$19,"&gt;"&amp;D24,I$9:I$19,"&lt;"&amp;D24)</f>
        <v>0</v>
      </c>
      <c r="E23" s="905" t="str">
        <f>IF(ISERROR(VLOOKUP(D23,$D$9:$E$19,COLUMNS($D$7:$E$7),FALSE)), "n/a", VLOOKUP(D23,$D$9:$E$19,COLUMNS($D$7:$E$7),FALSE))</f>
        <v>n/a</v>
      </c>
      <c r="G23" s="331"/>
      <c r="H23" s="560"/>
      <c r="I23" s="560"/>
      <c r="J23" s="560"/>
    </row>
    <row r="24" spans="2:10" ht="14.85" customHeight="1">
      <c r="B24" s="423" t="s">
        <v>102</v>
      </c>
      <c r="C24" s="424"/>
      <c r="D24" s="904">
        <f>I4</f>
        <v>3</v>
      </c>
      <c r="E24" s="905" t="str">
        <f>IF(ISERROR(+E22+(E23-E22)/(D23-D22)*(D24-D22)), "n/a", +E22+(E23-E22)/(D23-D22)*(D24-D22))</f>
        <v>n/a</v>
      </c>
      <c r="H24" s="560"/>
      <c r="I24" s="560"/>
      <c r="J24" s="560"/>
    </row>
    <row r="25" spans="2:10" ht="14.85" customHeight="1">
      <c r="B25" s="423" t="s">
        <v>142</v>
      </c>
      <c r="C25" s="424"/>
      <c r="D25" s="904">
        <f>D24</f>
        <v>3</v>
      </c>
      <c r="E25" s="905">
        <f>IF(ISERROR(VLOOKUP(D25,$D$9:$E$19,COLUMNS($D$7:$E$7),FALSE)), "n/a", VLOOKUP(D25,$D$9:$E$19,COLUMNS($D$7:$E$7),FALSE))</f>
        <v>2.4299999999999999E-2</v>
      </c>
      <c r="H25" s="560"/>
      <c r="I25" s="560"/>
      <c r="J25" s="560"/>
    </row>
    <row r="26" spans="2:10" ht="14.85" customHeight="1">
      <c r="B26" s="431"/>
      <c r="C26" s="424"/>
      <c r="D26" s="424"/>
      <c r="E26" s="907"/>
      <c r="H26" s="560"/>
      <c r="I26" s="560"/>
      <c r="J26" s="560"/>
    </row>
    <row r="27" spans="2:10" ht="14.85" customHeight="1">
      <c r="B27" s="572" t="s">
        <v>143</v>
      </c>
      <c r="C27" s="908"/>
      <c r="D27" s="908"/>
      <c r="E27" s="909">
        <f>IF(E24="n/a",E25,E24)</f>
        <v>2.4299999999999999E-2</v>
      </c>
      <c r="H27" s="354"/>
      <c r="I27" s="354"/>
      <c r="J27" s="354"/>
    </row>
    <row r="28" spans="2:10" ht="14.85" customHeight="1">
      <c r="H28" s="560"/>
      <c r="I28" s="560"/>
      <c r="J28" s="560"/>
    </row>
    <row r="29" spans="2:10" ht="14.85" customHeight="1">
      <c r="B29" s="901" t="s">
        <v>2577</v>
      </c>
      <c r="C29" s="902"/>
      <c r="D29" s="902"/>
      <c r="E29" s="903"/>
      <c r="H29" s="560"/>
      <c r="I29" s="560"/>
      <c r="J29" s="560"/>
    </row>
    <row r="30" spans="2:10" ht="14.85" customHeight="1">
      <c r="B30" s="423" t="s">
        <v>129</v>
      </c>
      <c r="C30" s="424"/>
      <c r="D30" s="904">
        <f>SUMIFS($D$9:$D$19,$D$9:$D$19,"&lt;"&amp;D32,$J$9:$J$19,"&gt;"&amp;D32)</f>
        <v>3</v>
      </c>
      <c r="E30" s="905">
        <f>IF(ISERROR(VLOOKUP(D30,$D$9:$E$19,COLUMNS($D$7:$E$7),FALSE)), "n/a", VLOOKUP(D30,$D$9:$E$19,COLUMNS($D$7:$E$7),FALSE))</f>
        <v>2.4299999999999999E-2</v>
      </c>
      <c r="H30" s="560"/>
      <c r="I30" s="560"/>
      <c r="J30" s="560"/>
    </row>
    <row r="31" spans="2:10" ht="14.85" customHeight="1">
      <c r="B31" s="423" t="s">
        <v>130</v>
      </c>
      <c r="C31" s="424"/>
      <c r="D31" s="904">
        <f>SUMIFS($D$9:$D$19,$D$9:$D$19,"&gt;"&amp;D32,$I$9:$I$19,"&lt;"&amp;D32)</f>
        <v>5</v>
      </c>
      <c r="E31" s="905">
        <f>IF(ISERROR(VLOOKUP(D31,$D$9:$E$19,COLUMNS($D$7:$E$7),FALSE)), "n/a", VLOOKUP(D31,$D$9:$E$19,COLUMNS($D$7:$E$7),FALSE))</f>
        <v>2.4299999999999999E-2</v>
      </c>
      <c r="G31" s="284"/>
      <c r="H31" s="560"/>
      <c r="I31" s="560"/>
      <c r="J31" s="560"/>
    </row>
    <row r="32" spans="2:10" ht="14.85" customHeight="1">
      <c r="B32" s="423" t="s">
        <v>102</v>
      </c>
      <c r="C32" s="424"/>
      <c r="D32" s="904">
        <f>I6</f>
        <v>4</v>
      </c>
      <c r="E32" s="905">
        <f>IF(ISERROR(+E30+(E31-E30)/(D31-D30)*(D32-D30)), "n/a", +E30+(E31-E30)/(D31-D30)*(D32-D30))</f>
        <v>2.4299999999999999E-2</v>
      </c>
      <c r="H32" s="560"/>
      <c r="I32" s="560"/>
      <c r="J32" s="560"/>
    </row>
    <row r="33" spans="2:10" ht="14.85" customHeight="1">
      <c r="B33" s="423" t="s">
        <v>142</v>
      </c>
      <c r="C33" s="424"/>
      <c r="D33" s="904">
        <f>D32</f>
        <v>4</v>
      </c>
      <c r="E33" s="905" t="str">
        <f>IF(ISERROR(VLOOKUP(D33,$D$9:$E$19,COLUMNS($D$7:$E$7),FALSE)), "n/a", VLOOKUP(D33,$D$9:$E$19,COLUMNS($D$7:$E$7),FALSE))</f>
        <v>n/a</v>
      </c>
      <c r="H33" s="560"/>
      <c r="I33" s="560"/>
      <c r="J33" s="560"/>
    </row>
    <row r="34" spans="2:10" ht="14.85" customHeight="1">
      <c r="B34" s="431"/>
      <c r="C34" s="424"/>
      <c r="D34" s="424"/>
      <c r="E34" s="907"/>
      <c r="H34" s="560"/>
      <c r="I34" s="560"/>
      <c r="J34" s="560"/>
    </row>
    <row r="35" spans="2:10" ht="14.85" customHeight="1">
      <c r="B35" s="572" t="s">
        <v>143</v>
      </c>
      <c r="C35" s="908"/>
      <c r="D35" s="908"/>
      <c r="E35" s="909">
        <f>IF(E32="n/a",E33,E32)</f>
        <v>2.4299999999999999E-2</v>
      </c>
      <c r="H35" s="354"/>
      <c r="I35" s="354"/>
      <c r="J35" s="354"/>
    </row>
    <row r="36" spans="2:10" ht="14.85" customHeight="1"/>
    <row r="37" spans="2:10" ht="14.85" hidden="1" customHeight="1" outlineLevel="1">
      <c r="B37" s="901" t="s">
        <v>1697</v>
      </c>
      <c r="C37" s="902"/>
      <c r="D37" s="902"/>
      <c r="E37" s="903"/>
      <c r="H37" s="560"/>
      <c r="I37" s="560"/>
      <c r="J37" s="560"/>
    </row>
    <row r="38" spans="2:10" ht="14.85" hidden="1" customHeight="1" outlineLevel="1">
      <c r="B38" s="423" t="s">
        <v>129</v>
      </c>
      <c r="C38" s="424"/>
      <c r="D38" s="904">
        <f>SUMIFS($D$9:$D$19,$D$9:$D$19,"&lt;"&amp;D40,J$9:J$19,"&gt;"&amp;D40)</f>
        <v>3</v>
      </c>
      <c r="E38" s="905">
        <f>IF(ISERROR(VLOOKUP(D38,$D$9:$E$19,COLUMNS($D$7:$E$7),FALSE)), "n/a", VLOOKUP(D38,$D$9:$E$19,COLUMNS($D$7:$E$7),FALSE))</f>
        <v>2.4299999999999999E-2</v>
      </c>
      <c r="G38" s="906"/>
      <c r="H38" s="560"/>
      <c r="I38" s="560"/>
      <c r="J38" s="560"/>
    </row>
    <row r="39" spans="2:10" ht="14.85" hidden="1" customHeight="1" outlineLevel="1">
      <c r="B39" s="423" t="s">
        <v>130</v>
      </c>
      <c r="C39" s="424"/>
      <c r="D39" s="904">
        <f>SUMIFS($D$9:$D$19,$D$9:$D$19,"&gt;"&amp;D40,I$9:I$19,"&lt;"&amp;D40)</f>
        <v>5</v>
      </c>
      <c r="E39" s="905">
        <f>IF(ISERROR(VLOOKUP(D39,$D$9:$E$19,COLUMNS($D$7:$E$7),FALSE)), "n/a", VLOOKUP(D39,$D$9:$E$19,COLUMNS($D$7:$E$7),FALSE))</f>
        <v>2.4299999999999999E-2</v>
      </c>
      <c r="H39" s="560"/>
      <c r="I39" s="560"/>
      <c r="J39" s="560"/>
    </row>
    <row r="40" spans="2:10" ht="14.85" hidden="1" customHeight="1" outlineLevel="1">
      <c r="B40" s="423" t="s">
        <v>102</v>
      </c>
      <c r="C40" s="424"/>
      <c r="D40" s="904">
        <f>L4</f>
        <v>4</v>
      </c>
      <c r="E40" s="905">
        <f>IF(ISERROR(+E38+(E39-E38)/(D39-D38)*(D40-D38)), "n/a", +E38+(E39-E38)/(D39-D38)*(D40-D38))</f>
        <v>2.4299999999999999E-2</v>
      </c>
      <c r="H40" s="560"/>
      <c r="I40" s="560"/>
      <c r="J40" s="560"/>
    </row>
    <row r="41" spans="2:10" ht="14.85" hidden="1" customHeight="1" outlineLevel="1">
      <c r="B41" s="423" t="s">
        <v>142</v>
      </c>
      <c r="C41" s="424"/>
      <c r="D41" s="904">
        <f>D40</f>
        <v>4</v>
      </c>
      <c r="E41" s="905" t="str">
        <f>IF(ISERROR(VLOOKUP(D41,$D$9:$E$19,COLUMNS($D$7:$E$7),FALSE)), "n/a", VLOOKUP(D41,$D$9:$E$19,COLUMNS($D$7:$E$7),FALSE))</f>
        <v>n/a</v>
      </c>
      <c r="H41" s="560"/>
      <c r="I41" s="560"/>
      <c r="J41" s="560"/>
    </row>
    <row r="42" spans="2:10" ht="14.85" hidden="1" customHeight="1" outlineLevel="1">
      <c r="B42" s="431"/>
      <c r="C42" s="424"/>
      <c r="D42" s="424"/>
      <c r="E42" s="907"/>
      <c r="H42" s="560"/>
      <c r="I42" s="560"/>
      <c r="J42" s="560"/>
    </row>
    <row r="43" spans="2:10" ht="14.85" hidden="1" customHeight="1" outlineLevel="1">
      <c r="B43" s="572" t="s">
        <v>143</v>
      </c>
      <c r="C43" s="908"/>
      <c r="D43" s="908"/>
      <c r="E43" s="909">
        <f>IF(E40="n/a",E41,E40)</f>
        <v>2.4299999999999999E-2</v>
      </c>
      <c r="H43" s="354"/>
      <c r="I43" s="354"/>
      <c r="J43" s="354"/>
    </row>
    <row r="44" spans="2:10" ht="14.85" hidden="1" customHeight="1" outlineLevel="1">
      <c r="H44" s="560"/>
      <c r="I44" s="560"/>
      <c r="J44" s="560"/>
    </row>
    <row r="45" spans="2:10" ht="14.85" hidden="1" customHeight="1" outlineLevel="1">
      <c r="B45" s="901" t="s">
        <v>1699</v>
      </c>
      <c r="C45" s="902"/>
      <c r="D45" s="902"/>
      <c r="E45" s="903"/>
      <c r="H45" s="560"/>
      <c r="I45" s="560"/>
      <c r="J45" s="560"/>
    </row>
    <row r="46" spans="2:10" ht="14.85" hidden="1" customHeight="1" outlineLevel="1">
      <c r="B46" s="423" t="s">
        <v>129</v>
      </c>
      <c r="C46" s="424"/>
      <c r="D46" s="904">
        <f>SUMIFS($D$9:$D$19,$D$9:$D$19,"&lt;"&amp;D48,J$9:J$19,"&gt;"&amp;D48)</f>
        <v>0</v>
      </c>
      <c r="E46" s="905" t="str">
        <f>IF(ISERROR(VLOOKUP(D46,$D$9:$E$19,COLUMNS($D$7:$E$7),FALSE)), "n/a", VLOOKUP(D46,$D$9:$E$19,COLUMNS($D$7:$E$7),FALSE))</f>
        <v>n/a</v>
      </c>
      <c r="G46" s="906"/>
      <c r="H46" s="560"/>
      <c r="I46" s="560"/>
      <c r="J46" s="560"/>
    </row>
    <row r="47" spans="2:10" ht="14.85" hidden="1" customHeight="1" outlineLevel="1">
      <c r="B47" s="423" t="s">
        <v>130</v>
      </c>
      <c r="C47" s="424"/>
      <c r="D47" s="904">
        <f>SUMIFS($D$9:$D$19,$D$9:$D$19,"&gt;"&amp;D48,I$9:I$19,"&lt;"&amp;D48)</f>
        <v>0</v>
      </c>
      <c r="E47" s="905" t="str">
        <f>IF(ISERROR(VLOOKUP(D47,$D$9:$E$19,COLUMNS($D$7:$E$7),FALSE)), "n/a", VLOOKUP(D47,$D$9:$E$19,COLUMNS($D$7:$E$7),FALSE))</f>
        <v>n/a</v>
      </c>
      <c r="H47" s="560"/>
      <c r="I47" s="560"/>
      <c r="J47" s="560"/>
    </row>
    <row r="48" spans="2:10" ht="14.85" hidden="1" customHeight="1" outlineLevel="1">
      <c r="B48" s="423" t="s">
        <v>102</v>
      </c>
      <c r="C48" s="424"/>
      <c r="D48" s="904">
        <f>L6</f>
        <v>0</v>
      </c>
      <c r="E48" s="905" t="str">
        <f>IF(ISERROR(+E46+(E47-E46)/(D47-D46)*(D48-D46)), "n/a", +E46+(E47-E46)/(D47-D46)*(D48-D46))</f>
        <v>n/a</v>
      </c>
      <c r="H48" s="560"/>
      <c r="I48" s="560"/>
      <c r="J48" s="560"/>
    </row>
    <row r="49" spans="2:10" ht="14.85" hidden="1" customHeight="1" outlineLevel="1">
      <c r="B49" s="423" t="s">
        <v>142</v>
      </c>
      <c r="C49" s="424"/>
      <c r="D49" s="904">
        <f>D48</f>
        <v>0</v>
      </c>
      <c r="E49" s="905" t="str">
        <f>IF(ISERROR(VLOOKUP(D49,$D$9:$E$19,COLUMNS($D$7:$E$7),FALSE)), "n/a", VLOOKUP(D49,$D$9:$E$19,COLUMNS($D$7:$E$7),FALSE))</f>
        <v>n/a</v>
      </c>
      <c r="H49" s="560"/>
      <c r="I49" s="560"/>
      <c r="J49" s="560"/>
    </row>
    <row r="50" spans="2:10" ht="14.85" hidden="1" customHeight="1" outlineLevel="1">
      <c r="B50" s="431"/>
      <c r="C50" s="424"/>
      <c r="D50" s="424"/>
      <c r="E50" s="907"/>
      <c r="H50" s="560"/>
      <c r="I50" s="560"/>
      <c r="J50" s="560"/>
    </row>
    <row r="51" spans="2:10" ht="14.85" hidden="1" customHeight="1" outlineLevel="1">
      <c r="B51" s="572" t="s">
        <v>143</v>
      </c>
      <c r="C51" s="908"/>
      <c r="D51" s="908"/>
      <c r="E51" s="909" t="str">
        <f>IF(E48="n/a",E49,E48)</f>
        <v>n/a</v>
      </c>
      <c r="H51" s="354"/>
      <c r="I51" s="354"/>
      <c r="J51" s="354"/>
    </row>
    <row r="52" spans="2:10" ht="14.85" customHeight="1" collapsed="1">
      <c r="H52" s="560"/>
      <c r="I52" s="560"/>
      <c r="J52" s="560"/>
    </row>
    <row r="53" spans="2:10" ht="14.85" customHeight="1">
      <c r="B53" s="295" t="s">
        <v>116</v>
      </c>
    </row>
    <row r="54" spans="2:10" ht="14.85" customHeight="1"/>
    <row r="55" spans="2:10" ht="14.85" customHeight="1"/>
    <row r="56" spans="2:10" ht="14.85" customHeight="1"/>
    <row r="57" spans="2:10" ht="14.85" customHeight="1"/>
    <row r="58" spans="2:10" ht="14.85" customHeight="1"/>
    <row r="59" spans="2:10" ht="14.85" customHeight="1"/>
    <row r="60" spans="2:10" ht="14.85" customHeight="1"/>
    <row r="61" spans="2:10" ht="14.85" customHeight="1"/>
    <row r="62" spans="2:10" ht="14.85" customHeight="1"/>
    <row r="63" spans="2:10" ht="14.85" customHeight="1"/>
    <row r="64" spans="2:10"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sheetData>
  <conditionalFormatting sqref="B4:E4">
    <cfRule type="cellIs" dxfId="160" priority="1" stopIfTrue="1" operator="equal">
      <formula>"input"</formula>
    </cfRule>
  </conditionalFormatting>
  <pageMargins left="0.5" right="0.5" top="0.5" bottom="0.5" header="0.5" footer="0.5"/>
  <pageSetup orientation="landscape" r:id="rId1"/>
  <legacyDrawing r:id="rId2"/>
  <legacyDrawingHF r:id="rId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9"/>
  <dimension ref="B1:AG764"/>
  <sheetViews>
    <sheetView showGridLines="0" view="pageBreakPreview" topLeftCell="A4" zoomScale="80" zoomScaleNormal="100" zoomScaleSheetLayoutView="80" workbookViewId="0"/>
  </sheetViews>
  <sheetFormatPr defaultRowHeight="12.75" outlineLevelRow="1" outlineLevelCol="1"/>
  <cols>
    <col min="1" max="1" width="2.83203125" style="208" customWidth="1"/>
    <col min="2" max="2" width="40.83203125" style="208" customWidth="1"/>
    <col min="3" max="3" width="2.83203125" style="208" customWidth="1"/>
    <col min="4" max="4" width="12.6640625" style="208" customWidth="1"/>
    <col min="5" max="5" width="12.83203125" style="208" customWidth="1"/>
    <col min="6" max="11" width="11.83203125" style="208" hidden="1" customWidth="1" outlineLevel="1"/>
    <col min="12" max="12" width="12.83203125" style="208" customWidth="1" collapsed="1"/>
    <col min="13" max="13" width="2.83203125" style="208" customWidth="1"/>
    <col min="14" max="14" width="13.6640625" style="208" customWidth="1"/>
    <col min="15" max="15" width="12.83203125" style="208" customWidth="1"/>
    <col min="16" max="17" width="12.83203125" style="208" hidden="1" customWidth="1" outlineLevel="1"/>
    <col min="18" max="18" width="21.5" style="208" hidden="1" customWidth="1" outlineLevel="1"/>
    <col min="19" max="21" width="12.83203125" style="208" hidden="1" customWidth="1" outlineLevel="1"/>
    <col min="22" max="22" width="12.83203125" style="208" customWidth="1" collapsed="1"/>
    <col min="23" max="23" width="2.83203125" style="208" customWidth="1"/>
    <col min="24" max="26" width="12.83203125" style="208" customWidth="1"/>
    <col min="27" max="28" width="2.83203125" style="208" customWidth="1"/>
    <col min="29" max="29" width="18.83203125" style="208" bestFit="1" customWidth="1"/>
    <col min="30" max="30" width="19.83203125" style="208" customWidth="1"/>
    <col min="31" max="31" width="17.83203125" style="208" bestFit="1" customWidth="1"/>
    <col min="32" max="32" width="20.5" style="208" customWidth="1"/>
    <col min="33" max="33" width="17" style="208" customWidth="1"/>
    <col min="34" max="16384" width="9.33203125" style="208"/>
  </cols>
  <sheetData>
    <row r="1" spans="2:33" ht="10.7" customHeight="1" thickBot="1"/>
    <row r="2" spans="2:33" ht="16.5" customHeight="1" thickTop="1">
      <c r="B2" s="216" t="str">
        <f>'MASTER PubCo Inputs'!$C$5</f>
        <v>Medikine, Inc.</v>
      </c>
      <c r="C2" s="216"/>
      <c r="D2" s="216"/>
      <c r="E2" s="216"/>
      <c r="F2" s="216"/>
      <c r="G2" s="216"/>
      <c r="H2" s="216"/>
      <c r="I2" s="216"/>
      <c r="J2" s="216"/>
      <c r="K2" s="216"/>
      <c r="L2" s="216"/>
      <c r="M2" s="216"/>
      <c r="N2" s="216"/>
      <c r="O2" s="216"/>
      <c r="P2" s="216"/>
      <c r="Q2" s="216"/>
      <c r="R2" s="216"/>
      <c r="S2" s="216"/>
      <c r="T2" s="216"/>
      <c r="U2" s="216"/>
      <c r="V2" s="216"/>
      <c r="W2" s="216"/>
      <c r="X2" s="216"/>
      <c r="Y2" s="216"/>
      <c r="Z2" s="216"/>
      <c r="AC2" s="1169" t="s">
        <v>585</v>
      </c>
      <c r="AD2" s="1170">
        <f>'Capital IQ Sheet-GPC'!B8</f>
        <v>42643</v>
      </c>
      <c r="AF2" s="1169" t="s">
        <v>365</v>
      </c>
      <c r="AG2" s="1170">
        <f>'Capital IQ Sheet-GPC'!L2</f>
        <v>43496</v>
      </c>
    </row>
    <row r="3" spans="2:33" ht="15.75" customHeight="1">
      <c r="B3" s="217" t="str">
        <f>VLOOKUP(B4,Outline!$E$8:$G$79,COLUMNS(Outline!$E$8:$G$8),FALSE)</f>
        <v>Workpaper #8</v>
      </c>
      <c r="C3" s="217"/>
      <c r="D3" s="217"/>
      <c r="E3" s="217"/>
      <c r="F3" s="217"/>
      <c r="G3" s="217"/>
      <c r="H3" s="217"/>
      <c r="I3" s="217"/>
      <c r="J3" s="217"/>
      <c r="K3" s="217"/>
      <c r="L3" s="217"/>
      <c r="M3" s="217"/>
      <c r="N3" s="217"/>
      <c r="O3" s="217"/>
      <c r="P3" s="217"/>
      <c r="Q3" s="217"/>
      <c r="R3" s="217"/>
      <c r="S3" s="217"/>
      <c r="T3" s="217"/>
      <c r="U3" s="217"/>
      <c r="V3" s="217"/>
      <c r="W3" s="217"/>
      <c r="X3" s="217"/>
      <c r="Y3" s="217"/>
      <c r="Z3" s="217"/>
      <c r="AC3" s="325" t="s">
        <v>378</v>
      </c>
      <c r="AD3" s="601" t="str">
        <f>'Capital IQ Sheet-GPC'!L3</f>
        <v>F</v>
      </c>
      <c r="AF3" s="325" t="s">
        <v>378</v>
      </c>
      <c r="AG3" s="601" t="str">
        <f>AD3</f>
        <v>F</v>
      </c>
    </row>
    <row r="4" spans="2:33" ht="16.5" customHeight="1" thickBot="1">
      <c r="B4" s="444" t="s">
        <v>1991</v>
      </c>
      <c r="C4" s="444"/>
      <c r="D4" s="444"/>
      <c r="E4" s="445"/>
      <c r="F4" s="445"/>
      <c r="G4" s="445"/>
      <c r="H4" s="445"/>
      <c r="I4" s="445"/>
      <c r="J4" s="445"/>
      <c r="K4" s="445"/>
      <c r="L4" s="445"/>
      <c r="M4" s="445"/>
      <c r="N4" s="445"/>
      <c r="O4" s="445"/>
      <c r="P4" s="445"/>
      <c r="Q4" s="445"/>
      <c r="R4" s="445"/>
      <c r="S4" s="445"/>
      <c r="T4" s="445"/>
      <c r="U4" s="445"/>
      <c r="V4" s="445"/>
      <c r="W4" s="445"/>
      <c r="X4" s="445"/>
      <c r="Y4" s="445"/>
      <c r="Z4" s="445" t="str">
        <f>+'MASTER PubCo Inputs'!$C$25</f>
        <v>(in millions of USD, except stock price)</v>
      </c>
      <c r="AC4" s="325" t="s">
        <v>379</v>
      </c>
      <c r="AD4" s="601" t="str">
        <f>'Capital IQ Sheet-GPC'!L4</f>
        <v>LFR</v>
      </c>
      <c r="AF4" s="325" t="s">
        <v>379</v>
      </c>
      <c r="AG4" s="601" t="str">
        <f>AD4</f>
        <v>LFR</v>
      </c>
    </row>
    <row r="5" spans="2:33" ht="14.85" customHeight="1" thickTop="1">
      <c r="B5" s="577"/>
      <c r="C5" s="577"/>
      <c r="D5" s="577"/>
      <c r="N5" s="577"/>
      <c r="AC5" s="339" t="s">
        <v>89</v>
      </c>
      <c r="AD5" s="1171" t="str">
        <f>'Capital IQ Sheet-GPC'!L6</f>
        <v>H</v>
      </c>
      <c r="AF5" s="339" t="s">
        <v>89</v>
      </c>
      <c r="AG5" s="1171" t="str">
        <f>AD5</f>
        <v>H</v>
      </c>
    </row>
    <row r="6" spans="2:33" ht="14.85" customHeight="1">
      <c r="D6" s="869" t="s">
        <v>598</v>
      </c>
      <c r="E6" s="869"/>
      <c r="F6" s="869"/>
      <c r="G6" s="869"/>
      <c r="H6" s="869"/>
      <c r="I6" s="869"/>
      <c r="J6" s="869"/>
      <c r="K6" s="869"/>
      <c r="L6" s="869"/>
      <c r="N6" s="869" t="s">
        <v>599</v>
      </c>
      <c r="O6" s="590"/>
      <c r="P6" s="590"/>
      <c r="Q6" s="590"/>
      <c r="R6" s="590"/>
      <c r="S6" s="590"/>
      <c r="T6" s="590"/>
      <c r="U6" s="590"/>
      <c r="V6" s="590"/>
    </row>
    <row r="7" spans="2:33" ht="14.85" customHeight="1">
      <c r="D7" s="1172" t="str">
        <f>"As of "&amp;TEXT($AD$2,"MM/DD/YY")</f>
        <v>As of 09/30/16</v>
      </c>
      <c r="E7" s="1173"/>
      <c r="F7" s="1173"/>
      <c r="G7" s="1173"/>
      <c r="H7" s="1173"/>
      <c r="I7" s="1173"/>
      <c r="J7" s="1173"/>
      <c r="K7" s="1173"/>
      <c r="L7" s="466"/>
      <c r="N7" s="1172" t="str">
        <f>"As of "&amp;TEXT($AG$2,"MM/DD/YY")</f>
        <v>As of 01/31/19</v>
      </c>
      <c r="O7" s="1173"/>
      <c r="P7" s="1173"/>
      <c r="Q7" s="1173"/>
      <c r="R7" s="1173"/>
      <c r="S7" s="1173"/>
      <c r="T7" s="1173"/>
      <c r="U7" s="1173"/>
      <c r="V7" s="466"/>
      <c r="W7" s="315"/>
      <c r="X7" s="1174" t="s">
        <v>1990</v>
      </c>
      <c r="Y7" s="1173"/>
      <c r="Z7" s="466"/>
      <c r="AC7" s="279" t="s">
        <v>784</v>
      </c>
      <c r="AD7" s="1175">
        <v>1</v>
      </c>
      <c r="AE7" s="279" t="s">
        <v>785</v>
      </c>
      <c r="AF7" s="1175">
        <v>-0.3</v>
      </c>
    </row>
    <row r="8" spans="2:33" s="229" customFormat="1" ht="35.25" customHeight="1">
      <c r="B8" s="1176" t="s">
        <v>597</v>
      </c>
      <c r="C8" s="1177"/>
      <c r="D8" s="1178" t="s">
        <v>583</v>
      </c>
      <c r="E8" s="1179" t="s">
        <v>94</v>
      </c>
      <c r="F8" s="1179" t="s">
        <v>95</v>
      </c>
      <c r="G8" s="1179" t="s">
        <v>96</v>
      </c>
      <c r="H8" s="1179" t="s">
        <v>97</v>
      </c>
      <c r="I8" s="1179" t="s">
        <v>98</v>
      </c>
      <c r="J8" s="1179" t="s">
        <v>99</v>
      </c>
      <c r="K8" s="1179" t="s">
        <v>100</v>
      </c>
      <c r="L8" s="1180" t="s">
        <v>101</v>
      </c>
      <c r="M8" s="289"/>
      <c r="N8" s="821" t="s">
        <v>583</v>
      </c>
      <c r="O8" s="1179" t="s">
        <v>94</v>
      </c>
      <c r="P8" s="1179" t="s">
        <v>95</v>
      </c>
      <c r="Q8" s="1179" t="s">
        <v>96</v>
      </c>
      <c r="R8" s="1179" t="s">
        <v>97</v>
      </c>
      <c r="S8" s="1179" t="s">
        <v>98</v>
      </c>
      <c r="T8" s="1179" t="s">
        <v>99</v>
      </c>
      <c r="U8" s="1179" t="s">
        <v>100</v>
      </c>
      <c r="V8" s="1180" t="s">
        <v>101</v>
      </c>
      <c r="W8" s="1181"/>
      <c r="X8" s="1178" t="s">
        <v>584</v>
      </c>
      <c r="Y8" s="1179" t="s">
        <v>94</v>
      </c>
      <c r="Z8" s="1180" t="s">
        <v>101</v>
      </c>
      <c r="AA8" s="289"/>
      <c r="AB8" s="289"/>
      <c r="AC8" s="550" t="s">
        <v>108</v>
      </c>
    </row>
    <row r="9" spans="2:33" ht="14.85" customHeight="1">
      <c r="B9" s="1182"/>
      <c r="C9" s="1182"/>
      <c r="D9" s="1182"/>
      <c r="N9" s="1182"/>
      <c r="AC9" s="559"/>
    </row>
    <row r="10" spans="2:33" s="560" customFormat="1" ht="14.85" customHeight="1">
      <c r="B10" s="338"/>
      <c r="C10" s="354"/>
      <c r="D10" s="354"/>
      <c r="E10" s="208"/>
      <c r="F10" s="208"/>
      <c r="G10" s="208"/>
      <c r="H10" s="208"/>
      <c r="I10" s="208"/>
      <c r="J10" s="208"/>
      <c r="K10" s="208"/>
      <c r="L10" s="208"/>
      <c r="N10" s="354"/>
      <c r="O10" s="208"/>
      <c r="P10" s="208"/>
      <c r="Q10" s="208"/>
      <c r="R10" s="208"/>
      <c r="S10" s="208"/>
      <c r="T10" s="208"/>
      <c r="U10" s="208"/>
      <c r="V10" s="208"/>
      <c r="Y10" s="674"/>
    </row>
    <row r="11" spans="2:33" ht="14.85" customHeight="1">
      <c r="B11" s="457" t="str">
        <f>'Capital IQ Sheet-GPC'!C13</f>
        <v>Nektar Therapeutics</v>
      </c>
      <c r="C11" s="1183"/>
      <c r="D11" s="740">
        <f>'Capital IQ Sheet-GPC'!BE13</f>
        <v>17.2</v>
      </c>
      <c r="E11" s="740">
        <f>'Capital IQ Sheet-GPC'!BF13</f>
        <v>2349.1</v>
      </c>
      <c r="F11" s="740">
        <f>'Capital IQ Sheet-GPC'!BG13</f>
        <v>248.9</v>
      </c>
      <c r="G11" s="740" t="str">
        <f>'Capital IQ Sheet-GPC'!BH13</f>
        <v>n/a</v>
      </c>
      <c r="H11" s="740" t="str">
        <f>'Capital IQ Sheet-GPC'!BI13</f>
        <v>n/a</v>
      </c>
      <c r="I11" s="740">
        <f>SUM(F11:H11)</f>
        <v>248.9</v>
      </c>
      <c r="J11" s="740">
        <f>SUM(E11:H11)</f>
        <v>2598</v>
      </c>
      <c r="K11" s="740">
        <f>'Capital IQ Sheet-GPC'!BJ13</f>
        <v>274.89999999999998</v>
      </c>
      <c r="L11" s="740">
        <f>IF(ISERROR(J11-K11), "n/a", J11-K11)</f>
        <v>2323.1</v>
      </c>
      <c r="M11" s="438"/>
      <c r="N11" s="740">
        <f>'Capital IQ Sheet-GPC'!I13</f>
        <v>42.3</v>
      </c>
      <c r="O11" s="740">
        <f>'Capital IQ Sheet-GPC'!J13</f>
        <v>7328.4</v>
      </c>
      <c r="P11" s="740">
        <f>'Capital IQ Sheet-GPC'!K13</f>
        <v>246.5</v>
      </c>
      <c r="Q11" s="740" t="str">
        <f>'Capital IQ Sheet-GPC'!L13</f>
        <v xml:space="preserve"> n/a </v>
      </c>
      <c r="R11" s="740" t="str">
        <f>'Capital IQ Sheet-GPC'!M13</f>
        <v xml:space="preserve"> n/a </v>
      </c>
      <c r="S11" s="740">
        <f>SUM(P11:R11)</f>
        <v>246.5</v>
      </c>
      <c r="T11" s="740">
        <f>SUM(O11:R11)</f>
        <v>7574.9</v>
      </c>
      <c r="U11" s="740">
        <f>'Capital IQ Sheet-GPC'!N13</f>
        <v>1420.4</v>
      </c>
      <c r="V11" s="740">
        <f>IF(ISERROR(T11-U11), "n/a", T11-U11)</f>
        <v>6154.5</v>
      </c>
      <c r="X11" s="674" t="str">
        <f>IFERROR(IF(OR(N11/D11-1&gt;$AD$7,N11/D11-1&lt;$AF$7),"NM",N11/D11-1),"n/a")</f>
        <v>NM</v>
      </c>
      <c r="Y11" s="674" t="str">
        <f>IFERROR(IF(OR(O11/E11-1&gt;$AD$7,O11/E11-1&lt;$AF$7),"NM",O11/E11-1),"n/a")</f>
        <v>NM</v>
      </c>
      <c r="Z11" s="674" t="str">
        <f>IFERROR(IF(OR(V11/L11-1&gt;$AD$7,V11/L11-1&lt;$AF$7),"NM",V11/L11-1),"n/a")</f>
        <v>NM</v>
      </c>
      <c r="AC11" s="557" t="str">
        <f>IF('MASTER PubCo Inputs'!C28="","",'MASTER PubCo Inputs'!C28)</f>
        <v>IQ29929</v>
      </c>
      <c r="AD11" s="208" t="str">
        <f>'Capital IQ Sheet-GPC'!AP13</f>
        <v>Nektar Therapeutics, a research-based biopharmaceutical company, discovers and develops drug candidates for cancer, auto-immune disease, and chronic pain in the United States. The company offers ONZEALD, a topoisomerase I inhibitor that is in Phase III clinical trial for advanced metastatic breast cancer in patients with brain metastases; NKTR-181, an orally-available mu-opioid analgesic molecule, which is in Phase III clinical trial for moderate to severe chronic pain; NKTR-214, a cytokine immunostimulatory therapy that is in Phase I/II to treat cancer; NKTR-358, which is in Phase I to treat autoimmune diseases; and NKTR-262 for solid tumors, as well as NKTR-255 that is under research/preclinical stage for immuno-oncology. It is also developing MOVANTIK for opioid-induced constipation in adult patients with chronic non-cancer pain, and who have an inadequate response to laxatives; ADYNOVATE for hemophilia A; Somavert to treat acromegaly; and Neulasta for treating neutropenia. In addition, the company develops PEG-INTRON for the treatment of hepatitis-C; Macugen for age-related macular degeneration; CIMZIA to treat rheumatoid arthritis, Crohn’s disease, and psoriasis/ankylosing spondylitis; and MIRCERA for anemia related to chronic kidney disease in patients on and not on dialysis. Further, it is developing SEMPRANA to treat migraine; dapirolizumab pegol for systemic lupus erythematosus; PEGPH20 for ancreatic, non-small cell lung cancer, and other tumor types; and longer-acting blood clotting proteins for hemophilia. The company has collaboration agreement with AstraZeneca AB, Shire plc, Pfizer Inc., Amgen Inc., Merck &amp; Co., Inc., Valeant Pharmaceuticals International, Inc., UCB Pharma S.A., F. Hoffmann-La Roche Ltd, Allergan, Inc., Halozyme Therapeutics, Inc., Baxalta Incorporated, Bristol-Myers Squibb Company, and Takeda Pharmaceutical Company Limited. The company was founded in 1990 and is headquartered in San Francisco, California.</v>
      </c>
    </row>
    <row r="12" spans="2:33" ht="14.85" customHeight="1">
      <c r="B12" s="457" t="str">
        <f>'Capital IQ Sheet-GPC'!C14</f>
        <v>Fate Therapeutics, Inc.</v>
      </c>
      <c r="C12" s="1183"/>
      <c r="D12" s="740">
        <f>'Capital IQ Sheet-GPC'!BE14</f>
        <v>3.1</v>
      </c>
      <c r="E12" s="740">
        <f>'Capital IQ Sheet-GPC'!BF14</f>
        <v>106.5</v>
      </c>
      <c r="F12" s="740">
        <f>'Capital IQ Sheet-GPC'!BG14</f>
        <v>14.5</v>
      </c>
      <c r="G12" s="740" t="str">
        <f>'Capital IQ Sheet-GPC'!BH14</f>
        <v>n/a</v>
      </c>
      <c r="H12" s="740" t="str">
        <f>'Capital IQ Sheet-GPC'!BI14</f>
        <v>n/a</v>
      </c>
      <c r="I12" s="740">
        <f t="shared" ref="I12:I23" si="0">SUM(F12:H12)</f>
        <v>14.5</v>
      </c>
      <c r="J12" s="740">
        <f t="shared" ref="J12:J23" si="1">SUM(E12:H12)</f>
        <v>121</v>
      </c>
      <c r="K12" s="740">
        <f>'Capital IQ Sheet-GPC'!BJ14</f>
        <v>45.9</v>
      </c>
      <c r="L12" s="740">
        <f t="shared" ref="L12:L23" si="2">IF(ISERROR(J12-K12), "n/a", J12-K12)</f>
        <v>75.099999999999994</v>
      </c>
      <c r="M12" s="438"/>
      <c r="N12" s="740">
        <f>'Capital IQ Sheet-GPC'!I14</f>
        <v>15.1</v>
      </c>
      <c r="O12" s="740">
        <f>'Capital IQ Sheet-GPC'!J14</f>
        <v>978.1</v>
      </c>
      <c r="P12" s="740">
        <f>'Capital IQ Sheet-GPC'!K14</f>
        <v>14.9</v>
      </c>
      <c r="Q12" s="740">
        <f>'Capital IQ Sheet-GPC'!L14</f>
        <v>0</v>
      </c>
      <c r="R12" s="740" t="str">
        <f>'Capital IQ Sheet-GPC'!M14</f>
        <v xml:space="preserve"> n/a </v>
      </c>
      <c r="S12" s="740">
        <f t="shared" ref="S12:S23" si="3">SUM(P12:R12)</f>
        <v>14.9</v>
      </c>
      <c r="T12" s="740">
        <f t="shared" ref="T12:T23" si="4">SUM(O12:R12)</f>
        <v>993</v>
      </c>
      <c r="U12" s="740">
        <f>'Capital IQ Sheet-GPC'!N14</f>
        <v>211.2</v>
      </c>
      <c r="V12" s="740">
        <f t="shared" ref="V12:V23" si="5">IF(ISERROR(T12-U12), "n/a", T12-U12)</f>
        <v>781.8</v>
      </c>
      <c r="X12" s="674" t="str">
        <f t="shared" ref="X12:X23" si="6">IFERROR(IF(OR(N12/D12-1&gt;$AD$7,N12/D12-1&lt;$AF$7),"NM",N12/D12-1),"n/a")</f>
        <v>NM</v>
      </c>
      <c r="Y12" s="674" t="str">
        <f t="shared" ref="Y12:Y23" si="7">IFERROR(IF(OR(O12/E12-1&gt;$AD$7,O12/E12-1&lt;$AF$7),"NM",O12/E12-1),"n/a")</f>
        <v>NM</v>
      </c>
      <c r="Z12" s="674" t="str">
        <f t="shared" ref="Z12:Z23" si="8">IFERROR(IF(OR(V12/L12-1&gt;$AD$7,V12/L12-1&lt;$AF$7),"NM",V12/L12-1),"n/a")</f>
        <v>NM</v>
      </c>
      <c r="AC12" s="557" t="str">
        <f>IF('MASTER PubCo Inputs'!C29="","",'MASTER PubCo Inputs'!C29)</f>
        <v>IQ39268712</v>
      </c>
      <c r="AD12" s="208" t="str">
        <f>'Capital IQ Sheet-GPC'!AP14</f>
        <v>Fate Therapeutics, Inc., a clinical-stage biopharmaceutical company, develops programmed cellular immunotherapies for cancer and immune disorders worldwide. Its immuno-oncology product candidates include FATE-NK100, a natural killer (NK) cell cancer immunotherapy that consists of adaptive memory NK cells; FT500 induced pluripotent stem cells (iPSC)-derived NK cell product candidate for the treatment of advanced solid tumors; FT516 engineered iPSC-derived NK cell product candidate for the treatment of hematologic/solid tumors; and FT819 engineered chimeric antigen receptor 19 iPSC-derived T-cell product candidate for hematologic/solid tumors. The company’s immuno-regulation product candidates comprise ProTmune, an investigational programmed cellular immunotherapy for use as a next-generation allogeneic hematopoietic cell transplantation cell graft; ToleraCyte for the treatment of autoimmune and inflammatory diseases; and FT300 iPSC-derived myeloid derived suppressor cell product candidate for the treatment of autoimmune diseases. Fate Therapeutics, Inc. has a research collaboration and license agreement with Memorial Sloan Kettering Cancer Center to develop off-the-shelf engineered T-cell product candidates; a research collaboration partnership with the University of California San Diego to develop off-the-shelf chimeric antigen receptor-targeted natural killer cell cancer immunotherapies. It also has a strategic research collaboration and license agreement with Juno Therapeutics, Inc. to identify small molecule modulators that enhance the function of T cells; and a collaboration agreement with ONO Pharmaceutical Co., Ltd. for the development and commercialization of two off-the-shelf CAR-T cell product candidates. Fate Therapeutics, Inc. was founded in 2007 and is headquartered in San Diego, California.</v>
      </c>
    </row>
    <row r="13" spans="2:33" ht="14.85" customHeight="1">
      <c r="B13" s="457" t="str">
        <f>'Capital IQ Sheet-GPC'!C15</f>
        <v>Synthorx, Inc.</v>
      </c>
      <c r="C13" s="1183"/>
      <c r="D13" s="740" t="str">
        <f>'Capital IQ Sheet-GPC'!BE15</f>
        <v xml:space="preserve"> n/a </v>
      </c>
      <c r="E13" s="740" t="str">
        <f>'Capital IQ Sheet-GPC'!BF15</f>
        <v xml:space="preserve"> n/a </v>
      </c>
      <c r="F13" s="740" t="str">
        <f>'Capital IQ Sheet-GPC'!BG15</f>
        <v xml:space="preserve"> n/a </v>
      </c>
      <c r="G13" s="740" t="str">
        <f>'Capital IQ Sheet-GPC'!BH15</f>
        <v>n/a</v>
      </c>
      <c r="H13" s="740" t="str">
        <f>'Capital IQ Sheet-GPC'!BI15</f>
        <v>n/a</v>
      </c>
      <c r="I13" s="740">
        <f t="shared" si="0"/>
        <v>0</v>
      </c>
      <c r="J13" s="740">
        <f t="shared" si="1"/>
        <v>0</v>
      </c>
      <c r="K13" s="740" t="str">
        <f>'Capital IQ Sheet-GPC'!BJ15</f>
        <v xml:space="preserve"> n/a </v>
      </c>
      <c r="L13" s="740" t="str">
        <f t="shared" si="2"/>
        <v>n/a</v>
      </c>
      <c r="M13" s="438"/>
      <c r="N13" s="740">
        <f>'Capital IQ Sheet-GPC'!I15</f>
        <v>14.1</v>
      </c>
      <c r="O13" s="740">
        <f>'Capital IQ Sheet-GPC'!J15</f>
        <v>441.9</v>
      </c>
      <c r="P13" s="740" t="str">
        <f>'Capital IQ Sheet-GPC'!K15</f>
        <v xml:space="preserve"> -   </v>
      </c>
      <c r="Q13" s="740">
        <f>'Capital IQ Sheet-GPC'!L15</f>
        <v>37.5</v>
      </c>
      <c r="R13" s="740" t="str">
        <f>'Capital IQ Sheet-GPC'!M15</f>
        <v xml:space="preserve"> n/a </v>
      </c>
      <c r="S13" s="740">
        <f t="shared" si="3"/>
        <v>37.5</v>
      </c>
      <c r="T13" s="740">
        <f t="shared" si="4"/>
        <v>479.4</v>
      </c>
      <c r="U13" s="740">
        <f>'Capital IQ Sheet-GPC'!N15</f>
        <v>20.6</v>
      </c>
      <c r="V13" s="740">
        <f t="shared" si="5"/>
        <v>458.79999999999995</v>
      </c>
      <c r="X13" s="674" t="str">
        <f t="shared" si="6"/>
        <v>n/a</v>
      </c>
      <c r="Y13" s="674" t="str">
        <f t="shared" si="7"/>
        <v>n/a</v>
      </c>
      <c r="Z13" s="674" t="str">
        <f t="shared" si="8"/>
        <v>n/a</v>
      </c>
      <c r="AC13" s="557" t="str">
        <f>IF('MASTER PubCo Inputs'!C30="","",'MASTER PubCo Inputs'!C30)</f>
        <v>IQ263675832</v>
      </c>
      <c r="AD13" s="208" t="str">
        <f>'Capital IQ Sheet-GPC'!AP15</f>
        <v>Synthorx, Inc., a biotechnology company, discovers and develops protein therapeutics. The company’s lead product candidate is THOR-707, a variant of IL-2 that is in development in various tumor types as a single agent and in combination with an immune checkpoint inhibitor. The company was founded in 2014 and is headquartered in La Jolla, California.</v>
      </c>
    </row>
    <row r="14" spans="2:33" ht="14.85" customHeight="1">
      <c r="B14" s="457" t="str">
        <f>'Capital IQ Sheet-GPC'!C16</f>
        <v>ZIOPHARM Oncology, Inc.</v>
      </c>
      <c r="C14" s="1183"/>
      <c r="D14" s="740">
        <f>'Capital IQ Sheet-GPC'!BE16</f>
        <v>5.6</v>
      </c>
      <c r="E14" s="740">
        <f>'Capital IQ Sheet-GPC'!BF16</f>
        <v>734.7</v>
      </c>
      <c r="F14" s="740" t="str">
        <f>'Capital IQ Sheet-GPC'!BG16</f>
        <v xml:space="preserve"> -   </v>
      </c>
      <c r="G14" s="740">
        <f>'Capital IQ Sheet-GPC'!BH16</f>
        <v>119.045</v>
      </c>
      <c r="H14" s="740" t="str">
        <f>'Capital IQ Sheet-GPC'!BI16</f>
        <v>n/a</v>
      </c>
      <c r="I14" s="740">
        <f t="shared" si="0"/>
        <v>119.045</v>
      </c>
      <c r="J14" s="740">
        <f t="shared" si="1"/>
        <v>853.745</v>
      </c>
      <c r="K14" s="740">
        <f>'Capital IQ Sheet-GPC'!BJ16</f>
        <v>109</v>
      </c>
      <c r="L14" s="740">
        <f t="shared" si="2"/>
        <v>744.745</v>
      </c>
      <c r="M14" s="438"/>
      <c r="N14" s="740">
        <f>'Capital IQ Sheet-GPC'!I16</f>
        <v>2.2000000000000002</v>
      </c>
      <c r="O14" s="740">
        <f>'Capital IQ Sheet-GPC'!J16</f>
        <v>316.3</v>
      </c>
      <c r="P14" s="740" t="str">
        <f>'Capital IQ Sheet-GPC'!K16</f>
        <v xml:space="preserve"> -   </v>
      </c>
      <c r="Q14" s="740">
        <f>'Capital IQ Sheet-GPC'!L16</f>
        <v>160.4</v>
      </c>
      <c r="R14" s="740" t="str">
        <f>'Capital IQ Sheet-GPC'!M16</f>
        <v xml:space="preserve"> n/a </v>
      </c>
      <c r="S14" s="740">
        <f t="shared" si="3"/>
        <v>160.4</v>
      </c>
      <c r="T14" s="740">
        <f t="shared" si="4"/>
        <v>476.70000000000005</v>
      </c>
      <c r="U14" s="740">
        <f>'Capital IQ Sheet-GPC'!N16</f>
        <v>31.7</v>
      </c>
      <c r="V14" s="740">
        <f t="shared" si="5"/>
        <v>445.00000000000006</v>
      </c>
      <c r="X14" s="674" t="str">
        <f t="shared" si="6"/>
        <v>NM</v>
      </c>
      <c r="Y14" s="674" t="str">
        <f t="shared" si="7"/>
        <v>NM</v>
      </c>
      <c r="Z14" s="674" t="str">
        <f t="shared" si="8"/>
        <v>NM</v>
      </c>
      <c r="AC14" s="557" t="str">
        <f>IF('MASTER PubCo Inputs'!C31="","",'MASTER PubCo Inputs'!C31)</f>
        <v>IQ11686323</v>
      </c>
      <c r="AD14" s="208" t="str">
        <f>'Capital IQ Sheet-GPC'!AP16</f>
        <v>ZIOPHARM Oncology, Inc., a biotechnology company, focuses on acquiring, developing, and commercializing a portfolio of immuno-oncology therapies for treating heterogenous solid tumors and unknown antigens. The company develops two immuno-oncology platform technologies, including Controlled IL-12, which delivers interleukin 12 or IL-12, a master regular of the immune system, in a controlled and safe manner to focus the patient’s immune system to cancer; and Sleeping Beauty (SB), which is based on the genetic engineering of T-cells using the (SB) system to rapidly reprogram T-cells outside of the body for infusion. Its lead gene therapy product candidate is Ad-RTS-hIL-12 plus veledimex, which is in Phase I clinical trial, a gene therapy product candidate to treat patients with recurrent glioblastoma. The company is also developing chimeric antigen receptor (CAR) T-cell and T-cell receptor T-cell therapies. ZIOPHARM Oncology, Inc. has collaboration agreements with Precigen, Inc., MD Anderson Cancer Center, the National Cancer Institute, and Ares Trading S.A. The company is headquartered in Boston, Massachusetts.</v>
      </c>
    </row>
    <row r="15" spans="2:33" ht="14.85" customHeight="1">
      <c r="B15" s="457" t="str">
        <f>'Capital IQ Sheet-GPC'!C17</f>
        <v>Stemline Therapeutics, Inc.</v>
      </c>
      <c r="C15" s="1183"/>
      <c r="D15" s="740">
        <f>'Capital IQ Sheet-GPC'!BE17</f>
        <v>10.8</v>
      </c>
      <c r="E15" s="740">
        <f>'Capital IQ Sheet-GPC'!BF17</f>
        <v>193</v>
      </c>
      <c r="F15" s="740" t="str">
        <f>'Capital IQ Sheet-GPC'!BG17</f>
        <v xml:space="preserve"> -   </v>
      </c>
      <c r="G15" s="740" t="str">
        <f>'Capital IQ Sheet-GPC'!BH17</f>
        <v>n/a</v>
      </c>
      <c r="H15" s="740" t="str">
        <f>'Capital IQ Sheet-GPC'!BI17</f>
        <v>n/a</v>
      </c>
      <c r="I15" s="740">
        <f t="shared" si="0"/>
        <v>0</v>
      </c>
      <c r="J15" s="740">
        <f t="shared" si="1"/>
        <v>193</v>
      </c>
      <c r="K15" s="740">
        <f>'Capital IQ Sheet-GPC'!BJ17</f>
        <v>58.2</v>
      </c>
      <c r="L15" s="740">
        <f t="shared" si="2"/>
        <v>134.80000000000001</v>
      </c>
      <c r="M15" s="438"/>
      <c r="N15" s="740">
        <f>'Capital IQ Sheet-GPC'!I17</f>
        <v>11.1</v>
      </c>
      <c r="O15" s="740">
        <f>'Capital IQ Sheet-GPC'!J17</f>
        <v>434.2</v>
      </c>
      <c r="P15" s="740" t="str">
        <f>'Capital IQ Sheet-GPC'!K17</f>
        <v xml:space="preserve"> -   </v>
      </c>
      <c r="Q15" s="740" t="str">
        <f>'Capital IQ Sheet-GPC'!L17</f>
        <v xml:space="preserve"> n/a </v>
      </c>
      <c r="R15" s="740" t="str">
        <f>'Capital IQ Sheet-GPC'!M17</f>
        <v xml:space="preserve"> n/a </v>
      </c>
      <c r="S15" s="740">
        <f t="shared" si="3"/>
        <v>0</v>
      </c>
      <c r="T15" s="740">
        <f t="shared" si="4"/>
        <v>434.2</v>
      </c>
      <c r="U15" s="740">
        <f>'Capital IQ Sheet-GPC'!N17</f>
        <v>78.599999999999994</v>
      </c>
      <c r="V15" s="740">
        <f t="shared" si="5"/>
        <v>355.6</v>
      </c>
      <c r="X15" s="674">
        <f t="shared" si="6"/>
        <v>2.7777777777777679E-2</v>
      </c>
      <c r="Y15" s="674" t="str">
        <f t="shared" si="7"/>
        <v>NM</v>
      </c>
      <c r="Z15" s="674" t="str">
        <f t="shared" si="8"/>
        <v>NM</v>
      </c>
      <c r="AC15" s="557" t="str">
        <f>IF('MASTER PubCo Inputs'!C32="","",'MASTER PubCo Inputs'!C32)</f>
        <v>IQ10332207</v>
      </c>
      <c r="AD15" s="208" t="str">
        <f>'Capital IQ Sheet-GPC'!AP17</f>
        <v>Stemline Therapeutics, Inc., a clinical stage biopharmaceutical company, focuses on the discovery, acquisition, development, and commercialization of proprietary oncology therapeutics in the United States and internationally. The company develops SL-401, a targeted therapy directed to the interleukin-3 receptor (IL-3R), which has completed Phase II clinical trial for patients with blastic plasmacytoid dendritic cell neoplasm; is in Phase I/II clinical trials for patients with myeloproliferative neoplasms, chronic myelomonocytic leukemia, myelofibrosis, and acute myeloid leukemia; and is in Phase I clinical trial in combination with other agents for patients with relapsed/refractory multiple myeloma. It also develops SL-801, a novel oral small molecule reversible inhibitor of nuclear transport protein, which is in Phase I clinical trial for the treatment of solid and hematologic cancers; and SL-701, an immunotherapy that has completed Phase II clinical trial to attack brain cancer. The company's preclinical pipeline products include SL-501, a next generation IL-3R-targeted therapy; SL-101, a single chain monoclonal antibody fragment for the treatment of hematologic cancers; and SL-901, a small molecule kinase inhibitor. Stemline Therapeutics, Inc. was founded in 2003 and is based in New York, New York.</v>
      </c>
    </row>
    <row r="16" spans="2:33" ht="14.85" customHeight="1">
      <c r="B16" s="457" t="str">
        <f>'Capital IQ Sheet-GPC'!C18</f>
        <v>TG Therapeutics, Inc.</v>
      </c>
      <c r="C16" s="1183"/>
      <c r="D16" s="740">
        <f>'Capital IQ Sheet-GPC'!BE18</f>
        <v>7.7</v>
      </c>
      <c r="E16" s="740">
        <f>'Capital IQ Sheet-GPC'!BF18</f>
        <v>421.5</v>
      </c>
      <c r="F16" s="740">
        <f>'Capital IQ Sheet-GPC'!BG18</f>
        <v>0.1</v>
      </c>
      <c r="G16" s="740" t="str">
        <f>'Capital IQ Sheet-GPC'!BH18</f>
        <v>n/a</v>
      </c>
      <c r="H16" s="740" t="str">
        <f>'Capital IQ Sheet-GPC'!BI18</f>
        <v>n/a</v>
      </c>
      <c r="I16" s="740">
        <f t="shared" si="0"/>
        <v>0.1</v>
      </c>
      <c r="J16" s="740">
        <f t="shared" si="1"/>
        <v>421.6</v>
      </c>
      <c r="K16" s="740">
        <f>'Capital IQ Sheet-GPC'!BJ18</f>
        <v>54.3</v>
      </c>
      <c r="L16" s="740">
        <f t="shared" si="2"/>
        <v>367.3</v>
      </c>
      <c r="M16" s="438"/>
      <c r="N16" s="740">
        <f>'Capital IQ Sheet-GPC'!I18</f>
        <v>4.0999999999999996</v>
      </c>
      <c r="O16" s="740">
        <f>'Capital IQ Sheet-GPC'!J18</f>
        <v>315</v>
      </c>
      <c r="P16" s="740">
        <f>'Capital IQ Sheet-GPC'!K18</f>
        <v>0.1</v>
      </c>
      <c r="Q16" s="740" t="str">
        <f>'Capital IQ Sheet-GPC'!L18</f>
        <v xml:space="preserve"> n/a </v>
      </c>
      <c r="R16" s="740" t="str">
        <f>'Capital IQ Sheet-GPC'!M18</f>
        <v xml:space="preserve"> n/a </v>
      </c>
      <c r="S16" s="740">
        <f t="shared" si="3"/>
        <v>0.1</v>
      </c>
      <c r="T16" s="740">
        <f t="shared" si="4"/>
        <v>315.10000000000002</v>
      </c>
      <c r="U16" s="740">
        <f>'Capital IQ Sheet-GPC'!N18</f>
        <v>97.7</v>
      </c>
      <c r="V16" s="740">
        <f t="shared" si="5"/>
        <v>217.40000000000003</v>
      </c>
      <c r="X16" s="674" t="str">
        <f t="shared" si="6"/>
        <v>NM</v>
      </c>
      <c r="Y16" s="674">
        <f t="shared" si="7"/>
        <v>-0.25266903914590744</v>
      </c>
      <c r="Z16" s="674" t="str">
        <f t="shared" si="8"/>
        <v>NM</v>
      </c>
      <c r="AC16" s="557" t="str">
        <f>IF('MASTER PubCo Inputs'!C33="","",'MASTER PubCo Inputs'!C33)</f>
        <v>IQ143627354</v>
      </c>
      <c r="AD16" s="208" t="str">
        <f>'Capital IQ Sheet-GPC'!AP18</f>
        <v>TG Therapeutics, Inc., a biopharmaceutical company, focuses on the acquisition, development, and commercialization of novel treatments for B-cell malignancies and autoimmune diseases in the United States. It develops TG-1101 (ublituximab), a chimeric, glycoengineered monoclonal antibody that targets an epitope on the CD20 antigen found on the surface of B-lymphocytes developed to aid in the depletion of circulating B-cells; and TG-1101 in combination with TGR-1202 for relapsed/refractory chronic lymphocytic leukemia. The company also develops TGR-1202, an orally available phosphoinositide-3-kinase delta inhibitor with nanomolar potency to the delta isoform and high selectivity over the alpha, beta, and gamma isoforms, as well as for hematologic malignancies. In addition, it develops a pre-clinical program to develop interleukin-1 receptor-associated kinase 4 (IRAK4) inhibitors; bromodomain and extra terminal (BET) inhibitor program for cancer treatment; and anti-PD-L1 and anti-GITR antibody research programs that are in pre-clinical development stage in the field of hematological malignancies. The company has license agreements with LFB Biotechnologies S.A.S, GTC Biotherapeutics, LFB/GTC LLC, and Ildong Pharmaceutical Co. Ltd. for the development and commercialization of TG-1101 (ublituximab); Rhizen Pharmaceuticals, SA for the development and commercialization of TGR-1202; Ligand Pharmaceuticals Incorporated for the development and commercialization of IRAK4 inhibitor technology; Checkpoint Therapeutics, Inc. for the development and commercialization of anti-PD-L1 and anti-GITR antibody research programs; and Jubilant Biosys for the development and commercialization of BET inhibitor program. TG Therapeutics, Inc. was incorporated in 1993 and is headquartered in New York, New York.</v>
      </c>
    </row>
    <row r="17" spans="2:30" ht="14.85" customHeight="1">
      <c r="B17" s="457" t="str">
        <f>'Capital IQ Sheet-GPC'!C19</f>
        <v>XOMA Corporation</v>
      </c>
      <c r="C17" s="1183"/>
      <c r="D17" s="740">
        <f>'Capital IQ Sheet-GPC'!BE19</f>
        <v>9.1999999999999993</v>
      </c>
      <c r="E17" s="740">
        <f>'Capital IQ Sheet-GPC'!BF19</f>
        <v>55.4</v>
      </c>
      <c r="F17" s="740">
        <f>'Capital IQ Sheet-GPC'!BG19</f>
        <v>46.5</v>
      </c>
      <c r="G17" s="740" t="str">
        <f>'Capital IQ Sheet-GPC'!BH19</f>
        <v>n/a</v>
      </c>
      <c r="H17" s="740" t="str">
        <f>'Capital IQ Sheet-GPC'!BI19</f>
        <v>n/a</v>
      </c>
      <c r="I17" s="740">
        <f t="shared" si="0"/>
        <v>46.5</v>
      </c>
      <c r="J17" s="740">
        <f t="shared" si="1"/>
        <v>101.9</v>
      </c>
      <c r="K17" s="740">
        <f>'Capital IQ Sheet-GPC'!BJ19</f>
        <v>34.299999999999997</v>
      </c>
      <c r="L17" s="740">
        <f t="shared" si="2"/>
        <v>67.600000000000009</v>
      </c>
      <c r="M17" s="438"/>
      <c r="N17" s="740">
        <f>'Capital IQ Sheet-GPC'!I19</f>
        <v>12.1</v>
      </c>
      <c r="O17" s="740">
        <f>'Capital IQ Sheet-GPC'!J19</f>
        <v>104.8</v>
      </c>
      <c r="P17" s="740">
        <f>'Capital IQ Sheet-GPC'!K19</f>
        <v>22</v>
      </c>
      <c r="Q17" s="740" t="str">
        <f>'Capital IQ Sheet-GPC'!L19</f>
        <v xml:space="preserve"> n/a </v>
      </c>
      <c r="R17" s="740" t="str">
        <f>'Capital IQ Sheet-GPC'!M19</f>
        <v xml:space="preserve"> n/a </v>
      </c>
      <c r="S17" s="740">
        <f t="shared" si="3"/>
        <v>22</v>
      </c>
      <c r="T17" s="740">
        <f t="shared" si="4"/>
        <v>126.8</v>
      </c>
      <c r="U17" s="740">
        <f>'Capital IQ Sheet-GPC'!N19</f>
        <v>28.4</v>
      </c>
      <c r="V17" s="740">
        <f t="shared" si="5"/>
        <v>98.4</v>
      </c>
      <c r="X17" s="674">
        <f t="shared" si="6"/>
        <v>0.31521739130434789</v>
      </c>
      <c r="Y17" s="674">
        <f t="shared" si="7"/>
        <v>0.89169675090252709</v>
      </c>
      <c r="Z17" s="674">
        <f t="shared" si="8"/>
        <v>0.45562130177514781</v>
      </c>
      <c r="AC17" s="557" t="str">
        <f>IF('MASTER PubCo Inputs'!C34="","",'MASTER PubCo Inputs'!C34)</f>
        <v>IQ36769</v>
      </c>
      <c r="AD17" s="208" t="str">
        <f>'Capital IQ Sheet-GPC'!AP19</f>
        <v>XOMA Corporation engages in the discovery, development, and licensing of therapeutic antibodies in the United States, Europe, and the Asia Pacific. The company has a portfolio of monoclonal antibodies and technologies to license to pharmaceutical and biotechnology companies to further their clinical development. Its proprietary product candidates include X213, an allosteric inhibitor of prolactin action; XMetA, an insulin receptor-activating antibody designed to provide long-acting reduction of hyperglycemia in Type 2 diabetic patients; and other preclinical product candidates, such as interleukin 2, a therapy for metastatic melanoma and renal cell carcinoma, as well as anti-parathyroid receptor to address unmet medical needs. The company also licenses antibody discovery, optimization, and development technologies. It has research and development collaboration and licensing agreements with Novartis AG; Takeda Pharmaceutical Company Limited; and Pfizer Inc. XOMA Corporation was founded in 1981 and is headquartered in Emeryville, California.</v>
      </c>
    </row>
    <row r="18" spans="2:30" ht="14.85" customHeight="1">
      <c r="B18" s="457" t="str">
        <f>'Capital IQ Sheet-GPC'!C20</f>
        <v>Five Prime Therapeutics, Inc.</v>
      </c>
      <c r="C18" s="1183"/>
      <c r="D18" s="740">
        <f>'Capital IQ Sheet-GPC'!BE20</f>
        <v>52.5</v>
      </c>
      <c r="E18" s="740">
        <f>'Capital IQ Sheet-GPC'!BF20</f>
        <v>1487.8</v>
      </c>
      <c r="F18" s="740" t="str">
        <f>'Capital IQ Sheet-GPC'!BG20</f>
        <v xml:space="preserve"> -   </v>
      </c>
      <c r="G18" s="740" t="str">
        <f>'Capital IQ Sheet-GPC'!BH20</f>
        <v>n/a</v>
      </c>
      <c r="H18" s="740" t="str">
        <f>'Capital IQ Sheet-GPC'!BI20</f>
        <v>n/a</v>
      </c>
      <c r="I18" s="740">
        <f t="shared" si="0"/>
        <v>0</v>
      </c>
      <c r="J18" s="740">
        <f t="shared" si="1"/>
        <v>1487.8</v>
      </c>
      <c r="K18" s="740">
        <f>'Capital IQ Sheet-GPC'!BJ20</f>
        <v>469.2</v>
      </c>
      <c r="L18" s="740">
        <f t="shared" si="2"/>
        <v>1018.5999999999999</v>
      </c>
      <c r="M18" s="438"/>
      <c r="N18" s="740">
        <f>'Capital IQ Sheet-GPC'!I20</f>
        <v>11.3</v>
      </c>
      <c r="O18" s="740">
        <f>'Capital IQ Sheet-GPC'!J20</f>
        <v>399</v>
      </c>
      <c r="P18" s="740" t="str">
        <f>'Capital IQ Sheet-GPC'!K20</f>
        <v xml:space="preserve"> -   </v>
      </c>
      <c r="Q18" s="740" t="str">
        <f>'Capital IQ Sheet-GPC'!L20</f>
        <v xml:space="preserve"> n/a </v>
      </c>
      <c r="R18" s="740" t="str">
        <f>'Capital IQ Sheet-GPC'!M20</f>
        <v xml:space="preserve"> n/a </v>
      </c>
      <c r="S18" s="740">
        <f t="shared" si="3"/>
        <v>0</v>
      </c>
      <c r="T18" s="740">
        <f t="shared" si="4"/>
        <v>399</v>
      </c>
      <c r="U18" s="740">
        <f>'Capital IQ Sheet-GPC'!N20</f>
        <v>321.60000000000002</v>
      </c>
      <c r="V18" s="740">
        <f t="shared" si="5"/>
        <v>77.399999999999977</v>
      </c>
      <c r="X18" s="674" t="str">
        <f t="shared" si="6"/>
        <v>NM</v>
      </c>
      <c r="Y18" s="674" t="str">
        <f t="shared" si="7"/>
        <v>NM</v>
      </c>
      <c r="Z18" s="674" t="str">
        <f t="shared" si="8"/>
        <v>NM</v>
      </c>
      <c r="AC18" s="557" t="str">
        <f>IF('MASTER PubCo Inputs'!C35="","",'MASTER PubCo Inputs'!C35)</f>
        <v>IQ3366199</v>
      </c>
      <c r="AD18" s="208" t="str">
        <f>'Capital IQ Sheet-GPC'!AP20</f>
        <v>Five Prime Therapeutics, Inc., a clinical-stage biotechnology company, focuses on the discovery and development of immuno-oncology protein therapeutics. The company’s product candidates include Cabiralizumab, an antibody that inhibits colony stimulating factor-1 receptor that is in Phase Ia/Ib clinical trials for the treatment of various cancers in combination with nivolumab; and is in Phase I/II clinical trials for the treatment of pigmented villonodular synovitis tumor. Its product candidates also comprise Bemarituzumab, an antibody that inhibits fibroblast growth factor receptor IIb, which is in Phase I clinical trials to treat patients with gastric or gastroesophageal junction and bladder cancer; and FPA150, a CD8 T cell checkpoint inhibitor antibody that targets B7-H4 as a monotherapy in various cancers. The company’s FP-1039 is in Phase Ib clinical trials to treat patients with malignant pleural mesothelioma. Its preclinical product candidates include FPA150, a CD8 T cell checkpoint inhibitor antibody; FPA154, a tetravalent agonistic antibody that activates glucocorticoid-induced tumor necrosis factor receptor; and FPT155, a CD80-Fc fusion protein, which modulates signaling pathways. The company has license and collaboration agreements with Bristol-Myers Squibb Company, GlaxoSmithKline LLC, INBRX 110 LP, UCB Pharma S.A., and Zai Lab (Shanghai) Co., Ltd.; collaboration agreement with Roche; and license agreements with bluebird bio, Inc., Galaxy Biotech, LLC, BioWa, Inc. and Lonza Sales AG. Five Prime Therapeutics, Inc. was founded in 2001 and is headquartered in South San Francisco, California.</v>
      </c>
    </row>
    <row r="19" spans="2:30" ht="14.85" customHeight="1">
      <c r="B19" s="457" t="str">
        <f>'Capital IQ Sheet-GPC'!C21</f>
        <v>Cue Biopharma, Inc.</v>
      </c>
      <c r="C19" s="1183"/>
      <c r="D19" s="740" t="str">
        <f>'Capital IQ Sheet-GPC'!BE21</f>
        <v xml:space="preserve"> n/a </v>
      </c>
      <c r="E19" s="740" t="str">
        <f>'Capital IQ Sheet-GPC'!BF21</f>
        <v xml:space="preserve"> n/a </v>
      </c>
      <c r="F19" s="740" t="str">
        <f>'Capital IQ Sheet-GPC'!BG21</f>
        <v xml:space="preserve"> n/a </v>
      </c>
      <c r="G19" s="740" t="str">
        <f>'Capital IQ Sheet-GPC'!BH21</f>
        <v>n/a</v>
      </c>
      <c r="H19" s="740" t="str">
        <f>'Capital IQ Sheet-GPC'!BI21</f>
        <v>n/a</v>
      </c>
      <c r="I19" s="740">
        <f t="shared" si="0"/>
        <v>0</v>
      </c>
      <c r="J19" s="740">
        <f t="shared" si="1"/>
        <v>0</v>
      </c>
      <c r="K19" s="740" t="str">
        <f>'Capital IQ Sheet-GPC'!BJ21</f>
        <v xml:space="preserve"> n/a </v>
      </c>
      <c r="L19" s="740" t="str">
        <f t="shared" si="2"/>
        <v>n/a</v>
      </c>
      <c r="M19" s="438"/>
      <c r="N19" s="740">
        <f>'Capital IQ Sheet-GPC'!I21</f>
        <v>5.0999999999999996</v>
      </c>
      <c r="O19" s="740">
        <f>'Capital IQ Sheet-GPC'!J21</f>
        <v>105.8</v>
      </c>
      <c r="P19" s="740" t="str">
        <f>'Capital IQ Sheet-GPC'!K21</f>
        <v xml:space="preserve"> -   </v>
      </c>
      <c r="Q19" s="740" t="str">
        <f>'Capital IQ Sheet-GPC'!L21</f>
        <v xml:space="preserve"> n/a </v>
      </c>
      <c r="R19" s="740" t="str">
        <f>'Capital IQ Sheet-GPC'!M21</f>
        <v xml:space="preserve"> n/a </v>
      </c>
      <c r="S19" s="740">
        <f t="shared" si="3"/>
        <v>0</v>
      </c>
      <c r="T19" s="740">
        <f t="shared" si="4"/>
        <v>105.8</v>
      </c>
      <c r="U19" s="740">
        <f>'Capital IQ Sheet-GPC'!N21</f>
        <v>39.200000000000003</v>
      </c>
      <c r="V19" s="740">
        <f t="shared" si="5"/>
        <v>66.599999999999994</v>
      </c>
      <c r="X19" s="674" t="str">
        <f t="shared" si="6"/>
        <v>n/a</v>
      </c>
      <c r="Y19" s="674" t="str">
        <f t="shared" si="7"/>
        <v>n/a</v>
      </c>
      <c r="Z19" s="674" t="str">
        <f t="shared" si="8"/>
        <v>n/a</v>
      </c>
      <c r="AC19" s="557" t="str">
        <f>IF('MASTER PubCo Inputs'!C36="","",'MASTER PubCo Inputs'!C36)</f>
        <v>IQ417883814</v>
      </c>
      <c r="AD19" s="208" t="str">
        <f>'Capital IQ Sheet-GPC'!AP21</f>
        <v>Cue Biopharma, Inc., a biopharmaceutical company, develops biologic drugs for the selective modulation of the human immune system to treat a range of cancers and autoimmune disorders. The company’s lead drug candidate includes CUE-101, a variant form of the cytokine Interleukin-2 and a T cell antigen to target and activate T cells specific to human papilloma virus related cancers. Its biologics drug candidates also comprise CUE-100 series to improve various tumor specific T cells; and CUE-200 series to reinvigorate exhausted T cells. The company also offers MOD costimulatory optimization and discovery platform and viraTope T cell epitope discovery platform to develop novel biologics for addressing new indications in oncology and autoimmune disorders. Cue Biopharma, Inc. has collaboration agreements with Merck &amp; Co. for the research and development of its proprietary biologics that target autoimmune disease indications; and Albert Einstein College of Medicine to develop Immuno-STAT biologics for chronic infectious diseases. It also has a strategic collaboration with LG Chem Life Sciences for Immuno- STATs biologics in oncology. The company was formerly known as Imagen Biopharma, Inc. and changed its name to Cue Biopharma, Inc. in October 2016. Cue Biopharma, Inc. was incorporated in 2014 and is based in Cambridge, Massachusetts.</v>
      </c>
    </row>
    <row r="20" spans="2:30" ht="14.85" customHeight="1">
      <c r="B20" s="457" t="str">
        <f>'Capital IQ Sheet-GPC'!C22</f>
        <v>OncoSec Medical Incorporated</v>
      </c>
      <c r="C20" s="1183"/>
      <c r="D20" s="740">
        <f>'Capital IQ Sheet-GPC'!BE22</f>
        <v>1.7</v>
      </c>
      <c r="E20" s="740">
        <f>'Capital IQ Sheet-GPC'!BF22</f>
        <v>32</v>
      </c>
      <c r="F20" s="740" t="str">
        <f>'Capital IQ Sheet-GPC'!BG22</f>
        <v xml:space="preserve"> -   </v>
      </c>
      <c r="G20" s="740" t="str">
        <f>'Capital IQ Sheet-GPC'!BH22</f>
        <v>n/a</v>
      </c>
      <c r="H20" s="740" t="str">
        <f>'Capital IQ Sheet-GPC'!BI22</f>
        <v>n/a</v>
      </c>
      <c r="I20" s="740">
        <f t="shared" si="0"/>
        <v>0</v>
      </c>
      <c r="J20" s="740">
        <f t="shared" si="1"/>
        <v>32</v>
      </c>
      <c r="K20" s="740">
        <f>'Capital IQ Sheet-GPC'!BJ22</f>
        <v>24</v>
      </c>
      <c r="L20" s="740">
        <f t="shared" si="2"/>
        <v>8</v>
      </c>
      <c r="M20" s="438"/>
      <c r="N20" s="740">
        <f>'Capital IQ Sheet-GPC'!I22</f>
        <v>0.9</v>
      </c>
      <c r="O20" s="740">
        <f>'Capital IQ Sheet-GPC'!J22</f>
        <v>56.8</v>
      </c>
      <c r="P20" s="740" t="str">
        <f>'Capital IQ Sheet-GPC'!K22</f>
        <v xml:space="preserve"> -   </v>
      </c>
      <c r="Q20" s="740" t="str">
        <f>'Capital IQ Sheet-GPC'!L22</f>
        <v xml:space="preserve"> n/a </v>
      </c>
      <c r="R20" s="740" t="str">
        <f>'Capital IQ Sheet-GPC'!M22</f>
        <v xml:space="preserve"> n/a </v>
      </c>
      <c r="S20" s="740">
        <f t="shared" si="3"/>
        <v>0</v>
      </c>
      <c r="T20" s="740">
        <f t="shared" si="4"/>
        <v>56.8</v>
      </c>
      <c r="U20" s="740">
        <f>'Capital IQ Sheet-GPC'!N22</f>
        <v>28.5</v>
      </c>
      <c r="V20" s="740">
        <f t="shared" si="5"/>
        <v>28.299999999999997</v>
      </c>
      <c r="X20" s="674" t="str">
        <f t="shared" si="6"/>
        <v>NM</v>
      </c>
      <c r="Y20" s="674">
        <f t="shared" si="7"/>
        <v>0.77499999999999991</v>
      </c>
      <c r="Z20" s="674" t="str">
        <f t="shared" si="8"/>
        <v>NM</v>
      </c>
      <c r="AC20" s="557" t="str">
        <f>IF('MASTER PubCo Inputs'!C37="","",'MASTER PubCo Inputs'!C37)</f>
        <v>IQ47899619</v>
      </c>
      <c r="AD20" s="208" t="str">
        <f>'Capital IQ Sheet-GPC'!AP22</f>
        <v>OncoSec Medical Incorporated, a biotechnology company, focuses on the development of cytokine-based intratumoral immunotherapies to stimulate the body’s immune system to target and attack cancer. Its lead product candidate is ImmunoPulse IL-12 that uses electroporation device to deliver a DNA-encoded interleukin-12 for reversing the immunosuppressive microenvironment in the treated tumor. The company is also developing ImmunoPulse IL-12 with KEYTRUDA in patients with advanced melanoma that is in the Phase IIb clinical trials (PISCES/KEYNOTE-695) and advanced or metastatic triple negative breast cancer (TNBC), which is in the Phase II clinical trials (OMS-141/KEYNOTE-890); ImmunoPulse IL-12 and KEYTRUDA in patients with advanced or metastatic melanoma that has completed Phase II clinical trials; and ImmunoPulse IL-12 monotherapy in patients with metastatic melanoma, which has completed the Phase II clinical trials. In addition, it undertakes the phase II monotherapy biomarker study in patients with advanced or metastatic TNBC. Further, the company has completed Phase I neoadjuvant clinical trial of ImmunoPulse IL-12 in combination with an anti-PD-1 in surgically resectable melanoma. Additionally, it is developing new DNA-encoded therapeutic candidates and tumor indications. OncoSec Medical Incorporated has clinical trial collaborations with Merck &amp; Co., Inc. and its subsidiary in connection with the PISCES/KEYNOTE-695 and OMS-141/KEYNOTE-890 studies; and a collaboration with the GOG Foundation, Inc. to conduct a registration-enabled study of tavokinogene telseplasmid in women with recurrent/persistent cervical cancer. The company was formerly known as NetVentory Solutions Inc. and changed its name to OncoSec Medical Incorporated in March 2011. OncoSec Medical Incorporated was incorporated in 2008 and is headquartered in Pennington, New Jersey.</v>
      </c>
    </row>
    <row r="21" spans="2:30" ht="14.85" customHeight="1">
      <c r="B21" s="457" t="str">
        <f>'Capital IQ Sheet-GPC'!C23</f>
        <v>NantKwest, Inc.</v>
      </c>
      <c r="C21" s="1183"/>
      <c r="D21" s="740">
        <f>'Capital IQ Sheet-GPC'!BE23</f>
        <v>7.8</v>
      </c>
      <c r="E21" s="740">
        <f>'Capital IQ Sheet-GPC'!BF23</f>
        <v>640.4</v>
      </c>
      <c r="F21" s="740">
        <f>'Capital IQ Sheet-GPC'!BG23</f>
        <v>2.4</v>
      </c>
      <c r="G21" s="740" t="str">
        <f>'Capital IQ Sheet-GPC'!BH23</f>
        <v>n/a</v>
      </c>
      <c r="H21" s="740" t="str">
        <f>'Capital IQ Sheet-GPC'!BI23</f>
        <v>n/a</v>
      </c>
      <c r="I21" s="740">
        <f t="shared" si="0"/>
        <v>2.4</v>
      </c>
      <c r="J21" s="740">
        <f t="shared" si="1"/>
        <v>642.79999999999995</v>
      </c>
      <c r="K21" s="740">
        <f>'Capital IQ Sheet-GPC'!BJ23</f>
        <v>213.9</v>
      </c>
      <c r="L21" s="740">
        <f t="shared" si="2"/>
        <v>428.9</v>
      </c>
      <c r="M21" s="438"/>
      <c r="N21" s="740">
        <f>'Capital IQ Sheet-GPC'!I23</f>
        <v>1.1000000000000001</v>
      </c>
      <c r="O21" s="740">
        <f>'Capital IQ Sheet-GPC'!J23</f>
        <v>85.6</v>
      </c>
      <c r="P21" s="740">
        <f>'Capital IQ Sheet-GPC'!K23</f>
        <v>7.3</v>
      </c>
      <c r="Q21" s="740" t="str">
        <f>'Capital IQ Sheet-GPC'!L23</f>
        <v xml:space="preserve"> n/a </v>
      </c>
      <c r="R21" s="740" t="str">
        <f>'Capital IQ Sheet-GPC'!M23</f>
        <v xml:space="preserve"> n/a </v>
      </c>
      <c r="S21" s="740">
        <f t="shared" si="3"/>
        <v>7.3</v>
      </c>
      <c r="T21" s="740">
        <f t="shared" si="4"/>
        <v>92.899999999999991</v>
      </c>
      <c r="U21" s="740">
        <f>'Capital IQ Sheet-GPC'!N23</f>
        <v>83.9</v>
      </c>
      <c r="V21" s="740">
        <f t="shared" si="5"/>
        <v>8.9999999999999858</v>
      </c>
      <c r="X21" s="674" t="str">
        <f t="shared" si="6"/>
        <v>NM</v>
      </c>
      <c r="Y21" s="674" t="str">
        <f t="shared" si="7"/>
        <v>NM</v>
      </c>
      <c r="Z21" s="674" t="str">
        <f t="shared" si="8"/>
        <v>NM</v>
      </c>
      <c r="AC21" s="557" t="str">
        <f>IF('MASTER PubCo Inputs'!C38="","",'MASTER PubCo Inputs'!C38)</f>
        <v>IQ262241549</v>
      </c>
      <c r="AD21" s="208" t="str">
        <f>'Capital IQ Sheet-GPC'!AP23</f>
        <v>NantKwest, Inc., a clinical-stage immunotherapy biotechnology company, develops immunotherapeutic treatments for cancer, infectious diseases, and inflammatory diseases in the United States. The company develops activated natural killer cell, a natural killer cell-line and genetically modified derivative capable of killing cancer and virally infected cells; and NANT cancer vaccine, a personalized therapy that utilizes its off-the-shelf natural killer cells. It is also developing high-affinity natural killer product candidates primarily for the treatment of various cancers; and target activated natural killer product candidates to treat hematological malignancies and solid tumors. NantKwest, Inc. has a co-development agreement with Altor Bio Science Corporation to collaborate on the development of therapeutic applications combining the company’s proprietary natural killer cells with Altor's ALT-801 and/or ALT-803 products. The company was formerly known as Conkwest, Inc. and changed its name to NantKwest, Inc. in July 2015. NantKwest, Inc. was founded in 2002 and is headquartered in San Diego, California.</v>
      </c>
    </row>
    <row r="22" spans="2:30" ht="14.85" customHeight="1">
      <c r="B22" s="457" t="str">
        <f>'Capital IQ Sheet-GPC'!C24</f>
        <v>Corvus Pharmaceuticals, Inc.</v>
      </c>
      <c r="C22" s="1183"/>
      <c r="D22" s="740">
        <f>'Capital IQ Sheet-GPC'!BE24</f>
        <v>16.5</v>
      </c>
      <c r="E22" s="740">
        <f>'Capital IQ Sheet-GPC'!BF24</f>
        <v>344</v>
      </c>
      <c r="F22" s="740" t="str">
        <f>'Capital IQ Sheet-GPC'!BG24</f>
        <v xml:space="preserve"> -   </v>
      </c>
      <c r="G22" s="740" t="str">
        <f>'Capital IQ Sheet-GPC'!BH24</f>
        <v>n/a</v>
      </c>
      <c r="H22" s="740" t="str">
        <f>'Capital IQ Sheet-GPC'!BI24</f>
        <v>n/a</v>
      </c>
      <c r="I22" s="740">
        <f t="shared" si="0"/>
        <v>0</v>
      </c>
      <c r="J22" s="740">
        <f t="shared" si="1"/>
        <v>344</v>
      </c>
      <c r="K22" s="740">
        <f>'Capital IQ Sheet-GPC'!BJ24</f>
        <v>152.19999999999999</v>
      </c>
      <c r="L22" s="740">
        <f t="shared" si="2"/>
        <v>191.8</v>
      </c>
      <c r="M22" s="438"/>
      <c r="N22" s="740">
        <f>'Capital IQ Sheet-GPC'!I24</f>
        <v>4</v>
      </c>
      <c r="O22" s="740">
        <f>'Capital IQ Sheet-GPC'!J24</f>
        <v>116.8</v>
      </c>
      <c r="P22" s="740" t="str">
        <f>'Capital IQ Sheet-GPC'!K24</f>
        <v xml:space="preserve"> -   </v>
      </c>
      <c r="Q22" s="740" t="str">
        <f>'Capital IQ Sheet-GPC'!L24</f>
        <v xml:space="preserve"> n/a </v>
      </c>
      <c r="R22" s="740" t="str">
        <f>'Capital IQ Sheet-GPC'!M24</f>
        <v xml:space="preserve"> n/a </v>
      </c>
      <c r="S22" s="740">
        <f t="shared" si="3"/>
        <v>0</v>
      </c>
      <c r="T22" s="740">
        <f t="shared" si="4"/>
        <v>116.8</v>
      </c>
      <c r="U22" s="740">
        <f>'Capital IQ Sheet-GPC'!N24</f>
        <v>122.6</v>
      </c>
      <c r="V22" s="740">
        <f t="shared" si="5"/>
        <v>-5.7999999999999972</v>
      </c>
      <c r="X22" s="674" t="str">
        <f t="shared" si="6"/>
        <v>NM</v>
      </c>
      <c r="Y22" s="674" t="str">
        <f t="shared" si="7"/>
        <v>NM</v>
      </c>
      <c r="Z22" s="674" t="str">
        <f t="shared" si="8"/>
        <v>NM</v>
      </c>
      <c r="AC22" s="557" t="str">
        <f>IF('MASTER PubCo Inputs'!C39="","",'MASTER PubCo Inputs'!C39)</f>
        <v>IQ279359732</v>
      </c>
      <c r="AD22" s="208" t="str">
        <f>'Capital IQ Sheet-GPC'!AP24</f>
        <v>Corvus Pharmaceuticals, Inc., a clinical stage biopharmaceutical company, focuses on the development and commercialization of immuno-oncology therapies that are designed to harness the immune system to attack cancer cells. Its lead product candidate is CPI-444, an oral, small molecule antagonist of the A2A receptor that is in Phase I/Ib clinical trial for adenosine, an immune checkpoint. The company is also developing an anti-CD73 monoclonal antibody that inhibits the production of adenosine; an antagonist of the adenosine A2B receptor; and small molecule covalent inhibitors of interleukin-2 inducible kinase. Corvus Pharmaceuticals, Inc. was founded in 2014 and is based in Burlingame, California.</v>
      </c>
    </row>
    <row r="23" spans="2:30" ht="14.85" customHeight="1">
      <c r="B23" s="457" t="str">
        <f>'Capital IQ Sheet-GPC'!C25</f>
        <v>Surface Oncology, Inc.</v>
      </c>
      <c r="C23" s="1183"/>
      <c r="D23" s="740" t="str">
        <f>'Capital IQ Sheet-GPC'!BE25</f>
        <v xml:space="preserve"> n/a </v>
      </c>
      <c r="E23" s="740" t="str">
        <f>'Capital IQ Sheet-GPC'!BF25</f>
        <v xml:space="preserve"> n/a </v>
      </c>
      <c r="F23" s="740" t="str">
        <f>'Capital IQ Sheet-GPC'!BG25</f>
        <v xml:space="preserve"> n/a </v>
      </c>
      <c r="G23" s="740" t="str">
        <f>'Capital IQ Sheet-GPC'!BH25</f>
        <v>n/a</v>
      </c>
      <c r="H23" s="740" t="str">
        <f>'Capital IQ Sheet-GPC'!BI25</f>
        <v>n/a</v>
      </c>
      <c r="I23" s="740">
        <f t="shared" si="0"/>
        <v>0</v>
      </c>
      <c r="J23" s="740">
        <f t="shared" si="1"/>
        <v>0</v>
      </c>
      <c r="K23" s="740" t="str">
        <f>'Capital IQ Sheet-GPC'!BJ25</f>
        <v xml:space="preserve"> n/a </v>
      </c>
      <c r="L23" s="740" t="str">
        <f t="shared" si="2"/>
        <v>n/a</v>
      </c>
      <c r="M23" s="438"/>
      <c r="N23" s="740">
        <f>'Capital IQ Sheet-GPC'!I25</f>
        <v>5.8</v>
      </c>
      <c r="O23" s="740">
        <f>'Capital IQ Sheet-GPC'!J25</f>
        <v>159.19999999999999</v>
      </c>
      <c r="P23" s="740" t="str">
        <f>'Capital IQ Sheet-GPC'!K25</f>
        <v xml:space="preserve"> -   </v>
      </c>
      <c r="Q23" s="740" t="str">
        <f>'Capital IQ Sheet-GPC'!L25</f>
        <v xml:space="preserve"> n/a </v>
      </c>
      <c r="R23" s="740" t="str">
        <f>'Capital IQ Sheet-GPC'!M25</f>
        <v xml:space="preserve"> n/a </v>
      </c>
      <c r="S23" s="740">
        <f t="shared" si="3"/>
        <v>0</v>
      </c>
      <c r="T23" s="740">
        <f t="shared" si="4"/>
        <v>159.19999999999999</v>
      </c>
      <c r="U23" s="740">
        <f>'Capital IQ Sheet-GPC'!N25</f>
        <v>173.4</v>
      </c>
      <c r="V23" s="740">
        <f t="shared" si="5"/>
        <v>-14.200000000000017</v>
      </c>
      <c r="X23" s="674" t="str">
        <f t="shared" si="6"/>
        <v>n/a</v>
      </c>
      <c r="Y23" s="674" t="str">
        <f t="shared" si="7"/>
        <v>n/a</v>
      </c>
      <c r="Z23" s="674" t="str">
        <f t="shared" si="8"/>
        <v>n/a</v>
      </c>
      <c r="AC23" s="557" t="str">
        <f>IF('MASTER PubCo Inputs'!C40="","",'MASTER PubCo Inputs'!C40)</f>
        <v>IQ281487796</v>
      </c>
      <c r="AD23" s="208" t="str">
        <f>'Capital IQ Sheet-GPC'!AP25</f>
        <v>Surface Oncology, Inc., a clinical-stage immuno-oncology company, engages in the development of cancer therapies. The company’s lead product candidate is the SRF231 that is in Phase I clinical trial targeting protein called cluster of differentiation (CD) 47. It is also developing SRF373 inhibiting CD73; SRF617 inhibiting CD39; and SRF388, an antibody targeting interleukin 27. The company has a collaboration agreement with Novartis Institutes for Biomedical Research, Inc. for the development of cancer therapies. Surface Oncology, Inc. was founded in 2014 and is headquartered in Cambridge, Massachusetts.</v>
      </c>
    </row>
    <row r="24" spans="2:30" ht="14.85" hidden="1" customHeight="1" outlineLevel="1">
      <c r="B24" s="457"/>
      <c r="C24" s="1183"/>
      <c r="D24" s="740"/>
      <c r="E24" s="740"/>
      <c r="F24" s="740"/>
      <c r="G24" s="740"/>
      <c r="H24" s="740"/>
      <c r="I24" s="740"/>
      <c r="J24" s="740"/>
      <c r="K24" s="740"/>
      <c r="L24" s="740"/>
      <c r="M24" s="438"/>
      <c r="N24" s="740"/>
      <c r="O24" s="740"/>
      <c r="P24" s="740"/>
      <c r="Q24" s="740"/>
      <c r="R24" s="740"/>
      <c r="S24" s="740"/>
      <c r="T24" s="740"/>
      <c r="U24" s="740"/>
      <c r="V24" s="740"/>
      <c r="X24" s="674"/>
      <c r="Y24" s="674"/>
      <c r="Z24" s="674"/>
      <c r="AC24" s="557"/>
    </row>
    <row r="25" spans="2:30" ht="14.85" hidden="1" customHeight="1" outlineLevel="1">
      <c r="B25" s="457"/>
      <c r="C25" s="1183"/>
      <c r="D25" s="740"/>
      <c r="E25" s="740"/>
      <c r="F25" s="740"/>
      <c r="G25" s="740"/>
      <c r="H25" s="740"/>
      <c r="I25" s="740"/>
      <c r="J25" s="740"/>
      <c r="K25" s="740"/>
      <c r="L25" s="740"/>
      <c r="M25" s="438"/>
      <c r="N25" s="740"/>
      <c r="O25" s="740"/>
      <c r="P25" s="740"/>
      <c r="Q25" s="740"/>
      <c r="R25" s="740"/>
      <c r="S25" s="740"/>
      <c r="T25" s="740"/>
      <c r="U25" s="740"/>
      <c r="V25" s="740"/>
      <c r="X25" s="674"/>
      <c r="Y25" s="674"/>
      <c r="Z25" s="674"/>
      <c r="AC25" s="557"/>
    </row>
    <row r="26" spans="2:30" ht="14.85" hidden="1" customHeight="1" outlineLevel="1">
      <c r="B26" s="457"/>
      <c r="C26" s="1183"/>
      <c r="D26" s="740"/>
      <c r="E26" s="740"/>
      <c r="F26" s="740"/>
      <c r="G26" s="740"/>
      <c r="H26" s="740"/>
      <c r="I26" s="740"/>
      <c r="J26" s="740"/>
      <c r="K26" s="740"/>
      <c r="L26" s="740"/>
      <c r="M26" s="438"/>
      <c r="N26" s="740"/>
      <c r="O26" s="740"/>
      <c r="P26" s="740"/>
      <c r="Q26" s="740"/>
      <c r="R26" s="740"/>
      <c r="S26" s="740"/>
      <c r="T26" s="740"/>
      <c r="U26" s="740"/>
      <c r="V26" s="740"/>
      <c r="X26" s="674"/>
      <c r="Y26" s="674"/>
      <c r="Z26" s="674"/>
      <c r="AC26" s="557"/>
    </row>
    <row r="27" spans="2:30" ht="14.85" hidden="1" customHeight="1" outlineLevel="1">
      <c r="B27" s="457"/>
      <c r="C27" s="1183"/>
      <c r="D27" s="740"/>
      <c r="E27" s="740"/>
      <c r="F27" s="740"/>
      <c r="G27" s="740"/>
      <c r="H27" s="740"/>
      <c r="I27" s="740"/>
      <c r="J27" s="740"/>
      <c r="K27" s="740"/>
      <c r="L27" s="740"/>
      <c r="M27" s="438"/>
      <c r="N27" s="740"/>
      <c r="O27" s="740"/>
      <c r="P27" s="740"/>
      <c r="Q27" s="740"/>
      <c r="R27" s="740"/>
      <c r="S27" s="740"/>
      <c r="T27" s="740"/>
      <c r="U27" s="740"/>
      <c r="V27" s="740"/>
      <c r="X27" s="674"/>
      <c r="Y27" s="674"/>
      <c r="Z27" s="674"/>
      <c r="AC27" s="557"/>
    </row>
    <row r="28" spans="2:30" ht="14.85" hidden="1" customHeight="1" outlineLevel="1">
      <c r="B28" s="457"/>
      <c r="C28" s="1183"/>
      <c r="D28" s="740"/>
      <c r="E28" s="740"/>
      <c r="F28" s="740"/>
      <c r="G28" s="740"/>
      <c r="H28" s="740"/>
      <c r="I28" s="740"/>
      <c r="J28" s="740"/>
      <c r="K28" s="740"/>
      <c r="L28" s="740"/>
      <c r="M28" s="438"/>
      <c r="N28" s="740"/>
      <c r="O28" s="740"/>
      <c r="P28" s="740"/>
      <c r="Q28" s="740"/>
      <c r="R28" s="740"/>
      <c r="S28" s="740"/>
      <c r="T28" s="740"/>
      <c r="U28" s="740"/>
      <c r="V28" s="740"/>
      <c r="X28" s="674"/>
      <c r="Y28" s="674"/>
      <c r="Z28" s="674"/>
      <c r="AC28" s="557"/>
    </row>
    <row r="29" spans="2:30" ht="14.85" hidden="1" customHeight="1" outlineLevel="1">
      <c r="B29" s="457"/>
      <c r="C29" s="1183"/>
      <c r="D29" s="740"/>
      <c r="E29" s="740"/>
      <c r="F29" s="740"/>
      <c r="G29" s="740"/>
      <c r="H29" s="740"/>
      <c r="I29" s="740"/>
      <c r="J29" s="740"/>
      <c r="K29" s="740"/>
      <c r="L29" s="740"/>
      <c r="M29" s="438"/>
      <c r="N29" s="740"/>
      <c r="O29" s="740"/>
      <c r="P29" s="740"/>
      <c r="Q29" s="740"/>
      <c r="R29" s="740"/>
      <c r="S29" s="740"/>
      <c r="T29" s="740"/>
      <c r="U29" s="740"/>
      <c r="V29" s="740"/>
      <c r="X29" s="674"/>
      <c r="Y29" s="674"/>
      <c r="Z29" s="674"/>
      <c r="AC29" s="557"/>
    </row>
    <row r="30" spans="2:30" ht="14.85" hidden="1" customHeight="1" outlineLevel="1">
      <c r="B30" s="457"/>
      <c r="C30" s="1183"/>
      <c r="D30" s="740"/>
      <c r="E30" s="740"/>
      <c r="F30" s="740"/>
      <c r="G30" s="740"/>
      <c r="H30" s="740"/>
      <c r="I30" s="740"/>
      <c r="J30" s="740"/>
      <c r="K30" s="740"/>
      <c r="L30" s="740"/>
      <c r="M30" s="438"/>
      <c r="N30" s="740"/>
      <c r="O30" s="740"/>
      <c r="P30" s="740"/>
      <c r="Q30" s="740"/>
      <c r="R30" s="740"/>
      <c r="S30" s="740"/>
      <c r="T30" s="740"/>
      <c r="U30" s="740"/>
      <c r="V30" s="740"/>
      <c r="X30" s="674"/>
      <c r="Y30" s="674"/>
      <c r="Z30" s="674"/>
      <c r="AC30" s="557"/>
    </row>
    <row r="31" spans="2:30" ht="14.85" hidden="1" customHeight="1" outlineLevel="1">
      <c r="B31" s="457"/>
      <c r="C31" s="1183"/>
      <c r="D31" s="740"/>
      <c r="E31" s="740"/>
      <c r="F31" s="740"/>
      <c r="G31" s="740"/>
      <c r="H31" s="740"/>
      <c r="I31" s="740"/>
      <c r="J31" s="740"/>
      <c r="K31" s="740"/>
      <c r="L31" s="740"/>
      <c r="M31" s="438"/>
      <c r="N31" s="740"/>
      <c r="O31" s="740"/>
      <c r="P31" s="740"/>
      <c r="Q31" s="740"/>
      <c r="R31" s="740"/>
      <c r="S31" s="740"/>
      <c r="T31" s="740"/>
      <c r="U31" s="740"/>
      <c r="V31" s="740"/>
      <c r="X31" s="674"/>
      <c r="Y31" s="674"/>
      <c r="Z31" s="674"/>
      <c r="AC31" s="557"/>
    </row>
    <row r="32" spans="2:30" ht="14.85" hidden="1" customHeight="1" outlineLevel="1">
      <c r="B32" s="457"/>
      <c r="C32" s="1183"/>
      <c r="D32" s="740"/>
      <c r="E32" s="740"/>
      <c r="F32" s="740"/>
      <c r="G32" s="740"/>
      <c r="H32" s="740"/>
      <c r="I32" s="740"/>
      <c r="J32" s="740"/>
      <c r="K32" s="740"/>
      <c r="L32" s="740"/>
      <c r="M32" s="438"/>
      <c r="N32" s="740"/>
      <c r="O32" s="740"/>
      <c r="P32" s="740"/>
      <c r="Q32" s="740"/>
      <c r="R32" s="740"/>
      <c r="S32" s="740"/>
      <c r="T32" s="740"/>
      <c r="U32" s="740"/>
      <c r="V32" s="740"/>
      <c r="X32" s="674"/>
      <c r="Y32" s="674"/>
      <c r="Z32" s="674"/>
      <c r="AC32" s="557"/>
    </row>
    <row r="33" spans="2:29" ht="14.85" hidden="1" customHeight="1" outlineLevel="1">
      <c r="B33" s="457"/>
      <c r="C33" s="1183"/>
      <c r="D33" s="740"/>
      <c r="E33" s="740"/>
      <c r="F33" s="740"/>
      <c r="G33" s="740"/>
      <c r="H33" s="740"/>
      <c r="I33" s="740"/>
      <c r="J33" s="740"/>
      <c r="K33" s="740"/>
      <c r="L33" s="740"/>
      <c r="M33" s="438"/>
      <c r="N33" s="740"/>
      <c r="O33" s="740"/>
      <c r="P33" s="740"/>
      <c r="Q33" s="740"/>
      <c r="R33" s="740"/>
      <c r="S33" s="740"/>
      <c r="T33" s="740"/>
      <c r="U33" s="740"/>
      <c r="V33" s="740"/>
      <c r="X33" s="674"/>
      <c r="Y33" s="674"/>
      <c r="Z33" s="674"/>
      <c r="AC33" s="557"/>
    </row>
    <row r="34" spans="2:29" ht="14.85" hidden="1" customHeight="1" outlineLevel="1">
      <c r="B34" s="457"/>
      <c r="C34" s="1183"/>
      <c r="D34" s="740"/>
      <c r="E34" s="740"/>
      <c r="F34" s="740"/>
      <c r="G34" s="740"/>
      <c r="H34" s="740"/>
      <c r="I34" s="740"/>
      <c r="J34" s="740"/>
      <c r="K34" s="740"/>
      <c r="L34" s="740"/>
      <c r="M34" s="438"/>
      <c r="N34" s="740"/>
      <c r="O34" s="740"/>
      <c r="P34" s="740"/>
      <c r="Q34" s="740"/>
      <c r="R34" s="740"/>
      <c r="S34" s="740"/>
      <c r="T34" s="740"/>
      <c r="U34" s="740"/>
      <c r="V34" s="740"/>
      <c r="X34" s="674"/>
      <c r="Y34" s="674"/>
      <c r="Z34" s="674"/>
      <c r="AC34" s="557"/>
    </row>
    <row r="35" spans="2:29" ht="14.85" hidden="1" customHeight="1" outlineLevel="1">
      <c r="B35" s="457"/>
      <c r="C35" s="1183"/>
      <c r="D35" s="740"/>
      <c r="E35" s="740"/>
      <c r="F35" s="740"/>
      <c r="G35" s="740"/>
      <c r="H35" s="740"/>
      <c r="I35" s="740"/>
      <c r="J35" s="740"/>
      <c r="K35" s="740"/>
      <c r="L35" s="740"/>
      <c r="M35" s="438"/>
      <c r="N35" s="740"/>
      <c r="O35" s="740"/>
      <c r="P35" s="740"/>
      <c r="Q35" s="740"/>
      <c r="R35" s="740"/>
      <c r="S35" s="740"/>
      <c r="T35" s="740"/>
      <c r="U35" s="740"/>
      <c r="V35" s="740"/>
      <c r="X35" s="674"/>
      <c r="Y35" s="674"/>
      <c r="Z35" s="674"/>
      <c r="AC35" s="557"/>
    </row>
    <row r="36" spans="2:29" ht="14.85" hidden="1" customHeight="1" outlineLevel="1">
      <c r="B36" s="457"/>
      <c r="C36" s="1183"/>
      <c r="D36" s="740"/>
      <c r="E36" s="740"/>
      <c r="F36" s="740"/>
      <c r="G36" s="740"/>
      <c r="H36" s="740"/>
      <c r="I36" s="740"/>
      <c r="J36" s="740"/>
      <c r="K36" s="740"/>
      <c r="L36" s="740"/>
      <c r="M36" s="438"/>
      <c r="N36" s="740"/>
      <c r="O36" s="740"/>
      <c r="P36" s="740"/>
      <c r="Q36" s="740"/>
      <c r="R36" s="740"/>
      <c r="S36" s="740"/>
      <c r="T36" s="740"/>
      <c r="U36" s="740"/>
      <c r="V36" s="740"/>
      <c r="X36" s="674"/>
      <c r="Y36" s="674"/>
      <c r="Z36" s="674"/>
      <c r="AC36" s="557"/>
    </row>
    <row r="37" spans="2:29" ht="14.85" hidden="1" customHeight="1" outlineLevel="1">
      <c r="B37" s="457"/>
      <c r="C37" s="1183"/>
      <c r="D37" s="740"/>
      <c r="E37" s="740"/>
      <c r="F37" s="740"/>
      <c r="G37" s="740"/>
      <c r="H37" s="740"/>
      <c r="I37" s="740"/>
      <c r="J37" s="740"/>
      <c r="K37" s="740"/>
      <c r="L37" s="740"/>
      <c r="M37" s="438"/>
      <c r="N37" s="740"/>
      <c r="O37" s="740"/>
      <c r="P37" s="740"/>
      <c r="Q37" s="740"/>
      <c r="R37" s="740"/>
      <c r="S37" s="740"/>
      <c r="T37" s="740"/>
      <c r="U37" s="740"/>
      <c r="V37" s="740"/>
      <c r="X37" s="674"/>
      <c r="Y37" s="674"/>
      <c r="Z37" s="674"/>
      <c r="AC37" s="557"/>
    </row>
    <row r="38" spans="2:29" ht="14.85" hidden="1" customHeight="1" outlineLevel="1">
      <c r="B38" s="457"/>
      <c r="C38" s="1183"/>
      <c r="D38" s="740"/>
      <c r="E38" s="740"/>
      <c r="F38" s="740"/>
      <c r="G38" s="740"/>
      <c r="H38" s="740"/>
      <c r="I38" s="740"/>
      <c r="J38" s="740"/>
      <c r="K38" s="740"/>
      <c r="L38" s="740"/>
      <c r="M38" s="438"/>
      <c r="N38" s="740"/>
      <c r="O38" s="740"/>
      <c r="P38" s="740"/>
      <c r="Q38" s="740"/>
      <c r="R38" s="740"/>
      <c r="S38" s="740"/>
      <c r="T38" s="740"/>
      <c r="U38" s="740"/>
      <c r="V38" s="740"/>
      <c r="X38" s="674"/>
      <c r="Y38" s="674"/>
      <c r="Z38" s="674"/>
      <c r="AC38" s="557"/>
    </row>
    <row r="39" spans="2:29" ht="14.85" hidden="1" customHeight="1" outlineLevel="1">
      <c r="B39" s="457"/>
      <c r="C39" s="1183"/>
      <c r="D39" s="740"/>
      <c r="E39" s="740"/>
      <c r="F39" s="740"/>
      <c r="G39" s="740"/>
      <c r="H39" s="740"/>
      <c r="I39" s="740"/>
      <c r="J39" s="740"/>
      <c r="K39" s="740"/>
      <c r="L39" s="740"/>
      <c r="M39" s="438"/>
      <c r="N39" s="740"/>
      <c r="O39" s="740"/>
      <c r="P39" s="740"/>
      <c r="Q39" s="740"/>
      <c r="R39" s="740"/>
      <c r="S39" s="740"/>
      <c r="T39" s="740"/>
      <c r="U39" s="740"/>
      <c r="V39" s="740"/>
      <c r="X39" s="674"/>
      <c r="Y39" s="674"/>
      <c r="Z39" s="674"/>
      <c r="AC39" s="557"/>
    </row>
    <row r="40" spans="2:29" ht="14.85" hidden="1" customHeight="1" outlineLevel="1">
      <c r="B40" s="457"/>
      <c r="C40" s="1183"/>
      <c r="D40" s="740"/>
      <c r="E40" s="740"/>
      <c r="F40" s="740"/>
      <c r="G40" s="740"/>
      <c r="H40" s="740"/>
      <c r="I40" s="740"/>
      <c r="J40" s="740"/>
      <c r="K40" s="740"/>
      <c r="L40" s="740"/>
      <c r="M40" s="438"/>
      <c r="N40" s="740"/>
      <c r="O40" s="740"/>
      <c r="P40" s="740"/>
      <c r="Q40" s="740"/>
      <c r="R40" s="740"/>
      <c r="S40" s="740"/>
      <c r="T40" s="740"/>
      <c r="U40" s="740"/>
      <c r="V40" s="740"/>
      <c r="X40" s="674"/>
      <c r="Y40" s="674"/>
      <c r="Z40" s="674"/>
      <c r="AC40" s="557"/>
    </row>
    <row r="41" spans="2:29" ht="14.85" customHeight="1" collapsed="1"/>
    <row r="42" spans="2:29" ht="14.85" customHeight="1">
      <c r="B42" s="1184" t="s">
        <v>111</v>
      </c>
      <c r="C42" s="1185"/>
      <c r="D42" s="1186">
        <f>MAX(D11:D40)</f>
        <v>52.5</v>
      </c>
      <c r="E42" s="1186">
        <f t="shared" ref="E42:Z42" si="9">MAX(E11:E40)</f>
        <v>2349.1</v>
      </c>
      <c r="F42" s="1186">
        <f t="shared" si="9"/>
        <v>248.9</v>
      </c>
      <c r="G42" s="1186">
        <f t="shared" si="9"/>
        <v>119.045</v>
      </c>
      <c r="H42" s="1186">
        <f t="shared" si="9"/>
        <v>0</v>
      </c>
      <c r="I42" s="1186">
        <f t="shared" si="9"/>
        <v>248.9</v>
      </c>
      <c r="J42" s="1186">
        <f t="shared" si="9"/>
        <v>2598</v>
      </c>
      <c r="K42" s="1186">
        <f t="shared" si="9"/>
        <v>469.2</v>
      </c>
      <c r="L42" s="1186">
        <f t="shared" si="9"/>
        <v>2323.1</v>
      </c>
      <c r="M42" s="1161"/>
      <c r="N42" s="1186">
        <f t="shared" si="9"/>
        <v>42.3</v>
      </c>
      <c r="O42" s="1186">
        <f t="shared" si="9"/>
        <v>7328.4</v>
      </c>
      <c r="P42" s="1186">
        <f t="shared" si="9"/>
        <v>246.5</v>
      </c>
      <c r="Q42" s="1186">
        <f t="shared" si="9"/>
        <v>160.4</v>
      </c>
      <c r="R42" s="1186">
        <f t="shared" si="9"/>
        <v>0</v>
      </c>
      <c r="S42" s="1186">
        <f t="shared" si="9"/>
        <v>246.5</v>
      </c>
      <c r="T42" s="1186">
        <f t="shared" si="9"/>
        <v>7574.9</v>
      </c>
      <c r="U42" s="1186">
        <f t="shared" si="9"/>
        <v>1420.4</v>
      </c>
      <c r="V42" s="1186">
        <f t="shared" si="9"/>
        <v>6154.5</v>
      </c>
      <c r="W42" s="1186"/>
      <c r="X42" s="1187">
        <f t="shared" si="9"/>
        <v>0.31521739130434789</v>
      </c>
      <c r="Y42" s="1187">
        <f t="shared" si="9"/>
        <v>0.89169675090252709</v>
      </c>
      <c r="Z42" s="1188">
        <f t="shared" si="9"/>
        <v>0.45562130177514781</v>
      </c>
    </row>
    <row r="43" spans="2:29" ht="14.85" customHeight="1">
      <c r="B43" s="567" t="s">
        <v>115</v>
      </c>
      <c r="C43" s="568"/>
      <c r="D43" s="570">
        <f>QUARTILE(D11:D40,3)</f>
        <v>15.074999999999999</v>
      </c>
      <c r="E43" s="570">
        <f t="shared" ref="E43:Z43" si="10">QUARTILE(E11:E40,3)</f>
        <v>711.125</v>
      </c>
      <c r="F43" s="570">
        <f t="shared" si="10"/>
        <v>46.5</v>
      </c>
      <c r="G43" s="570">
        <f t="shared" si="10"/>
        <v>119.045</v>
      </c>
      <c r="H43" s="570" t="e">
        <f t="shared" si="10"/>
        <v>#NUM!</v>
      </c>
      <c r="I43" s="570">
        <f t="shared" si="10"/>
        <v>14.5</v>
      </c>
      <c r="J43" s="570">
        <f t="shared" si="10"/>
        <v>642.79999999999995</v>
      </c>
      <c r="K43" s="570">
        <f t="shared" si="10"/>
        <v>198.47499999999999</v>
      </c>
      <c r="L43" s="570">
        <f t="shared" si="10"/>
        <v>665.78375000000005</v>
      </c>
      <c r="M43" s="570"/>
      <c r="N43" s="570">
        <f t="shared" si="10"/>
        <v>12.1</v>
      </c>
      <c r="O43" s="570">
        <f t="shared" si="10"/>
        <v>434.2</v>
      </c>
      <c r="P43" s="570">
        <f t="shared" si="10"/>
        <v>22</v>
      </c>
      <c r="Q43" s="570">
        <f t="shared" si="10"/>
        <v>98.95</v>
      </c>
      <c r="R43" s="570" t="e">
        <f t="shared" si="10"/>
        <v>#NUM!</v>
      </c>
      <c r="S43" s="570">
        <f t="shared" si="10"/>
        <v>22</v>
      </c>
      <c r="T43" s="570">
        <f t="shared" si="10"/>
        <v>476.70000000000005</v>
      </c>
      <c r="U43" s="570">
        <f t="shared" si="10"/>
        <v>173.4</v>
      </c>
      <c r="V43" s="570">
        <f t="shared" si="10"/>
        <v>445.00000000000006</v>
      </c>
      <c r="W43" s="570"/>
      <c r="X43" s="659">
        <f t="shared" si="10"/>
        <v>0.24335748792270534</v>
      </c>
      <c r="Y43" s="659">
        <f t="shared" si="10"/>
        <v>0.8333483754512635</v>
      </c>
      <c r="Z43" s="660">
        <f t="shared" si="10"/>
        <v>0.45562130177514781</v>
      </c>
    </row>
    <row r="44" spans="2:29" ht="14.85" customHeight="1">
      <c r="B44" s="567" t="s">
        <v>113</v>
      </c>
      <c r="C44" s="568"/>
      <c r="D44" s="570">
        <f>AVERAGE(D11:D40)</f>
        <v>13.210000000000003</v>
      </c>
      <c r="E44" s="570">
        <f t="shared" ref="E44:Z44" si="11">AVERAGE(E11:E40)</f>
        <v>636.43999999999994</v>
      </c>
      <c r="F44" s="570">
        <f t="shared" si="11"/>
        <v>62.48</v>
      </c>
      <c r="G44" s="570">
        <f t="shared" si="11"/>
        <v>119.045</v>
      </c>
      <c r="H44" s="570" t="e">
        <f t="shared" si="11"/>
        <v>#DIV/0!</v>
      </c>
      <c r="I44" s="570">
        <f t="shared" si="11"/>
        <v>33.18807692307692</v>
      </c>
      <c r="J44" s="570">
        <f t="shared" si="11"/>
        <v>522.75730769230768</v>
      </c>
      <c r="K44" s="570">
        <f t="shared" si="11"/>
        <v>143.59</v>
      </c>
      <c r="L44" s="570">
        <f t="shared" si="11"/>
        <v>535.99450000000002</v>
      </c>
      <c r="M44" s="568"/>
      <c r="N44" s="570">
        <f t="shared" si="11"/>
        <v>9.9384615384615369</v>
      </c>
      <c r="O44" s="570">
        <f t="shared" si="11"/>
        <v>833.99230769230758</v>
      </c>
      <c r="P44" s="570">
        <f t="shared" si="11"/>
        <v>58.160000000000004</v>
      </c>
      <c r="Q44" s="570">
        <f t="shared" si="11"/>
        <v>65.966666666666669</v>
      </c>
      <c r="R44" s="570" t="e">
        <f t="shared" si="11"/>
        <v>#DIV/0!</v>
      </c>
      <c r="S44" s="570">
        <f t="shared" si="11"/>
        <v>37.592307692307692</v>
      </c>
      <c r="T44" s="570">
        <f t="shared" si="11"/>
        <v>871.58461538461529</v>
      </c>
      <c r="U44" s="570">
        <f t="shared" si="11"/>
        <v>204.44615384615386</v>
      </c>
      <c r="V44" s="570">
        <f t="shared" si="11"/>
        <v>667.13846153846146</v>
      </c>
      <c r="W44" s="570"/>
      <c r="X44" s="566">
        <f t="shared" si="11"/>
        <v>0.17149758454106279</v>
      </c>
      <c r="Y44" s="566">
        <f t="shared" si="11"/>
        <v>0.47134257058553986</v>
      </c>
      <c r="Z44" s="1189">
        <f t="shared" si="11"/>
        <v>0.45562130177514781</v>
      </c>
    </row>
    <row r="45" spans="2:29" ht="14.85" customHeight="1">
      <c r="B45" s="567" t="s">
        <v>44</v>
      </c>
      <c r="C45" s="568"/>
      <c r="D45" s="570">
        <f>MEDIAN(D11:D40)</f>
        <v>8.5</v>
      </c>
      <c r="E45" s="570">
        <f t="shared" ref="E45:Z45" si="12">MEDIAN(E11:E40)</f>
        <v>382.75</v>
      </c>
      <c r="F45" s="570">
        <f t="shared" si="12"/>
        <v>14.5</v>
      </c>
      <c r="G45" s="570">
        <f t="shared" si="12"/>
        <v>119.045</v>
      </c>
      <c r="H45" s="570" t="e">
        <f t="shared" si="12"/>
        <v>#NUM!</v>
      </c>
      <c r="I45" s="570">
        <f t="shared" si="12"/>
        <v>0</v>
      </c>
      <c r="J45" s="570">
        <f t="shared" si="12"/>
        <v>193</v>
      </c>
      <c r="K45" s="570">
        <f t="shared" si="12"/>
        <v>83.6</v>
      </c>
      <c r="L45" s="570">
        <f t="shared" si="12"/>
        <v>279.55</v>
      </c>
      <c r="M45" s="568"/>
      <c r="N45" s="570">
        <f t="shared" si="12"/>
        <v>5.8</v>
      </c>
      <c r="O45" s="570">
        <f t="shared" si="12"/>
        <v>315</v>
      </c>
      <c r="P45" s="570">
        <f t="shared" si="12"/>
        <v>14.9</v>
      </c>
      <c r="Q45" s="570">
        <f t="shared" si="12"/>
        <v>37.5</v>
      </c>
      <c r="R45" s="570" t="e">
        <f t="shared" si="12"/>
        <v>#NUM!</v>
      </c>
      <c r="S45" s="570">
        <f t="shared" si="12"/>
        <v>0.1</v>
      </c>
      <c r="T45" s="570">
        <f t="shared" si="12"/>
        <v>315.10000000000002</v>
      </c>
      <c r="U45" s="570">
        <f t="shared" si="12"/>
        <v>83.9</v>
      </c>
      <c r="V45" s="570">
        <f t="shared" si="12"/>
        <v>98.4</v>
      </c>
      <c r="W45" s="570"/>
      <c r="X45" s="566">
        <f t="shared" si="12"/>
        <v>0.17149758454106279</v>
      </c>
      <c r="Y45" s="566">
        <f t="shared" si="12"/>
        <v>0.77499999999999991</v>
      </c>
      <c r="Z45" s="1189">
        <f t="shared" si="12"/>
        <v>0.45562130177514781</v>
      </c>
    </row>
    <row r="46" spans="2:29" ht="14.85" customHeight="1">
      <c r="B46" s="567" t="s">
        <v>114</v>
      </c>
      <c r="C46" s="568"/>
      <c r="D46" s="570">
        <f>QUARTILE(D11:D40,1)</f>
        <v>6.125</v>
      </c>
      <c r="E46" s="570">
        <f t="shared" ref="E46:Z46" si="13">QUARTILE(E11:E40,1)</f>
        <v>128.125</v>
      </c>
      <c r="F46" s="570">
        <f t="shared" si="13"/>
        <v>2.4</v>
      </c>
      <c r="G46" s="570">
        <f t="shared" si="13"/>
        <v>119.045</v>
      </c>
      <c r="H46" s="570" t="e">
        <f t="shared" si="13"/>
        <v>#NUM!</v>
      </c>
      <c r="I46" s="570">
        <f t="shared" si="13"/>
        <v>0</v>
      </c>
      <c r="J46" s="570">
        <f t="shared" si="13"/>
        <v>32</v>
      </c>
      <c r="K46" s="570">
        <f t="shared" si="13"/>
        <v>48</v>
      </c>
      <c r="L46" s="570">
        <f t="shared" si="13"/>
        <v>90.025000000000006</v>
      </c>
      <c r="M46" s="568"/>
      <c r="N46" s="570">
        <f t="shared" si="13"/>
        <v>4</v>
      </c>
      <c r="O46" s="570">
        <f t="shared" si="13"/>
        <v>105.8</v>
      </c>
      <c r="P46" s="570">
        <f t="shared" si="13"/>
        <v>7.3</v>
      </c>
      <c r="Q46" s="570">
        <f t="shared" si="13"/>
        <v>18.75</v>
      </c>
      <c r="R46" s="570" t="e">
        <f t="shared" si="13"/>
        <v>#NUM!</v>
      </c>
      <c r="S46" s="570">
        <f t="shared" si="13"/>
        <v>0</v>
      </c>
      <c r="T46" s="570">
        <f t="shared" si="13"/>
        <v>116.8</v>
      </c>
      <c r="U46" s="570">
        <f t="shared" si="13"/>
        <v>31.7</v>
      </c>
      <c r="V46" s="570">
        <f t="shared" si="13"/>
        <v>28.299999999999997</v>
      </c>
      <c r="W46" s="570"/>
      <c r="X46" s="566">
        <f t="shared" si="13"/>
        <v>9.9637681159420233E-2</v>
      </c>
      <c r="Y46" s="566">
        <f t="shared" si="13"/>
        <v>0.26116548042704624</v>
      </c>
      <c r="Z46" s="1189">
        <f t="shared" si="13"/>
        <v>0.45562130177514781</v>
      </c>
    </row>
    <row r="47" spans="2:29" ht="14.85" customHeight="1">
      <c r="B47" s="572" t="s">
        <v>112</v>
      </c>
      <c r="C47" s="427"/>
      <c r="D47" s="430">
        <f>MIN(D11:D40)</f>
        <v>1.7</v>
      </c>
      <c r="E47" s="430">
        <f t="shared" ref="E47:Z47" si="14">MIN(E11:E40)</f>
        <v>32</v>
      </c>
      <c r="F47" s="430">
        <f t="shared" si="14"/>
        <v>0.1</v>
      </c>
      <c r="G47" s="430">
        <f t="shared" si="14"/>
        <v>119.045</v>
      </c>
      <c r="H47" s="430">
        <f t="shared" si="14"/>
        <v>0</v>
      </c>
      <c r="I47" s="430">
        <f t="shared" si="14"/>
        <v>0</v>
      </c>
      <c r="J47" s="430">
        <f t="shared" si="14"/>
        <v>0</v>
      </c>
      <c r="K47" s="430">
        <f t="shared" si="14"/>
        <v>24</v>
      </c>
      <c r="L47" s="430">
        <f t="shared" si="14"/>
        <v>8</v>
      </c>
      <c r="M47" s="706"/>
      <c r="N47" s="430">
        <f t="shared" si="14"/>
        <v>0.9</v>
      </c>
      <c r="O47" s="430">
        <f t="shared" si="14"/>
        <v>56.8</v>
      </c>
      <c r="P47" s="430">
        <f t="shared" si="14"/>
        <v>0.1</v>
      </c>
      <c r="Q47" s="430">
        <f t="shared" si="14"/>
        <v>0</v>
      </c>
      <c r="R47" s="430">
        <f t="shared" si="14"/>
        <v>0</v>
      </c>
      <c r="S47" s="430">
        <f t="shared" si="14"/>
        <v>0</v>
      </c>
      <c r="T47" s="430">
        <f t="shared" si="14"/>
        <v>56.8</v>
      </c>
      <c r="U47" s="430">
        <f t="shared" si="14"/>
        <v>20.6</v>
      </c>
      <c r="V47" s="430">
        <f t="shared" si="14"/>
        <v>-14.200000000000017</v>
      </c>
      <c r="W47" s="706"/>
      <c r="X47" s="661">
        <f t="shared" si="14"/>
        <v>2.7777777777777679E-2</v>
      </c>
      <c r="Y47" s="661">
        <f t="shared" si="14"/>
        <v>-0.25266903914590744</v>
      </c>
      <c r="Z47" s="662">
        <f t="shared" si="14"/>
        <v>0.45562130177514781</v>
      </c>
    </row>
    <row r="48" spans="2:29" ht="14.85" customHeight="1"/>
    <row r="49" spans="2:14" ht="14.85" customHeight="1">
      <c r="B49" s="295" t="s">
        <v>116</v>
      </c>
      <c r="C49" s="295"/>
      <c r="D49" s="295"/>
      <c r="N49" s="295"/>
    </row>
    <row r="50" spans="2:14" ht="14.85" customHeight="1"/>
    <row r="51" spans="2:14" ht="14.85" customHeight="1"/>
    <row r="52" spans="2:14" ht="14.85" customHeight="1"/>
    <row r="53" spans="2:14" ht="14.85" customHeight="1"/>
    <row r="54" spans="2:14" ht="14.85" customHeight="1"/>
    <row r="55" spans="2:14" ht="14.85" customHeight="1"/>
    <row r="56" spans="2:14" ht="14.85" customHeight="1"/>
    <row r="57" spans="2:14" ht="14.85" customHeight="1"/>
    <row r="58" spans="2:14" ht="14.85" customHeight="1"/>
    <row r="59" spans="2:14" ht="14.85" customHeight="1"/>
    <row r="60" spans="2:14" ht="14.85" customHeight="1"/>
    <row r="61" spans="2:14" ht="14.85" customHeight="1"/>
    <row r="62" spans="2:14" ht="14.85" customHeight="1"/>
    <row r="63" spans="2:14" ht="14.85" customHeight="1"/>
    <row r="64" spans="2:1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4:Y4">
    <cfRule type="cellIs" dxfId="159" priority="20" stopIfTrue="1" operator="equal">
      <formula>"input"</formula>
    </cfRule>
  </conditionalFormatting>
  <conditionalFormatting sqref="B11:C40 N11:N40">
    <cfRule type="cellIs" dxfId="158" priority="19" operator="equal">
      <formula>"(Invalid Identifier)"</formula>
    </cfRule>
  </conditionalFormatting>
  <conditionalFormatting sqref="Z4">
    <cfRule type="cellIs" dxfId="157" priority="17" stopIfTrue="1" operator="equal">
      <formula>"input"</formula>
    </cfRule>
  </conditionalFormatting>
  <conditionalFormatting sqref="Z4">
    <cfRule type="cellIs" dxfId="156" priority="18" stopIfTrue="1" operator="equal">
      <formula>"input"</formula>
    </cfRule>
  </conditionalFormatting>
  <conditionalFormatting sqref="D11:D40">
    <cfRule type="cellIs" dxfId="155" priority="16" operator="equal">
      <formula>"(Invalid Identifier)"</formula>
    </cfRule>
  </conditionalFormatting>
  <conditionalFormatting sqref="E11:E40">
    <cfRule type="cellIs" dxfId="154" priority="10" operator="equal">
      <formula>"(Invalid Identifier)"</formula>
    </cfRule>
  </conditionalFormatting>
  <conditionalFormatting sqref="F11:F40">
    <cfRule type="cellIs" dxfId="153" priority="9" operator="equal">
      <formula>"(Invalid Identifier)"</formula>
    </cfRule>
  </conditionalFormatting>
  <conditionalFormatting sqref="G11:G40">
    <cfRule type="cellIs" dxfId="152" priority="8" operator="equal">
      <formula>"(Invalid Identifier)"</formula>
    </cfRule>
  </conditionalFormatting>
  <conditionalFormatting sqref="H11:H40">
    <cfRule type="cellIs" dxfId="151" priority="7" operator="equal">
      <formula>"(Invalid Identifier)"</formula>
    </cfRule>
  </conditionalFormatting>
  <conditionalFormatting sqref="K11:K40">
    <cfRule type="cellIs" dxfId="150" priority="6" operator="equal">
      <formula>"(Invalid Identifier)"</formula>
    </cfRule>
  </conditionalFormatting>
  <conditionalFormatting sqref="O11:O40">
    <cfRule type="cellIs" dxfId="149" priority="5" operator="equal">
      <formula>"(Invalid Identifier)"</formula>
    </cfRule>
  </conditionalFormatting>
  <conditionalFormatting sqref="P11:P40">
    <cfRule type="cellIs" dxfId="148" priority="4" operator="equal">
      <formula>"(Invalid Identifier)"</formula>
    </cfRule>
  </conditionalFormatting>
  <conditionalFormatting sqref="Q11:Q40">
    <cfRule type="cellIs" dxfId="147" priority="3" operator="equal">
      <formula>"(Invalid Identifier)"</formula>
    </cfRule>
  </conditionalFormatting>
  <conditionalFormatting sqref="R11:R40">
    <cfRule type="cellIs" dxfId="146" priority="2" operator="equal">
      <formula>"(Invalid Identifier)"</formula>
    </cfRule>
  </conditionalFormatting>
  <conditionalFormatting sqref="U11:U40">
    <cfRule type="cellIs" dxfId="145" priority="1" operator="equal">
      <formula>"(Invalid Identifier)"</formula>
    </cfRule>
  </conditionalFormatting>
  <pageMargins left="0.5" right="0.5" top="0.5" bottom="0.5" header="0.5" footer="0.5"/>
  <pageSetup scale="90" fitToWidth="0" fitToHeight="0" orientation="landscape" r:id="rId1"/>
  <legacyDrawingHF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6"/>
  <dimension ref="B1:I778"/>
  <sheetViews>
    <sheetView showGridLines="0" view="pageBreakPreview" zoomScale="80" zoomScaleNormal="100" zoomScaleSheetLayoutView="80" workbookViewId="0"/>
  </sheetViews>
  <sheetFormatPr defaultRowHeight="12.75" outlineLevelRow="1" outlineLevelCol="1"/>
  <cols>
    <col min="1" max="1" width="2.83203125" style="208" customWidth="1"/>
    <col min="2" max="2" width="60.1640625" style="232" customWidth="1"/>
    <col min="3" max="4" width="30.83203125" style="232" customWidth="1"/>
    <col min="5" max="6" width="19.1640625" style="232" hidden="1" customWidth="1" outlineLevel="1"/>
    <col min="7" max="7" width="30.83203125" style="232" customWidth="1" collapsed="1"/>
    <col min="8" max="8" width="2.83203125" style="232" customWidth="1"/>
    <col min="9" max="9" width="9.33203125" style="232"/>
    <col min="10" max="16384" width="9.33203125" style="208"/>
  </cols>
  <sheetData>
    <row r="1" spans="2:9" ht="10.7" customHeight="1" thickBot="1">
      <c r="B1" s="208"/>
      <c r="C1" s="208"/>
      <c r="D1" s="208"/>
      <c r="E1" s="208"/>
      <c r="F1" s="208"/>
      <c r="G1" s="208"/>
    </row>
    <row r="2" spans="2:9" ht="16.5" customHeight="1" thickTop="1">
      <c r="B2" s="216" t="str">
        <f>'MASTER PubCo Inputs'!$C$5</f>
        <v>Medikine, Inc.</v>
      </c>
      <c r="C2" s="216"/>
      <c r="D2" s="216"/>
      <c r="E2" s="216"/>
      <c r="F2" s="216"/>
      <c r="G2" s="216"/>
    </row>
    <row r="3" spans="2:9" ht="15.75" customHeight="1">
      <c r="B3" s="217" t="str">
        <f>VLOOKUP(B4,Outline!$E$8:$G$79,COLUMNS(Outline!$E$8:$G$8),FALSE)</f>
        <v>Workpaper #9</v>
      </c>
      <c r="C3" s="217"/>
      <c r="D3" s="217"/>
      <c r="E3" s="217"/>
      <c r="F3" s="217"/>
      <c r="G3" s="217"/>
    </row>
    <row r="4" spans="2:9" ht="16.5" customHeight="1" thickBot="1">
      <c r="B4" s="444" t="s">
        <v>579</v>
      </c>
      <c r="C4" s="444"/>
      <c r="D4" s="444"/>
      <c r="E4" s="444"/>
      <c r="F4" s="444"/>
      <c r="G4" s="445" t="str">
        <f>+'MASTER PubCo Inputs'!$C$19</f>
        <v>(in thousands of USD, except price per share)</v>
      </c>
    </row>
    <row r="5" spans="2:9" ht="14.85" customHeight="1" thickTop="1">
      <c r="B5" s="332"/>
      <c r="C5" s="332"/>
      <c r="D5" s="332"/>
      <c r="E5" s="332"/>
      <c r="F5" s="332"/>
      <c r="G5" s="208"/>
    </row>
    <row r="6" spans="2:9" s="326" customFormat="1" ht="14.85" customHeight="1">
      <c r="B6" s="208"/>
      <c r="C6" s="208"/>
      <c r="D6" s="457"/>
      <c r="E6" s="457"/>
      <c r="F6" s="208"/>
      <c r="G6" s="208"/>
      <c r="H6" s="353"/>
      <c r="I6" s="353"/>
    </row>
    <row r="7" spans="2:9" ht="14.85" customHeight="1">
      <c r="B7" s="208" t="s">
        <v>354</v>
      </c>
      <c r="C7" s="1190">
        <f>'MASTER PubCo Inputs'!C6</f>
        <v>43496</v>
      </c>
      <c r="D7" s="1806">
        <f>'Market Trends since Prior Val'!AD2</f>
        <v>42643</v>
      </c>
      <c r="E7" s="1191">
        <v>41639</v>
      </c>
      <c r="F7" s="232" t="s">
        <v>523</v>
      </c>
      <c r="G7" s="232" t="s">
        <v>524</v>
      </c>
    </row>
    <row r="8" spans="2:9" ht="14.85" hidden="1" customHeight="1" outlineLevel="1">
      <c r="B8" s="208" t="s">
        <v>525</v>
      </c>
      <c r="C8" s="1832" t="s">
        <v>526</v>
      </c>
      <c r="D8" s="1192" t="s">
        <v>2521</v>
      </c>
      <c r="E8" s="1192" t="s">
        <v>527</v>
      </c>
      <c r="F8" s="289"/>
    </row>
    <row r="9" spans="2:9" ht="14.85" customHeight="1" collapsed="1">
      <c r="B9" s="208"/>
      <c r="D9" s="456"/>
      <c r="E9" s="456"/>
    </row>
    <row r="10" spans="2:9" ht="14.85" hidden="1" customHeight="1" outlineLevel="1">
      <c r="B10" s="343" t="s">
        <v>528</v>
      </c>
      <c r="D10" s="456"/>
      <c r="E10" s="456"/>
    </row>
    <row r="11" spans="2:9" ht="14.85" customHeight="1" collapsed="1">
      <c r="B11" s="211" t="s">
        <v>145</v>
      </c>
      <c r="D11" s="456"/>
      <c r="E11" s="456"/>
    </row>
    <row r="12" spans="2:9" ht="14.85" customHeight="1">
      <c r="B12" s="208" t="s">
        <v>146</v>
      </c>
      <c r="C12" s="1804" t="s">
        <v>13</v>
      </c>
      <c r="D12" s="1804" t="s">
        <v>13</v>
      </c>
      <c r="E12" s="1193"/>
      <c r="F12" s="1194" t="str">
        <f>IF(ISERROR(C12-D12)=TRUE,"NA",C12-D12)</f>
        <v>NA</v>
      </c>
      <c r="G12" s="458" t="str">
        <f>IFERROR(C12/D12-1,"n/a")</f>
        <v>n/a</v>
      </c>
    </row>
    <row r="13" spans="2:9" ht="14.85" customHeight="1">
      <c r="B13" s="208" t="s">
        <v>95</v>
      </c>
      <c r="C13" s="1805">
        <f>IFERROR('Hist BS'!G68,"n/a")</f>
        <v>0</v>
      </c>
      <c r="D13" s="1804">
        <v>0</v>
      </c>
      <c r="E13" s="1193"/>
      <c r="F13" s="1194">
        <f>IF(ISERROR(C13-D13)=TRUE,"NA",C13-D13)</f>
        <v>0</v>
      </c>
      <c r="G13" s="458" t="str">
        <f>IFERROR(C13/D13-1,"n/a")</f>
        <v>n/a</v>
      </c>
    </row>
    <row r="14" spans="2:9" ht="14.85" customHeight="1">
      <c r="B14" s="208" t="s">
        <v>549</v>
      </c>
      <c r="C14" s="1805">
        <f>IFERROR('Hist BS'!G13,"n/a")</f>
        <v>3684.1360099999997</v>
      </c>
      <c r="D14" s="1804">
        <v>683.01855</v>
      </c>
      <c r="E14" s="1193"/>
      <c r="F14" s="1194">
        <f>IF(ISERROR(C14-D14)=TRUE,"NA",C14-D14)</f>
        <v>3001.1174599999995</v>
      </c>
      <c r="G14" s="458">
        <f>IFERROR(C14/D14-1,"n/a")</f>
        <v>4.3939032988196294</v>
      </c>
    </row>
    <row r="15" spans="2:9" ht="14.85" customHeight="1">
      <c r="B15" s="208" t="s">
        <v>147</v>
      </c>
      <c r="C15" s="1805">
        <f>IFERROR('Val Summ'!D9,"n/a")</f>
        <v>6282</v>
      </c>
      <c r="D15" s="1804">
        <v>2380</v>
      </c>
      <c r="E15" s="1193"/>
      <c r="F15" s="1194">
        <f>IF(ISERROR(C15-D15)=TRUE,"NA",C15-D15)</f>
        <v>3902</v>
      </c>
      <c r="G15" s="458">
        <f>IFERROR(C15/D15-1,"n/a")</f>
        <v>1.6394957983193277</v>
      </c>
    </row>
    <row r="16" spans="2:9" ht="14.85" customHeight="1">
      <c r="B16" s="208" t="s">
        <v>550</v>
      </c>
      <c r="C16" s="1805">
        <f>IFERROR((SUM('Econ Rights'!D13:E13)),"n/a")</f>
        <v>5235</v>
      </c>
      <c r="D16" s="1804">
        <v>700</v>
      </c>
      <c r="E16" s="1193"/>
      <c r="F16" s="1194"/>
      <c r="G16" s="458">
        <f>IFERROR(C16/D16-1,"n/a")</f>
        <v>6.4785714285714286</v>
      </c>
    </row>
    <row r="17" spans="2:7" ht="14.85" customHeight="1">
      <c r="B17" s="208"/>
      <c r="D17" s="456"/>
      <c r="E17" s="456"/>
      <c r="F17" s="1194"/>
    </row>
    <row r="18" spans="2:7" ht="14.85" customHeight="1">
      <c r="B18" s="211" t="s">
        <v>1375</v>
      </c>
      <c r="D18" s="456"/>
      <c r="E18" s="456"/>
      <c r="F18" s="1194"/>
    </row>
    <row r="19" spans="2:7" ht="14.85" customHeight="1">
      <c r="B19" s="208" t="s">
        <v>1376</v>
      </c>
      <c r="C19" s="1803">
        <f>IFERROR('Val Summ'!F12,"n/a")</f>
        <v>8.1914340585565626E-2</v>
      </c>
      <c r="D19" s="1807">
        <v>6.5553848443111032E-2</v>
      </c>
      <c r="E19" s="1195"/>
      <c r="F19" s="1194">
        <f>IF(ISERROR(C19-D19)=TRUE,"NA",C19-D19)</f>
        <v>1.6360492142454594E-2</v>
      </c>
      <c r="G19" s="458">
        <f>IFERROR(C19/D19-1,"n/a")</f>
        <v>0.24957332835542934</v>
      </c>
    </row>
    <row r="20" spans="2:7" ht="14.85" customHeight="1">
      <c r="B20" s="208" t="s">
        <v>1403</v>
      </c>
      <c r="C20" s="1196">
        <f>IFERROR('Val Summ'!F17,"n/a")</f>
        <v>5.4609560390377086E-2</v>
      </c>
      <c r="D20" s="594">
        <v>6.5553848443111032E-2</v>
      </c>
      <c r="E20" s="1197"/>
      <c r="F20" s="1194" t="s">
        <v>500</v>
      </c>
      <c r="G20" s="458">
        <f>IFERROR(C20/D20-1,"n/a")</f>
        <v>-0.16695111442971378</v>
      </c>
    </row>
    <row r="21" spans="2:7" ht="14.85" customHeight="1">
      <c r="B21" s="208"/>
      <c r="D21" s="1808"/>
      <c r="E21" s="456"/>
      <c r="F21" s="1194"/>
    </row>
    <row r="22" spans="2:7" ht="14.85" customHeight="1">
      <c r="B22" s="211" t="s">
        <v>1377</v>
      </c>
      <c r="D22" s="1808"/>
      <c r="E22" s="456"/>
      <c r="F22" s="1194"/>
    </row>
    <row r="23" spans="2:7" ht="14.85" customHeight="1">
      <c r="B23" s="208" t="s">
        <v>1378</v>
      </c>
      <c r="C23" s="232" t="str">
        <f>IF('Val Summ'!H9="Primary",'Val Summ'!$B$9,'Val Summ'!$B$10)</f>
        <v>Current Value Method</v>
      </c>
      <c r="D23" s="1808" t="s">
        <v>152</v>
      </c>
      <c r="E23" s="456"/>
      <c r="F23" s="1194" t="s">
        <v>500</v>
      </c>
      <c r="G23" s="458" t="str">
        <f>IFERROR(C23/D23-1,"n/a")</f>
        <v>n/a</v>
      </c>
    </row>
    <row r="24" spans="2:7" ht="14.85" customHeight="1">
      <c r="B24" s="208" t="s">
        <v>1379</v>
      </c>
      <c r="C24" s="232" t="str">
        <f>IF('Val Summ'!H9="Confirming",'Val Summ'!$B$9,'Val Summ'!$B$10)</f>
        <v>Option Pricing Method</v>
      </c>
      <c r="D24" s="1808" t="s">
        <v>485</v>
      </c>
      <c r="E24" s="456"/>
      <c r="F24" s="1194" t="s">
        <v>500</v>
      </c>
      <c r="G24" s="458" t="str">
        <f>IFERROR(C24/D24-1,"n/a")</f>
        <v>n/a</v>
      </c>
    </row>
    <row r="25" spans="2:7" ht="14.85" customHeight="1">
      <c r="B25" s="208"/>
      <c r="D25" s="456"/>
      <c r="E25" s="456"/>
      <c r="F25" s="1194"/>
    </row>
    <row r="26" spans="2:7" ht="14.85" hidden="1" customHeight="1" outlineLevel="1">
      <c r="B26" s="1198" t="s">
        <v>530</v>
      </c>
      <c r="D26" s="456"/>
      <c r="E26" s="456"/>
      <c r="F26" s="1194"/>
    </row>
    <row r="27" spans="2:7" ht="14.85" customHeight="1" collapsed="1">
      <c r="B27" s="208" t="s">
        <v>1377</v>
      </c>
      <c r="D27" s="456"/>
      <c r="E27" s="456"/>
      <c r="F27" s="1194"/>
    </row>
    <row r="28" spans="2:7" ht="14.85" customHeight="1">
      <c r="B28" s="211" t="s">
        <v>531</v>
      </c>
      <c r="D28" s="456"/>
      <c r="E28" s="456"/>
      <c r="F28" s="1194"/>
    </row>
    <row r="29" spans="2:7" ht="14.85" customHeight="1">
      <c r="B29" s="208" t="s">
        <v>1404</v>
      </c>
      <c r="C29" s="1810">
        <f>'OPM 1'!D10</f>
        <v>3</v>
      </c>
      <c r="D29" s="1811">
        <v>3.6260371608287492</v>
      </c>
      <c r="E29" s="1812"/>
      <c r="F29" s="1813">
        <f>C29-D29</f>
        <v>-0.62603716082874916</v>
      </c>
      <c r="G29" s="345">
        <f>IFERROR(C29/D29-1,"n/a")</f>
        <v>-0.17265050882315425</v>
      </c>
    </row>
    <row r="30" spans="2:7" ht="14.85" customHeight="1">
      <c r="B30" s="208" t="s">
        <v>1405</v>
      </c>
      <c r="C30" s="1814">
        <f>'MASTER PubCo Inputs'!C6+'Comparative Sheet'!C29*365.25</f>
        <v>44591.75</v>
      </c>
      <c r="D30" s="344">
        <v>43967.410072992701</v>
      </c>
      <c r="E30" s="1815"/>
      <c r="F30" s="1813">
        <f>IF(ISERROR(YEARFRAC(D30,C30,3))=TRUE,"NA",YEARFRAC(D30,C30,3))</f>
        <v>1.7095890410958905</v>
      </c>
      <c r="G30" s="345" t="s">
        <v>13</v>
      </c>
    </row>
    <row r="31" spans="2:7" ht="14.85" customHeight="1">
      <c r="B31" s="208" t="s">
        <v>117</v>
      </c>
      <c r="C31" s="1816">
        <f>'OPM 1'!D11</f>
        <v>0.65200000000000002</v>
      </c>
      <c r="D31" s="1817">
        <v>0.76600000000000001</v>
      </c>
      <c r="E31" s="1818"/>
      <c r="F31" s="1813">
        <f>IF(ISERROR(C31-D31)=TRUE,"NA",C31-D31)</f>
        <v>-0.11399999999999999</v>
      </c>
      <c r="G31" s="345">
        <f>IFERROR(C31-D31,"n/a")</f>
        <v>-0.11399999999999999</v>
      </c>
    </row>
    <row r="32" spans="2:7" ht="14.85" customHeight="1">
      <c r="B32" s="208" t="s">
        <v>532</v>
      </c>
      <c r="C32" s="1816">
        <f>'Asset Vol_OPM'!Y48</f>
        <v>0.65200000000000002</v>
      </c>
      <c r="D32" s="1817">
        <v>0.76600000000000001</v>
      </c>
      <c r="E32" s="1818"/>
      <c r="F32" s="1813">
        <f>IF(ISERROR(C32-D32)=TRUE,"NA",C32-D32)</f>
        <v>-0.11399999999999999</v>
      </c>
      <c r="G32" s="345">
        <f>IFERROR(C32-D32,"n/a")</f>
        <v>-0.11399999999999999</v>
      </c>
    </row>
    <row r="33" spans="2:7" ht="14.85" customHeight="1">
      <c r="B33" s="208" t="s">
        <v>533</v>
      </c>
      <c r="C33" s="575" t="s">
        <v>44</v>
      </c>
      <c r="D33" s="575" t="s">
        <v>44</v>
      </c>
      <c r="E33" s="356"/>
      <c r="F33" s="1813"/>
      <c r="G33" s="345" t="str">
        <f>IFERROR(C33/D33-1,"n/a")</f>
        <v>n/a</v>
      </c>
    </row>
    <row r="34" spans="2:7" ht="14.85" customHeight="1">
      <c r="B34" s="208"/>
      <c r="D34" s="456"/>
      <c r="E34" s="456"/>
      <c r="F34" s="1194"/>
    </row>
    <row r="35" spans="2:7" ht="14.85" customHeight="1">
      <c r="B35" s="211" t="s">
        <v>1380</v>
      </c>
      <c r="D35" s="456"/>
      <c r="E35" s="456"/>
      <c r="F35" s="1194"/>
      <c r="G35" s="237" t="s">
        <v>788</v>
      </c>
    </row>
    <row r="36" spans="2:7" ht="14.85" customHeight="1">
      <c r="B36" s="208" t="s">
        <v>498</v>
      </c>
      <c r="C36" s="1809"/>
      <c r="D36" s="1806">
        <v>45291</v>
      </c>
      <c r="E36" s="1191"/>
      <c r="F36" s="1194">
        <f>IF(ISERROR(YEARFRAC(D36,C36,3))=TRUE,"NA",YEARFRAC(D36,C36,3))</f>
        <v>124.08493150684932</v>
      </c>
      <c r="G36" s="744" t="s">
        <v>13</v>
      </c>
    </row>
    <row r="37" spans="2:7" ht="14.85" customHeight="1">
      <c r="B37" s="208" t="s">
        <v>2522</v>
      </c>
      <c r="C37" s="1809"/>
      <c r="D37" s="1806">
        <v>44377</v>
      </c>
      <c r="E37" s="1191"/>
      <c r="F37" s="1194">
        <f t="shared" ref="F37:F46" si="0">IF(ISERROR(YEARFRAC(D37,C37,3))=TRUE,"NA",YEARFRAC(D37,C37,3))</f>
        <v>121.58082191780822</v>
      </c>
      <c r="G37" s="744" t="s">
        <v>13</v>
      </c>
    </row>
    <row r="38" spans="2:7" ht="14.85" customHeight="1">
      <c r="B38" s="208" t="s">
        <v>2523</v>
      </c>
      <c r="C38" s="1809"/>
      <c r="D38" s="1806">
        <v>45291</v>
      </c>
      <c r="E38" s="1191"/>
      <c r="F38" s="1194">
        <f t="shared" si="0"/>
        <v>124.08493150684932</v>
      </c>
      <c r="G38" s="744" t="s">
        <v>13</v>
      </c>
    </row>
    <row r="39" spans="2:7" ht="14.85" customHeight="1">
      <c r="B39" s="208" t="s">
        <v>2524</v>
      </c>
      <c r="C39" s="1809"/>
      <c r="D39" s="1806">
        <v>45291</v>
      </c>
      <c r="E39" s="1191"/>
      <c r="F39" s="1194">
        <f t="shared" si="0"/>
        <v>124.08493150684932</v>
      </c>
      <c r="G39" s="744" t="s">
        <v>13</v>
      </c>
    </row>
    <row r="40" spans="2:7" ht="14.85" customHeight="1">
      <c r="B40" s="208" t="s">
        <v>2525</v>
      </c>
      <c r="C40" s="1809"/>
      <c r="D40" s="1806">
        <v>44377</v>
      </c>
      <c r="E40" s="1191"/>
      <c r="F40" s="1194">
        <f t="shared" si="0"/>
        <v>121.58082191780822</v>
      </c>
      <c r="G40" s="744" t="s">
        <v>13</v>
      </c>
    </row>
    <row r="41" spans="2:7" ht="14.85" customHeight="1">
      <c r="B41" s="208" t="s">
        <v>2526</v>
      </c>
      <c r="C41" s="1809"/>
      <c r="D41" s="1806">
        <v>44377</v>
      </c>
      <c r="E41" s="1191"/>
      <c r="F41" s="1194">
        <f t="shared" si="0"/>
        <v>121.58082191780822</v>
      </c>
      <c r="G41" s="744" t="s">
        <v>13</v>
      </c>
    </row>
    <row r="42" spans="2:7" ht="14.85" customHeight="1">
      <c r="B42" s="208" t="s">
        <v>1411</v>
      </c>
      <c r="C42" s="1809"/>
      <c r="D42" s="1806">
        <v>43738</v>
      </c>
      <c r="E42" s="1191"/>
      <c r="F42" s="1194"/>
      <c r="G42" s="744" t="s">
        <v>13</v>
      </c>
    </row>
    <row r="43" spans="2:7" ht="14.85" customHeight="1">
      <c r="B43" s="208" t="s">
        <v>499</v>
      </c>
      <c r="C43" s="1809"/>
      <c r="D43" s="1806">
        <v>43008</v>
      </c>
      <c r="E43" s="1191"/>
      <c r="F43" s="1194"/>
      <c r="G43" s="744" t="s">
        <v>13</v>
      </c>
    </row>
    <row r="44" spans="2:7" ht="14.85" customHeight="1">
      <c r="B44" s="208" t="s">
        <v>499</v>
      </c>
      <c r="C44" s="1809"/>
      <c r="D44" s="1806">
        <v>43738</v>
      </c>
      <c r="E44" s="1191"/>
      <c r="F44" s="1194"/>
      <c r="G44" s="744" t="s">
        <v>13</v>
      </c>
    </row>
    <row r="45" spans="2:7" ht="14.85" customHeight="1">
      <c r="B45" s="208" t="s">
        <v>499</v>
      </c>
      <c r="C45" s="1809"/>
      <c r="D45" s="1806">
        <v>44377</v>
      </c>
      <c r="E45" s="1191"/>
      <c r="F45" s="1194"/>
      <c r="G45" s="744" t="s">
        <v>13</v>
      </c>
    </row>
    <row r="46" spans="2:7" ht="14.85" customHeight="1">
      <c r="B46" s="208" t="s">
        <v>499</v>
      </c>
      <c r="C46" s="1809"/>
      <c r="D46" s="1806">
        <v>45291</v>
      </c>
      <c r="E46" s="1191"/>
      <c r="F46" s="1194">
        <f t="shared" si="0"/>
        <v>124.08493150684932</v>
      </c>
      <c r="G46" s="744" t="s">
        <v>13</v>
      </c>
    </row>
    <row r="47" spans="2:7" ht="14.85" customHeight="1">
      <c r="B47" s="208"/>
      <c r="D47" s="456"/>
      <c r="E47" s="456"/>
      <c r="F47" s="1194"/>
    </row>
    <row r="48" spans="2:7" ht="14.85" customHeight="1">
      <c r="B48" s="211" t="s">
        <v>534</v>
      </c>
      <c r="D48" s="456"/>
      <c r="E48" s="456"/>
      <c r="F48" s="1194"/>
    </row>
    <row r="49" spans="2:7" ht="14.85" customHeight="1">
      <c r="B49" s="208" t="s">
        <v>498</v>
      </c>
      <c r="C49" s="1809"/>
      <c r="D49" s="1414">
        <v>375000</v>
      </c>
      <c r="E49" s="1200"/>
      <c r="F49" s="1194">
        <f t="shared" ref="F49:F59" si="1">IF(ISERROR(C49-D49)=TRUE,"NA",C49-D49)</f>
        <v>-375000</v>
      </c>
      <c r="G49" s="744" t="s">
        <v>13</v>
      </c>
    </row>
    <row r="50" spans="2:7" ht="14.85" customHeight="1">
      <c r="B50" s="208" t="s">
        <v>2522</v>
      </c>
      <c r="C50" s="1809"/>
      <c r="D50" s="1414">
        <v>200000</v>
      </c>
      <c r="E50" s="1200"/>
      <c r="F50" s="1194">
        <f t="shared" si="1"/>
        <v>-200000</v>
      </c>
      <c r="G50" s="744" t="s">
        <v>13</v>
      </c>
    </row>
    <row r="51" spans="2:7" ht="14.85" customHeight="1">
      <c r="B51" s="208" t="s">
        <v>2523</v>
      </c>
      <c r="C51" s="1809"/>
      <c r="D51" s="1414">
        <v>500000</v>
      </c>
      <c r="E51" s="1200"/>
      <c r="F51" s="1194">
        <f t="shared" si="1"/>
        <v>-500000</v>
      </c>
      <c r="G51" s="744" t="s">
        <v>13</v>
      </c>
    </row>
    <row r="52" spans="2:7" ht="14.85" customHeight="1">
      <c r="B52" s="208" t="s">
        <v>2524</v>
      </c>
      <c r="C52" s="1809"/>
      <c r="D52" s="1414">
        <v>350000</v>
      </c>
      <c r="E52" s="1200"/>
      <c r="F52" s="1194">
        <f t="shared" si="1"/>
        <v>-350000</v>
      </c>
      <c r="G52" s="744" t="s">
        <v>13</v>
      </c>
    </row>
    <row r="53" spans="2:7" ht="14.85" customHeight="1">
      <c r="B53" s="208" t="s">
        <v>2525</v>
      </c>
      <c r="C53" s="1809"/>
      <c r="D53" s="1414">
        <v>275000</v>
      </c>
      <c r="E53" s="1200"/>
      <c r="F53" s="1194">
        <f t="shared" si="1"/>
        <v>-275000</v>
      </c>
      <c r="G53" s="744" t="s">
        <v>13</v>
      </c>
    </row>
    <row r="54" spans="2:7" ht="14.85" customHeight="1">
      <c r="B54" s="208" t="s">
        <v>2526</v>
      </c>
      <c r="C54" s="1809"/>
      <c r="D54" s="1414">
        <v>200000</v>
      </c>
      <c r="E54" s="1200"/>
      <c r="F54" s="1194"/>
      <c r="G54" s="744" t="s">
        <v>13</v>
      </c>
    </row>
    <row r="55" spans="2:7" ht="14.85" customHeight="1">
      <c r="B55" s="208" t="s">
        <v>1411</v>
      </c>
      <c r="C55" s="1809"/>
      <c r="D55" s="1414">
        <v>125000</v>
      </c>
      <c r="E55" s="1200"/>
      <c r="F55" s="1194"/>
      <c r="G55" s="744" t="s">
        <v>13</v>
      </c>
    </row>
    <row r="56" spans="2:7" ht="14.85" customHeight="1">
      <c r="B56" s="208" t="s">
        <v>499</v>
      </c>
      <c r="C56" s="1809"/>
      <c r="D56" s="1414">
        <v>140</v>
      </c>
      <c r="E56" s="1200"/>
      <c r="F56" s="1194"/>
      <c r="G56" s="744" t="s">
        <v>13</v>
      </c>
    </row>
    <row r="57" spans="2:7" ht="14.85" customHeight="1">
      <c r="B57" s="208" t="s">
        <v>499</v>
      </c>
      <c r="C57" s="1809"/>
      <c r="D57" s="1414">
        <v>3140</v>
      </c>
      <c r="E57" s="1200"/>
      <c r="F57" s="1194"/>
      <c r="G57" s="744" t="s">
        <v>13</v>
      </c>
    </row>
    <row r="58" spans="2:7" ht="14.85" customHeight="1">
      <c r="B58" s="208" t="s">
        <v>499</v>
      </c>
      <c r="C58" s="1809"/>
      <c r="D58" s="1414">
        <v>10140</v>
      </c>
      <c r="E58" s="1200"/>
      <c r="F58" s="1194">
        <f t="shared" si="1"/>
        <v>-10140</v>
      </c>
      <c r="G58" s="744" t="s">
        <v>13</v>
      </c>
    </row>
    <row r="59" spans="2:7" ht="14.85" customHeight="1">
      <c r="B59" s="208" t="s">
        <v>499</v>
      </c>
      <c r="C59" s="1809"/>
      <c r="D59" s="1414">
        <v>22140</v>
      </c>
      <c r="E59" s="1200"/>
      <c r="F59" s="1194">
        <f t="shared" si="1"/>
        <v>-22140</v>
      </c>
      <c r="G59" s="744" t="s">
        <v>13</v>
      </c>
    </row>
    <row r="60" spans="2:7" ht="14.85" customHeight="1">
      <c r="B60" s="208"/>
      <c r="D60" s="1808"/>
      <c r="E60" s="456"/>
      <c r="F60" s="1194"/>
    </row>
    <row r="61" spans="2:7" ht="14.85" customHeight="1">
      <c r="B61" s="211" t="s">
        <v>535</v>
      </c>
      <c r="C61" s="674"/>
      <c r="D61" s="594"/>
      <c r="E61" s="1197"/>
      <c r="F61" s="1194"/>
      <c r="G61" s="674"/>
    </row>
    <row r="62" spans="2:7" ht="14.85" customHeight="1">
      <c r="B62" s="208" t="s">
        <v>498</v>
      </c>
      <c r="C62" s="1819"/>
      <c r="D62" s="594">
        <v>1.5561E-2</v>
      </c>
      <c r="E62" s="1197"/>
      <c r="F62" s="1194">
        <f t="shared" ref="F62:F72" si="2">IF(ISERROR(C62-D62)=TRUE,"NA",C62-D62)</f>
        <v>-1.5561E-2</v>
      </c>
      <c r="G62" s="744" t="s">
        <v>13</v>
      </c>
    </row>
    <row r="63" spans="2:7" ht="14.85" customHeight="1">
      <c r="B63" s="208" t="s">
        <v>2522</v>
      </c>
      <c r="C63" s="1819"/>
      <c r="D63" s="594">
        <v>6.4837499999999999E-3</v>
      </c>
      <c r="E63" s="1197"/>
      <c r="F63" s="1194">
        <f t="shared" si="2"/>
        <v>-6.4837499999999999E-3</v>
      </c>
      <c r="G63" s="744" t="s">
        <v>13</v>
      </c>
    </row>
    <row r="64" spans="2:7" ht="14.85" customHeight="1">
      <c r="B64" s="208" t="s">
        <v>2523</v>
      </c>
      <c r="C64" s="1819"/>
      <c r="D64" s="594">
        <v>3.1122E-2</v>
      </c>
      <c r="E64" s="1197"/>
      <c r="F64" s="1194">
        <f t="shared" si="2"/>
        <v>-3.1122E-2</v>
      </c>
      <c r="G64" s="744" t="s">
        <v>13</v>
      </c>
    </row>
    <row r="65" spans="2:7" ht="14.85" customHeight="1">
      <c r="B65" s="208" t="s">
        <v>2524</v>
      </c>
      <c r="C65" s="1819"/>
      <c r="D65" s="594">
        <v>3.1122E-2</v>
      </c>
      <c r="E65" s="1197"/>
      <c r="F65" s="1194">
        <f t="shared" si="2"/>
        <v>-3.1122E-2</v>
      </c>
      <c r="G65" s="744" t="s">
        <v>13</v>
      </c>
    </row>
    <row r="66" spans="2:7" ht="14.85" customHeight="1">
      <c r="B66" s="208" t="s">
        <v>2525</v>
      </c>
      <c r="C66" s="1819"/>
      <c r="D66" s="594">
        <v>2.9176874999999998E-2</v>
      </c>
      <c r="E66" s="1197"/>
      <c r="F66" s="1194">
        <f t="shared" si="2"/>
        <v>-2.9176874999999998E-2</v>
      </c>
      <c r="G66" s="744" t="s">
        <v>13</v>
      </c>
    </row>
    <row r="67" spans="2:7" ht="14.85" customHeight="1">
      <c r="B67" s="208" t="s">
        <v>2526</v>
      </c>
      <c r="C67" s="1819"/>
      <c r="D67" s="594">
        <v>2.9176874999999998E-2</v>
      </c>
      <c r="E67" s="1197"/>
      <c r="F67" s="1194"/>
      <c r="G67" s="744" t="s">
        <v>13</v>
      </c>
    </row>
    <row r="68" spans="2:7" ht="14.85" customHeight="1">
      <c r="B68" s="208" t="s">
        <v>1411</v>
      </c>
      <c r="C68" s="1819"/>
      <c r="D68" s="594">
        <v>2.2749999999999999E-2</v>
      </c>
      <c r="E68" s="1197"/>
      <c r="F68" s="1194"/>
      <c r="G68" s="744" t="s">
        <v>13</v>
      </c>
    </row>
    <row r="69" spans="2:7" ht="14.85" customHeight="1">
      <c r="B69" s="208" t="s">
        <v>499</v>
      </c>
      <c r="C69" s="1819"/>
      <c r="D69" s="594">
        <v>0.30000000000000004</v>
      </c>
      <c r="E69" s="1197"/>
      <c r="F69" s="1194"/>
      <c r="G69" s="744" t="s">
        <v>13</v>
      </c>
    </row>
    <row r="70" spans="2:7" ht="14.85" customHeight="1">
      <c r="B70" s="208" t="s">
        <v>499</v>
      </c>
      <c r="C70" s="1819"/>
      <c r="D70" s="594">
        <v>0.24499999999999997</v>
      </c>
      <c r="E70" s="1197"/>
      <c r="F70" s="1194"/>
      <c r="G70" s="744" t="s">
        <v>13</v>
      </c>
    </row>
    <row r="71" spans="2:7" ht="14.85" customHeight="1">
      <c r="B71" s="208" t="s">
        <v>499</v>
      </c>
      <c r="C71" s="1819"/>
      <c r="D71" s="594">
        <v>0.1729</v>
      </c>
      <c r="E71" s="1197"/>
      <c r="F71" s="1194">
        <f t="shared" si="2"/>
        <v>-0.1729</v>
      </c>
      <c r="G71" s="744" t="s">
        <v>13</v>
      </c>
    </row>
    <row r="72" spans="2:7" ht="14.85" customHeight="1">
      <c r="B72" s="208" t="s">
        <v>499</v>
      </c>
      <c r="C72" s="1819"/>
      <c r="D72" s="594">
        <v>0.11670749999999998</v>
      </c>
      <c r="E72" s="1197"/>
      <c r="F72" s="1194">
        <f t="shared" si="2"/>
        <v>-0.11670749999999998</v>
      </c>
      <c r="G72" s="744" t="s">
        <v>13</v>
      </c>
    </row>
    <row r="73" spans="2:7" ht="14.85" customHeight="1">
      <c r="B73" s="208"/>
      <c r="D73" s="456"/>
      <c r="E73" s="456"/>
      <c r="F73" s="1194"/>
    </row>
    <row r="74" spans="2:7" ht="14.85" customHeight="1">
      <c r="B74" s="211" t="s">
        <v>1381</v>
      </c>
      <c r="D74" s="456"/>
      <c r="E74" s="456"/>
      <c r="F74" s="1194"/>
    </row>
    <row r="75" spans="2:7" ht="14.85" customHeight="1">
      <c r="B75" s="211" t="s">
        <v>536</v>
      </c>
      <c r="D75" s="456"/>
      <c r="E75" s="456"/>
      <c r="F75" s="1194" t="s">
        <v>500</v>
      </c>
    </row>
    <row r="76" spans="2:7" ht="14.85" customHeight="1">
      <c r="B76" s="211" t="s">
        <v>537</v>
      </c>
      <c r="D76" s="456"/>
      <c r="E76" s="456"/>
      <c r="F76" s="1194"/>
    </row>
    <row r="77" spans="2:7" ht="14.85" hidden="1" customHeight="1" outlineLevel="1">
      <c r="B77" s="208" t="s">
        <v>538</v>
      </c>
      <c r="C77" s="1820"/>
      <c r="D77" s="1821"/>
      <c r="E77" s="456"/>
      <c r="F77" s="1194">
        <f t="shared" ref="F77:F83" si="3">IF(ISERROR(C77-D77)=TRUE,"NA",C77-D77)</f>
        <v>0</v>
      </c>
      <c r="G77" s="458" t="str">
        <f t="shared" ref="G77:G83" si="4">IFERROR(C77/D77-1,"n/a")</f>
        <v>n/a</v>
      </c>
    </row>
    <row r="78" spans="2:7" ht="14.85" hidden="1" customHeight="1" outlineLevel="1">
      <c r="B78" s="208" t="s">
        <v>539</v>
      </c>
      <c r="C78" s="1820"/>
      <c r="D78" s="1821"/>
      <c r="E78" s="456"/>
      <c r="F78" s="1194">
        <f t="shared" si="3"/>
        <v>0</v>
      </c>
      <c r="G78" s="458" t="str">
        <f t="shared" si="4"/>
        <v>n/a</v>
      </c>
    </row>
    <row r="79" spans="2:7" ht="14.85" hidden="1" customHeight="1" outlineLevel="1">
      <c r="B79" s="208" t="s">
        <v>540</v>
      </c>
      <c r="C79" s="1820"/>
      <c r="D79" s="1821"/>
      <c r="E79" s="456"/>
      <c r="F79" s="1194">
        <f t="shared" si="3"/>
        <v>0</v>
      </c>
      <c r="G79" s="458" t="str">
        <f t="shared" si="4"/>
        <v>n/a</v>
      </c>
    </row>
    <row r="80" spans="2:7" ht="14.85" hidden="1" customHeight="1" outlineLevel="1">
      <c r="B80" s="208" t="s">
        <v>541</v>
      </c>
      <c r="C80" s="1820"/>
      <c r="D80" s="1821"/>
      <c r="E80" s="456"/>
      <c r="F80" s="1194">
        <f t="shared" si="3"/>
        <v>0</v>
      </c>
      <c r="G80" s="458" t="str">
        <f t="shared" si="4"/>
        <v>n/a</v>
      </c>
    </row>
    <row r="81" spans="2:7" ht="14.85" hidden="1" customHeight="1" outlineLevel="1">
      <c r="B81" s="208" t="s">
        <v>542</v>
      </c>
      <c r="C81" s="1820"/>
      <c r="D81" s="1821"/>
      <c r="E81" s="456"/>
      <c r="F81" s="1194">
        <f t="shared" si="3"/>
        <v>0</v>
      </c>
      <c r="G81" s="458" t="str">
        <f t="shared" si="4"/>
        <v>n/a</v>
      </c>
    </row>
    <row r="82" spans="2:7" ht="14.85" customHeight="1" collapsed="1">
      <c r="B82" s="208" t="s">
        <v>543</v>
      </c>
      <c r="C82" s="368">
        <f>'Val Summ_OPM'!D9</f>
        <v>13239.134682063337</v>
      </c>
      <c r="D82" s="1414">
        <v>3958.5516284679275</v>
      </c>
      <c r="E82" s="456"/>
      <c r="F82" s="1194">
        <f t="shared" si="3"/>
        <v>9280.5830535954101</v>
      </c>
      <c r="G82" s="458">
        <f t="shared" si="4"/>
        <v>2.3444390586835064</v>
      </c>
    </row>
    <row r="83" spans="2:7" ht="14.85" customHeight="1">
      <c r="B83" s="208" t="s">
        <v>544</v>
      </c>
      <c r="C83" s="1820"/>
      <c r="D83" s="1414">
        <v>2380</v>
      </c>
      <c r="E83" s="456"/>
      <c r="F83" s="1194">
        <f t="shared" si="3"/>
        <v>-2380</v>
      </c>
      <c r="G83" s="458">
        <f t="shared" si="4"/>
        <v>-1</v>
      </c>
    </row>
    <row r="84" spans="2:7" ht="14.85" customHeight="1">
      <c r="B84" s="208" t="s">
        <v>2527</v>
      </c>
      <c r="C84" s="368">
        <f>'Val Summ'!D9</f>
        <v>6282</v>
      </c>
      <c r="D84" s="1820"/>
      <c r="E84" s="456"/>
      <c r="F84" s="1194"/>
      <c r="G84" s="458"/>
    </row>
    <row r="85" spans="2:7" ht="14.85" customHeight="1">
      <c r="B85" s="208"/>
      <c r="D85" s="456"/>
      <c r="E85" s="456"/>
      <c r="F85" s="1194"/>
    </row>
    <row r="86" spans="2:7" ht="14.85" customHeight="1">
      <c r="B86" s="211" t="s">
        <v>545</v>
      </c>
      <c r="D86" s="456"/>
      <c r="E86" s="456"/>
      <c r="F86" s="1194"/>
    </row>
    <row r="87" spans="2:7" ht="14.85" hidden="1" customHeight="1" outlineLevel="1">
      <c r="B87" s="208" t="s">
        <v>538</v>
      </c>
      <c r="C87" s="1822"/>
      <c r="D87" s="1823"/>
      <c r="E87" s="1200"/>
      <c r="F87" s="1194">
        <f t="shared" ref="F87:F93" si="5">IF(ISERROR(C87-D87)=TRUE,"NA",C87-D87)</f>
        <v>0</v>
      </c>
      <c r="G87" s="458" t="str">
        <f t="shared" ref="G87:G93" si="6">IFERROR(C87/D87-1,"n/a")</f>
        <v>n/a</v>
      </c>
    </row>
    <row r="88" spans="2:7" ht="14.85" hidden="1" customHeight="1" outlineLevel="1">
      <c r="B88" s="208" t="s">
        <v>539</v>
      </c>
      <c r="C88" s="1822"/>
      <c r="D88" s="1823"/>
      <c r="E88" s="1200"/>
      <c r="F88" s="1194">
        <f t="shared" si="5"/>
        <v>0</v>
      </c>
      <c r="G88" s="458" t="str">
        <f t="shared" si="6"/>
        <v>n/a</v>
      </c>
    </row>
    <row r="89" spans="2:7" ht="14.85" hidden="1" customHeight="1" outlineLevel="1">
      <c r="B89" s="208" t="s">
        <v>540</v>
      </c>
      <c r="C89" s="1822"/>
      <c r="D89" s="1823"/>
      <c r="E89" s="1200"/>
      <c r="F89" s="1194">
        <f t="shared" si="5"/>
        <v>0</v>
      </c>
      <c r="G89" s="458" t="str">
        <f t="shared" si="6"/>
        <v>n/a</v>
      </c>
    </row>
    <row r="90" spans="2:7" ht="14.85" hidden="1" customHeight="1" outlineLevel="1">
      <c r="B90" s="208" t="s">
        <v>541</v>
      </c>
      <c r="C90" s="1822"/>
      <c r="D90" s="1823"/>
      <c r="E90" s="1200"/>
      <c r="F90" s="1194">
        <f t="shared" si="5"/>
        <v>0</v>
      </c>
      <c r="G90" s="458" t="str">
        <f t="shared" si="6"/>
        <v>n/a</v>
      </c>
    </row>
    <row r="91" spans="2:7" ht="14.85" hidden="1" customHeight="1" outlineLevel="1">
      <c r="B91" s="208" t="s">
        <v>542</v>
      </c>
      <c r="C91" s="1822"/>
      <c r="D91" s="1823"/>
      <c r="E91" s="1200"/>
      <c r="F91" s="1194">
        <f t="shared" si="5"/>
        <v>0</v>
      </c>
      <c r="G91" s="458" t="str">
        <f t="shared" si="6"/>
        <v>n/a</v>
      </c>
    </row>
    <row r="92" spans="2:7" ht="14.85" hidden="1" customHeight="1" outlineLevel="1">
      <c r="B92" s="208" t="s">
        <v>543</v>
      </c>
      <c r="C92" s="1822"/>
      <c r="D92" s="1823"/>
      <c r="E92" s="1200"/>
      <c r="F92" s="1194">
        <f t="shared" si="5"/>
        <v>0</v>
      </c>
      <c r="G92" s="458" t="str">
        <f t="shared" si="6"/>
        <v>n/a</v>
      </c>
    </row>
    <row r="93" spans="2:7" ht="14.85" hidden="1" customHeight="1" outlineLevel="1">
      <c r="B93" s="208" t="s">
        <v>544</v>
      </c>
      <c r="C93" s="1822"/>
      <c r="D93" s="1823"/>
      <c r="E93" s="1200"/>
      <c r="F93" s="1194">
        <f t="shared" si="5"/>
        <v>0</v>
      </c>
      <c r="G93" s="458" t="str">
        <f t="shared" si="6"/>
        <v>n/a</v>
      </c>
    </row>
    <row r="94" spans="2:7" ht="14.85" customHeight="1" collapsed="1">
      <c r="B94" s="208" t="s">
        <v>2441</v>
      </c>
      <c r="C94" s="1824">
        <f>CVM!D9</f>
        <v>1.2</v>
      </c>
      <c r="D94" s="1823"/>
      <c r="E94" s="1200"/>
      <c r="F94" s="1194"/>
      <c r="G94" s="458"/>
    </row>
    <row r="95" spans="2:7" ht="14.85" customHeight="1">
      <c r="B95" s="208"/>
      <c r="D95" s="456"/>
      <c r="E95" s="456"/>
      <c r="F95" s="1194"/>
    </row>
    <row r="96" spans="2:7" ht="14.85" customHeight="1">
      <c r="B96" s="211" t="s">
        <v>546</v>
      </c>
      <c r="D96" s="456"/>
      <c r="E96" s="456"/>
      <c r="F96" s="1194"/>
    </row>
    <row r="97" spans="2:7" ht="14.85" hidden="1" customHeight="1" outlineLevel="1">
      <c r="B97" s="208" t="s">
        <v>538</v>
      </c>
      <c r="C97" s="1819"/>
      <c r="D97" s="1825"/>
      <c r="E97" s="1197"/>
      <c r="F97" s="1194">
        <f t="shared" ref="F97:F103" si="7">IF(ISERROR(C97-D97)=TRUE,"NA",C97-D97)</f>
        <v>0</v>
      </c>
      <c r="G97" s="458">
        <f t="shared" ref="G97:G103" si="8">IFERROR(C97-D97,"n/a")</f>
        <v>0</v>
      </c>
    </row>
    <row r="98" spans="2:7" ht="14.85" hidden="1" customHeight="1" outlineLevel="1">
      <c r="B98" s="208" t="s">
        <v>539</v>
      </c>
      <c r="C98" s="1819"/>
      <c r="D98" s="1825"/>
      <c r="E98" s="1197"/>
      <c r="F98" s="1194">
        <f t="shared" si="7"/>
        <v>0</v>
      </c>
      <c r="G98" s="458">
        <f t="shared" si="8"/>
        <v>0</v>
      </c>
    </row>
    <row r="99" spans="2:7" ht="14.85" hidden="1" customHeight="1" outlineLevel="1">
      <c r="B99" s="208" t="s">
        <v>540</v>
      </c>
      <c r="C99" s="1819"/>
      <c r="D99" s="1825"/>
      <c r="E99" s="1197"/>
      <c r="F99" s="1194">
        <f t="shared" si="7"/>
        <v>0</v>
      </c>
      <c r="G99" s="458">
        <f t="shared" si="8"/>
        <v>0</v>
      </c>
    </row>
    <row r="100" spans="2:7" ht="14.85" hidden="1" customHeight="1" outlineLevel="1">
      <c r="B100" s="208" t="s">
        <v>541</v>
      </c>
      <c r="C100" s="1819"/>
      <c r="D100" s="1825"/>
      <c r="E100" s="1197"/>
      <c r="F100" s="1194">
        <f t="shared" si="7"/>
        <v>0</v>
      </c>
      <c r="G100" s="458">
        <f t="shared" si="8"/>
        <v>0</v>
      </c>
    </row>
    <row r="101" spans="2:7" ht="14.85" hidden="1" customHeight="1" outlineLevel="1">
      <c r="B101" s="208" t="s">
        <v>542</v>
      </c>
      <c r="C101" s="1819"/>
      <c r="D101" s="1825"/>
      <c r="E101" s="1197"/>
      <c r="F101" s="1194">
        <f t="shared" si="7"/>
        <v>0</v>
      </c>
      <c r="G101" s="458">
        <f t="shared" si="8"/>
        <v>0</v>
      </c>
    </row>
    <row r="102" spans="2:7" ht="14.85" customHeight="1" collapsed="1">
      <c r="B102" s="208" t="s">
        <v>543</v>
      </c>
      <c r="C102" s="594">
        <v>0</v>
      </c>
      <c r="D102" s="594">
        <v>0</v>
      </c>
      <c r="E102" s="1197"/>
      <c r="F102" s="1194">
        <f t="shared" si="7"/>
        <v>0</v>
      </c>
      <c r="G102" s="458">
        <f t="shared" si="8"/>
        <v>0</v>
      </c>
    </row>
    <row r="103" spans="2:7" ht="14.85" customHeight="1">
      <c r="B103" s="208" t="s">
        <v>544</v>
      </c>
      <c r="C103" s="1819"/>
      <c r="D103" s="594">
        <v>1</v>
      </c>
      <c r="E103" s="1197"/>
      <c r="F103" s="1194">
        <f t="shared" si="7"/>
        <v>-1</v>
      </c>
      <c r="G103" s="458">
        <f t="shared" si="8"/>
        <v>-1</v>
      </c>
    </row>
    <row r="104" spans="2:7" ht="14.85" customHeight="1">
      <c r="B104" s="208" t="s">
        <v>2441</v>
      </c>
      <c r="C104" s="594">
        <v>1</v>
      </c>
      <c r="D104" s="594">
        <v>0</v>
      </c>
      <c r="E104" s="456"/>
      <c r="F104" s="1194"/>
    </row>
    <row r="105" spans="2:7" ht="14.85" hidden="1" customHeight="1" outlineLevel="1">
      <c r="B105" s="211" t="s">
        <v>1382</v>
      </c>
      <c r="C105" s="575"/>
      <c r="D105" s="456"/>
      <c r="E105" s="456"/>
      <c r="F105" s="1194"/>
    </row>
    <row r="106" spans="2:7" ht="14.85" hidden="1" customHeight="1" outlineLevel="1">
      <c r="B106" s="208" t="s">
        <v>1383</v>
      </c>
      <c r="C106" s="1831"/>
      <c r="D106" s="575" t="s">
        <v>799</v>
      </c>
      <c r="E106" s="456"/>
      <c r="F106" s="1194"/>
      <c r="G106" s="458" t="s">
        <v>13</v>
      </c>
    </row>
    <row r="107" spans="2:7" ht="14.85" hidden="1" customHeight="1" outlineLevel="1">
      <c r="B107" s="208" t="s">
        <v>1384</v>
      </c>
      <c r="C107" s="1819"/>
      <c r="D107" s="1197">
        <v>0.4</v>
      </c>
      <c r="E107" s="1197"/>
      <c r="F107" s="1194">
        <f t="shared" ref="F107:F112" si="9">IF(ISERROR(C107-D107)=TRUE,"NA",C107-D107)</f>
        <v>-0.4</v>
      </c>
      <c r="G107" s="458" t="s">
        <v>13</v>
      </c>
    </row>
    <row r="108" spans="2:7" ht="14.85" hidden="1" customHeight="1" outlineLevel="1">
      <c r="B108" s="208" t="s">
        <v>1385</v>
      </c>
      <c r="C108" s="1816"/>
      <c r="D108" s="1197"/>
      <c r="E108" s="1197"/>
      <c r="F108" s="1194">
        <f t="shared" si="9"/>
        <v>0</v>
      </c>
      <c r="G108" s="458" t="s">
        <v>13</v>
      </c>
    </row>
    <row r="109" spans="2:7" ht="14.85" hidden="1" customHeight="1" outlineLevel="1">
      <c r="B109" s="208" t="s">
        <v>248</v>
      </c>
      <c r="C109" s="506"/>
      <c r="D109" s="508"/>
      <c r="E109" s="508"/>
      <c r="F109" s="1194">
        <f t="shared" si="9"/>
        <v>0</v>
      </c>
      <c r="G109" s="458" t="s">
        <v>13</v>
      </c>
    </row>
    <row r="110" spans="2:7" ht="14.85" hidden="1" customHeight="1" outlineLevel="1">
      <c r="B110" s="208" t="s">
        <v>1386</v>
      </c>
      <c r="C110" s="1816"/>
      <c r="D110" s="1197"/>
      <c r="E110" s="1197"/>
      <c r="F110" s="1194">
        <f t="shared" si="9"/>
        <v>0</v>
      </c>
      <c r="G110" s="458" t="s">
        <v>13</v>
      </c>
    </row>
    <row r="111" spans="2:7" ht="14.85" hidden="1" customHeight="1" outlineLevel="1">
      <c r="B111" s="208" t="s">
        <v>1387</v>
      </c>
      <c r="C111" s="1816"/>
      <c r="D111" s="1197"/>
      <c r="E111" s="1197"/>
      <c r="F111" s="1194">
        <f t="shared" si="9"/>
        <v>0</v>
      </c>
      <c r="G111" s="458" t="s">
        <v>13</v>
      </c>
    </row>
    <row r="112" spans="2:7" ht="14.85" hidden="1" customHeight="1" outlineLevel="1">
      <c r="B112" s="208" t="s">
        <v>1388</v>
      </c>
      <c r="C112" s="1816"/>
      <c r="D112" s="1197"/>
      <c r="E112" s="1197"/>
      <c r="F112" s="1194">
        <f t="shared" si="9"/>
        <v>0</v>
      </c>
      <c r="G112" s="458" t="s">
        <v>13</v>
      </c>
    </row>
    <row r="113" spans="2:7" ht="14.85" customHeight="1" collapsed="1">
      <c r="B113" s="208"/>
      <c r="C113" s="575"/>
      <c r="D113" s="456"/>
      <c r="E113" s="456"/>
      <c r="F113" s="1194"/>
    </row>
    <row r="114" spans="2:7" ht="14.85" customHeight="1">
      <c r="B114" s="211" t="s">
        <v>326</v>
      </c>
      <c r="C114" s="575"/>
      <c r="D114" s="456"/>
      <c r="E114" s="456"/>
      <c r="F114" s="1194"/>
    </row>
    <row r="115" spans="2:7" ht="14.85" customHeight="1">
      <c r="B115" s="208" t="s">
        <v>529</v>
      </c>
      <c r="C115" s="1829" t="s">
        <v>44</v>
      </c>
      <c r="D115" s="1829" t="s">
        <v>44</v>
      </c>
      <c r="E115" s="1201"/>
      <c r="F115" s="1194"/>
      <c r="G115" s="458" t="str">
        <f>IFERROR(C115/D115-1,"n/a")</f>
        <v>n/a</v>
      </c>
    </row>
    <row r="116" spans="2:7" ht="14.85" customHeight="1">
      <c r="B116" s="208" t="s">
        <v>391</v>
      </c>
      <c r="C116" s="1816">
        <f>'DLOM - CVM'!H67</f>
        <v>0.4</v>
      </c>
      <c r="D116" s="594">
        <v>0.4</v>
      </c>
      <c r="E116" s="1197"/>
      <c r="F116" s="1194">
        <f>IF(ISERROR(C116-D116)=TRUE,"NA",C116-D116)</f>
        <v>0</v>
      </c>
      <c r="G116" s="458">
        <f>IFERROR(C116-D116,"n/a")</f>
        <v>0</v>
      </c>
    </row>
    <row r="117" spans="2:7" ht="14.85" customHeight="1">
      <c r="B117" s="208"/>
      <c r="C117" s="1830"/>
      <c r="D117" s="1197"/>
      <c r="E117" s="1197"/>
      <c r="F117" s="1194"/>
      <c r="G117" s="674"/>
    </row>
    <row r="118" spans="2:7" ht="14.85" customHeight="1">
      <c r="B118" s="211" t="s">
        <v>384</v>
      </c>
      <c r="C118" s="1830"/>
      <c r="D118" s="1197"/>
      <c r="E118" s="1197"/>
      <c r="F118" s="1194"/>
      <c r="G118" s="674"/>
    </row>
    <row r="119" spans="2:7" ht="14.85" customHeight="1">
      <c r="B119" s="208" t="s">
        <v>1389</v>
      </c>
      <c r="C119" s="1819"/>
      <c r="D119" s="594">
        <v>0.125</v>
      </c>
      <c r="E119" s="1197"/>
      <c r="F119" s="1194"/>
      <c r="G119" s="458">
        <f>IFERROR(C119-D119,"n/a")</f>
        <v>-0.125</v>
      </c>
    </row>
    <row r="120" spans="2:7" ht="14.85" customHeight="1">
      <c r="B120" s="208" t="s">
        <v>1390</v>
      </c>
      <c r="C120" s="1819"/>
      <c r="D120" s="594">
        <v>0.22500000000000001</v>
      </c>
      <c r="E120" s="1197"/>
      <c r="F120" s="1194"/>
      <c r="G120" s="458">
        <f>IFERROR(C120-D120,"n/a")</f>
        <v>-0.22500000000000001</v>
      </c>
    </row>
    <row r="121" spans="2:7" ht="14.85" customHeight="1">
      <c r="B121" s="208" t="s">
        <v>1391</v>
      </c>
      <c r="C121" s="1819"/>
      <c r="D121" s="594">
        <v>0.65</v>
      </c>
      <c r="E121" s="1197"/>
      <c r="F121" s="1194"/>
      <c r="G121" s="458">
        <f>IFERROR(C121-D121,"n/a")</f>
        <v>-0.65</v>
      </c>
    </row>
    <row r="122" spans="2:7" ht="14.85" customHeight="1">
      <c r="B122" s="208" t="s">
        <v>1392</v>
      </c>
      <c r="C122" s="1819"/>
      <c r="D122" s="594">
        <v>0.4</v>
      </c>
      <c r="E122" s="1197"/>
      <c r="F122" s="1194"/>
      <c r="G122" s="458">
        <f>IFERROR(C122-D122,"n/a")</f>
        <v>-0.4</v>
      </c>
    </row>
    <row r="123" spans="2:7" ht="14.85" hidden="1" customHeight="1" outlineLevel="1">
      <c r="B123" s="208"/>
      <c r="C123" s="674"/>
      <c r="D123" s="1197"/>
      <c r="E123" s="1197"/>
      <c r="F123" s="1194"/>
      <c r="G123" s="674"/>
    </row>
    <row r="124" spans="2:7" ht="14.85" hidden="1" customHeight="1" outlineLevel="1">
      <c r="B124" s="1198" t="s">
        <v>547</v>
      </c>
      <c r="D124" s="456"/>
      <c r="E124" s="456"/>
      <c r="F124" s="1194"/>
    </row>
    <row r="125" spans="2:7" ht="14.85" hidden="1" customHeight="1" outlineLevel="1">
      <c r="B125" s="211" t="s">
        <v>1393</v>
      </c>
      <c r="D125" s="456"/>
      <c r="E125" s="456"/>
      <c r="F125" s="1194"/>
    </row>
    <row r="126" spans="2:7" ht="14.85" hidden="1" customHeight="1" outlineLevel="1">
      <c r="B126" s="208" t="s">
        <v>158</v>
      </c>
      <c r="C126" s="1540"/>
      <c r="D126" s="1549"/>
      <c r="E126" s="1200"/>
      <c r="F126" s="1194">
        <f>IF(ISERROR(C126-D126)=TRUE,"NA",C126-D126)</f>
        <v>0</v>
      </c>
      <c r="G126" s="458" t="str">
        <f>IFERROR(C126/D126-1,"n/a")</f>
        <v>n/a</v>
      </c>
    </row>
    <row r="127" spans="2:7" ht="14.85" hidden="1" customHeight="1" outlineLevel="1">
      <c r="B127" s="208" t="s">
        <v>160</v>
      </c>
      <c r="C127" s="1540"/>
      <c r="D127" s="1549"/>
      <c r="E127" s="1200"/>
      <c r="F127" s="1194">
        <f>IF(ISERROR(C127-D127)=TRUE,"NA",C127-D127)</f>
        <v>0</v>
      </c>
      <c r="G127" s="458" t="str">
        <f>IFERROR(C127/D127-1,"n/a")</f>
        <v>n/a</v>
      </c>
    </row>
    <row r="128" spans="2:7" ht="14.85" hidden="1" customHeight="1" outlineLevel="1">
      <c r="B128" s="208" t="s">
        <v>168</v>
      </c>
      <c r="C128" s="1540"/>
      <c r="D128" s="1549"/>
      <c r="E128" s="1200"/>
      <c r="F128" s="1194">
        <f>IF(ISERROR(C128-D128)=TRUE,"NA",C128-D128)</f>
        <v>0</v>
      </c>
      <c r="G128" s="458" t="str">
        <f>IFERROR(C128/D128-1,"n/a")</f>
        <v>n/a</v>
      </c>
    </row>
    <row r="129" spans="2:7" ht="14.85" hidden="1" customHeight="1" outlineLevel="1">
      <c r="B129" s="208" t="s">
        <v>167</v>
      </c>
      <c r="C129" s="1540"/>
      <c r="D129" s="1549"/>
      <c r="E129" s="1200"/>
      <c r="F129" s="1194">
        <f>IF(ISERROR(C129-D129)=TRUE,"NA",C129-D129)</f>
        <v>0</v>
      </c>
      <c r="G129" s="458" t="str">
        <f>IFERROR(C129/D129-1,"n/a")</f>
        <v>n/a</v>
      </c>
    </row>
    <row r="130" spans="2:7" ht="14.85" hidden="1" customHeight="1" outlineLevel="1">
      <c r="B130" s="208" t="s">
        <v>290</v>
      </c>
      <c r="C130" s="1540"/>
      <c r="D130" s="1549"/>
      <c r="E130" s="1200"/>
      <c r="F130" s="1194">
        <f>IF(ISERROR(C130-D130)=TRUE,"NA",C130-D130)</f>
        <v>0</v>
      </c>
      <c r="G130" s="458" t="str">
        <f>IFERROR(C130/D130-1,"n/a")</f>
        <v>n/a</v>
      </c>
    </row>
    <row r="131" spans="2:7" ht="14.85" hidden="1" customHeight="1" outlineLevel="1">
      <c r="B131" s="208"/>
      <c r="C131" s="1826"/>
      <c r="D131" s="1549"/>
      <c r="E131" s="1200"/>
      <c r="F131" s="1194"/>
      <c r="G131" s="674"/>
    </row>
    <row r="132" spans="2:7" ht="14.85" hidden="1" customHeight="1" outlineLevel="1">
      <c r="B132" s="211" t="s">
        <v>1394</v>
      </c>
      <c r="C132" s="1826"/>
      <c r="D132" s="1549"/>
      <c r="E132" s="1200"/>
      <c r="F132" s="1194"/>
      <c r="G132" s="740"/>
    </row>
    <row r="133" spans="2:7" ht="14.85" hidden="1" customHeight="1" outlineLevel="1">
      <c r="B133" s="208" t="s">
        <v>158</v>
      </c>
      <c r="C133" s="1540"/>
      <c r="D133" s="1549"/>
      <c r="E133" s="1200"/>
      <c r="F133" s="1194">
        <f>IF(ISERROR(C133-D133)=TRUE,"NA",C133-D133)</f>
        <v>0</v>
      </c>
      <c r="G133" s="458" t="str">
        <f>IFERROR(C133/D133-1,"n/a")</f>
        <v>n/a</v>
      </c>
    </row>
    <row r="134" spans="2:7" ht="14.85" hidden="1" customHeight="1" outlineLevel="1">
      <c r="B134" s="208" t="s">
        <v>160</v>
      </c>
      <c r="C134" s="1540"/>
      <c r="D134" s="1549"/>
      <c r="E134" s="1200"/>
      <c r="F134" s="1194">
        <f>IF(ISERROR(C134-D134)=TRUE,"NA",C134-D134)</f>
        <v>0</v>
      </c>
      <c r="G134" s="458" t="str">
        <f>IFERROR(C134/D134-1,"n/a")</f>
        <v>n/a</v>
      </c>
    </row>
    <row r="135" spans="2:7" ht="14.85" hidden="1" customHeight="1" outlineLevel="1">
      <c r="B135" s="208" t="s">
        <v>168</v>
      </c>
      <c r="C135" s="1540"/>
      <c r="D135" s="1549"/>
      <c r="E135" s="1200"/>
      <c r="F135" s="1194">
        <f>IF(ISERROR(C135-D135)=TRUE,"NA",C135-D135)</f>
        <v>0</v>
      </c>
      <c r="G135" s="458" t="str">
        <f>IFERROR(C135/D135-1,"n/a")</f>
        <v>n/a</v>
      </c>
    </row>
    <row r="136" spans="2:7" ht="14.85" hidden="1" customHeight="1" outlineLevel="1">
      <c r="B136" s="208" t="s">
        <v>167</v>
      </c>
      <c r="C136" s="1540"/>
      <c r="D136" s="1549"/>
      <c r="E136" s="1200"/>
      <c r="F136" s="1194">
        <f>IF(ISERROR(C136-D136)=TRUE,"NA",C136-D136)</f>
        <v>0</v>
      </c>
      <c r="G136" s="458" t="str">
        <f>IFERROR(C136/D136-1,"n/a")</f>
        <v>n/a</v>
      </c>
    </row>
    <row r="137" spans="2:7" ht="14.85" hidden="1" customHeight="1" outlineLevel="1">
      <c r="B137" s="208" t="s">
        <v>290</v>
      </c>
      <c r="C137" s="1540"/>
      <c r="D137" s="1549"/>
      <c r="E137" s="1200"/>
      <c r="F137" s="1194">
        <f>IF(ISERROR(C137-D137)=TRUE,"NA",C137-D137)</f>
        <v>0</v>
      </c>
      <c r="G137" s="458" t="str">
        <f>IFERROR(C137/D137-1,"n/a")</f>
        <v>n/a</v>
      </c>
    </row>
    <row r="138" spans="2:7" ht="14.85" hidden="1" customHeight="1" outlineLevel="1">
      <c r="B138" s="208"/>
      <c r="C138" s="575"/>
      <c r="D138" s="356"/>
      <c r="E138" s="456"/>
      <c r="F138" s="1194"/>
    </row>
    <row r="139" spans="2:7" ht="14.85" hidden="1" customHeight="1" outlineLevel="1">
      <c r="B139" s="307" t="s">
        <v>548</v>
      </c>
      <c r="C139" s="575"/>
      <c r="D139" s="356"/>
      <c r="E139" s="456"/>
      <c r="F139" s="1194"/>
    </row>
    <row r="140" spans="2:7" ht="14.85" hidden="1" customHeight="1" outlineLevel="1">
      <c r="B140" s="340">
        <v>2006</v>
      </c>
      <c r="C140" s="1540"/>
      <c r="D140" s="1549"/>
      <c r="E140" s="1200"/>
      <c r="F140" s="1194">
        <f>IF(ISERROR(C140-D140)=TRUE,"NA",C140-D140)</f>
        <v>0</v>
      </c>
      <c r="G140" s="458" t="str">
        <f t="shared" ref="G140:G153" si="10">IFERROR(C140/D140-1,"n/a")</f>
        <v>n/a</v>
      </c>
    </row>
    <row r="141" spans="2:7" ht="14.85" hidden="1" customHeight="1" outlineLevel="1">
      <c r="B141" s="340">
        <v>2007</v>
      </c>
      <c r="C141" s="1540"/>
      <c r="D141" s="1549"/>
      <c r="E141" s="1200"/>
      <c r="F141" s="1194">
        <f t="shared" ref="F141:F153" si="11">IF(ISERROR(C141-D141)=TRUE,"NA",C141-D141)</f>
        <v>0</v>
      </c>
      <c r="G141" s="458" t="str">
        <f t="shared" si="10"/>
        <v>n/a</v>
      </c>
    </row>
    <row r="142" spans="2:7" ht="14.85" hidden="1" customHeight="1" outlineLevel="1">
      <c r="B142" s="340">
        <v>2008</v>
      </c>
      <c r="C142" s="1540"/>
      <c r="D142" s="1549"/>
      <c r="E142" s="1200"/>
      <c r="F142" s="1194">
        <f t="shared" si="11"/>
        <v>0</v>
      </c>
      <c r="G142" s="458" t="str">
        <f t="shared" si="10"/>
        <v>n/a</v>
      </c>
    </row>
    <row r="143" spans="2:7" ht="14.85" hidden="1" customHeight="1" outlineLevel="1">
      <c r="B143" s="340">
        <v>2009</v>
      </c>
      <c r="C143" s="1540"/>
      <c r="D143" s="1549"/>
      <c r="E143" s="1200"/>
      <c r="F143" s="1194">
        <f t="shared" si="11"/>
        <v>0</v>
      </c>
      <c r="G143" s="458" t="str">
        <f t="shared" si="10"/>
        <v>n/a</v>
      </c>
    </row>
    <row r="144" spans="2:7" ht="14.85" hidden="1" customHeight="1" outlineLevel="1">
      <c r="B144" s="340">
        <v>2010</v>
      </c>
      <c r="C144" s="1540"/>
      <c r="D144" s="1549"/>
      <c r="E144" s="1200"/>
      <c r="F144" s="1194">
        <f t="shared" si="11"/>
        <v>0</v>
      </c>
      <c r="G144" s="458" t="str">
        <f t="shared" si="10"/>
        <v>n/a</v>
      </c>
    </row>
    <row r="145" spans="2:7" ht="14.85" hidden="1" customHeight="1" outlineLevel="1">
      <c r="B145" s="340">
        <v>2011</v>
      </c>
      <c r="C145" s="1540"/>
      <c r="D145" s="1549"/>
      <c r="E145" s="1200"/>
      <c r="F145" s="1194">
        <f t="shared" si="11"/>
        <v>0</v>
      </c>
      <c r="G145" s="458" t="str">
        <f t="shared" si="10"/>
        <v>n/a</v>
      </c>
    </row>
    <row r="146" spans="2:7" ht="14.85" hidden="1" customHeight="1" outlineLevel="1">
      <c r="B146" s="340">
        <v>2012</v>
      </c>
      <c r="C146" s="1540"/>
      <c r="D146" s="1549"/>
      <c r="E146" s="1200"/>
      <c r="F146" s="1194">
        <f t="shared" si="11"/>
        <v>0</v>
      </c>
      <c r="G146" s="458" t="str">
        <f t="shared" si="10"/>
        <v>n/a</v>
      </c>
    </row>
    <row r="147" spans="2:7" ht="14.85" hidden="1" customHeight="1" outlineLevel="1">
      <c r="B147" s="340">
        <v>2013</v>
      </c>
      <c r="C147" s="1540"/>
      <c r="D147" s="1549"/>
      <c r="E147" s="1200"/>
      <c r="F147" s="1194">
        <f t="shared" si="11"/>
        <v>0</v>
      </c>
      <c r="G147" s="458" t="str">
        <f t="shared" si="10"/>
        <v>n/a</v>
      </c>
    </row>
    <row r="148" spans="2:7" ht="14.85" hidden="1" customHeight="1" outlineLevel="1">
      <c r="B148" s="340">
        <v>2014</v>
      </c>
      <c r="C148" s="1540"/>
      <c r="D148" s="1549"/>
      <c r="E148" s="1200"/>
      <c r="F148" s="1194">
        <f t="shared" si="11"/>
        <v>0</v>
      </c>
      <c r="G148" s="458" t="str">
        <f t="shared" si="10"/>
        <v>n/a</v>
      </c>
    </row>
    <row r="149" spans="2:7" ht="14.85" hidden="1" customHeight="1" outlineLevel="1">
      <c r="B149" s="340">
        <v>2015</v>
      </c>
      <c r="C149" s="1540"/>
      <c r="D149" s="1549"/>
      <c r="E149" s="1200"/>
      <c r="F149" s="1194">
        <f t="shared" si="11"/>
        <v>0</v>
      </c>
      <c r="G149" s="458" t="str">
        <f t="shared" si="10"/>
        <v>n/a</v>
      </c>
    </row>
    <row r="150" spans="2:7" ht="14.85" hidden="1" customHeight="1" outlineLevel="1">
      <c r="B150" s="340">
        <v>2016</v>
      </c>
      <c r="C150" s="1540"/>
      <c r="D150" s="1549"/>
      <c r="E150" s="1200"/>
      <c r="F150" s="1194">
        <f t="shared" si="11"/>
        <v>0</v>
      </c>
      <c r="G150" s="458" t="str">
        <f t="shared" si="10"/>
        <v>n/a</v>
      </c>
    </row>
    <row r="151" spans="2:7" ht="14.85" hidden="1" customHeight="1" outlineLevel="1">
      <c r="B151" s="340">
        <v>2017</v>
      </c>
      <c r="C151" s="1540"/>
      <c r="D151" s="1549"/>
      <c r="E151" s="1200"/>
      <c r="F151" s="1194">
        <f t="shared" si="11"/>
        <v>0</v>
      </c>
      <c r="G151" s="458" t="str">
        <f t="shared" si="10"/>
        <v>n/a</v>
      </c>
    </row>
    <row r="152" spans="2:7" ht="14.85" hidden="1" customHeight="1" outlineLevel="1">
      <c r="B152" s="340">
        <v>2018</v>
      </c>
      <c r="C152" s="1540"/>
      <c r="D152" s="1549"/>
      <c r="E152" s="1200"/>
      <c r="F152" s="1194">
        <f t="shared" si="11"/>
        <v>0</v>
      </c>
      <c r="G152" s="458" t="str">
        <f t="shared" si="10"/>
        <v>n/a</v>
      </c>
    </row>
    <row r="153" spans="2:7" ht="14.85" hidden="1" customHeight="1" outlineLevel="1">
      <c r="B153" s="340">
        <v>2019</v>
      </c>
      <c r="C153" s="1540"/>
      <c r="D153" s="1549"/>
      <c r="E153" s="1200"/>
      <c r="F153" s="1194">
        <f t="shared" si="11"/>
        <v>0</v>
      </c>
      <c r="G153" s="458" t="str">
        <f t="shared" si="10"/>
        <v>n/a</v>
      </c>
    </row>
    <row r="154" spans="2:7" ht="14.85" hidden="1" customHeight="1" outlineLevel="1">
      <c r="B154" s="340"/>
      <c r="C154" s="575"/>
      <c r="D154" s="356"/>
      <c r="E154" s="456"/>
      <c r="F154" s="1194"/>
    </row>
    <row r="155" spans="2:7" ht="14.85" hidden="1" customHeight="1" outlineLevel="1">
      <c r="B155" s="346" t="s">
        <v>167</v>
      </c>
      <c r="C155" s="575"/>
      <c r="D155" s="356"/>
      <c r="E155" s="456"/>
      <c r="F155" s="1194"/>
    </row>
    <row r="156" spans="2:7" ht="14.85" hidden="1" customHeight="1" outlineLevel="1">
      <c r="B156" s="340">
        <v>2006</v>
      </c>
      <c r="C156" s="1540"/>
      <c r="D156" s="1549"/>
      <c r="E156" s="1200"/>
      <c r="F156" s="1194">
        <f t="shared" ref="F156:F169" si="12">IF(ISERROR(C156-D156)=TRUE,"NA",C156-D156)</f>
        <v>0</v>
      </c>
      <c r="G156" s="458" t="str">
        <f t="shared" ref="G156:G169" si="13">IFERROR(C156/D156-1,"n/a")</f>
        <v>n/a</v>
      </c>
    </row>
    <row r="157" spans="2:7" ht="14.85" hidden="1" customHeight="1" outlineLevel="1">
      <c r="B157" s="340">
        <v>2007</v>
      </c>
      <c r="C157" s="1540"/>
      <c r="D157" s="1549"/>
      <c r="E157" s="1200"/>
      <c r="F157" s="1194">
        <f t="shared" si="12"/>
        <v>0</v>
      </c>
      <c r="G157" s="458" t="str">
        <f t="shared" si="13"/>
        <v>n/a</v>
      </c>
    </row>
    <row r="158" spans="2:7" ht="14.85" hidden="1" customHeight="1" outlineLevel="1">
      <c r="B158" s="340">
        <v>2008</v>
      </c>
      <c r="C158" s="1540"/>
      <c r="D158" s="1549"/>
      <c r="E158" s="1200"/>
      <c r="F158" s="1194">
        <f t="shared" si="12"/>
        <v>0</v>
      </c>
      <c r="G158" s="458" t="str">
        <f t="shared" si="13"/>
        <v>n/a</v>
      </c>
    </row>
    <row r="159" spans="2:7" ht="14.85" hidden="1" customHeight="1" outlineLevel="1">
      <c r="B159" s="340">
        <v>2009</v>
      </c>
      <c r="C159" s="1540"/>
      <c r="D159" s="1549"/>
      <c r="E159" s="1200"/>
      <c r="F159" s="1194">
        <f t="shared" si="12"/>
        <v>0</v>
      </c>
      <c r="G159" s="458" t="str">
        <f t="shared" si="13"/>
        <v>n/a</v>
      </c>
    </row>
    <row r="160" spans="2:7" ht="14.85" hidden="1" customHeight="1" outlineLevel="1">
      <c r="B160" s="340">
        <v>2010</v>
      </c>
      <c r="C160" s="1540"/>
      <c r="D160" s="1549"/>
      <c r="E160" s="1200"/>
      <c r="F160" s="1194">
        <f t="shared" si="12"/>
        <v>0</v>
      </c>
      <c r="G160" s="458" t="str">
        <f t="shared" si="13"/>
        <v>n/a</v>
      </c>
    </row>
    <row r="161" spans="2:7" ht="14.85" hidden="1" customHeight="1" outlineLevel="1">
      <c r="B161" s="340">
        <v>2011</v>
      </c>
      <c r="C161" s="1540"/>
      <c r="D161" s="1549"/>
      <c r="E161" s="1200"/>
      <c r="F161" s="1194">
        <f t="shared" si="12"/>
        <v>0</v>
      </c>
      <c r="G161" s="458" t="str">
        <f t="shared" si="13"/>
        <v>n/a</v>
      </c>
    </row>
    <row r="162" spans="2:7" ht="14.85" hidden="1" customHeight="1" outlineLevel="1">
      <c r="B162" s="340">
        <v>2012</v>
      </c>
      <c r="C162" s="1540"/>
      <c r="D162" s="1549"/>
      <c r="E162" s="1200"/>
      <c r="F162" s="1194">
        <f t="shared" si="12"/>
        <v>0</v>
      </c>
      <c r="G162" s="458" t="str">
        <f t="shared" si="13"/>
        <v>n/a</v>
      </c>
    </row>
    <row r="163" spans="2:7" ht="14.85" hidden="1" customHeight="1" outlineLevel="1">
      <c r="B163" s="340">
        <v>2013</v>
      </c>
      <c r="C163" s="1540"/>
      <c r="D163" s="1549"/>
      <c r="E163" s="1200"/>
      <c r="F163" s="1194">
        <f t="shared" si="12"/>
        <v>0</v>
      </c>
      <c r="G163" s="458" t="str">
        <f t="shared" si="13"/>
        <v>n/a</v>
      </c>
    </row>
    <row r="164" spans="2:7" ht="14.85" hidden="1" customHeight="1" outlineLevel="1">
      <c r="B164" s="340">
        <v>2014</v>
      </c>
      <c r="C164" s="1540"/>
      <c r="D164" s="1549"/>
      <c r="E164" s="1200"/>
      <c r="F164" s="1194">
        <f t="shared" si="12"/>
        <v>0</v>
      </c>
      <c r="G164" s="458" t="str">
        <f t="shared" si="13"/>
        <v>n/a</v>
      </c>
    </row>
    <row r="165" spans="2:7" ht="14.85" hidden="1" customHeight="1" outlineLevel="1">
      <c r="B165" s="340">
        <v>2015</v>
      </c>
      <c r="C165" s="1540"/>
      <c r="D165" s="1549"/>
      <c r="E165" s="1200"/>
      <c r="F165" s="1194">
        <f t="shared" si="12"/>
        <v>0</v>
      </c>
      <c r="G165" s="458" t="str">
        <f t="shared" si="13"/>
        <v>n/a</v>
      </c>
    </row>
    <row r="166" spans="2:7" ht="14.85" hidden="1" customHeight="1" outlineLevel="1">
      <c r="B166" s="340">
        <v>2016</v>
      </c>
      <c r="C166" s="1540"/>
      <c r="D166" s="1549"/>
      <c r="E166" s="1200"/>
      <c r="F166" s="1194">
        <f t="shared" si="12"/>
        <v>0</v>
      </c>
      <c r="G166" s="458" t="str">
        <f t="shared" si="13"/>
        <v>n/a</v>
      </c>
    </row>
    <row r="167" spans="2:7" ht="14.85" hidden="1" customHeight="1" outlineLevel="1">
      <c r="B167" s="340">
        <v>2017</v>
      </c>
      <c r="C167" s="1540"/>
      <c r="D167" s="1549"/>
      <c r="E167" s="1200"/>
      <c r="F167" s="1194">
        <f t="shared" si="12"/>
        <v>0</v>
      </c>
      <c r="G167" s="458" t="str">
        <f t="shared" si="13"/>
        <v>n/a</v>
      </c>
    </row>
    <row r="168" spans="2:7" ht="14.85" hidden="1" customHeight="1" outlineLevel="1">
      <c r="B168" s="340">
        <v>2018</v>
      </c>
      <c r="C168" s="1540"/>
      <c r="D168" s="1549"/>
      <c r="E168" s="1200"/>
      <c r="F168" s="1194">
        <f t="shared" si="12"/>
        <v>0</v>
      </c>
      <c r="G168" s="458" t="str">
        <f t="shared" si="13"/>
        <v>n/a</v>
      </c>
    </row>
    <row r="169" spans="2:7" ht="14.85" hidden="1" customHeight="1" outlineLevel="1">
      <c r="B169" s="340">
        <v>2019</v>
      </c>
      <c r="C169" s="1540"/>
      <c r="D169" s="1549"/>
      <c r="E169" s="1200"/>
      <c r="F169" s="1194">
        <f t="shared" si="12"/>
        <v>0</v>
      </c>
      <c r="G169" s="458" t="str">
        <f t="shared" si="13"/>
        <v>n/a</v>
      </c>
    </row>
    <row r="170" spans="2:7" ht="14.85" customHeight="1" collapsed="1">
      <c r="B170" s="310"/>
      <c r="C170" s="575"/>
      <c r="D170" s="456"/>
      <c r="E170" s="456"/>
      <c r="F170" s="1194"/>
    </row>
    <row r="171" spans="2:7" ht="14.85" customHeight="1">
      <c r="B171" s="1827" t="s">
        <v>91</v>
      </c>
      <c r="C171" s="575"/>
      <c r="D171" s="456"/>
      <c r="E171" s="456"/>
      <c r="F171" s="1194"/>
    </row>
    <row r="172" spans="2:7" ht="14.85" customHeight="1">
      <c r="B172" s="310" t="s">
        <v>1395</v>
      </c>
      <c r="C172" s="575" t="s">
        <v>2104</v>
      </c>
      <c r="D172" s="575" t="s">
        <v>2103</v>
      </c>
      <c r="E172" s="456"/>
      <c r="F172" s="1194"/>
    </row>
    <row r="173" spans="2:7" ht="14.85" customHeight="1">
      <c r="B173" s="310" t="s">
        <v>1396</v>
      </c>
      <c r="C173" s="1814">
        <f>'Econ Rights'!E10</f>
        <v>43412</v>
      </c>
      <c r="D173" s="344">
        <v>42573</v>
      </c>
      <c r="E173" s="1191"/>
      <c r="F173" s="1194"/>
      <c r="G173" s="674"/>
    </row>
    <row r="174" spans="2:7" ht="14.85" customHeight="1">
      <c r="B174" s="310" t="s">
        <v>1397</v>
      </c>
      <c r="C174" s="1828">
        <f>'Econ Rights'!E12</f>
        <v>1.5</v>
      </c>
      <c r="D174" s="1842">
        <v>1</v>
      </c>
      <c r="E174" s="1202"/>
      <c r="F174" s="1194">
        <f>IF(ISERROR(C174-D174)=TRUE,"NA",C174-D174)</f>
        <v>0.5</v>
      </c>
      <c r="G174" s="458">
        <f t="shared" ref="G174:G179" si="14">IFERROR(C174/D174-1,"n/a")</f>
        <v>0.5</v>
      </c>
    </row>
    <row r="175" spans="2:7" ht="14.85" customHeight="1">
      <c r="B175" s="310" t="s">
        <v>1398</v>
      </c>
      <c r="C175" s="1540">
        <f>'Econ Rights'!E13</f>
        <v>4000.0000000000005</v>
      </c>
      <c r="D175" s="1843">
        <v>700</v>
      </c>
      <c r="E175" s="1200"/>
      <c r="F175" s="1194">
        <f>IF(ISERROR(D175-C175)=TRUE,"NA",D175-C175)</f>
        <v>-3300.0000000000005</v>
      </c>
      <c r="G175" s="458">
        <f t="shared" si="14"/>
        <v>4.7142857142857153</v>
      </c>
    </row>
    <row r="176" spans="2:7" ht="14.85" hidden="1" customHeight="1" outlineLevel="1">
      <c r="B176" s="310" t="s">
        <v>1399</v>
      </c>
      <c r="C176" s="1540"/>
      <c r="D176" s="1843">
        <v>1235</v>
      </c>
      <c r="E176" s="1200"/>
      <c r="F176" s="1194">
        <f>IF(ISERROR(D176-C176)=TRUE,"NA",D176-C176)</f>
        <v>1235</v>
      </c>
      <c r="G176" s="458">
        <f t="shared" si="14"/>
        <v>-1</v>
      </c>
    </row>
    <row r="177" spans="2:7" ht="14.85" hidden="1" customHeight="1" outlineLevel="1">
      <c r="B177" s="310" t="s">
        <v>1400</v>
      </c>
      <c r="C177" s="1540"/>
      <c r="D177" s="1843">
        <v>0</v>
      </c>
      <c r="E177" s="1200"/>
      <c r="F177" s="1194">
        <f>IF(ISERROR(D177-C177)=TRUE,"NA",D177-C177)</f>
        <v>0</v>
      </c>
      <c r="G177" s="458" t="str">
        <f t="shared" si="14"/>
        <v>n/a</v>
      </c>
    </row>
    <row r="178" spans="2:7" ht="14.85" customHeight="1" collapsed="1">
      <c r="B178" s="310" t="s">
        <v>1401</v>
      </c>
      <c r="C178" s="1540">
        <f>'Cap Table'!H21</f>
        <v>13029.316333333334</v>
      </c>
      <c r="D178" s="1843">
        <v>7915.9830000000002</v>
      </c>
      <c r="E178" s="1200"/>
      <c r="F178" s="1194">
        <f>IF(ISERROR(D178-C178)=TRUE,"NA",D178-C178)</f>
        <v>-5113.3333333333339</v>
      </c>
      <c r="G178" s="458">
        <f t="shared" si="14"/>
        <v>0.64595051976909668</v>
      </c>
    </row>
    <row r="179" spans="2:7" ht="14.85" customHeight="1">
      <c r="B179" s="310" t="s">
        <v>1402</v>
      </c>
      <c r="C179" s="1828">
        <f>'Cap Table'!E27</f>
        <v>0.08</v>
      </c>
      <c r="D179" s="1842">
        <v>7.0000000000000007E-2</v>
      </c>
      <c r="E179" s="1202"/>
      <c r="F179" s="1194">
        <f>IF(ISERROR(D179-C179)=TRUE,"NA",D179-C179)</f>
        <v>-9.999999999999995E-3</v>
      </c>
      <c r="G179" s="458">
        <f t="shared" si="14"/>
        <v>0.14285714285714279</v>
      </c>
    </row>
    <row r="180" spans="2:7" ht="14.85" customHeight="1"/>
    <row r="181" spans="2:7" ht="14.85" customHeight="1"/>
    <row r="182" spans="2:7" ht="14.85" customHeight="1"/>
    <row r="183" spans="2:7" ht="14.85" customHeight="1"/>
    <row r="184" spans="2:7" ht="14.85" customHeight="1"/>
    <row r="185" spans="2:7" ht="14.85" customHeight="1"/>
    <row r="186" spans="2:7" ht="14.85" customHeight="1"/>
    <row r="187" spans="2:7" ht="14.85" customHeight="1"/>
    <row r="188" spans="2:7" ht="14.85" customHeight="1"/>
    <row r="189" spans="2:7" ht="14.85" customHeight="1"/>
    <row r="190" spans="2:7" ht="14.85" customHeight="1"/>
    <row r="191" spans="2:7" ht="14.85" customHeight="1"/>
    <row r="192" spans="2:7"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row r="765" ht="14.85" customHeight="1"/>
    <row r="766" ht="14.85" customHeight="1"/>
    <row r="767" ht="14.85" customHeight="1"/>
    <row r="768" ht="14.85" customHeight="1"/>
    <row r="769" ht="14.85" customHeight="1"/>
    <row r="770" ht="14.85" customHeight="1"/>
    <row r="771" ht="14.85" customHeight="1"/>
    <row r="772" ht="14.85" customHeight="1"/>
    <row r="773" ht="14.85" customHeight="1"/>
    <row r="774" ht="14.85" customHeight="1"/>
    <row r="775" ht="14.85" customHeight="1"/>
    <row r="776" ht="14.85" customHeight="1"/>
    <row r="777" ht="14.85" customHeight="1"/>
    <row r="778" ht="14.85" customHeight="1"/>
  </sheetData>
  <conditionalFormatting sqref="B4:F5 F4:G4">
    <cfRule type="cellIs" dxfId="144" priority="3" stopIfTrue="1" operator="equal">
      <formula>"input"</formula>
    </cfRule>
  </conditionalFormatting>
  <pageMargins left="0.5" right="0.5" top="0.5" bottom="0.5" header="0.5" footer="0.5"/>
  <pageSetup scale="95" orientation="landscape" r:id="rId1"/>
  <rowBreaks count="3" manualBreakCount="3">
    <brk id="34" max="7" man="1"/>
    <brk id="60" max="7" man="1"/>
    <brk id="104" max="7" man="1"/>
  </rowBreak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tabColor theme="1"/>
  </sheetPr>
  <dimension ref="A1:A101"/>
  <sheetViews>
    <sheetView showGridLines="0" view="pageBreakPreview" zoomScale="80" zoomScaleNormal="100" zoomScaleSheetLayoutView="80" workbookViewId="0"/>
  </sheetViews>
  <sheetFormatPr defaultRowHeight="12.75"/>
  <sheetData>
    <row r="1" ht="15" customHeight="1"/>
    <row r="2" ht="15" customHeight="1"/>
    <row r="3" ht="15" customHeight="1"/>
    <row r="4" ht="15" customHeight="1"/>
    <row r="5" ht="15" customHeight="1"/>
    <row r="6" ht="15" customHeight="1"/>
    <row r="7" ht="15" customHeight="1"/>
    <row r="8" ht="15" customHeight="1"/>
    <row r="9" ht="15" customHeight="1"/>
    <row r="10" ht="15" customHeight="1"/>
    <row r="11" ht="15" customHeight="1"/>
    <row r="12" ht="15" customHeight="1"/>
    <row r="13" ht="15" customHeight="1"/>
    <row r="14" ht="15" customHeight="1"/>
    <row r="15" ht="15" customHeight="1"/>
    <row r="16"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sheetData>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AI123"/>
  <sheetViews>
    <sheetView topLeftCell="Q10" workbookViewId="0">
      <selection activeCell="V21" sqref="V21:AG21"/>
    </sheetView>
  </sheetViews>
  <sheetFormatPr defaultRowHeight="12"/>
  <cols>
    <col min="1" max="1" width="52.5" style="1446" customWidth="1"/>
    <col min="2" max="2" width="1.5" style="1446" customWidth="1"/>
    <col min="3" max="3" width="0.5" style="1446" hidden="1" customWidth="1"/>
    <col min="4" max="4" width="4" style="1446" hidden="1" customWidth="1"/>
    <col min="5" max="5" width="2.6640625" style="1446" hidden="1" customWidth="1"/>
    <col min="6" max="6" width="17.33203125" style="1446" customWidth="1"/>
    <col min="7" max="7" width="13.5" style="1446" customWidth="1"/>
    <col min="8" max="8" width="1.1640625" style="1446" customWidth="1"/>
    <col min="9" max="20" width="13.5" style="1446" customWidth="1"/>
    <col min="21" max="21" width="1" style="1446" customWidth="1"/>
    <col min="22" max="22" width="12.5" style="1446" customWidth="1"/>
    <col min="23" max="23" width="13.6640625" style="1446" customWidth="1"/>
    <col min="24" max="24" width="13.33203125" style="1446" customWidth="1"/>
    <col min="25" max="33" width="12.5" style="1446" customWidth="1"/>
    <col min="34" max="34" width="13.83203125" style="1446" customWidth="1"/>
    <col min="35" max="35" width="17.83203125" style="1446" customWidth="1"/>
    <col min="36" max="259" width="9.33203125" style="1446"/>
    <col min="260" max="260" width="45" style="1446" customWidth="1"/>
    <col min="261" max="261" width="22.33203125" style="1446" customWidth="1"/>
    <col min="262" max="263" width="13.1640625" style="1446" customWidth="1"/>
    <col min="264" max="276" width="13.5" style="1446" customWidth="1"/>
    <col min="277" max="277" width="13.1640625" style="1446" customWidth="1"/>
    <col min="278" max="278" width="11.83203125" style="1446" bestFit="1" customWidth="1"/>
    <col min="279" max="279" width="13.6640625" style="1446" bestFit="1" customWidth="1"/>
    <col min="280" max="280" width="11.83203125" style="1446" bestFit="1" customWidth="1"/>
    <col min="281" max="289" width="11.33203125" style="1446" bestFit="1" customWidth="1"/>
    <col min="290" max="290" width="12" style="1446" bestFit="1" customWidth="1"/>
    <col min="291" max="515" width="9.33203125" style="1446"/>
    <col min="516" max="516" width="45" style="1446" customWidth="1"/>
    <col min="517" max="517" width="22.33203125" style="1446" customWidth="1"/>
    <col min="518" max="519" width="13.1640625" style="1446" customWidth="1"/>
    <col min="520" max="532" width="13.5" style="1446" customWidth="1"/>
    <col min="533" max="533" width="13.1640625" style="1446" customWidth="1"/>
    <col min="534" max="534" width="11.83203125" style="1446" bestFit="1" customWidth="1"/>
    <col min="535" max="535" width="13.6640625" style="1446" bestFit="1" customWidth="1"/>
    <col min="536" max="536" width="11.83203125" style="1446" bestFit="1" customWidth="1"/>
    <col min="537" max="545" width="11.33203125" style="1446" bestFit="1" customWidth="1"/>
    <col min="546" max="546" width="12" style="1446" bestFit="1" customWidth="1"/>
    <col min="547" max="771" width="9.33203125" style="1446"/>
    <col min="772" max="772" width="45" style="1446" customWidth="1"/>
    <col min="773" max="773" width="22.33203125" style="1446" customWidth="1"/>
    <col min="774" max="775" width="13.1640625" style="1446" customWidth="1"/>
    <col min="776" max="788" width="13.5" style="1446" customWidth="1"/>
    <col min="789" max="789" width="13.1640625" style="1446" customWidth="1"/>
    <col min="790" max="790" width="11.83203125" style="1446" bestFit="1" customWidth="1"/>
    <col min="791" max="791" width="13.6640625" style="1446" bestFit="1" customWidth="1"/>
    <col min="792" max="792" width="11.83203125" style="1446" bestFit="1" customWidth="1"/>
    <col min="793" max="801" width="11.33203125" style="1446" bestFit="1" customWidth="1"/>
    <col min="802" max="802" width="12" style="1446" bestFit="1" customWidth="1"/>
    <col min="803" max="1027" width="9.33203125" style="1446"/>
    <col min="1028" max="1028" width="45" style="1446" customWidth="1"/>
    <col min="1029" max="1029" width="22.33203125" style="1446" customWidth="1"/>
    <col min="1030" max="1031" width="13.1640625" style="1446" customWidth="1"/>
    <col min="1032" max="1044" width="13.5" style="1446" customWidth="1"/>
    <col min="1045" max="1045" width="13.1640625" style="1446" customWidth="1"/>
    <col min="1046" max="1046" width="11.83203125" style="1446" bestFit="1" customWidth="1"/>
    <col min="1047" max="1047" width="13.6640625" style="1446" bestFit="1" customWidth="1"/>
    <col min="1048" max="1048" width="11.83203125" style="1446" bestFit="1" customWidth="1"/>
    <col min="1049" max="1057" width="11.33203125" style="1446" bestFit="1" customWidth="1"/>
    <col min="1058" max="1058" width="12" style="1446" bestFit="1" customWidth="1"/>
    <col min="1059" max="1283" width="9.33203125" style="1446"/>
    <col min="1284" max="1284" width="45" style="1446" customWidth="1"/>
    <col min="1285" max="1285" width="22.33203125" style="1446" customWidth="1"/>
    <col min="1286" max="1287" width="13.1640625" style="1446" customWidth="1"/>
    <col min="1288" max="1300" width="13.5" style="1446" customWidth="1"/>
    <col min="1301" max="1301" width="13.1640625" style="1446" customWidth="1"/>
    <col min="1302" max="1302" width="11.83203125" style="1446" bestFit="1" customWidth="1"/>
    <col min="1303" max="1303" width="13.6640625" style="1446" bestFit="1" customWidth="1"/>
    <col min="1304" max="1304" width="11.83203125" style="1446" bestFit="1" customWidth="1"/>
    <col min="1305" max="1313" width="11.33203125" style="1446" bestFit="1" customWidth="1"/>
    <col min="1314" max="1314" width="12" style="1446" bestFit="1" customWidth="1"/>
    <col min="1315" max="1539" width="9.33203125" style="1446"/>
    <col min="1540" max="1540" width="45" style="1446" customWidth="1"/>
    <col min="1541" max="1541" width="22.33203125" style="1446" customWidth="1"/>
    <col min="1542" max="1543" width="13.1640625" style="1446" customWidth="1"/>
    <col min="1544" max="1556" width="13.5" style="1446" customWidth="1"/>
    <col min="1557" max="1557" width="13.1640625" style="1446" customWidth="1"/>
    <col min="1558" max="1558" width="11.83203125" style="1446" bestFit="1" customWidth="1"/>
    <col min="1559" max="1559" width="13.6640625" style="1446" bestFit="1" customWidth="1"/>
    <col min="1560" max="1560" width="11.83203125" style="1446" bestFit="1" customWidth="1"/>
    <col min="1561" max="1569" width="11.33203125" style="1446" bestFit="1" customWidth="1"/>
    <col min="1570" max="1570" width="12" style="1446" bestFit="1" customWidth="1"/>
    <col min="1571" max="1795" width="9.33203125" style="1446"/>
    <col min="1796" max="1796" width="45" style="1446" customWidth="1"/>
    <col min="1797" max="1797" width="22.33203125" style="1446" customWidth="1"/>
    <col min="1798" max="1799" width="13.1640625" style="1446" customWidth="1"/>
    <col min="1800" max="1812" width="13.5" style="1446" customWidth="1"/>
    <col min="1813" max="1813" width="13.1640625" style="1446" customWidth="1"/>
    <col min="1814" max="1814" width="11.83203125" style="1446" bestFit="1" customWidth="1"/>
    <col min="1815" max="1815" width="13.6640625" style="1446" bestFit="1" customWidth="1"/>
    <col min="1816" max="1816" width="11.83203125" style="1446" bestFit="1" customWidth="1"/>
    <col min="1817" max="1825" width="11.33203125" style="1446" bestFit="1" customWidth="1"/>
    <col min="1826" max="1826" width="12" style="1446" bestFit="1" customWidth="1"/>
    <col min="1827" max="2051" width="9.33203125" style="1446"/>
    <col min="2052" max="2052" width="45" style="1446" customWidth="1"/>
    <col min="2053" max="2053" width="22.33203125" style="1446" customWidth="1"/>
    <col min="2054" max="2055" width="13.1640625" style="1446" customWidth="1"/>
    <col min="2056" max="2068" width="13.5" style="1446" customWidth="1"/>
    <col min="2069" max="2069" width="13.1640625" style="1446" customWidth="1"/>
    <col min="2070" max="2070" width="11.83203125" style="1446" bestFit="1" customWidth="1"/>
    <col min="2071" max="2071" width="13.6640625" style="1446" bestFit="1" customWidth="1"/>
    <col min="2072" max="2072" width="11.83203125" style="1446" bestFit="1" customWidth="1"/>
    <col min="2073" max="2081" width="11.33203125" style="1446" bestFit="1" customWidth="1"/>
    <col min="2082" max="2082" width="12" style="1446" bestFit="1" customWidth="1"/>
    <col min="2083" max="2307" width="9.33203125" style="1446"/>
    <col min="2308" max="2308" width="45" style="1446" customWidth="1"/>
    <col min="2309" max="2309" width="22.33203125" style="1446" customWidth="1"/>
    <col min="2310" max="2311" width="13.1640625" style="1446" customWidth="1"/>
    <col min="2312" max="2324" width="13.5" style="1446" customWidth="1"/>
    <col min="2325" max="2325" width="13.1640625" style="1446" customWidth="1"/>
    <col min="2326" max="2326" width="11.83203125" style="1446" bestFit="1" customWidth="1"/>
    <col min="2327" max="2327" width="13.6640625" style="1446" bestFit="1" customWidth="1"/>
    <col min="2328" max="2328" width="11.83203125" style="1446" bestFit="1" customWidth="1"/>
    <col min="2329" max="2337" width="11.33203125" style="1446" bestFit="1" customWidth="1"/>
    <col min="2338" max="2338" width="12" style="1446" bestFit="1" customWidth="1"/>
    <col min="2339" max="2563" width="9.33203125" style="1446"/>
    <col min="2564" max="2564" width="45" style="1446" customWidth="1"/>
    <col min="2565" max="2565" width="22.33203125" style="1446" customWidth="1"/>
    <col min="2566" max="2567" width="13.1640625" style="1446" customWidth="1"/>
    <col min="2568" max="2580" width="13.5" style="1446" customWidth="1"/>
    <col min="2581" max="2581" width="13.1640625" style="1446" customWidth="1"/>
    <col min="2582" max="2582" width="11.83203125" style="1446" bestFit="1" customWidth="1"/>
    <col min="2583" max="2583" width="13.6640625" style="1446" bestFit="1" customWidth="1"/>
    <col min="2584" max="2584" width="11.83203125" style="1446" bestFit="1" customWidth="1"/>
    <col min="2585" max="2593" width="11.33203125" style="1446" bestFit="1" customWidth="1"/>
    <col min="2594" max="2594" width="12" style="1446" bestFit="1" customWidth="1"/>
    <col min="2595" max="2819" width="9.33203125" style="1446"/>
    <col min="2820" max="2820" width="45" style="1446" customWidth="1"/>
    <col min="2821" max="2821" width="22.33203125" style="1446" customWidth="1"/>
    <col min="2822" max="2823" width="13.1640625" style="1446" customWidth="1"/>
    <col min="2824" max="2836" width="13.5" style="1446" customWidth="1"/>
    <col min="2837" max="2837" width="13.1640625" style="1446" customWidth="1"/>
    <col min="2838" max="2838" width="11.83203125" style="1446" bestFit="1" customWidth="1"/>
    <col min="2839" max="2839" width="13.6640625" style="1446" bestFit="1" customWidth="1"/>
    <col min="2840" max="2840" width="11.83203125" style="1446" bestFit="1" customWidth="1"/>
    <col min="2841" max="2849" width="11.33203125" style="1446" bestFit="1" customWidth="1"/>
    <col min="2850" max="2850" width="12" style="1446" bestFit="1" customWidth="1"/>
    <col min="2851" max="3075" width="9.33203125" style="1446"/>
    <col min="3076" max="3076" width="45" style="1446" customWidth="1"/>
    <col min="3077" max="3077" width="22.33203125" style="1446" customWidth="1"/>
    <col min="3078" max="3079" width="13.1640625" style="1446" customWidth="1"/>
    <col min="3080" max="3092" width="13.5" style="1446" customWidth="1"/>
    <col min="3093" max="3093" width="13.1640625" style="1446" customWidth="1"/>
    <col min="3094" max="3094" width="11.83203125" style="1446" bestFit="1" customWidth="1"/>
    <col min="3095" max="3095" width="13.6640625" style="1446" bestFit="1" customWidth="1"/>
    <col min="3096" max="3096" width="11.83203125" style="1446" bestFit="1" customWidth="1"/>
    <col min="3097" max="3105" width="11.33203125" style="1446" bestFit="1" customWidth="1"/>
    <col min="3106" max="3106" width="12" style="1446" bestFit="1" customWidth="1"/>
    <col min="3107" max="3331" width="9.33203125" style="1446"/>
    <col min="3332" max="3332" width="45" style="1446" customWidth="1"/>
    <col min="3333" max="3333" width="22.33203125" style="1446" customWidth="1"/>
    <col min="3334" max="3335" width="13.1640625" style="1446" customWidth="1"/>
    <col min="3336" max="3348" width="13.5" style="1446" customWidth="1"/>
    <col min="3349" max="3349" width="13.1640625" style="1446" customWidth="1"/>
    <col min="3350" max="3350" width="11.83203125" style="1446" bestFit="1" customWidth="1"/>
    <col min="3351" max="3351" width="13.6640625" style="1446" bestFit="1" customWidth="1"/>
    <col min="3352" max="3352" width="11.83203125" style="1446" bestFit="1" customWidth="1"/>
    <col min="3353" max="3361" width="11.33203125" style="1446" bestFit="1" customWidth="1"/>
    <col min="3362" max="3362" width="12" style="1446" bestFit="1" customWidth="1"/>
    <col min="3363" max="3587" width="9.33203125" style="1446"/>
    <col min="3588" max="3588" width="45" style="1446" customWidth="1"/>
    <col min="3589" max="3589" width="22.33203125" style="1446" customWidth="1"/>
    <col min="3590" max="3591" width="13.1640625" style="1446" customWidth="1"/>
    <col min="3592" max="3604" width="13.5" style="1446" customWidth="1"/>
    <col min="3605" max="3605" width="13.1640625" style="1446" customWidth="1"/>
    <col min="3606" max="3606" width="11.83203125" style="1446" bestFit="1" customWidth="1"/>
    <col min="3607" max="3607" width="13.6640625" style="1446" bestFit="1" customWidth="1"/>
    <col min="3608" max="3608" width="11.83203125" style="1446" bestFit="1" customWidth="1"/>
    <col min="3609" max="3617" width="11.33203125" style="1446" bestFit="1" customWidth="1"/>
    <col min="3618" max="3618" width="12" style="1446" bestFit="1" customWidth="1"/>
    <col min="3619" max="3843" width="9.33203125" style="1446"/>
    <col min="3844" max="3844" width="45" style="1446" customWidth="1"/>
    <col min="3845" max="3845" width="22.33203125" style="1446" customWidth="1"/>
    <col min="3846" max="3847" width="13.1640625" style="1446" customWidth="1"/>
    <col min="3848" max="3860" width="13.5" style="1446" customWidth="1"/>
    <col min="3861" max="3861" width="13.1640625" style="1446" customWidth="1"/>
    <col min="3862" max="3862" width="11.83203125" style="1446" bestFit="1" customWidth="1"/>
    <col min="3863" max="3863" width="13.6640625" style="1446" bestFit="1" customWidth="1"/>
    <col min="3864" max="3864" width="11.83203125" style="1446" bestFit="1" customWidth="1"/>
    <col min="3865" max="3873" width="11.33203125" style="1446" bestFit="1" customWidth="1"/>
    <col min="3874" max="3874" width="12" style="1446" bestFit="1" customWidth="1"/>
    <col min="3875" max="4099" width="9.33203125" style="1446"/>
    <col min="4100" max="4100" width="45" style="1446" customWidth="1"/>
    <col min="4101" max="4101" width="22.33203125" style="1446" customWidth="1"/>
    <col min="4102" max="4103" width="13.1640625" style="1446" customWidth="1"/>
    <col min="4104" max="4116" width="13.5" style="1446" customWidth="1"/>
    <col min="4117" max="4117" width="13.1640625" style="1446" customWidth="1"/>
    <col min="4118" max="4118" width="11.83203125" style="1446" bestFit="1" customWidth="1"/>
    <col min="4119" max="4119" width="13.6640625" style="1446" bestFit="1" customWidth="1"/>
    <col min="4120" max="4120" width="11.83203125" style="1446" bestFit="1" customWidth="1"/>
    <col min="4121" max="4129" width="11.33203125" style="1446" bestFit="1" customWidth="1"/>
    <col min="4130" max="4130" width="12" style="1446" bestFit="1" customWidth="1"/>
    <col min="4131" max="4355" width="9.33203125" style="1446"/>
    <col min="4356" max="4356" width="45" style="1446" customWidth="1"/>
    <col min="4357" max="4357" width="22.33203125" style="1446" customWidth="1"/>
    <col min="4358" max="4359" width="13.1640625" style="1446" customWidth="1"/>
    <col min="4360" max="4372" width="13.5" style="1446" customWidth="1"/>
    <col min="4373" max="4373" width="13.1640625" style="1446" customWidth="1"/>
    <col min="4374" max="4374" width="11.83203125" style="1446" bestFit="1" customWidth="1"/>
    <col min="4375" max="4375" width="13.6640625" style="1446" bestFit="1" customWidth="1"/>
    <col min="4376" max="4376" width="11.83203125" style="1446" bestFit="1" customWidth="1"/>
    <col min="4377" max="4385" width="11.33203125" style="1446" bestFit="1" customWidth="1"/>
    <col min="4386" max="4386" width="12" style="1446" bestFit="1" customWidth="1"/>
    <col min="4387" max="4611" width="9.33203125" style="1446"/>
    <col min="4612" max="4612" width="45" style="1446" customWidth="1"/>
    <col min="4613" max="4613" width="22.33203125" style="1446" customWidth="1"/>
    <col min="4614" max="4615" width="13.1640625" style="1446" customWidth="1"/>
    <col min="4616" max="4628" width="13.5" style="1446" customWidth="1"/>
    <col min="4629" max="4629" width="13.1640625" style="1446" customWidth="1"/>
    <col min="4630" max="4630" width="11.83203125" style="1446" bestFit="1" customWidth="1"/>
    <col min="4631" max="4631" width="13.6640625" style="1446" bestFit="1" customWidth="1"/>
    <col min="4632" max="4632" width="11.83203125" style="1446" bestFit="1" customWidth="1"/>
    <col min="4633" max="4641" width="11.33203125" style="1446" bestFit="1" customWidth="1"/>
    <col min="4642" max="4642" width="12" style="1446" bestFit="1" customWidth="1"/>
    <col min="4643" max="4867" width="9.33203125" style="1446"/>
    <col min="4868" max="4868" width="45" style="1446" customWidth="1"/>
    <col min="4869" max="4869" width="22.33203125" style="1446" customWidth="1"/>
    <col min="4870" max="4871" width="13.1640625" style="1446" customWidth="1"/>
    <col min="4872" max="4884" width="13.5" style="1446" customWidth="1"/>
    <col min="4885" max="4885" width="13.1640625" style="1446" customWidth="1"/>
    <col min="4886" max="4886" width="11.83203125" style="1446" bestFit="1" customWidth="1"/>
    <col min="4887" max="4887" width="13.6640625" style="1446" bestFit="1" customWidth="1"/>
    <col min="4888" max="4888" width="11.83203125" style="1446" bestFit="1" customWidth="1"/>
    <col min="4889" max="4897" width="11.33203125" style="1446" bestFit="1" customWidth="1"/>
    <col min="4898" max="4898" width="12" style="1446" bestFit="1" customWidth="1"/>
    <col min="4899" max="5123" width="9.33203125" style="1446"/>
    <col min="5124" max="5124" width="45" style="1446" customWidth="1"/>
    <col min="5125" max="5125" width="22.33203125" style="1446" customWidth="1"/>
    <col min="5126" max="5127" width="13.1640625" style="1446" customWidth="1"/>
    <col min="5128" max="5140" width="13.5" style="1446" customWidth="1"/>
    <col min="5141" max="5141" width="13.1640625" style="1446" customWidth="1"/>
    <col min="5142" max="5142" width="11.83203125" style="1446" bestFit="1" customWidth="1"/>
    <col min="5143" max="5143" width="13.6640625" style="1446" bestFit="1" customWidth="1"/>
    <col min="5144" max="5144" width="11.83203125" style="1446" bestFit="1" customWidth="1"/>
    <col min="5145" max="5153" width="11.33203125" style="1446" bestFit="1" customWidth="1"/>
    <col min="5154" max="5154" width="12" style="1446" bestFit="1" customWidth="1"/>
    <col min="5155" max="5379" width="9.33203125" style="1446"/>
    <col min="5380" max="5380" width="45" style="1446" customWidth="1"/>
    <col min="5381" max="5381" width="22.33203125" style="1446" customWidth="1"/>
    <col min="5382" max="5383" width="13.1640625" style="1446" customWidth="1"/>
    <col min="5384" max="5396" width="13.5" style="1446" customWidth="1"/>
    <col min="5397" max="5397" width="13.1640625" style="1446" customWidth="1"/>
    <col min="5398" max="5398" width="11.83203125" style="1446" bestFit="1" customWidth="1"/>
    <col min="5399" max="5399" width="13.6640625" style="1446" bestFit="1" customWidth="1"/>
    <col min="5400" max="5400" width="11.83203125" style="1446" bestFit="1" customWidth="1"/>
    <col min="5401" max="5409" width="11.33203125" style="1446" bestFit="1" customWidth="1"/>
    <col min="5410" max="5410" width="12" style="1446" bestFit="1" customWidth="1"/>
    <col min="5411" max="5635" width="9.33203125" style="1446"/>
    <col min="5636" max="5636" width="45" style="1446" customWidth="1"/>
    <col min="5637" max="5637" width="22.33203125" style="1446" customWidth="1"/>
    <col min="5638" max="5639" width="13.1640625" style="1446" customWidth="1"/>
    <col min="5640" max="5652" width="13.5" style="1446" customWidth="1"/>
    <col min="5653" max="5653" width="13.1640625" style="1446" customWidth="1"/>
    <col min="5654" max="5654" width="11.83203125" style="1446" bestFit="1" customWidth="1"/>
    <col min="5655" max="5655" width="13.6640625" style="1446" bestFit="1" customWidth="1"/>
    <col min="5656" max="5656" width="11.83203125" style="1446" bestFit="1" customWidth="1"/>
    <col min="5657" max="5665" width="11.33203125" style="1446" bestFit="1" customWidth="1"/>
    <col min="5666" max="5666" width="12" style="1446" bestFit="1" customWidth="1"/>
    <col min="5667" max="5891" width="9.33203125" style="1446"/>
    <col min="5892" max="5892" width="45" style="1446" customWidth="1"/>
    <col min="5893" max="5893" width="22.33203125" style="1446" customWidth="1"/>
    <col min="5894" max="5895" width="13.1640625" style="1446" customWidth="1"/>
    <col min="5896" max="5908" width="13.5" style="1446" customWidth="1"/>
    <col min="5909" max="5909" width="13.1640625" style="1446" customWidth="1"/>
    <col min="5910" max="5910" width="11.83203125" style="1446" bestFit="1" customWidth="1"/>
    <col min="5911" max="5911" width="13.6640625" style="1446" bestFit="1" customWidth="1"/>
    <col min="5912" max="5912" width="11.83203125" style="1446" bestFit="1" customWidth="1"/>
    <col min="5913" max="5921" width="11.33203125" style="1446" bestFit="1" customWidth="1"/>
    <col min="5922" max="5922" width="12" style="1446" bestFit="1" customWidth="1"/>
    <col min="5923" max="6147" width="9.33203125" style="1446"/>
    <col min="6148" max="6148" width="45" style="1446" customWidth="1"/>
    <col min="6149" max="6149" width="22.33203125" style="1446" customWidth="1"/>
    <col min="6150" max="6151" width="13.1640625" style="1446" customWidth="1"/>
    <col min="6152" max="6164" width="13.5" style="1446" customWidth="1"/>
    <col min="6165" max="6165" width="13.1640625" style="1446" customWidth="1"/>
    <col min="6166" max="6166" width="11.83203125" style="1446" bestFit="1" customWidth="1"/>
    <col min="6167" max="6167" width="13.6640625" style="1446" bestFit="1" customWidth="1"/>
    <col min="6168" max="6168" width="11.83203125" style="1446" bestFit="1" customWidth="1"/>
    <col min="6169" max="6177" width="11.33203125" style="1446" bestFit="1" customWidth="1"/>
    <col min="6178" max="6178" width="12" style="1446" bestFit="1" customWidth="1"/>
    <col min="6179" max="6403" width="9.33203125" style="1446"/>
    <col min="6404" max="6404" width="45" style="1446" customWidth="1"/>
    <col min="6405" max="6405" width="22.33203125" style="1446" customWidth="1"/>
    <col min="6406" max="6407" width="13.1640625" style="1446" customWidth="1"/>
    <col min="6408" max="6420" width="13.5" style="1446" customWidth="1"/>
    <col min="6421" max="6421" width="13.1640625" style="1446" customWidth="1"/>
    <col min="6422" max="6422" width="11.83203125" style="1446" bestFit="1" customWidth="1"/>
    <col min="6423" max="6423" width="13.6640625" style="1446" bestFit="1" customWidth="1"/>
    <col min="6424" max="6424" width="11.83203125" style="1446" bestFit="1" customWidth="1"/>
    <col min="6425" max="6433" width="11.33203125" style="1446" bestFit="1" customWidth="1"/>
    <col min="6434" max="6434" width="12" style="1446" bestFit="1" customWidth="1"/>
    <col min="6435" max="6659" width="9.33203125" style="1446"/>
    <col min="6660" max="6660" width="45" style="1446" customWidth="1"/>
    <col min="6661" max="6661" width="22.33203125" style="1446" customWidth="1"/>
    <col min="6662" max="6663" width="13.1640625" style="1446" customWidth="1"/>
    <col min="6664" max="6676" width="13.5" style="1446" customWidth="1"/>
    <col min="6677" max="6677" width="13.1640625" style="1446" customWidth="1"/>
    <col min="6678" max="6678" width="11.83203125" style="1446" bestFit="1" customWidth="1"/>
    <col min="6679" max="6679" width="13.6640625" style="1446" bestFit="1" customWidth="1"/>
    <col min="6680" max="6680" width="11.83203125" style="1446" bestFit="1" customWidth="1"/>
    <col min="6681" max="6689" width="11.33203125" style="1446" bestFit="1" customWidth="1"/>
    <col min="6690" max="6690" width="12" style="1446" bestFit="1" customWidth="1"/>
    <col min="6691" max="6915" width="9.33203125" style="1446"/>
    <col min="6916" max="6916" width="45" style="1446" customWidth="1"/>
    <col min="6917" max="6917" width="22.33203125" style="1446" customWidth="1"/>
    <col min="6918" max="6919" width="13.1640625" style="1446" customWidth="1"/>
    <col min="6920" max="6932" width="13.5" style="1446" customWidth="1"/>
    <col min="6933" max="6933" width="13.1640625" style="1446" customWidth="1"/>
    <col min="6934" max="6934" width="11.83203125" style="1446" bestFit="1" customWidth="1"/>
    <col min="6935" max="6935" width="13.6640625" style="1446" bestFit="1" customWidth="1"/>
    <col min="6936" max="6936" width="11.83203125" style="1446" bestFit="1" customWidth="1"/>
    <col min="6937" max="6945" width="11.33203125" style="1446" bestFit="1" customWidth="1"/>
    <col min="6946" max="6946" width="12" style="1446" bestFit="1" customWidth="1"/>
    <col min="6947" max="7171" width="9.33203125" style="1446"/>
    <col min="7172" max="7172" width="45" style="1446" customWidth="1"/>
    <col min="7173" max="7173" width="22.33203125" style="1446" customWidth="1"/>
    <col min="7174" max="7175" width="13.1640625" style="1446" customWidth="1"/>
    <col min="7176" max="7188" width="13.5" style="1446" customWidth="1"/>
    <col min="7189" max="7189" width="13.1640625" style="1446" customWidth="1"/>
    <col min="7190" max="7190" width="11.83203125" style="1446" bestFit="1" customWidth="1"/>
    <col min="7191" max="7191" width="13.6640625" style="1446" bestFit="1" customWidth="1"/>
    <col min="7192" max="7192" width="11.83203125" style="1446" bestFit="1" customWidth="1"/>
    <col min="7193" max="7201" width="11.33203125" style="1446" bestFit="1" customWidth="1"/>
    <col min="7202" max="7202" width="12" style="1446" bestFit="1" customWidth="1"/>
    <col min="7203" max="7427" width="9.33203125" style="1446"/>
    <col min="7428" max="7428" width="45" style="1446" customWidth="1"/>
    <col min="7429" max="7429" width="22.33203125" style="1446" customWidth="1"/>
    <col min="7430" max="7431" width="13.1640625" style="1446" customWidth="1"/>
    <col min="7432" max="7444" width="13.5" style="1446" customWidth="1"/>
    <col min="7445" max="7445" width="13.1640625" style="1446" customWidth="1"/>
    <col min="7446" max="7446" width="11.83203125" style="1446" bestFit="1" customWidth="1"/>
    <col min="7447" max="7447" width="13.6640625" style="1446" bestFit="1" customWidth="1"/>
    <col min="7448" max="7448" width="11.83203125" style="1446" bestFit="1" customWidth="1"/>
    <col min="7449" max="7457" width="11.33203125" style="1446" bestFit="1" customWidth="1"/>
    <col min="7458" max="7458" width="12" style="1446" bestFit="1" customWidth="1"/>
    <col min="7459" max="7683" width="9.33203125" style="1446"/>
    <col min="7684" max="7684" width="45" style="1446" customWidth="1"/>
    <col min="7685" max="7685" width="22.33203125" style="1446" customWidth="1"/>
    <col min="7686" max="7687" width="13.1640625" style="1446" customWidth="1"/>
    <col min="7688" max="7700" width="13.5" style="1446" customWidth="1"/>
    <col min="7701" max="7701" width="13.1640625" style="1446" customWidth="1"/>
    <col min="7702" max="7702" width="11.83203125" style="1446" bestFit="1" customWidth="1"/>
    <col min="7703" max="7703" width="13.6640625" style="1446" bestFit="1" customWidth="1"/>
    <col min="7704" max="7704" width="11.83203125" style="1446" bestFit="1" customWidth="1"/>
    <col min="7705" max="7713" width="11.33203125" style="1446" bestFit="1" customWidth="1"/>
    <col min="7714" max="7714" width="12" style="1446" bestFit="1" customWidth="1"/>
    <col min="7715" max="7939" width="9.33203125" style="1446"/>
    <col min="7940" max="7940" width="45" style="1446" customWidth="1"/>
    <col min="7941" max="7941" width="22.33203125" style="1446" customWidth="1"/>
    <col min="7942" max="7943" width="13.1640625" style="1446" customWidth="1"/>
    <col min="7944" max="7956" width="13.5" style="1446" customWidth="1"/>
    <col min="7957" max="7957" width="13.1640625" style="1446" customWidth="1"/>
    <col min="7958" max="7958" width="11.83203125" style="1446" bestFit="1" customWidth="1"/>
    <col min="7959" max="7959" width="13.6640625" style="1446" bestFit="1" customWidth="1"/>
    <col min="7960" max="7960" width="11.83203125" style="1446" bestFit="1" customWidth="1"/>
    <col min="7961" max="7969" width="11.33203125" style="1446" bestFit="1" customWidth="1"/>
    <col min="7970" max="7970" width="12" style="1446" bestFit="1" customWidth="1"/>
    <col min="7971" max="8195" width="9.33203125" style="1446"/>
    <col min="8196" max="8196" width="45" style="1446" customWidth="1"/>
    <col min="8197" max="8197" width="22.33203125" style="1446" customWidth="1"/>
    <col min="8198" max="8199" width="13.1640625" style="1446" customWidth="1"/>
    <col min="8200" max="8212" width="13.5" style="1446" customWidth="1"/>
    <col min="8213" max="8213" width="13.1640625" style="1446" customWidth="1"/>
    <col min="8214" max="8214" width="11.83203125" style="1446" bestFit="1" customWidth="1"/>
    <col min="8215" max="8215" width="13.6640625" style="1446" bestFit="1" customWidth="1"/>
    <col min="8216" max="8216" width="11.83203125" style="1446" bestFit="1" customWidth="1"/>
    <col min="8217" max="8225" width="11.33203125" style="1446" bestFit="1" customWidth="1"/>
    <col min="8226" max="8226" width="12" style="1446" bestFit="1" customWidth="1"/>
    <col min="8227" max="8451" width="9.33203125" style="1446"/>
    <col min="8452" max="8452" width="45" style="1446" customWidth="1"/>
    <col min="8453" max="8453" width="22.33203125" style="1446" customWidth="1"/>
    <col min="8454" max="8455" width="13.1640625" style="1446" customWidth="1"/>
    <col min="8456" max="8468" width="13.5" style="1446" customWidth="1"/>
    <col min="8469" max="8469" width="13.1640625" style="1446" customWidth="1"/>
    <col min="8470" max="8470" width="11.83203125" style="1446" bestFit="1" customWidth="1"/>
    <col min="8471" max="8471" width="13.6640625" style="1446" bestFit="1" customWidth="1"/>
    <col min="8472" max="8472" width="11.83203125" style="1446" bestFit="1" customWidth="1"/>
    <col min="8473" max="8481" width="11.33203125" style="1446" bestFit="1" customWidth="1"/>
    <col min="8482" max="8482" width="12" style="1446" bestFit="1" customWidth="1"/>
    <col min="8483" max="8707" width="9.33203125" style="1446"/>
    <col min="8708" max="8708" width="45" style="1446" customWidth="1"/>
    <col min="8709" max="8709" width="22.33203125" style="1446" customWidth="1"/>
    <col min="8710" max="8711" width="13.1640625" style="1446" customWidth="1"/>
    <col min="8712" max="8724" width="13.5" style="1446" customWidth="1"/>
    <col min="8725" max="8725" width="13.1640625" style="1446" customWidth="1"/>
    <col min="8726" max="8726" width="11.83203125" style="1446" bestFit="1" customWidth="1"/>
    <col min="8727" max="8727" width="13.6640625" style="1446" bestFit="1" customWidth="1"/>
    <col min="8728" max="8728" width="11.83203125" style="1446" bestFit="1" customWidth="1"/>
    <col min="8729" max="8737" width="11.33203125" style="1446" bestFit="1" customWidth="1"/>
    <col min="8738" max="8738" width="12" style="1446" bestFit="1" customWidth="1"/>
    <col min="8739" max="8963" width="9.33203125" style="1446"/>
    <col min="8964" max="8964" width="45" style="1446" customWidth="1"/>
    <col min="8965" max="8965" width="22.33203125" style="1446" customWidth="1"/>
    <col min="8966" max="8967" width="13.1640625" style="1446" customWidth="1"/>
    <col min="8968" max="8980" width="13.5" style="1446" customWidth="1"/>
    <col min="8981" max="8981" width="13.1640625" style="1446" customWidth="1"/>
    <col min="8982" max="8982" width="11.83203125" style="1446" bestFit="1" customWidth="1"/>
    <col min="8983" max="8983" width="13.6640625" style="1446" bestFit="1" customWidth="1"/>
    <col min="8984" max="8984" width="11.83203125" style="1446" bestFit="1" customWidth="1"/>
    <col min="8985" max="8993" width="11.33203125" style="1446" bestFit="1" customWidth="1"/>
    <col min="8994" max="8994" width="12" style="1446" bestFit="1" customWidth="1"/>
    <col min="8995" max="9219" width="9.33203125" style="1446"/>
    <col min="9220" max="9220" width="45" style="1446" customWidth="1"/>
    <col min="9221" max="9221" width="22.33203125" style="1446" customWidth="1"/>
    <col min="9222" max="9223" width="13.1640625" style="1446" customWidth="1"/>
    <col min="9224" max="9236" width="13.5" style="1446" customWidth="1"/>
    <col min="9237" max="9237" width="13.1640625" style="1446" customWidth="1"/>
    <col min="9238" max="9238" width="11.83203125" style="1446" bestFit="1" customWidth="1"/>
    <col min="9239" max="9239" width="13.6640625" style="1446" bestFit="1" customWidth="1"/>
    <col min="9240" max="9240" width="11.83203125" style="1446" bestFit="1" customWidth="1"/>
    <col min="9241" max="9249" width="11.33203125" style="1446" bestFit="1" customWidth="1"/>
    <col min="9250" max="9250" width="12" style="1446" bestFit="1" customWidth="1"/>
    <col min="9251" max="9475" width="9.33203125" style="1446"/>
    <col min="9476" max="9476" width="45" style="1446" customWidth="1"/>
    <col min="9477" max="9477" width="22.33203125" style="1446" customWidth="1"/>
    <col min="9478" max="9479" width="13.1640625" style="1446" customWidth="1"/>
    <col min="9480" max="9492" width="13.5" style="1446" customWidth="1"/>
    <col min="9493" max="9493" width="13.1640625" style="1446" customWidth="1"/>
    <col min="9494" max="9494" width="11.83203125" style="1446" bestFit="1" customWidth="1"/>
    <col min="9495" max="9495" width="13.6640625" style="1446" bestFit="1" customWidth="1"/>
    <col min="9496" max="9496" width="11.83203125" style="1446" bestFit="1" customWidth="1"/>
    <col min="9497" max="9505" width="11.33203125" style="1446" bestFit="1" customWidth="1"/>
    <col min="9506" max="9506" width="12" style="1446" bestFit="1" customWidth="1"/>
    <col min="9507" max="9731" width="9.33203125" style="1446"/>
    <col min="9732" max="9732" width="45" style="1446" customWidth="1"/>
    <col min="9733" max="9733" width="22.33203125" style="1446" customWidth="1"/>
    <col min="9734" max="9735" width="13.1640625" style="1446" customWidth="1"/>
    <col min="9736" max="9748" width="13.5" style="1446" customWidth="1"/>
    <col min="9749" max="9749" width="13.1640625" style="1446" customWidth="1"/>
    <col min="9750" max="9750" width="11.83203125" style="1446" bestFit="1" customWidth="1"/>
    <col min="9751" max="9751" width="13.6640625" style="1446" bestFit="1" customWidth="1"/>
    <col min="9752" max="9752" width="11.83203125" style="1446" bestFit="1" customWidth="1"/>
    <col min="9753" max="9761" width="11.33203125" style="1446" bestFit="1" customWidth="1"/>
    <col min="9762" max="9762" width="12" style="1446" bestFit="1" customWidth="1"/>
    <col min="9763" max="9987" width="9.33203125" style="1446"/>
    <col min="9988" max="9988" width="45" style="1446" customWidth="1"/>
    <col min="9989" max="9989" width="22.33203125" style="1446" customWidth="1"/>
    <col min="9990" max="9991" width="13.1640625" style="1446" customWidth="1"/>
    <col min="9992" max="10004" width="13.5" style="1446" customWidth="1"/>
    <col min="10005" max="10005" width="13.1640625" style="1446" customWidth="1"/>
    <col min="10006" max="10006" width="11.83203125" style="1446" bestFit="1" customWidth="1"/>
    <col min="10007" max="10007" width="13.6640625" style="1446" bestFit="1" customWidth="1"/>
    <col min="10008" max="10008" width="11.83203125" style="1446" bestFit="1" customWidth="1"/>
    <col min="10009" max="10017" width="11.33203125" style="1446" bestFit="1" customWidth="1"/>
    <col min="10018" max="10018" width="12" style="1446" bestFit="1" customWidth="1"/>
    <col min="10019" max="10243" width="9.33203125" style="1446"/>
    <col min="10244" max="10244" width="45" style="1446" customWidth="1"/>
    <col min="10245" max="10245" width="22.33203125" style="1446" customWidth="1"/>
    <col min="10246" max="10247" width="13.1640625" style="1446" customWidth="1"/>
    <col min="10248" max="10260" width="13.5" style="1446" customWidth="1"/>
    <col min="10261" max="10261" width="13.1640625" style="1446" customWidth="1"/>
    <col min="10262" max="10262" width="11.83203125" style="1446" bestFit="1" customWidth="1"/>
    <col min="10263" max="10263" width="13.6640625" style="1446" bestFit="1" customWidth="1"/>
    <col min="10264" max="10264" width="11.83203125" style="1446" bestFit="1" customWidth="1"/>
    <col min="10265" max="10273" width="11.33203125" style="1446" bestFit="1" customWidth="1"/>
    <col min="10274" max="10274" width="12" style="1446" bestFit="1" customWidth="1"/>
    <col min="10275" max="10499" width="9.33203125" style="1446"/>
    <col min="10500" max="10500" width="45" style="1446" customWidth="1"/>
    <col min="10501" max="10501" width="22.33203125" style="1446" customWidth="1"/>
    <col min="10502" max="10503" width="13.1640625" style="1446" customWidth="1"/>
    <col min="10504" max="10516" width="13.5" style="1446" customWidth="1"/>
    <col min="10517" max="10517" width="13.1640625" style="1446" customWidth="1"/>
    <col min="10518" max="10518" width="11.83203125" style="1446" bestFit="1" customWidth="1"/>
    <col min="10519" max="10519" width="13.6640625" style="1446" bestFit="1" customWidth="1"/>
    <col min="10520" max="10520" width="11.83203125" style="1446" bestFit="1" customWidth="1"/>
    <col min="10521" max="10529" width="11.33203125" style="1446" bestFit="1" customWidth="1"/>
    <col min="10530" max="10530" width="12" style="1446" bestFit="1" customWidth="1"/>
    <col min="10531" max="10755" width="9.33203125" style="1446"/>
    <col min="10756" max="10756" width="45" style="1446" customWidth="1"/>
    <col min="10757" max="10757" width="22.33203125" style="1446" customWidth="1"/>
    <col min="10758" max="10759" width="13.1640625" style="1446" customWidth="1"/>
    <col min="10760" max="10772" width="13.5" style="1446" customWidth="1"/>
    <col min="10773" max="10773" width="13.1640625" style="1446" customWidth="1"/>
    <col min="10774" max="10774" width="11.83203125" style="1446" bestFit="1" customWidth="1"/>
    <col min="10775" max="10775" width="13.6640625" style="1446" bestFit="1" customWidth="1"/>
    <col min="10776" max="10776" width="11.83203125" style="1446" bestFit="1" customWidth="1"/>
    <col min="10777" max="10785" width="11.33203125" style="1446" bestFit="1" customWidth="1"/>
    <col min="10786" max="10786" width="12" style="1446" bestFit="1" customWidth="1"/>
    <col min="10787" max="11011" width="9.33203125" style="1446"/>
    <col min="11012" max="11012" width="45" style="1446" customWidth="1"/>
    <col min="11013" max="11013" width="22.33203125" style="1446" customWidth="1"/>
    <col min="11014" max="11015" width="13.1640625" style="1446" customWidth="1"/>
    <col min="11016" max="11028" width="13.5" style="1446" customWidth="1"/>
    <col min="11029" max="11029" width="13.1640625" style="1446" customWidth="1"/>
    <col min="11030" max="11030" width="11.83203125" style="1446" bestFit="1" customWidth="1"/>
    <col min="11031" max="11031" width="13.6640625" style="1446" bestFit="1" customWidth="1"/>
    <col min="11032" max="11032" width="11.83203125" style="1446" bestFit="1" customWidth="1"/>
    <col min="11033" max="11041" width="11.33203125" style="1446" bestFit="1" customWidth="1"/>
    <col min="11042" max="11042" width="12" style="1446" bestFit="1" customWidth="1"/>
    <col min="11043" max="11267" width="9.33203125" style="1446"/>
    <col min="11268" max="11268" width="45" style="1446" customWidth="1"/>
    <col min="11269" max="11269" width="22.33203125" style="1446" customWidth="1"/>
    <col min="11270" max="11271" width="13.1640625" style="1446" customWidth="1"/>
    <col min="11272" max="11284" width="13.5" style="1446" customWidth="1"/>
    <col min="11285" max="11285" width="13.1640625" style="1446" customWidth="1"/>
    <col min="11286" max="11286" width="11.83203125" style="1446" bestFit="1" customWidth="1"/>
    <col min="11287" max="11287" width="13.6640625" style="1446" bestFit="1" customWidth="1"/>
    <col min="11288" max="11288" width="11.83203125" style="1446" bestFit="1" customWidth="1"/>
    <col min="11289" max="11297" width="11.33203125" style="1446" bestFit="1" customWidth="1"/>
    <col min="11298" max="11298" width="12" style="1446" bestFit="1" customWidth="1"/>
    <col min="11299" max="11523" width="9.33203125" style="1446"/>
    <col min="11524" max="11524" width="45" style="1446" customWidth="1"/>
    <col min="11525" max="11525" width="22.33203125" style="1446" customWidth="1"/>
    <col min="11526" max="11527" width="13.1640625" style="1446" customWidth="1"/>
    <col min="11528" max="11540" width="13.5" style="1446" customWidth="1"/>
    <col min="11541" max="11541" width="13.1640625" style="1446" customWidth="1"/>
    <col min="11542" max="11542" width="11.83203125" style="1446" bestFit="1" customWidth="1"/>
    <col min="11543" max="11543" width="13.6640625" style="1446" bestFit="1" customWidth="1"/>
    <col min="11544" max="11544" width="11.83203125" style="1446" bestFit="1" customWidth="1"/>
    <col min="11545" max="11553" width="11.33203125" style="1446" bestFit="1" customWidth="1"/>
    <col min="11554" max="11554" width="12" style="1446" bestFit="1" customWidth="1"/>
    <col min="11555" max="11779" width="9.33203125" style="1446"/>
    <col min="11780" max="11780" width="45" style="1446" customWidth="1"/>
    <col min="11781" max="11781" width="22.33203125" style="1446" customWidth="1"/>
    <col min="11782" max="11783" width="13.1640625" style="1446" customWidth="1"/>
    <col min="11784" max="11796" width="13.5" style="1446" customWidth="1"/>
    <col min="11797" max="11797" width="13.1640625" style="1446" customWidth="1"/>
    <col min="11798" max="11798" width="11.83203125" style="1446" bestFit="1" customWidth="1"/>
    <col min="11799" max="11799" width="13.6640625" style="1446" bestFit="1" customWidth="1"/>
    <col min="11800" max="11800" width="11.83203125" style="1446" bestFit="1" customWidth="1"/>
    <col min="11801" max="11809" width="11.33203125" style="1446" bestFit="1" customWidth="1"/>
    <col min="11810" max="11810" width="12" style="1446" bestFit="1" customWidth="1"/>
    <col min="11811" max="12035" width="9.33203125" style="1446"/>
    <col min="12036" max="12036" width="45" style="1446" customWidth="1"/>
    <col min="12037" max="12037" width="22.33203125" style="1446" customWidth="1"/>
    <col min="12038" max="12039" width="13.1640625" style="1446" customWidth="1"/>
    <col min="12040" max="12052" width="13.5" style="1446" customWidth="1"/>
    <col min="12053" max="12053" width="13.1640625" style="1446" customWidth="1"/>
    <col min="12054" max="12054" width="11.83203125" style="1446" bestFit="1" customWidth="1"/>
    <col min="12055" max="12055" width="13.6640625" style="1446" bestFit="1" customWidth="1"/>
    <col min="12056" max="12056" width="11.83203125" style="1446" bestFit="1" customWidth="1"/>
    <col min="12057" max="12065" width="11.33203125" style="1446" bestFit="1" customWidth="1"/>
    <col min="12066" max="12066" width="12" style="1446" bestFit="1" customWidth="1"/>
    <col min="12067" max="12291" width="9.33203125" style="1446"/>
    <col min="12292" max="12292" width="45" style="1446" customWidth="1"/>
    <col min="12293" max="12293" width="22.33203125" style="1446" customWidth="1"/>
    <col min="12294" max="12295" width="13.1640625" style="1446" customWidth="1"/>
    <col min="12296" max="12308" width="13.5" style="1446" customWidth="1"/>
    <col min="12309" max="12309" width="13.1640625" style="1446" customWidth="1"/>
    <col min="12310" max="12310" width="11.83203125" style="1446" bestFit="1" customWidth="1"/>
    <col min="12311" max="12311" width="13.6640625" style="1446" bestFit="1" customWidth="1"/>
    <col min="12312" max="12312" width="11.83203125" style="1446" bestFit="1" customWidth="1"/>
    <col min="12313" max="12321" width="11.33203125" style="1446" bestFit="1" customWidth="1"/>
    <col min="12322" max="12322" width="12" style="1446" bestFit="1" customWidth="1"/>
    <col min="12323" max="12547" width="9.33203125" style="1446"/>
    <col min="12548" max="12548" width="45" style="1446" customWidth="1"/>
    <col min="12549" max="12549" width="22.33203125" style="1446" customWidth="1"/>
    <col min="12550" max="12551" width="13.1640625" style="1446" customWidth="1"/>
    <col min="12552" max="12564" width="13.5" style="1446" customWidth="1"/>
    <col min="12565" max="12565" width="13.1640625" style="1446" customWidth="1"/>
    <col min="12566" max="12566" width="11.83203125" style="1446" bestFit="1" customWidth="1"/>
    <col min="12567" max="12567" width="13.6640625" style="1446" bestFit="1" customWidth="1"/>
    <col min="12568" max="12568" width="11.83203125" style="1446" bestFit="1" customWidth="1"/>
    <col min="12569" max="12577" width="11.33203125" style="1446" bestFit="1" customWidth="1"/>
    <col min="12578" max="12578" width="12" style="1446" bestFit="1" customWidth="1"/>
    <col min="12579" max="12803" width="9.33203125" style="1446"/>
    <col min="12804" max="12804" width="45" style="1446" customWidth="1"/>
    <col min="12805" max="12805" width="22.33203125" style="1446" customWidth="1"/>
    <col min="12806" max="12807" width="13.1640625" style="1446" customWidth="1"/>
    <col min="12808" max="12820" width="13.5" style="1446" customWidth="1"/>
    <col min="12821" max="12821" width="13.1640625" style="1446" customWidth="1"/>
    <col min="12822" max="12822" width="11.83203125" style="1446" bestFit="1" customWidth="1"/>
    <col min="12823" max="12823" width="13.6640625" style="1446" bestFit="1" customWidth="1"/>
    <col min="12824" max="12824" width="11.83203125" style="1446" bestFit="1" customWidth="1"/>
    <col min="12825" max="12833" width="11.33203125" style="1446" bestFit="1" customWidth="1"/>
    <col min="12834" max="12834" width="12" style="1446" bestFit="1" customWidth="1"/>
    <col min="12835" max="13059" width="9.33203125" style="1446"/>
    <col min="13060" max="13060" width="45" style="1446" customWidth="1"/>
    <col min="13061" max="13061" width="22.33203125" style="1446" customWidth="1"/>
    <col min="13062" max="13063" width="13.1640625" style="1446" customWidth="1"/>
    <col min="13064" max="13076" width="13.5" style="1446" customWidth="1"/>
    <col min="13077" max="13077" width="13.1640625" style="1446" customWidth="1"/>
    <col min="13078" max="13078" width="11.83203125" style="1446" bestFit="1" customWidth="1"/>
    <col min="13079" max="13079" width="13.6640625" style="1446" bestFit="1" customWidth="1"/>
    <col min="13080" max="13080" width="11.83203125" style="1446" bestFit="1" customWidth="1"/>
    <col min="13081" max="13089" width="11.33203125" style="1446" bestFit="1" customWidth="1"/>
    <col min="13090" max="13090" width="12" style="1446" bestFit="1" customWidth="1"/>
    <col min="13091" max="13315" width="9.33203125" style="1446"/>
    <col min="13316" max="13316" width="45" style="1446" customWidth="1"/>
    <col min="13317" max="13317" width="22.33203125" style="1446" customWidth="1"/>
    <col min="13318" max="13319" width="13.1640625" style="1446" customWidth="1"/>
    <col min="13320" max="13332" width="13.5" style="1446" customWidth="1"/>
    <col min="13333" max="13333" width="13.1640625" style="1446" customWidth="1"/>
    <col min="13334" max="13334" width="11.83203125" style="1446" bestFit="1" customWidth="1"/>
    <col min="13335" max="13335" width="13.6640625" style="1446" bestFit="1" customWidth="1"/>
    <col min="13336" max="13336" width="11.83203125" style="1446" bestFit="1" customWidth="1"/>
    <col min="13337" max="13345" width="11.33203125" style="1446" bestFit="1" customWidth="1"/>
    <col min="13346" max="13346" width="12" style="1446" bestFit="1" customWidth="1"/>
    <col min="13347" max="13571" width="9.33203125" style="1446"/>
    <col min="13572" max="13572" width="45" style="1446" customWidth="1"/>
    <col min="13573" max="13573" width="22.33203125" style="1446" customWidth="1"/>
    <col min="13574" max="13575" width="13.1640625" style="1446" customWidth="1"/>
    <col min="13576" max="13588" width="13.5" style="1446" customWidth="1"/>
    <col min="13589" max="13589" width="13.1640625" style="1446" customWidth="1"/>
    <col min="13590" max="13590" width="11.83203125" style="1446" bestFit="1" customWidth="1"/>
    <col min="13591" max="13591" width="13.6640625" style="1446" bestFit="1" customWidth="1"/>
    <col min="13592" max="13592" width="11.83203125" style="1446" bestFit="1" customWidth="1"/>
    <col min="13593" max="13601" width="11.33203125" style="1446" bestFit="1" customWidth="1"/>
    <col min="13602" max="13602" width="12" style="1446" bestFit="1" customWidth="1"/>
    <col min="13603" max="13827" width="9.33203125" style="1446"/>
    <col min="13828" max="13828" width="45" style="1446" customWidth="1"/>
    <col min="13829" max="13829" width="22.33203125" style="1446" customWidth="1"/>
    <col min="13830" max="13831" width="13.1640625" style="1446" customWidth="1"/>
    <col min="13832" max="13844" width="13.5" style="1446" customWidth="1"/>
    <col min="13845" max="13845" width="13.1640625" style="1446" customWidth="1"/>
    <col min="13846" max="13846" width="11.83203125" style="1446" bestFit="1" customWidth="1"/>
    <col min="13847" max="13847" width="13.6640625" style="1446" bestFit="1" customWidth="1"/>
    <col min="13848" max="13848" width="11.83203125" style="1446" bestFit="1" customWidth="1"/>
    <col min="13849" max="13857" width="11.33203125" style="1446" bestFit="1" customWidth="1"/>
    <col min="13858" max="13858" width="12" style="1446" bestFit="1" customWidth="1"/>
    <col min="13859" max="14083" width="9.33203125" style="1446"/>
    <col min="14084" max="14084" width="45" style="1446" customWidth="1"/>
    <col min="14085" max="14085" width="22.33203125" style="1446" customWidth="1"/>
    <col min="14086" max="14087" width="13.1640625" style="1446" customWidth="1"/>
    <col min="14088" max="14100" width="13.5" style="1446" customWidth="1"/>
    <col min="14101" max="14101" width="13.1640625" style="1446" customWidth="1"/>
    <col min="14102" max="14102" width="11.83203125" style="1446" bestFit="1" customWidth="1"/>
    <col min="14103" max="14103" width="13.6640625" style="1446" bestFit="1" customWidth="1"/>
    <col min="14104" max="14104" width="11.83203125" style="1446" bestFit="1" customWidth="1"/>
    <col min="14105" max="14113" width="11.33203125" style="1446" bestFit="1" customWidth="1"/>
    <col min="14114" max="14114" width="12" style="1446" bestFit="1" customWidth="1"/>
    <col min="14115" max="14339" width="9.33203125" style="1446"/>
    <col min="14340" max="14340" width="45" style="1446" customWidth="1"/>
    <col min="14341" max="14341" width="22.33203125" style="1446" customWidth="1"/>
    <col min="14342" max="14343" width="13.1640625" style="1446" customWidth="1"/>
    <col min="14344" max="14356" width="13.5" style="1446" customWidth="1"/>
    <col min="14357" max="14357" width="13.1640625" style="1446" customWidth="1"/>
    <col min="14358" max="14358" width="11.83203125" style="1446" bestFit="1" customWidth="1"/>
    <col min="14359" max="14359" width="13.6640625" style="1446" bestFit="1" customWidth="1"/>
    <col min="14360" max="14360" width="11.83203125" style="1446" bestFit="1" customWidth="1"/>
    <col min="14361" max="14369" width="11.33203125" style="1446" bestFit="1" customWidth="1"/>
    <col min="14370" max="14370" width="12" style="1446" bestFit="1" customWidth="1"/>
    <col min="14371" max="14595" width="9.33203125" style="1446"/>
    <col min="14596" max="14596" width="45" style="1446" customWidth="1"/>
    <col min="14597" max="14597" width="22.33203125" style="1446" customWidth="1"/>
    <col min="14598" max="14599" width="13.1640625" style="1446" customWidth="1"/>
    <col min="14600" max="14612" width="13.5" style="1446" customWidth="1"/>
    <col min="14613" max="14613" width="13.1640625" style="1446" customWidth="1"/>
    <col min="14614" max="14614" width="11.83203125" style="1446" bestFit="1" customWidth="1"/>
    <col min="14615" max="14615" width="13.6640625" style="1446" bestFit="1" customWidth="1"/>
    <col min="14616" max="14616" width="11.83203125" style="1446" bestFit="1" customWidth="1"/>
    <col min="14617" max="14625" width="11.33203125" style="1446" bestFit="1" customWidth="1"/>
    <col min="14626" max="14626" width="12" style="1446" bestFit="1" customWidth="1"/>
    <col min="14627" max="14851" width="9.33203125" style="1446"/>
    <col min="14852" max="14852" width="45" style="1446" customWidth="1"/>
    <col min="14853" max="14853" width="22.33203125" style="1446" customWidth="1"/>
    <col min="14854" max="14855" width="13.1640625" style="1446" customWidth="1"/>
    <col min="14856" max="14868" width="13.5" style="1446" customWidth="1"/>
    <col min="14869" max="14869" width="13.1640625" style="1446" customWidth="1"/>
    <col min="14870" max="14870" width="11.83203125" style="1446" bestFit="1" customWidth="1"/>
    <col min="14871" max="14871" width="13.6640625" style="1446" bestFit="1" customWidth="1"/>
    <col min="14872" max="14872" width="11.83203125" style="1446" bestFit="1" customWidth="1"/>
    <col min="14873" max="14881" width="11.33203125" style="1446" bestFit="1" customWidth="1"/>
    <col min="14882" max="14882" width="12" style="1446" bestFit="1" customWidth="1"/>
    <col min="14883" max="15107" width="9.33203125" style="1446"/>
    <col min="15108" max="15108" width="45" style="1446" customWidth="1"/>
    <col min="15109" max="15109" width="22.33203125" style="1446" customWidth="1"/>
    <col min="15110" max="15111" width="13.1640625" style="1446" customWidth="1"/>
    <col min="15112" max="15124" width="13.5" style="1446" customWidth="1"/>
    <col min="15125" max="15125" width="13.1640625" style="1446" customWidth="1"/>
    <col min="15126" max="15126" width="11.83203125" style="1446" bestFit="1" customWidth="1"/>
    <col min="15127" max="15127" width="13.6640625" style="1446" bestFit="1" customWidth="1"/>
    <col min="15128" max="15128" width="11.83203125" style="1446" bestFit="1" customWidth="1"/>
    <col min="15129" max="15137" width="11.33203125" style="1446" bestFit="1" customWidth="1"/>
    <col min="15138" max="15138" width="12" style="1446" bestFit="1" customWidth="1"/>
    <col min="15139" max="15363" width="9.33203125" style="1446"/>
    <col min="15364" max="15364" width="45" style="1446" customWidth="1"/>
    <col min="15365" max="15365" width="22.33203125" style="1446" customWidth="1"/>
    <col min="15366" max="15367" width="13.1640625" style="1446" customWidth="1"/>
    <col min="15368" max="15380" width="13.5" style="1446" customWidth="1"/>
    <col min="15381" max="15381" width="13.1640625" style="1446" customWidth="1"/>
    <col min="15382" max="15382" width="11.83203125" style="1446" bestFit="1" customWidth="1"/>
    <col min="15383" max="15383" width="13.6640625" style="1446" bestFit="1" customWidth="1"/>
    <col min="15384" max="15384" width="11.83203125" style="1446" bestFit="1" customWidth="1"/>
    <col min="15385" max="15393" width="11.33203125" style="1446" bestFit="1" customWidth="1"/>
    <col min="15394" max="15394" width="12" style="1446" bestFit="1" customWidth="1"/>
    <col min="15395" max="15619" width="9.33203125" style="1446"/>
    <col min="15620" max="15620" width="45" style="1446" customWidth="1"/>
    <col min="15621" max="15621" width="22.33203125" style="1446" customWidth="1"/>
    <col min="15622" max="15623" width="13.1640625" style="1446" customWidth="1"/>
    <col min="15624" max="15636" width="13.5" style="1446" customWidth="1"/>
    <col min="15637" max="15637" width="13.1640625" style="1446" customWidth="1"/>
    <col min="15638" max="15638" width="11.83203125" style="1446" bestFit="1" customWidth="1"/>
    <col min="15639" max="15639" width="13.6640625" style="1446" bestFit="1" customWidth="1"/>
    <col min="15640" max="15640" width="11.83203125" style="1446" bestFit="1" customWidth="1"/>
    <col min="15641" max="15649" width="11.33203125" style="1446" bestFit="1" customWidth="1"/>
    <col min="15650" max="15650" width="12" style="1446" bestFit="1" customWidth="1"/>
    <col min="15651" max="15875" width="9.33203125" style="1446"/>
    <col min="15876" max="15876" width="45" style="1446" customWidth="1"/>
    <col min="15877" max="15877" width="22.33203125" style="1446" customWidth="1"/>
    <col min="15878" max="15879" width="13.1640625" style="1446" customWidth="1"/>
    <col min="15880" max="15892" width="13.5" style="1446" customWidth="1"/>
    <col min="15893" max="15893" width="13.1640625" style="1446" customWidth="1"/>
    <col min="15894" max="15894" width="11.83203125" style="1446" bestFit="1" customWidth="1"/>
    <col min="15895" max="15895" width="13.6640625" style="1446" bestFit="1" customWidth="1"/>
    <col min="15896" max="15896" width="11.83203125" style="1446" bestFit="1" customWidth="1"/>
    <col min="15897" max="15905" width="11.33203125" style="1446" bestFit="1" customWidth="1"/>
    <col min="15906" max="15906" width="12" style="1446" bestFit="1" customWidth="1"/>
    <col min="15907" max="16131" width="9.33203125" style="1446"/>
    <col min="16132" max="16132" width="45" style="1446" customWidth="1"/>
    <col min="16133" max="16133" width="22.33203125" style="1446" customWidth="1"/>
    <col min="16134" max="16135" width="13.1640625" style="1446" customWidth="1"/>
    <col min="16136" max="16148" width="13.5" style="1446" customWidth="1"/>
    <col min="16149" max="16149" width="13.1640625" style="1446" customWidth="1"/>
    <col min="16150" max="16150" width="11.83203125" style="1446" bestFit="1" customWidth="1"/>
    <col min="16151" max="16151" width="13.6640625" style="1446" bestFit="1" customWidth="1"/>
    <col min="16152" max="16152" width="11.83203125" style="1446" bestFit="1" customWidth="1"/>
    <col min="16153" max="16161" width="11.33203125" style="1446" bestFit="1" customWidth="1"/>
    <col min="16162" max="16162" width="12" style="1446" bestFit="1" customWidth="1"/>
    <col min="16163" max="16384" width="9.33203125" style="1446"/>
  </cols>
  <sheetData>
    <row r="1" spans="1:35">
      <c r="A1" s="1445" t="s">
        <v>2218</v>
      </c>
    </row>
    <row r="2" spans="1:35">
      <c r="F2" s="1447" t="s">
        <v>2219</v>
      </c>
      <c r="G2" s="1447" t="s">
        <v>2220</v>
      </c>
      <c r="H2" s="1447"/>
      <c r="I2" s="1447" t="s">
        <v>2221</v>
      </c>
      <c r="J2" s="1447" t="s">
        <v>2222</v>
      </c>
      <c r="K2" s="1447" t="s">
        <v>2223</v>
      </c>
      <c r="L2" s="1447" t="s">
        <v>2224</v>
      </c>
      <c r="M2" s="1447" t="s">
        <v>2225</v>
      </c>
      <c r="N2" s="1447" t="s">
        <v>2226</v>
      </c>
      <c r="O2" s="1447" t="s">
        <v>2227</v>
      </c>
      <c r="P2" s="1447" t="s">
        <v>2228</v>
      </c>
      <c r="Q2" s="1447" t="s">
        <v>2229</v>
      </c>
      <c r="R2" s="1447" t="s">
        <v>2230</v>
      </c>
      <c r="S2" s="1447" t="s">
        <v>2219</v>
      </c>
      <c r="T2" s="1447" t="s">
        <v>2220</v>
      </c>
      <c r="V2" s="1447" t="s">
        <v>2221</v>
      </c>
      <c r="W2" s="1447" t="s">
        <v>2222</v>
      </c>
      <c r="X2" s="1447" t="s">
        <v>2223</v>
      </c>
      <c r="Y2" s="1447" t="s">
        <v>2224</v>
      </c>
      <c r="Z2" s="1447" t="s">
        <v>2225</v>
      </c>
      <c r="AA2" s="1447" t="s">
        <v>2226</v>
      </c>
      <c r="AB2" s="1447" t="s">
        <v>2227</v>
      </c>
      <c r="AC2" s="1447" t="s">
        <v>2228</v>
      </c>
      <c r="AD2" s="1447" t="s">
        <v>2229</v>
      </c>
      <c r="AE2" s="1447" t="s">
        <v>2230</v>
      </c>
      <c r="AF2" s="1447" t="s">
        <v>2219</v>
      </c>
      <c r="AG2" s="1447" t="s">
        <v>2220</v>
      </c>
    </row>
    <row r="3" spans="1:35" ht="12.75" thickBot="1">
      <c r="A3" s="1448"/>
      <c r="B3" s="1449"/>
      <c r="C3" s="1450"/>
      <c r="D3" s="1450"/>
      <c r="F3" s="1908"/>
      <c r="G3" s="1908"/>
      <c r="H3" s="1908"/>
      <c r="I3" s="1908"/>
      <c r="J3" s="1908"/>
      <c r="K3" s="1908"/>
      <c r="L3" s="1908"/>
      <c r="M3" s="1908"/>
      <c r="N3" s="1908"/>
      <c r="O3" s="1908"/>
      <c r="P3" s="1908"/>
      <c r="Q3" s="1451"/>
      <c r="R3" s="1451"/>
      <c r="S3" s="1451"/>
      <c r="T3" s="1451"/>
      <c r="U3" s="1452"/>
      <c r="V3" s="1908"/>
      <c r="W3" s="1908"/>
      <c r="X3" s="1908"/>
      <c r="Y3" s="1908"/>
      <c r="Z3" s="1908"/>
      <c r="AA3" s="1908"/>
      <c r="AB3" s="1908"/>
      <c r="AC3" s="1908"/>
      <c r="AD3" s="1908"/>
      <c r="AE3" s="1908"/>
      <c r="AF3" s="1451"/>
      <c r="AG3" s="1451"/>
      <c r="AH3" s="1452"/>
    </row>
    <row r="4" spans="1:35" ht="12.75" thickBot="1">
      <c r="A4" s="1448"/>
      <c r="B4" s="1449"/>
      <c r="C4" s="1450"/>
      <c r="D4" s="1450"/>
      <c r="F4" s="1909">
        <v>2018</v>
      </c>
      <c r="G4" s="1910"/>
      <c r="H4" s="1453"/>
      <c r="I4" s="1909">
        <v>2019</v>
      </c>
      <c r="J4" s="1911"/>
      <c r="K4" s="1911"/>
      <c r="L4" s="1911"/>
      <c r="M4" s="1911"/>
      <c r="N4" s="1911"/>
      <c r="O4" s="1911"/>
      <c r="P4" s="1911"/>
      <c r="Q4" s="1911"/>
      <c r="R4" s="1911"/>
      <c r="S4" s="1911"/>
      <c r="T4" s="1910"/>
      <c r="U4" s="1453"/>
      <c r="V4" s="1909">
        <v>2020</v>
      </c>
      <c r="W4" s="1912"/>
      <c r="X4" s="1912"/>
      <c r="Y4" s="1912"/>
      <c r="Z4" s="1912"/>
      <c r="AA4" s="1912"/>
      <c r="AB4" s="1912"/>
      <c r="AC4" s="1912"/>
      <c r="AD4" s="1912"/>
      <c r="AE4" s="1912"/>
      <c r="AF4" s="1913"/>
      <c r="AG4" s="1914"/>
      <c r="AH4" s="1453"/>
      <c r="AI4" s="1446" t="s">
        <v>2231</v>
      </c>
    </row>
    <row r="5" spans="1:35" s="1447" customFormat="1">
      <c r="A5" s="1454"/>
      <c r="B5" s="1454"/>
      <c r="C5" s="1454"/>
      <c r="D5" s="1454"/>
      <c r="E5" s="1454"/>
      <c r="F5" s="1447">
        <v>1</v>
      </c>
      <c r="G5" s="1447">
        <v>2</v>
      </c>
      <c r="H5" s="1447" t="s">
        <v>2232</v>
      </c>
      <c r="I5" s="1447">
        <v>3</v>
      </c>
      <c r="J5" s="1447">
        <v>4</v>
      </c>
      <c r="K5" s="1447">
        <v>5</v>
      </c>
      <c r="L5" s="1447">
        <v>6</v>
      </c>
      <c r="M5" s="1447">
        <v>7</v>
      </c>
      <c r="N5" s="1447">
        <v>8</v>
      </c>
      <c r="O5" s="1447">
        <v>9</v>
      </c>
      <c r="P5" s="1447">
        <v>10</v>
      </c>
      <c r="Q5" s="1447">
        <v>11</v>
      </c>
      <c r="R5" s="1447">
        <v>12</v>
      </c>
      <c r="S5" s="1447">
        <v>13</v>
      </c>
      <c r="T5" s="1447">
        <v>14</v>
      </c>
      <c r="U5" s="1447" t="s">
        <v>2232</v>
      </c>
      <c r="V5" s="1447">
        <v>15</v>
      </c>
      <c r="W5" s="1447">
        <v>16</v>
      </c>
      <c r="X5" s="1447">
        <v>17</v>
      </c>
      <c r="Y5" s="1447">
        <v>18</v>
      </c>
      <c r="Z5" s="1447">
        <v>19</v>
      </c>
      <c r="AA5" s="1447">
        <v>20</v>
      </c>
      <c r="AB5" s="1447">
        <v>21</v>
      </c>
      <c r="AC5" s="1447">
        <v>22</v>
      </c>
      <c r="AD5" s="1447">
        <v>23</v>
      </c>
      <c r="AE5" s="1447">
        <v>24</v>
      </c>
      <c r="AF5" s="1447">
        <v>25</v>
      </c>
      <c r="AG5" s="1447">
        <v>26</v>
      </c>
      <c r="AH5" s="1447" t="s">
        <v>2232</v>
      </c>
    </row>
    <row r="6" spans="1:35">
      <c r="A6" s="1455" t="s">
        <v>2233</v>
      </c>
      <c r="B6" s="1456"/>
      <c r="C6" s="1907"/>
      <c r="D6" s="1907"/>
      <c r="E6" s="1907"/>
      <c r="H6" s="1457"/>
      <c r="U6" s="1457"/>
      <c r="AH6" s="1457"/>
    </row>
    <row r="7" spans="1:35">
      <c r="A7" s="1458" t="s">
        <v>2234</v>
      </c>
      <c r="B7" s="1458"/>
      <c r="C7" s="1459"/>
      <c r="D7" s="1459"/>
      <c r="E7" s="1459"/>
      <c r="F7" s="1460"/>
      <c r="G7" s="1460"/>
      <c r="H7" s="1461"/>
      <c r="I7" s="1460"/>
      <c r="J7" s="1460"/>
      <c r="K7" s="1460"/>
      <c r="L7" s="1460"/>
      <c r="M7" s="1460"/>
      <c r="N7" s="1460"/>
      <c r="O7" s="1460"/>
      <c r="P7" s="1460"/>
      <c r="Q7" s="1460"/>
      <c r="R7" s="1460"/>
      <c r="S7" s="1460"/>
      <c r="T7" s="1460"/>
      <c r="U7" s="1461"/>
      <c r="V7" s="1460"/>
      <c r="W7" s="1460"/>
      <c r="X7" s="1460"/>
      <c r="Y7" s="1460"/>
      <c r="Z7" s="1460"/>
      <c r="AA7" s="1460"/>
      <c r="AB7" s="1460"/>
      <c r="AC7" s="1460"/>
      <c r="AD7" s="1460"/>
      <c r="AE7" s="1460"/>
      <c r="AF7" s="1460"/>
      <c r="AG7" s="1460"/>
      <c r="AH7" s="1461"/>
    </row>
    <row r="8" spans="1:35">
      <c r="A8" s="1462" t="s">
        <v>2235</v>
      </c>
      <c r="B8" s="1462"/>
      <c r="C8" s="1462"/>
      <c r="D8" s="1462"/>
      <c r="E8" s="1462"/>
      <c r="F8" s="1463">
        <v>4883</v>
      </c>
      <c r="G8" s="1463">
        <v>5000</v>
      </c>
      <c r="H8" s="1464">
        <f>SUM(F8:G8)</f>
        <v>9883</v>
      </c>
      <c r="I8" s="1463">
        <v>5000</v>
      </c>
      <c r="J8" s="1463">
        <v>9000</v>
      </c>
      <c r="K8" s="1463">
        <v>10000</v>
      </c>
      <c r="L8" s="1463">
        <v>10000</v>
      </c>
      <c r="M8" s="1463">
        <v>10000</v>
      </c>
      <c r="N8" s="1463">
        <v>10000</v>
      </c>
      <c r="O8" s="1463">
        <v>10000</v>
      </c>
      <c r="P8" s="1463">
        <v>10000</v>
      </c>
      <c r="Q8" s="1463">
        <v>10000</v>
      </c>
      <c r="R8" s="1463">
        <v>10000</v>
      </c>
      <c r="S8" s="1463">
        <v>10000</v>
      </c>
      <c r="T8" s="1463">
        <v>0</v>
      </c>
      <c r="U8" s="1464">
        <f>SUM(I8:T8)</f>
        <v>104000</v>
      </c>
      <c r="V8" s="1463">
        <v>0</v>
      </c>
      <c r="W8" s="1463">
        <v>0</v>
      </c>
      <c r="X8" s="1463">
        <v>0</v>
      </c>
      <c r="Y8" s="1463">
        <v>0</v>
      </c>
      <c r="Z8" s="1463">
        <v>0</v>
      </c>
      <c r="AA8" s="1463">
        <v>0</v>
      </c>
      <c r="AB8" s="1463">
        <v>0</v>
      </c>
      <c r="AC8" s="1463">
        <v>0</v>
      </c>
      <c r="AD8" s="1463">
        <v>0</v>
      </c>
      <c r="AE8" s="1463">
        <v>0</v>
      </c>
      <c r="AF8" s="1463">
        <v>0</v>
      </c>
      <c r="AG8" s="1463">
        <v>0</v>
      </c>
      <c r="AH8" s="1464">
        <f>SUM(V8:AG8)</f>
        <v>0</v>
      </c>
      <c r="AI8" s="1465">
        <f>SUM(AH8,U8,H8)</f>
        <v>113883</v>
      </c>
    </row>
    <row r="9" spans="1:35">
      <c r="A9" s="1462" t="s">
        <v>2236</v>
      </c>
      <c r="B9" s="1462"/>
      <c r="C9" s="1462"/>
      <c r="D9" s="1462"/>
      <c r="E9" s="1462"/>
      <c r="F9" s="1463">
        <v>0</v>
      </c>
      <c r="G9" s="1463">
        <v>0</v>
      </c>
      <c r="H9" s="1464">
        <f>SUM(F9:G9)</f>
        <v>0</v>
      </c>
      <c r="I9" s="1463">
        <v>0</v>
      </c>
      <c r="J9" s="1463">
        <v>0</v>
      </c>
      <c r="K9" s="1463">
        <v>0</v>
      </c>
      <c r="L9" s="1463">
        <v>0</v>
      </c>
      <c r="M9" s="1463">
        <v>0</v>
      </c>
      <c r="N9" s="1463">
        <v>0</v>
      </c>
      <c r="O9" s="1463">
        <v>0</v>
      </c>
      <c r="P9" s="1463">
        <v>0</v>
      </c>
      <c r="Q9" s="1463">
        <v>0</v>
      </c>
      <c r="R9" s="1463">
        <v>20833</v>
      </c>
      <c r="S9" s="1463">
        <v>20833</v>
      </c>
      <c r="T9" s="1463">
        <v>20833</v>
      </c>
      <c r="U9" s="1464">
        <f>SUM(I9:T9)</f>
        <v>62499</v>
      </c>
      <c r="V9" s="1463">
        <v>20833</v>
      </c>
      <c r="W9" s="1463">
        <v>20833</v>
      </c>
      <c r="X9" s="1463">
        <v>20833</v>
      </c>
      <c r="Y9" s="1463">
        <v>20833</v>
      </c>
      <c r="Z9" s="1463">
        <v>20833</v>
      </c>
      <c r="AA9" s="1463">
        <v>20833</v>
      </c>
      <c r="AB9" s="1463">
        <v>20833</v>
      </c>
      <c r="AC9" s="1463">
        <v>20833</v>
      </c>
      <c r="AD9" s="1463">
        <v>20833</v>
      </c>
      <c r="AE9" s="1463">
        <v>0</v>
      </c>
      <c r="AF9" s="1463">
        <v>0</v>
      </c>
      <c r="AG9" s="1463">
        <v>0</v>
      </c>
      <c r="AH9" s="1464">
        <f>SUM(V9:AG9)</f>
        <v>187497</v>
      </c>
      <c r="AI9" s="1465">
        <f t="shared" ref="AI9:AI36" si="0">SUM(AH9,U9,H9)</f>
        <v>249996</v>
      </c>
    </row>
    <row r="10" spans="1:35">
      <c r="A10" s="1466" t="s">
        <v>2237</v>
      </c>
      <c r="F10" s="1465">
        <f t="shared" ref="F10:AH10" si="1">SUM(F8:F9)</f>
        <v>4883</v>
      </c>
      <c r="G10" s="1465">
        <f t="shared" si="1"/>
        <v>5000</v>
      </c>
      <c r="H10" s="1464">
        <f t="shared" si="1"/>
        <v>9883</v>
      </c>
      <c r="I10" s="1465">
        <f t="shared" si="1"/>
        <v>5000</v>
      </c>
      <c r="J10" s="1465">
        <f t="shared" si="1"/>
        <v>9000</v>
      </c>
      <c r="K10" s="1465">
        <f t="shared" si="1"/>
        <v>10000</v>
      </c>
      <c r="L10" s="1465">
        <f t="shared" si="1"/>
        <v>10000</v>
      </c>
      <c r="M10" s="1465">
        <f t="shared" si="1"/>
        <v>10000</v>
      </c>
      <c r="N10" s="1465">
        <f t="shared" si="1"/>
        <v>10000</v>
      </c>
      <c r="O10" s="1465">
        <f t="shared" si="1"/>
        <v>10000</v>
      </c>
      <c r="P10" s="1465">
        <f t="shared" si="1"/>
        <v>10000</v>
      </c>
      <c r="Q10" s="1465">
        <f t="shared" si="1"/>
        <v>10000</v>
      </c>
      <c r="R10" s="1465">
        <f t="shared" si="1"/>
        <v>30833</v>
      </c>
      <c r="S10" s="1465">
        <f t="shared" si="1"/>
        <v>30833</v>
      </c>
      <c r="T10" s="1465">
        <f t="shared" si="1"/>
        <v>20833</v>
      </c>
      <c r="U10" s="1464">
        <f t="shared" si="1"/>
        <v>166499</v>
      </c>
      <c r="V10" s="1465">
        <f t="shared" si="1"/>
        <v>20833</v>
      </c>
      <c r="W10" s="1465">
        <f t="shared" si="1"/>
        <v>20833</v>
      </c>
      <c r="X10" s="1465">
        <f t="shared" si="1"/>
        <v>20833</v>
      </c>
      <c r="Y10" s="1465">
        <f t="shared" si="1"/>
        <v>20833</v>
      </c>
      <c r="Z10" s="1465">
        <f t="shared" si="1"/>
        <v>20833</v>
      </c>
      <c r="AA10" s="1465">
        <f t="shared" si="1"/>
        <v>20833</v>
      </c>
      <c r="AB10" s="1465">
        <f t="shared" si="1"/>
        <v>20833</v>
      </c>
      <c r="AC10" s="1465">
        <f t="shared" si="1"/>
        <v>20833</v>
      </c>
      <c r="AD10" s="1465">
        <f t="shared" si="1"/>
        <v>20833</v>
      </c>
      <c r="AE10" s="1465">
        <f t="shared" si="1"/>
        <v>0</v>
      </c>
      <c r="AF10" s="1465">
        <f t="shared" si="1"/>
        <v>0</v>
      </c>
      <c r="AG10" s="1465">
        <f t="shared" si="1"/>
        <v>0</v>
      </c>
      <c r="AH10" s="1464">
        <f t="shared" si="1"/>
        <v>187497</v>
      </c>
      <c r="AI10" s="1465">
        <f t="shared" si="0"/>
        <v>363879</v>
      </c>
    </row>
    <row r="11" spans="1:35">
      <c r="A11" s="1466"/>
      <c r="F11" s="1465"/>
      <c r="G11" s="1465"/>
      <c r="H11" s="1464"/>
      <c r="I11" s="1465"/>
      <c r="J11" s="1465"/>
      <c r="K11" s="1465"/>
      <c r="L11" s="1465"/>
      <c r="M11" s="1465"/>
      <c r="N11" s="1465"/>
      <c r="O11" s="1465"/>
      <c r="P11" s="1465"/>
      <c r="Q11" s="1465"/>
      <c r="R11" s="1465"/>
      <c r="S11" s="1465"/>
      <c r="T11" s="1465"/>
      <c r="U11" s="1464"/>
      <c r="V11" s="1465"/>
      <c r="W11" s="1465"/>
      <c r="X11" s="1465"/>
      <c r="Y11" s="1465"/>
      <c r="Z11" s="1465"/>
      <c r="AA11" s="1465"/>
      <c r="AB11" s="1465"/>
      <c r="AC11" s="1465"/>
      <c r="AD11" s="1465"/>
      <c r="AE11" s="1465"/>
      <c r="AF11" s="1465"/>
      <c r="AG11" s="1465"/>
      <c r="AH11" s="1464"/>
      <c r="AI11" s="1465">
        <f t="shared" si="0"/>
        <v>0</v>
      </c>
    </row>
    <row r="12" spans="1:35" s="1469" customFormat="1">
      <c r="A12" s="1445" t="s">
        <v>2238</v>
      </c>
      <c r="B12" s="1467"/>
      <c r="C12" s="1462"/>
      <c r="D12" s="1462"/>
      <c r="E12" s="1462"/>
      <c r="F12" s="1463"/>
      <c r="G12" s="1463"/>
      <c r="H12" s="1468"/>
      <c r="I12" s="1463"/>
      <c r="J12" s="1463"/>
      <c r="K12" s="1463"/>
      <c r="L12" s="1463"/>
      <c r="M12" s="1463"/>
      <c r="N12" s="1463"/>
      <c r="O12" s="1463"/>
      <c r="P12" s="1463"/>
      <c r="Q12" s="1463"/>
      <c r="R12" s="1463"/>
      <c r="S12" s="1463"/>
      <c r="T12" s="1463"/>
      <c r="U12" s="1468"/>
      <c r="V12" s="1463"/>
      <c r="W12" s="1463"/>
      <c r="X12" s="1463"/>
      <c r="Y12" s="1463"/>
      <c r="Z12" s="1463"/>
      <c r="AA12" s="1463"/>
      <c r="AB12" s="1463"/>
      <c r="AC12" s="1463"/>
      <c r="AD12" s="1463"/>
      <c r="AE12" s="1463"/>
      <c r="AF12" s="1463"/>
      <c r="AG12" s="1463"/>
      <c r="AH12" s="1468"/>
      <c r="AI12" s="1465">
        <f t="shared" si="0"/>
        <v>0</v>
      </c>
    </row>
    <row r="13" spans="1:35" s="1469" customFormat="1">
      <c r="A13" s="1462" t="s">
        <v>2104</v>
      </c>
      <c r="B13" s="1467"/>
      <c r="C13" s="1462"/>
      <c r="D13" s="1462"/>
      <c r="E13" s="1462"/>
      <c r="F13" s="1470">
        <v>4000000</v>
      </c>
      <c r="G13" s="1470">
        <v>0</v>
      </c>
      <c r="H13" s="1468">
        <f>SUM(F13:G13)</f>
        <v>4000000</v>
      </c>
      <c r="I13" s="1470">
        <v>0</v>
      </c>
      <c r="J13" s="1470">
        <v>0</v>
      </c>
      <c r="K13" s="1470">
        <v>0</v>
      </c>
      <c r="L13" s="1470">
        <v>0</v>
      </c>
      <c r="M13" s="1470">
        <v>0</v>
      </c>
      <c r="N13" s="1470">
        <v>0</v>
      </c>
      <c r="O13" s="1470">
        <v>0</v>
      </c>
      <c r="P13" s="1470">
        <v>0</v>
      </c>
      <c r="Q13" s="1470">
        <v>0</v>
      </c>
      <c r="R13" s="1470">
        <v>0</v>
      </c>
      <c r="S13" s="1470">
        <v>0</v>
      </c>
      <c r="T13" s="1470">
        <v>0</v>
      </c>
      <c r="U13" s="1468">
        <f>SUM(I13:T13)</f>
        <v>0</v>
      </c>
      <c r="V13" s="1470">
        <v>0</v>
      </c>
      <c r="W13" s="1470">
        <v>0</v>
      </c>
      <c r="X13" s="1470">
        <v>0</v>
      </c>
      <c r="Y13" s="1470">
        <v>0</v>
      </c>
      <c r="Z13" s="1470">
        <v>0</v>
      </c>
      <c r="AA13" s="1470">
        <v>0</v>
      </c>
      <c r="AB13" s="1470">
        <v>0</v>
      </c>
      <c r="AC13" s="1470">
        <v>0</v>
      </c>
      <c r="AD13" s="1470">
        <v>0</v>
      </c>
      <c r="AE13" s="1470">
        <v>0</v>
      </c>
      <c r="AF13" s="1470">
        <v>0</v>
      </c>
      <c r="AG13" s="1470">
        <v>0</v>
      </c>
      <c r="AH13" s="1468">
        <f>SUM(V13:AG13)</f>
        <v>0</v>
      </c>
      <c r="AI13" s="1465">
        <f t="shared" si="0"/>
        <v>4000000</v>
      </c>
    </row>
    <row r="14" spans="1:35" s="1469" customFormat="1">
      <c r="A14" s="1445" t="s">
        <v>2239</v>
      </c>
      <c r="B14" s="1467"/>
      <c r="C14" s="1462"/>
      <c r="D14" s="1462"/>
      <c r="E14" s="1462"/>
      <c r="F14" s="1470">
        <f t="shared" ref="F14:AH14" si="2">SUM(F13:F13)</f>
        <v>4000000</v>
      </c>
      <c r="G14" s="1470">
        <f t="shared" si="2"/>
        <v>0</v>
      </c>
      <c r="H14" s="1468">
        <f t="shared" si="2"/>
        <v>4000000</v>
      </c>
      <c r="I14" s="1470">
        <f t="shared" si="2"/>
        <v>0</v>
      </c>
      <c r="J14" s="1470">
        <f t="shared" si="2"/>
        <v>0</v>
      </c>
      <c r="K14" s="1470">
        <f t="shared" si="2"/>
        <v>0</v>
      </c>
      <c r="L14" s="1470">
        <f t="shared" si="2"/>
        <v>0</v>
      </c>
      <c r="M14" s="1470">
        <f t="shared" si="2"/>
        <v>0</v>
      </c>
      <c r="N14" s="1470">
        <f t="shared" si="2"/>
        <v>0</v>
      </c>
      <c r="O14" s="1470">
        <f t="shared" si="2"/>
        <v>0</v>
      </c>
      <c r="P14" s="1470">
        <f t="shared" si="2"/>
        <v>0</v>
      </c>
      <c r="Q14" s="1470">
        <f t="shared" si="2"/>
        <v>0</v>
      </c>
      <c r="R14" s="1470">
        <f t="shared" si="2"/>
        <v>0</v>
      </c>
      <c r="S14" s="1470">
        <f t="shared" si="2"/>
        <v>0</v>
      </c>
      <c r="T14" s="1470">
        <f t="shared" si="2"/>
        <v>0</v>
      </c>
      <c r="U14" s="1468">
        <f t="shared" si="2"/>
        <v>0</v>
      </c>
      <c r="V14" s="1470">
        <f t="shared" si="2"/>
        <v>0</v>
      </c>
      <c r="W14" s="1470">
        <f t="shared" si="2"/>
        <v>0</v>
      </c>
      <c r="X14" s="1470">
        <f t="shared" si="2"/>
        <v>0</v>
      </c>
      <c r="Y14" s="1470">
        <f t="shared" si="2"/>
        <v>0</v>
      </c>
      <c r="Z14" s="1470">
        <f t="shared" si="2"/>
        <v>0</v>
      </c>
      <c r="AA14" s="1470">
        <f t="shared" si="2"/>
        <v>0</v>
      </c>
      <c r="AB14" s="1470">
        <f t="shared" si="2"/>
        <v>0</v>
      </c>
      <c r="AC14" s="1470">
        <f t="shared" si="2"/>
        <v>0</v>
      </c>
      <c r="AD14" s="1470">
        <f t="shared" si="2"/>
        <v>0</v>
      </c>
      <c r="AE14" s="1470">
        <f t="shared" si="2"/>
        <v>0</v>
      </c>
      <c r="AF14" s="1470">
        <f t="shared" si="2"/>
        <v>0</v>
      </c>
      <c r="AG14" s="1470">
        <f t="shared" si="2"/>
        <v>0</v>
      </c>
      <c r="AH14" s="1468">
        <f t="shared" si="2"/>
        <v>0</v>
      </c>
      <c r="AI14" s="1465">
        <f t="shared" si="0"/>
        <v>4000000</v>
      </c>
    </row>
    <row r="15" spans="1:35" s="1469" customFormat="1">
      <c r="A15" s="1445"/>
      <c r="B15" s="1467"/>
      <c r="C15" s="1462"/>
      <c r="D15" s="1462"/>
      <c r="E15" s="1462"/>
      <c r="F15" s="1470"/>
      <c r="G15" s="1470"/>
      <c r="H15" s="1468"/>
      <c r="I15" s="1470"/>
      <c r="J15" s="1470"/>
      <c r="K15" s="1470"/>
      <c r="L15" s="1470"/>
      <c r="M15" s="1470"/>
      <c r="N15" s="1470"/>
      <c r="O15" s="1470"/>
      <c r="P15" s="1470"/>
      <c r="Q15" s="1470"/>
      <c r="R15" s="1470"/>
      <c r="S15" s="1470"/>
      <c r="T15" s="1470"/>
      <c r="U15" s="1468"/>
      <c r="V15" s="1470"/>
      <c r="W15" s="1470"/>
      <c r="X15" s="1470"/>
      <c r="Y15" s="1470"/>
      <c r="Z15" s="1470"/>
      <c r="AA15" s="1470"/>
      <c r="AB15" s="1470"/>
      <c r="AC15" s="1470"/>
      <c r="AD15" s="1470"/>
      <c r="AE15" s="1470"/>
      <c r="AF15" s="1470"/>
      <c r="AG15" s="1470"/>
      <c r="AH15" s="1468"/>
      <c r="AI15" s="1465">
        <f t="shared" si="0"/>
        <v>0</v>
      </c>
    </row>
    <row r="16" spans="1:35" s="1469" customFormat="1">
      <c r="A16" s="1445" t="s">
        <v>2240</v>
      </c>
      <c r="B16" s="1467"/>
      <c r="C16" s="1462"/>
      <c r="D16" s="1462"/>
      <c r="E16" s="1462"/>
      <c r="F16" s="1470"/>
      <c r="G16" s="1470"/>
      <c r="H16" s="1468"/>
      <c r="I16" s="1470"/>
      <c r="J16" s="1470"/>
      <c r="K16" s="1470"/>
      <c r="L16" s="1470"/>
      <c r="M16" s="1470"/>
      <c r="N16" s="1470"/>
      <c r="O16" s="1470"/>
      <c r="P16" s="1470"/>
      <c r="Q16" s="1470"/>
      <c r="R16" s="1470"/>
      <c r="S16" s="1470"/>
      <c r="T16" s="1470"/>
      <c r="U16" s="1468"/>
      <c r="V16" s="1470"/>
      <c r="W16" s="1470"/>
      <c r="X16" s="1470"/>
      <c r="Y16" s="1470"/>
      <c r="Z16" s="1470"/>
      <c r="AA16" s="1470"/>
      <c r="AB16" s="1470"/>
      <c r="AC16" s="1470"/>
      <c r="AD16" s="1470"/>
      <c r="AE16" s="1470"/>
      <c r="AF16" s="1470"/>
      <c r="AG16" s="1470"/>
      <c r="AH16" s="1468"/>
      <c r="AI16" s="1465">
        <f t="shared" si="0"/>
        <v>0</v>
      </c>
    </row>
    <row r="17" spans="1:35" s="1469" customFormat="1">
      <c r="A17" s="1471" t="s">
        <v>2241</v>
      </c>
      <c r="B17" s="1467"/>
      <c r="C17" s="1462"/>
      <c r="D17" s="1462"/>
      <c r="E17" s="1462"/>
      <c r="F17" s="1470">
        <v>0</v>
      </c>
      <c r="G17" s="1470">
        <v>0</v>
      </c>
      <c r="H17" s="1468">
        <f>SUM(F17:G17)</f>
        <v>0</v>
      </c>
      <c r="I17" s="1470">
        <v>0</v>
      </c>
      <c r="J17" s="1470">
        <v>0</v>
      </c>
      <c r="K17" s="1470">
        <v>0</v>
      </c>
      <c r="L17" s="1470">
        <v>0</v>
      </c>
      <c r="M17" s="1470">
        <v>0</v>
      </c>
      <c r="N17" s="1470">
        <v>1011900</v>
      </c>
      <c r="O17" s="1470">
        <v>0</v>
      </c>
      <c r="P17" s="1470">
        <v>0</v>
      </c>
      <c r="Q17" s="1470">
        <v>0</v>
      </c>
      <c r="R17" s="1470">
        <v>0</v>
      </c>
      <c r="S17" s="1470">
        <v>0</v>
      </c>
      <c r="T17" s="1470">
        <v>0</v>
      </c>
      <c r="U17" s="1468">
        <f>SUM(I17:T17)</f>
        <v>1011900</v>
      </c>
      <c r="V17" s="1470">
        <v>0</v>
      </c>
      <c r="W17" s="1470">
        <v>0</v>
      </c>
      <c r="X17" s="1470">
        <v>0</v>
      </c>
      <c r="Y17" s="1470">
        <v>0</v>
      </c>
      <c r="Z17" s="1470">
        <v>0</v>
      </c>
      <c r="AA17" s="1470">
        <v>0</v>
      </c>
      <c r="AB17" s="1470">
        <v>0</v>
      </c>
      <c r="AC17" s="1470">
        <v>0</v>
      </c>
      <c r="AD17" s="1470">
        <v>0</v>
      </c>
      <c r="AE17" s="1470">
        <v>0</v>
      </c>
      <c r="AF17" s="1470">
        <v>0</v>
      </c>
      <c r="AG17" s="1470">
        <v>0</v>
      </c>
      <c r="AH17" s="1468">
        <f>SUM(V17:AG17)</f>
        <v>0</v>
      </c>
      <c r="AI17" s="1465">
        <f t="shared" si="0"/>
        <v>1011900</v>
      </c>
    </row>
    <row r="18" spans="1:35" s="1469" customFormat="1">
      <c r="A18" s="1471" t="s">
        <v>2242</v>
      </c>
      <c r="B18" s="1467"/>
      <c r="C18" s="1462"/>
      <c r="D18" s="1462"/>
      <c r="E18" s="1462"/>
      <c r="F18" s="1470">
        <v>0</v>
      </c>
      <c r="G18" s="1470">
        <v>0</v>
      </c>
      <c r="H18" s="1468">
        <f>SUM(F18:G18)</f>
        <v>0</v>
      </c>
      <c r="I18" s="1470">
        <v>0</v>
      </c>
      <c r="J18" s="1470">
        <v>0</v>
      </c>
      <c r="K18" s="1470">
        <v>0</v>
      </c>
      <c r="L18" s="1470">
        <v>0</v>
      </c>
      <c r="M18" s="1470">
        <v>0</v>
      </c>
      <c r="N18" s="1470">
        <v>0</v>
      </c>
      <c r="O18" s="1470">
        <v>0</v>
      </c>
      <c r="P18" s="1470">
        <v>0</v>
      </c>
      <c r="Q18" s="1470">
        <v>0</v>
      </c>
      <c r="R18" s="1470">
        <v>0</v>
      </c>
      <c r="S18" s="1470">
        <v>0</v>
      </c>
      <c r="T18" s="1470">
        <v>1025300</v>
      </c>
      <c r="U18" s="1468">
        <f>SUM(I18:T18)</f>
        <v>1025300</v>
      </c>
      <c r="V18" s="1470">
        <v>0</v>
      </c>
      <c r="W18" s="1470">
        <v>0</v>
      </c>
      <c r="X18" s="1470">
        <v>0</v>
      </c>
      <c r="Y18" s="1470">
        <v>0</v>
      </c>
      <c r="Z18" s="1470">
        <v>0</v>
      </c>
      <c r="AA18" s="1470">
        <v>0</v>
      </c>
      <c r="AB18" s="1470">
        <v>0</v>
      </c>
      <c r="AC18" s="1470">
        <v>0</v>
      </c>
      <c r="AD18" s="1470">
        <v>0</v>
      </c>
      <c r="AE18" s="1470">
        <v>0</v>
      </c>
      <c r="AF18" s="1470">
        <v>0</v>
      </c>
      <c r="AG18" s="1470">
        <v>0</v>
      </c>
      <c r="AH18" s="1468">
        <f>SUM(V18:AG18)</f>
        <v>0</v>
      </c>
      <c r="AI18" s="1465">
        <f t="shared" si="0"/>
        <v>1025300</v>
      </c>
    </row>
    <row r="19" spans="1:35" s="1469" customFormat="1">
      <c r="A19" s="1472" t="s">
        <v>2243</v>
      </c>
      <c r="B19" s="1467"/>
      <c r="C19" s="1462"/>
      <c r="D19" s="1462"/>
      <c r="E19" s="1462"/>
      <c r="F19" s="1470">
        <f>SUM(F17:F18)</f>
        <v>0</v>
      </c>
      <c r="G19" s="1470">
        <f>SUM(G17:G18)</f>
        <v>0</v>
      </c>
      <c r="H19" s="1468">
        <f>SUM(H17:H18)</f>
        <v>0</v>
      </c>
      <c r="I19" s="1470">
        <f>SUM(I17:I18)</f>
        <v>0</v>
      </c>
      <c r="J19" s="1470">
        <f t="shared" ref="J19:T19" si="3">SUM(J17:J18)</f>
        <v>0</v>
      </c>
      <c r="K19" s="1470">
        <f t="shared" si="3"/>
        <v>0</v>
      </c>
      <c r="L19" s="1470">
        <f t="shared" si="3"/>
        <v>0</v>
      </c>
      <c r="M19" s="1470">
        <f t="shared" si="3"/>
        <v>0</v>
      </c>
      <c r="N19" s="1470">
        <f t="shared" si="3"/>
        <v>1011900</v>
      </c>
      <c r="O19" s="1470">
        <f t="shared" si="3"/>
        <v>0</v>
      </c>
      <c r="P19" s="1470">
        <f t="shared" si="3"/>
        <v>0</v>
      </c>
      <c r="Q19" s="1470">
        <f t="shared" si="3"/>
        <v>0</v>
      </c>
      <c r="R19" s="1470">
        <f t="shared" si="3"/>
        <v>0</v>
      </c>
      <c r="S19" s="1470">
        <f t="shared" si="3"/>
        <v>0</v>
      </c>
      <c r="T19" s="1470">
        <f t="shared" si="3"/>
        <v>1025300</v>
      </c>
      <c r="U19" s="1468">
        <f>SUM(U17:U18)</f>
        <v>2037200</v>
      </c>
      <c r="V19" s="1470">
        <f>SUM(V17:V18)</f>
        <v>0</v>
      </c>
      <c r="W19" s="1470">
        <f t="shared" ref="W19:AG19" si="4">SUM(W17:W18)</f>
        <v>0</v>
      </c>
      <c r="X19" s="1470">
        <f t="shared" si="4"/>
        <v>0</v>
      </c>
      <c r="Y19" s="1470">
        <f t="shared" si="4"/>
        <v>0</v>
      </c>
      <c r="Z19" s="1470">
        <f t="shared" si="4"/>
        <v>0</v>
      </c>
      <c r="AA19" s="1470">
        <f t="shared" si="4"/>
        <v>0</v>
      </c>
      <c r="AB19" s="1470">
        <f t="shared" si="4"/>
        <v>0</v>
      </c>
      <c r="AC19" s="1470">
        <f t="shared" si="4"/>
        <v>0</v>
      </c>
      <c r="AD19" s="1470">
        <f t="shared" si="4"/>
        <v>0</v>
      </c>
      <c r="AE19" s="1470">
        <f t="shared" si="4"/>
        <v>0</v>
      </c>
      <c r="AF19" s="1470">
        <f t="shared" si="4"/>
        <v>0</v>
      </c>
      <c r="AG19" s="1470">
        <f t="shared" si="4"/>
        <v>0</v>
      </c>
      <c r="AH19" s="1468">
        <f>SUM(AH17:AH18)</f>
        <v>0</v>
      </c>
      <c r="AI19" s="1465">
        <f t="shared" si="0"/>
        <v>2037200</v>
      </c>
    </row>
    <row r="20" spans="1:35" s="1469" customFormat="1">
      <c r="A20" s="1445"/>
      <c r="B20" s="1467"/>
      <c r="C20" s="1462"/>
      <c r="D20" s="1462"/>
      <c r="E20" s="1462"/>
      <c r="F20" s="1463"/>
      <c r="G20" s="1463"/>
      <c r="H20" s="1468"/>
      <c r="I20" s="1463"/>
      <c r="J20" s="1463"/>
      <c r="K20" s="1463"/>
      <c r="L20" s="1463"/>
      <c r="M20" s="1463"/>
      <c r="N20" s="1463"/>
      <c r="O20" s="1463"/>
      <c r="P20" s="1463"/>
      <c r="Q20" s="1463"/>
      <c r="R20" s="1463"/>
      <c r="S20" s="1463"/>
      <c r="T20" s="1463"/>
      <c r="U20" s="1468"/>
      <c r="V20" s="1463"/>
      <c r="W20" s="1463"/>
      <c r="X20" s="1463"/>
      <c r="Y20" s="1463"/>
      <c r="Z20" s="1463"/>
      <c r="AA20" s="1463"/>
      <c r="AB20" s="1463"/>
      <c r="AC20" s="1463"/>
      <c r="AD20" s="1463"/>
      <c r="AE20" s="1463"/>
      <c r="AF20" s="1463"/>
      <c r="AG20" s="1463"/>
      <c r="AH20" s="1468"/>
      <c r="AI20" s="1465">
        <f t="shared" si="0"/>
        <v>0</v>
      </c>
    </row>
    <row r="21" spans="1:35">
      <c r="A21" s="1473" t="s">
        <v>2244</v>
      </c>
      <c r="B21" s="1473"/>
      <c r="C21" s="1473"/>
      <c r="D21" s="1473"/>
      <c r="E21" s="1473"/>
      <c r="F21" s="1474">
        <f>SUM(F10,,F14,F19)</f>
        <v>4004883</v>
      </c>
      <c r="G21" s="1474">
        <f>SUM(G10,,G14,G19)</f>
        <v>5000</v>
      </c>
      <c r="H21" s="1464">
        <f>SUM(F21:G21)</f>
        <v>4009883</v>
      </c>
      <c r="I21" s="1474">
        <f t="shared" ref="I21:T21" si="5">SUM(I10,,I14,I19)</f>
        <v>5000</v>
      </c>
      <c r="J21" s="1474">
        <f t="shared" si="5"/>
        <v>9000</v>
      </c>
      <c r="K21" s="1474">
        <f t="shared" si="5"/>
        <v>10000</v>
      </c>
      <c r="L21" s="1474">
        <f t="shared" si="5"/>
        <v>10000</v>
      </c>
      <c r="M21" s="1474">
        <f t="shared" si="5"/>
        <v>10000</v>
      </c>
      <c r="N21" s="1474">
        <f t="shared" si="5"/>
        <v>1021900</v>
      </c>
      <c r="O21" s="1474">
        <f t="shared" si="5"/>
        <v>10000</v>
      </c>
      <c r="P21" s="1474">
        <f t="shared" si="5"/>
        <v>10000</v>
      </c>
      <c r="Q21" s="1474">
        <f t="shared" si="5"/>
        <v>10000</v>
      </c>
      <c r="R21" s="1474">
        <f t="shared" si="5"/>
        <v>30833</v>
      </c>
      <c r="S21" s="1474">
        <f t="shared" si="5"/>
        <v>30833</v>
      </c>
      <c r="T21" s="1474">
        <f t="shared" si="5"/>
        <v>1046133</v>
      </c>
      <c r="U21" s="1464">
        <f>SUM(I21:T21)</f>
        <v>2203699</v>
      </c>
      <c r="V21" s="1474">
        <f t="shared" ref="V21:AG21" si="6">SUM(V10,,V14,V19)</f>
        <v>20833</v>
      </c>
      <c r="W21" s="1474">
        <f t="shared" si="6"/>
        <v>20833</v>
      </c>
      <c r="X21" s="1474">
        <f t="shared" si="6"/>
        <v>20833</v>
      </c>
      <c r="Y21" s="1474">
        <f t="shared" si="6"/>
        <v>20833</v>
      </c>
      <c r="Z21" s="1474">
        <f t="shared" si="6"/>
        <v>20833</v>
      </c>
      <c r="AA21" s="1474">
        <f t="shared" si="6"/>
        <v>20833</v>
      </c>
      <c r="AB21" s="1474">
        <f t="shared" si="6"/>
        <v>20833</v>
      </c>
      <c r="AC21" s="1474">
        <f t="shared" si="6"/>
        <v>20833</v>
      </c>
      <c r="AD21" s="1474">
        <f t="shared" si="6"/>
        <v>20833</v>
      </c>
      <c r="AE21" s="1474">
        <f t="shared" si="6"/>
        <v>0</v>
      </c>
      <c r="AF21" s="1474">
        <f t="shared" si="6"/>
        <v>0</v>
      </c>
      <c r="AG21" s="1474">
        <f t="shared" si="6"/>
        <v>0</v>
      </c>
      <c r="AH21" s="1464">
        <f>SUM(V21:AG21)</f>
        <v>187497</v>
      </c>
      <c r="AI21" s="1465">
        <f t="shared" si="0"/>
        <v>6401079</v>
      </c>
    </row>
    <row r="22" spans="1:35">
      <c r="A22" s="1469"/>
      <c r="B22" s="1469"/>
      <c r="C22" s="1469"/>
      <c r="D22" s="1469"/>
      <c r="E22" s="1469"/>
      <c r="H22" s="1457"/>
      <c r="U22" s="1457"/>
      <c r="AH22" s="1457"/>
      <c r="AI22" s="1465">
        <f t="shared" si="0"/>
        <v>0</v>
      </c>
    </row>
    <row r="23" spans="1:35">
      <c r="A23" s="1455" t="s">
        <v>2245</v>
      </c>
      <c r="B23" s="1456"/>
      <c r="C23" s="1456"/>
      <c r="D23" s="1456"/>
      <c r="E23" s="1456"/>
      <c r="H23" s="1457"/>
      <c r="U23" s="1457"/>
      <c r="AH23" s="1457"/>
      <c r="AI23" s="1465">
        <f t="shared" si="0"/>
        <v>0</v>
      </c>
    </row>
    <row r="24" spans="1:35">
      <c r="A24" s="1475" t="s">
        <v>2156</v>
      </c>
      <c r="B24" s="1456"/>
      <c r="C24" s="1456"/>
      <c r="D24" s="1456"/>
      <c r="E24" s="1456"/>
      <c r="F24" s="1476">
        <f t="shared" ref="F24:P24" si="7">F74</f>
        <v>91336.926500000001</v>
      </c>
      <c r="G24" s="1476">
        <f t="shared" si="7"/>
        <v>67395.926500000001</v>
      </c>
      <c r="H24" s="1464">
        <f t="shared" ref="H24:H31" si="8">SUM(F24:G24)</f>
        <v>158732.853</v>
      </c>
      <c r="I24" s="1476">
        <f t="shared" si="7"/>
        <v>67995.926500000001</v>
      </c>
      <c r="J24" s="1476">
        <f t="shared" si="7"/>
        <v>67995.926500000001</v>
      </c>
      <c r="K24" s="1476">
        <f t="shared" si="7"/>
        <v>75924.051500000001</v>
      </c>
      <c r="L24" s="1476">
        <f t="shared" si="7"/>
        <v>75324.051500000001</v>
      </c>
      <c r="M24" s="1476">
        <f t="shared" si="7"/>
        <v>82796.968166666658</v>
      </c>
      <c r="N24" s="1476">
        <f t="shared" si="7"/>
        <v>82796.968166666658</v>
      </c>
      <c r="O24" s="1476">
        <f t="shared" si="7"/>
        <v>82796.968166666658</v>
      </c>
      <c r="P24" s="1476">
        <f t="shared" si="7"/>
        <v>82796.968166666658</v>
      </c>
      <c r="Q24" s="1476">
        <f>Q74</f>
        <v>82796.968166666658</v>
      </c>
      <c r="R24" s="1476">
        <f>R74</f>
        <v>82796.968166666658</v>
      </c>
      <c r="S24" s="1476">
        <f>S74</f>
        <v>82796.968166666658</v>
      </c>
      <c r="T24" s="1476">
        <f>T74</f>
        <v>104155.3015</v>
      </c>
      <c r="U24" s="1464">
        <f>SUM(I24:T24)</f>
        <v>970974.03466666676</v>
      </c>
      <c r="V24" s="1476">
        <f t="shared" ref="V24:AE24" si="9">V74</f>
        <v>106323.74086333334</v>
      </c>
      <c r="W24" s="1476">
        <f t="shared" si="9"/>
        <v>106323.74086333334</v>
      </c>
      <c r="X24" s="1476">
        <f t="shared" si="9"/>
        <v>106323.74086333334</v>
      </c>
      <c r="Y24" s="1476">
        <f t="shared" si="9"/>
        <v>105573.74086333334</v>
      </c>
      <c r="Z24" s="1476">
        <f t="shared" si="9"/>
        <v>105573.74086333334</v>
      </c>
      <c r="AA24" s="1476">
        <f t="shared" si="9"/>
        <v>105573.74086333334</v>
      </c>
      <c r="AB24" s="1476">
        <f t="shared" si="9"/>
        <v>105573.74086333334</v>
      </c>
      <c r="AC24" s="1476">
        <f t="shared" si="9"/>
        <v>105573.74086333334</v>
      </c>
      <c r="AD24" s="1476">
        <f t="shared" si="9"/>
        <v>105573.74086333334</v>
      </c>
      <c r="AE24" s="1476">
        <f t="shared" si="9"/>
        <v>105573.74086333334</v>
      </c>
      <c r="AF24" s="1476">
        <f>AF74</f>
        <v>105573.74086333334</v>
      </c>
      <c r="AG24" s="1476">
        <f>AG74</f>
        <v>105573.74086333334</v>
      </c>
      <c r="AH24" s="1464">
        <f>SUM(V24:AE24)</f>
        <v>1057987.4086333334</v>
      </c>
      <c r="AI24" s="1465">
        <f t="shared" si="0"/>
        <v>2187694.2963</v>
      </c>
    </row>
    <row r="25" spans="1:35">
      <c r="A25" s="1475" t="s">
        <v>2246</v>
      </c>
      <c r="B25" s="1456"/>
      <c r="C25" s="1456"/>
      <c r="D25" s="1456"/>
      <c r="E25" s="1456"/>
      <c r="F25" s="1476">
        <f t="shared" ref="F25:P25" si="10">F80</f>
        <v>0</v>
      </c>
      <c r="G25" s="1476">
        <f t="shared" si="10"/>
        <v>0</v>
      </c>
      <c r="H25" s="1464">
        <f t="shared" si="8"/>
        <v>0</v>
      </c>
      <c r="I25" s="1476">
        <f t="shared" si="10"/>
        <v>4000</v>
      </c>
      <c r="J25" s="1476">
        <f t="shared" si="10"/>
        <v>4000</v>
      </c>
      <c r="K25" s="1476">
        <f t="shared" si="10"/>
        <v>4000</v>
      </c>
      <c r="L25" s="1476">
        <f t="shared" si="10"/>
        <v>4000</v>
      </c>
      <c r="M25" s="1476">
        <f t="shared" si="10"/>
        <v>4000</v>
      </c>
      <c r="N25" s="1476">
        <f t="shared" si="10"/>
        <v>4000</v>
      </c>
      <c r="O25" s="1476">
        <f t="shared" si="10"/>
        <v>4000</v>
      </c>
      <c r="P25" s="1476">
        <f t="shared" si="10"/>
        <v>4000</v>
      </c>
      <c r="Q25" s="1476">
        <f>Q80</f>
        <v>4000</v>
      </c>
      <c r="R25" s="1476">
        <f>R80</f>
        <v>8000</v>
      </c>
      <c r="S25" s="1476">
        <f>S80</f>
        <v>8000</v>
      </c>
      <c r="T25" s="1476">
        <f>T80</f>
        <v>8000</v>
      </c>
      <c r="U25" s="1464">
        <f t="shared" ref="U25:U30" si="11">SUM(I25:T25)</f>
        <v>60000</v>
      </c>
      <c r="V25" s="1476">
        <f t="shared" ref="V25:AE25" si="12">V80</f>
        <v>8000</v>
      </c>
      <c r="W25" s="1476">
        <f t="shared" si="12"/>
        <v>8000</v>
      </c>
      <c r="X25" s="1476">
        <f t="shared" si="12"/>
        <v>8000</v>
      </c>
      <c r="Y25" s="1476">
        <f t="shared" si="12"/>
        <v>8000</v>
      </c>
      <c r="Z25" s="1476">
        <f t="shared" si="12"/>
        <v>8000</v>
      </c>
      <c r="AA25" s="1476">
        <f t="shared" si="12"/>
        <v>8000</v>
      </c>
      <c r="AB25" s="1476">
        <f t="shared" si="12"/>
        <v>8000</v>
      </c>
      <c r="AC25" s="1476">
        <f t="shared" si="12"/>
        <v>8000</v>
      </c>
      <c r="AD25" s="1476">
        <f t="shared" si="12"/>
        <v>8000</v>
      </c>
      <c r="AE25" s="1476">
        <f t="shared" si="12"/>
        <v>0</v>
      </c>
      <c r="AF25" s="1476">
        <f>AF80</f>
        <v>0</v>
      </c>
      <c r="AG25" s="1476">
        <f>AG80</f>
        <v>0</v>
      </c>
      <c r="AH25" s="1464">
        <f>SUM(V25:AE25)</f>
        <v>72000</v>
      </c>
      <c r="AI25" s="1465">
        <f t="shared" si="0"/>
        <v>132000</v>
      </c>
    </row>
    <row r="26" spans="1:35">
      <c r="A26" s="1475" t="s">
        <v>2247</v>
      </c>
      <c r="B26" s="1456"/>
      <c r="C26" s="1456"/>
      <c r="D26" s="1456"/>
      <c r="E26" s="1456"/>
      <c r="F26" s="1476">
        <f t="shared" ref="F26:P26" si="13">F95</f>
        <v>93450</v>
      </c>
      <c r="G26" s="1476">
        <f t="shared" si="13"/>
        <v>22233</v>
      </c>
      <c r="H26" s="1464">
        <f t="shared" si="8"/>
        <v>115683</v>
      </c>
      <c r="I26" s="1476">
        <f t="shared" si="13"/>
        <v>18583</v>
      </c>
      <c r="J26" s="1476">
        <f t="shared" si="13"/>
        <v>24433</v>
      </c>
      <c r="K26" s="1476">
        <f t="shared" si="13"/>
        <v>13633</v>
      </c>
      <c r="L26" s="1476">
        <f t="shared" si="13"/>
        <v>30133</v>
      </c>
      <c r="M26" s="1476">
        <f t="shared" si="13"/>
        <v>12883</v>
      </c>
      <c r="N26" s="1476">
        <f t="shared" si="13"/>
        <v>11633</v>
      </c>
      <c r="O26" s="1476">
        <f t="shared" si="13"/>
        <v>11633</v>
      </c>
      <c r="P26" s="1476">
        <f t="shared" si="13"/>
        <v>11683</v>
      </c>
      <c r="Q26" s="1476">
        <f>Q95</f>
        <v>11633</v>
      </c>
      <c r="R26" s="1476">
        <f>R95</f>
        <v>11633</v>
      </c>
      <c r="S26" s="1476">
        <f>S95</f>
        <v>16683</v>
      </c>
      <c r="T26" s="1476">
        <f>T95</f>
        <v>19833</v>
      </c>
      <c r="U26" s="1464">
        <f t="shared" si="11"/>
        <v>194396</v>
      </c>
      <c r="V26" s="1476">
        <f t="shared" ref="V26:AE26" si="14">V95</f>
        <v>58683</v>
      </c>
      <c r="W26" s="1476">
        <f t="shared" si="14"/>
        <v>11733</v>
      </c>
      <c r="X26" s="1476">
        <f t="shared" si="14"/>
        <v>62483</v>
      </c>
      <c r="Y26" s="1476">
        <f t="shared" si="14"/>
        <v>11683</v>
      </c>
      <c r="Z26" s="1476">
        <f t="shared" si="14"/>
        <v>11733</v>
      </c>
      <c r="AA26" s="1476">
        <f t="shared" si="14"/>
        <v>11683</v>
      </c>
      <c r="AB26" s="1476">
        <f t="shared" si="14"/>
        <v>3350</v>
      </c>
      <c r="AC26" s="1476">
        <f t="shared" si="14"/>
        <v>3400</v>
      </c>
      <c r="AD26" s="1476">
        <f t="shared" si="14"/>
        <v>3350</v>
      </c>
      <c r="AE26" s="1476">
        <f t="shared" si="14"/>
        <v>0</v>
      </c>
      <c r="AF26" s="1476">
        <f>AF95</f>
        <v>0</v>
      </c>
      <c r="AG26" s="1476">
        <f>AG95</f>
        <v>0</v>
      </c>
      <c r="AH26" s="1464">
        <f>SUM(V26:AE26)</f>
        <v>178098</v>
      </c>
      <c r="AI26" s="1465">
        <f t="shared" si="0"/>
        <v>488177</v>
      </c>
    </row>
    <row r="27" spans="1:35">
      <c r="A27" s="1475" t="s">
        <v>2248</v>
      </c>
      <c r="B27" s="1456"/>
      <c r="C27" s="1456"/>
      <c r="D27" s="1456"/>
      <c r="E27" s="1456"/>
      <c r="F27" s="1476">
        <f>F106</f>
        <v>12000</v>
      </c>
      <c r="G27" s="1476">
        <f>G106</f>
        <v>23000</v>
      </c>
      <c r="H27" s="1464">
        <f t="shared" si="8"/>
        <v>35000</v>
      </c>
      <c r="I27" s="1476">
        <f>I106</f>
        <v>26200</v>
      </c>
      <c r="J27" s="1476">
        <f t="shared" ref="J27:T27" si="15">J106</f>
        <v>26200</v>
      </c>
      <c r="K27" s="1476">
        <f t="shared" si="15"/>
        <v>26200</v>
      </c>
      <c r="L27" s="1476">
        <f t="shared" si="15"/>
        <v>26200</v>
      </c>
      <c r="M27" s="1476">
        <f t="shared" si="15"/>
        <v>26200</v>
      </c>
      <c r="N27" s="1476">
        <f t="shared" si="15"/>
        <v>76200</v>
      </c>
      <c r="O27" s="1476">
        <f t="shared" si="15"/>
        <v>16200</v>
      </c>
      <c r="P27" s="1476">
        <f t="shared" si="15"/>
        <v>20200</v>
      </c>
      <c r="Q27" s="1476">
        <f t="shared" si="15"/>
        <v>68200</v>
      </c>
      <c r="R27" s="1476">
        <f t="shared" si="15"/>
        <v>18200</v>
      </c>
      <c r="S27" s="1476">
        <f t="shared" si="15"/>
        <v>40000</v>
      </c>
      <c r="T27" s="1476">
        <f t="shared" si="15"/>
        <v>40000</v>
      </c>
      <c r="U27" s="1464">
        <f>SUM(I27:T27)</f>
        <v>410000</v>
      </c>
      <c r="V27" s="1476">
        <f>V106</f>
        <v>0</v>
      </c>
      <c r="W27" s="1476">
        <f t="shared" ref="W27:AG27" si="16">W106</f>
        <v>120000</v>
      </c>
      <c r="X27" s="1476">
        <f t="shared" si="16"/>
        <v>120000</v>
      </c>
      <c r="Y27" s="1476">
        <f t="shared" si="16"/>
        <v>120000</v>
      </c>
      <c r="Z27" s="1476">
        <f t="shared" si="16"/>
        <v>0</v>
      </c>
      <c r="AA27" s="1476">
        <f t="shared" si="16"/>
        <v>0</v>
      </c>
      <c r="AB27" s="1476">
        <f t="shared" si="16"/>
        <v>0</v>
      </c>
      <c r="AC27" s="1476">
        <f t="shared" si="16"/>
        <v>0</v>
      </c>
      <c r="AD27" s="1476">
        <f t="shared" si="16"/>
        <v>0</v>
      </c>
      <c r="AE27" s="1476">
        <f t="shared" si="16"/>
        <v>0</v>
      </c>
      <c r="AF27" s="1476">
        <f t="shared" si="16"/>
        <v>0</v>
      </c>
      <c r="AG27" s="1476">
        <f t="shared" si="16"/>
        <v>0</v>
      </c>
      <c r="AH27" s="1464">
        <f>SUM(V27:AG27)</f>
        <v>360000</v>
      </c>
      <c r="AI27" s="1465">
        <f t="shared" si="0"/>
        <v>805000</v>
      </c>
    </row>
    <row r="28" spans="1:35">
      <c r="A28" s="1475" t="s">
        <v>2249</v>
      </c>
      <c r="B28" s="1456"/>
      <c r="C28" s="1456"/>
      <c r="D28" s="1456"/>
      <c r="E28" s="1456"/>
      <c r="F28" s="1476">
        <f t="shared" ref="F28:P28" si="17">F112</f>
        <v>9500</v>
      </c>
      <c r="G28" s="1476">
        <f t="shared" si="17"/>
        <v>59500</v>
      </c>
      <c r="H28" s="1464">
        <f t="shared" si="8"/>
        <v>69000</v>
      </c>
      <c r="I28" s="1476">
        <f t="shared" si="17"/>
        <v>59500</v>
      </c>
      <c r="J28" s="1476">
        <f t="shared" si="17"/>
        <v>59500</v>
      </c>
      <c r="K28" s="1476">
        <f t="shared" si="17"/>
        <v>11750</v>
      </c>
      <c r="L28" s="1476">
        <f t="shared" si="17"/>
        <v>11750</v>
      </c>
      <c r="M28" s="1476">
        <f t="shared" si="17"/>
        <v>14000</v>
      </c>
      <c r="N28" s="1476">
        <f t="shared" si="17"/>
        <v>14000</v>
      </c>
      <c r="O28" s="1476">
        <f t="shared" si="17"/>
        <v>14000</v>
      </c>
      <c r="P28" s="1476">
        <f t="shared" si="17"/>
        <v>14000</v>
      </c>
      <c r="Q28" s="1476">
        <f>Q112</f>
        <v>14000</v>
      </c>
      <c r="R28" s="1476">
        <f>R112</f>
        <v>14000</v>
      </c>
      <c r="S28" s="1476">
        <f>S112</f>
        <v>14000</v>
      </c>
      <c r="T28" s="1476">
        <f>T112</f>
        <v>14000</v>
      </c>
      <c r="U28" s="1464">
        <f t="shared" si="11"/>
        <v>254500</v>
      </c>
      <c r="V28" s="1476">
        <f t="shared" ref="V28:AE28" si="18">V112</f>
        <v>14000</v>
      </c>
      <c r="W28" s="1476">
        <f t="shared" si="18"/>
        <v>14000</v>
      </c>
      <c r="X28" s="1476">
        <f t="shared" si="18"/>
        <v>14000</v>
      </c>
      <c r="Y28" s="1476">
        <f t="shared" si="18"/>
        <v>14000</v>
      </c>
      <c r="Z28" s="1476">
        <f t="shared" si="18"/>
        <v>14000</v>
      </c>
      <c r="AA28" s="1476">
        <f t="shared" si="18"/>
        <v>14000</v>
      </c>
      <c r="AB28" s="1476">
        <f t="shared" si="18"/>
        <v>14000</v>
      </c>
      <c r="AC28" s="1476">
        <f t="shared" si="18"/>
        <v>14000</v>
      </c>
      <c r="AD28" s="1476">
        <f t="shared" si="18"/>
        <v>14000</v>
      </c>
      <c r="AE28" s="1476">
        <f t="shared" si="18"/>
        <v>0</v>
      </c>
      <c r="AF28" s="1476">
        <f>AF112</f>
        <v>0</v>
      </c>
      <c r="AG28" s="1476">
        <f>AG112</f>
        <v>0</v>
      </c>
      <c r="AH28" s="1464">
        <f>SUM(V28:AE28)</f>
        <v>126000</v>
      </c>
      <c r="AI28" s="1465">
        <f t="shared" si="0"/>
        <v>449500</v>
      </c>
    </row>
    <row r="29" spans="1:35">
      <c r="A29" s="1475" t="s">
        <v>2250</v>
      </c>
      <c r="B29" s="1456"/>
      <c r="C29" s="1456"/>
      <c r="D29" s="1456"/>
      <c r="E29" s="1456"/>
      <c r="F29" s="1476">
        <f t="shared" ref="F29:P29" si="19">F118</f>
        <v>14216</v>
      </c>
      <c r="G29" s="1476">
        <f t="shared" si="19"/>
        <v>14216</v>
      </c>
      <c r="H29" s="1464">
        <f t="shared" si="8"/>
        <v>28432</v>
      </c>
      <c r="I29" s="1476">
        <f t="shared" si="19"/>
        <v>14216</v>
      </c>
      <c r="J29" s="1476">
        <f t="shared" si="19"/>
        <v>14216</v>
      </c>
      <c r="K29" s="1476">
        <f t="shared" si="19"/>
        <v>14216</v>
      </c>
      <c r="L29" s="1476">
        <f t="shared" si="19"/>
        <v>14216</v>
      </c>
      <c r="M29" s="1476">
        <f t="shared" si="19"/>
        <v>22016</v>
      </c>
      <c r="N29" s="1476">
        <f t="shared" si="19"/>
        <v>16816</v>
      </c>
      <c r="O29" s="1476">
        <f t="shared" si="19"/>
        <v>16816</v>
      </c>
      <c r="P29" s="1476">
        <f t="shared" si="19"/>
        <v>16816</v>
      </c>
      <c r="Q29" s="1476">
        <f>Q118</f>
        <v>16816</v>
      </c>
      <c r="R29" s="1476">
        <f>R118</f>
        <v>16816</v>
      </c>
      <c r="S29" s="1476">
        <f>S118</f>
        <v>16816</v>
      </c>
      <c r="T29" s="1476">
        <f>T118</f>
        <v>19624</v>
      </c>
      <c r="U29" s="1464">
        <f t="shared" si="11"/>
        <v>199400</v>
      </c>
      <c r="V29" s="1476">
        <f t="shared" ref="V29:AE29" si="20">V118</f>
        <v>17752</v>
      </c>
      <c r="W29" s="1476">
        <f t="shared" si="20"/>
        <v>17752</v>
      </c>
      <c r="X29" s="1476">
        <f t="shared" si="20"/>
        <v>17752</v>
      </c>
      <c r="Y29" s="1476">
        <f t="shared" si="20"/>
        <v>17752</v>
      </c>
      <c r="Z29" s="1476">
        <f t="shared" si="20"/>
        <v>17752</v>
      </c>
      <c r="AA29" s="1476">
        <f t="shared" si="20"/>
        <v>17752</v>
      </c>
      <c r="AB29" s="1476">
        <f t="shared" si="20"/>
        <v>17752</v>
      </c>
      <c r="AC29" s="1476">
        <f t="shared" si="20"/>
        <v>17752</v>
      </c>
      <c r="AD29" s="1476">
        <f t="shared" si="20"/>
        <v>17752</v>
      </c>
      <c r="AE29" s="1476">
        <f t="shared" si="20"/>
        <v>17752</v>
      </c>
      <c r="AF29" s="1476">
        <f>AF118</f>
        <v>17752</v>
      </c>
      <c r="AG29" s="1476">
        <f>AG118</f>
        <v>17752</v>
      </c>
      <c r="AH29" s="1464">
        <f>SUM(V29:AE29)</f>
        <v>177520</v>
      </c>
      <c r="AI29" s="1465">
        <f t="shared" si="0"/>
        <v>405352</v>
      </c>
    </row>
    <row r="30" spans="1:35">
      <c r="A30" s="1477" t="s">
        <v>2251</v>
      </c>
      <c r="B30" s="1462"/>
      <c r="C30" s="1462"/>
      <c r="D30" s="1462"/>
      <c r="E30" s="1462"/>
      <c r="F30" s="1463">
        <v>1200</v>
      </c>
      <c r="G30" s="1463">
        <v>3000</v>
      </c>
      <c r="H30" s="1464">
        <f t="shared" si="8"/>
        <v>4200</v>
      </c>
      <c r="I30" s="1463">
        <v>0</v>
      </c>
      <c r="J30" s="1463">
        <v>0</v>
      </c>
      <c r="K30" s="1463">
        <v>0</v>
      </c>
      <c r="L30" s="1463">
        <v>0</v>
      </c>
      <c r="M30" s="1463">
        <v>0</v>
      </c>
      <c r="N30" s="1463">
        <v>7500</v>
      </c>
      <c r="O30" s="1463">
        <v>0</v>
      </c>
      <c r="P30" s="1463">
        <v>0</v>
      </c>
      <c r="Q30" s="1463">
        <v>0</v>
      </c>
      <c r="R30" s="1463">
        <v>2500</v>
      </c>
      <c r="S30" s="1463">
        <v>0</v>
      </c>
      <c r="T30" s="1463">
        <v>0</v>
      </c>
      <c r="U30" s="1464">
        <f t="shared" si="11"/>
        <v>10000</v>
      </c>
      <c r="V30" s="1463">
        <v>7500</v>
      </c>
      <c r="W30" s="1463">
        <v>0</v>
      </c>
      <c r="X30" s="1463">
        <v>0</v>
      </c>
      <c r="Y30" s="1463">
        <v>0</v>
      </c>
      <c r="Z30" s="1463">
        <v>0</v>
      </c>
      <c r="AA30" s="1463">
        <v>0</v>
      </c>
      <c r="AB30" s="1463">
        <v>0</v>
      </c>
      <c r="AC30" s="1463">
        <v>0</v>
      </c>
      <c r="AD30" s="1463">
        <v>0</v>
      </c>
      <c r="AE30" s="1463">
        <v>0</v>
      </c>
      <c r="AF30" s="1463">
        <v>0</v>
      </c>
      <c r="AG30" s="1463">
        <v>0</v>
      </c>
      <c r="AH30" s="1464">
        <f>SUM(V30:AG30)</f>
        <v>7500</v>
      </c>
      <c r="AI30" s="1465">
        <f t="shared" si="0"/>
        <v>21700</v>
      </c>
    </row>
    <row r="31" spans="1:35">
      <c r="A31" s="1477" t="s">
        <v>2252</v>
      </c>
      <c r="B31" s="1462"/>
      <c r="C31" s="1462"/>
      <c r="D31" s="1462"/>
      <c r="E31" s="1462"/>
      <c r="F31" s="1463">
        <f>F123</f>
        <v>0</v>
      </c>
      <c r="G31" s="1463">
        <f>G123</f>
        <v>2000000</v>
      </c>
      <c r="H31" s="1464">
        <f t="shared" si="8"/>
        <v>2000000</v>
      </c>
      <c r="I31" s="1463">
        <f>I123</f>
        <v>0</v>
      </c>
      <c r="J31" s="1463">
        <f t="shared" ref="J31:T31" si="21">J123</f>
        <v>0</v>
      </c>
      <c r="K31" s="1463">
        <f t="shared" si="21"/>
        <v>0</v>
      </c>
      <c r="L31" s="1463">
        <f t="shared" si="21"/>
        <v>0</v>
      </c>
      <c r="M31" s="1463">
        <f t="shared" si="21"/>
        <v>0</v>
      </c>
      <c r="N31" s="1463">
        <f t="shared" si="21"/>
        <v>0</v>
      </c>
      <c r="O31" s="1463">
        <f t="shared" si="21"/>
        <v>0</v>
      </c>
      <c r="P31" s="1463">
        <f t="shared" si="21"/>
        <v>0</v>
      </c>
      <c r="Q31" s="1463">
        <f t="shared" si="21"/>
        <v>0</v>
      </c>
      <c r="R31" s="1463">
        <f t="shared" si="21"/>
        <v>0</v>
      </c>
      <c r="S31" s="1463">
        <f t="shared" si="21"/>
        <v>0</v>
      </c>
      <c r="T31" s="1463">
        <f t="shared" si="21"/>
        <v>0</v>
      </c>
      <c r="U31" s="1464">
        <f>SUM(I31:T31)</f>
        <v>0</v>
      </c>
      <c r="V31" s="1463">
        <f>V123</f>
        <v>0</v>
      </c>
      <c r="W31" s="1463">
        <f t="shared" ref="W31:AG31" si="22">W123</f>
        <v>0</v>
      </c>
      <c r="X31" s="1463">
        <f t="shared" si="22"/>
        <v>0</v>
      </c>
      <c r="Y31" s="1463">
        <f t="shared" si="22"/>
        <v>0</v>
      </c>
      <c r="Z31" s="1463">
        <f t="shared" si="22"/>
        <v>0</v>
      </c>
      <c r="AA31" s="1463">
        <f t="shared" si="22"/>
        <v>0</v>
      </c>
      <c r="AB31" s="1463">
        <f t="shared" si="22"/>
        <v>0</v>
      </c>
      <c r="AC31" s="1463">
        <f t="shared" si="22"/>
        <v>0</v>
      </c>
      <c r="AD31" s="1463">
        <f t="shared" si="22"/>
        <v>0</v>
      </c>
      <c r="AE31" s="1463">
        <f t="shared" si="22"/>
        <v>0</v>
      </c>
      <c r="AF31" s="1463">
        <f t="shared" si="22"/>
        <v>0</v>
      </c>
      <c r="AG31" s="1463">
        <f t="shared" si="22"/>
        <v>0</v>
      </c>
      <c r="AH31" s="1464">
        <f>SUM(V31:AG31)</f>
        <v>0</v>
      </c>
      <c r="AI31" s="1465">
        <f t="shared" si="0"/>
        <v>2000000</v>
      </c>
    </row>
    <row r="32" spans="1:35">
      <c r="A32" s="1473" t="s">
        <v>2253</v>
      </c>
      <c r="B32" s="1473"/>
      <c r="C32" s="1473"/>
      <c r="D32" s="1473"/>
      <c r="E32" s="1473"/>
      <c r="F32" s="1474">
        <f>SUM(F24:F31)</f>
        <v>221702.9265</v>
      </c>
      <c r="G32" s="1474">
        <f>SUM(G24:G31)</f>
        <v>2189344.9265000001</v>
      </c>
      <c r="H32" s="1478">
        <f>SUM(H24:H31)</f>
        <v>2411047.8530000001</v>
      </c>
      <c r="I32" s="1474">
        <f>SUM(I24:I31)</f>
        <v>190494.9265</v>
      </c>
      <c r="J32" s="1474">
        <f t="shared" ref="J32:T32" si="23">SUM(J24:J31)</f>
        <v>196344.9265</v>
      </c>
      <c r="K32" s="1474">
        <f t="shared" si="23"/>
        <v>145723.0515</v>
      </c>
      <c r="L32" s="1474">
        <f t="shared" si="23"/>
        <v>161623.0515</v>
      </c>
      <c r="M32" s="1474">
        <f t="shared" si="23"/>
        <v>161895.96816666666</v>
      </c>
      <c r="N32" s="1474">
        <f t="shared" si="23"/>
        <v>212945.96816666666</v>
      </c>
      <c r="O32" s="1474">
        <f t="shared" si="23"/>
        <v>145445.96816666666</v>
      </c>
      <c r="P32" s="1474">
        <f t="shared" si="23"/>
        <v>149495.96816666666</v>
      </c>
      <c r="Q32" s="1474">
        <f t="shared" si="23"/>
        <v>197445.96816666666</v>
      </c>
      <c r="R32" s="1474">
        <f t="shared" si="23"/>
        <v>153945.96816666666</v>
      </c>
      <c r="S32" s="1474">
        <f t="shared" si="23"/>
        <v>178295.96816666666</v>
      </c>
      <c r="T32" s="1474">
        <f t="shared" si="23"/>
        <v>205612.3015</v>
      </c>
      <c r="U32" s="1478">
        <f>SUM(U24:U31)</f>
        <v>2099270.0346666668</v>
      </c>
      <c r="V32" s="1474">
        <f>SUM(V24:V31)</f>
        <v>212258.74086333334</v>
      </c>
      <c r="W32" s="1474">
        <f t="shared" ref="W32:AG32" si="24">SUM(W24:W31)</f>
        <v>277808.74086333334</v>
      </c>
      <c r="X32" s="1474">
        <f t="shared" si="24"/>
        <v>328558.74086333334</v>
      </c>
      <c r="Y32" s="1474">
        <f t="shared" si="24"/>
        <v>277008.74086333334</v>
      </c>
      <c r="Z32" s="1474">
        <f t="shared" si="24"/>
        <v>157058.74086333334</v>
      </c>
      <c r="AA32" s="1474">
        <f t="shared" si="24"/>
        <v>157008.74086333334</v>
      </c>
      <c r="AB32" s="1474">
        <f t="shared" si="24"/>
        <v>148675.74086333334</v>
      </c>
      <c r="AC32" s="1474">
        <f t="shared" si="24"/>
        <v>148725.74086333334</v>
      </c>
      <c r="AD32" s="1474">
        <f t="shared" si="24"/>
        <v>148675.74086333334</v>
      </c>
      <c r="AE32" s="1474">
        <f t="shared" si="24"/>
        <v>123325.74086333334</v>
      </c>
      <c r="AF32" s="1474">
        <f t="shared" si="24"/>
        <v>123325.74086333334</v>
      </c>
      <c r="AG32" s="1474">
        <f t="shared" si="24"/>
        <v>123325.74086333334</v>
      </c>
      <c r="AH32" s="1478">
        <f>SUM(AH24:AH31)</f>
        <v>1979105.4086333334</v>
      </c>
      <c r="AI32" s="1465">
        <f t="shared" si="0"/>
        <v>6489423.2963000005</v>
      </c>
    </row>
    <row r="33" spans="1:35">
      <c r="A33" s="1469"/>
      <c r="B33" s="1469"/>
      <c r="C33" s="1469"/>
      <c r="D33" s="1469"/>
      <c r="E33" s="1469"/>
      <c r="H33" s="1457"/>
      <c r="U33" s="1457"/>
      <c r="AH33" s="1457"/>
      <c r="AI33" s="1465">
        <f t="shared" si="0"/>
        <v>0</v>
      </c>
    </row>
    <row r="34" spans="1:35" s="1452" customFormat="1">
      <c r="A34" s="1479" t="s">
        <v>2254</v>
      </c>
      <c r="B34" s="1479"/>
      <c r="C34" s="1479"/>
      <c r="D34" s="1479"/>
      <c r="E34" s="1479"/>
      <c r="F34" s="1480">
        <f t="shared" ref="F34:T34" si="25">F21-F32</f>
        <v>3783180.0734999999</v>
      </c>
      <c r="G34" s="1480">
        <f t="shared" si="25"/>
        <v>-2184344.9265000001</v>
      </c>
      <c r="H34" s="1481">
        <f>SUM(F34:G34)</f>
        <v>1598835.1469999999</v>
      </c>
      <c r="I34" s="1480">
        <f t="shared" si="25"/>
        <v>-185494.9265</v>
      </c>
      <c r="J34" s="1480">
        <f t="shared" si="25"/>
        <v>-187344.9265</v>
      </c>
      <c r="K34" s="1480">
        <f t="shared" si="25"/>
        <v>-135723.0515</v>
      </c>
      <c r="L34" s="1480">
        <f t="shared" si="25"/>
        <v>-151623.0515</v>
      </c>
      <c r="M34" s="1480">
        <f t="shared" si="25"/>
        <v>-151895.96816666666</v>
      </c>
      <c r="N34" s="1480">
        <f t="shared" si="25"/>
        <v>808954.03183333331</v>
      </c>
      <c r="O34" s="1480">
        <f t="shared" si="25"/>
        <v>-135445.96816666666</v>
      </c>
      <c r="P34" s="1480">
        <f t="shared" si="25"/>
        <v>-139495.96816666666</v>
      </c>
      <c r="Q34" s="1480">
        <f t="shared" si="25"/>
        <v>-187445.96816666666</v>
      </c>
      <c r="R34" s="1480">
        <f t="shared" si="25"/>
        <v>-123112.96816666666</v>
      </c>
      <c r="S34" s="1480">
        <f t="shared" si="25"/>
        <v>-147462.96816666666</v>
      </c>
      <c r="T34" s="1480">
        <f t="shared" si="25"/>
        <v>840520.69849999994</v>
      </c>
      <c r="U34" s="1481">
        <f>SUM(I34:T34)</f>
        <v>104428.96533333324</v>
      </c>
      <c r="V34" s="1480">
        <f t="shared" ref="V34:AG34" si="26">V21-V32</f>
        <v>-191425.74086333334</v>
      </c>
      <c r="W34" s="1480">
        <f t="shared" si="26"/>
        <v>-256975.74086333334</v>
      </c>
      <c r="X34" s="1480">
        <f t="shared" si="26"/>
        <v>-307725.74086333334</v>
      </c>
      <c r="Y34" s="1480">
        <f t="shared" si="26"/>
        <v>-256175.74086333334</v>
      </c>
      <c r="Z34" s="1480">
        <f t="shared" si="26"/>
        <v>-136225.74086333334</v>
      </c>
      <c r="AA34" s="1480">
        <f t="shared" si="26"/>
        <v>-136175.74086333334</v>
      </c>
      <c r="AB34" s="1480">
        <f t="shared" si="26"/>
        <v>-127842.74086333334</v>
      </c>
      <c r="AC34" s="1480">
        <f t="shared" si="26"/>
        <v>-127892.74086333334</v>
      </c>
      <c r="AD34" s="1480">
        <f t="shared" si="26"/>
        <v>-127842.74086333334</v>
      </c>
      <c r="AE34" s="1480">
        <f t="shared" si="26"/>
        <v>-123325.74086333334</v>
      </c>
      <c r="AF34" s="1480">
        <f t="shared" si="26"/>
        <v>-123325.74086333334</v>
      </c>
      <c r="AG34" s="1480">
        <f t="shared" si="26"/>
        <v>-123325.74086333334</v>
      </c>
      <c r="AH34" s="1481">
        <f>SUM(V34:AG34)</f>
        <v>-2038259.890360001</v>
      </c>
      <c r="AI34" s="1465">
        <f t="shared" si="0"/>
        <v>-334995.77802666789</v>
      </c>
    </row>
    <row r="35" spans="1:35">
      <c r="H35" s="1457"/>
      <c r="U35" s="1457"/>
      <c r="AH35" s="1457"/>
      <c r="AI35" s="1465">
        <f t="shared" si="0"/>
        <v>0</v>
      </c>
    </row>
    <row r="36" spans="1:35">
      <c r="A36" s="1482" t="s">
        <v>2255</v>
      </c>
      <c r="B36" s="1483">
        <v>43404</v>
      </c>
      <c r="C36" s="1484">
        <v>30000</v>
      </c>
      <c r="D36" s="1484"/>
      <c r="E36" s="1485"/>
      <c r="F36" s="1486">
        <f>C36+F34</f>
        <v>3813180.0734999999</v>
      </c>
      <c r="G36" s="1486">
        <f t="shared" ref="G36:T36" si="27">F36+G34</f>
        <v>1628835.1469999999</v>
      </c>
      <c r="H36" s="1487"/>
      <c r="I36" s="1486">
        <f>G36+I34</f>
        <v>1443340.2204999998</v>
      </c>
      <c r="J36" s="1486">
        <f t="shared" si="27"/>
        <v>1255995.2939999998</v>
      </c>
      <c r="K36" s="1486">
        <f t="shared" si="27"/>
        <v>1120272.2424999997</v>
      </c>
      <c r="L36" s="1486">
        <f t="shared" si="27"/>
        <v>968649.19099999964</v>
      </c>
      <c r="M36" s="1486">
        <f t="shared" si="27"/>
        <v>816753.22283333295</v>
      </c>
      <c r="N36" s="1486">
        <f t="shared" si="27"/>
        <v>1625707.2546666663</v>
      </c>
      <c r="O36" s="1486">
        <f t="shared" si="27"/>
        <v>1490261.2864999997</v>
      </c>
      <c r="P36" s="1486">
        <f t="shared" si="27"/>
        <v>1350765.3183333331</v>
      </c>
      <c r="Q36" s="1486">
        <f t="shared" si="27"/>
        <v>1163319.3501666666</v>
      </c>
      <c r="R36" s="1486">
        <f t="shared" si="27"/>
        <v>1040206.3819999999</v>
      </c>
      <c r="S36" s="1486">
        <f t="shared" si="27"/>
        <v>892743.41383333318</v>
      </c>
      <c r="T36" s="1486">
        <f t="shared" si="27"/>
        <v>1733264.1123333331</v>
      </c>
      <c r="U36" s="1487"/>
      <c r="V36" s="1486">
        <f>T36+V34</f>
        <v>1541838.3714699997</v>
      </c>
      <c r="W36" s="1486">
        <f t="shared" ref="W36:AG36" si="28">V36+W34</f>
        <v>1284862.6306066662</v>
      </c>
      <c r="X36" s="1486">
        <f t="shared" si="28"/>
        <v>977136.88974333287</v>
      </c>
      <c r="Y36" s="1486">
        <f t="shared" si="28"/>
        <v>720961.14887999953</v>
      </c>
      <c r="Z36" s="1486">
        <f t="shared" si="28"/>
        <v>584735.40801666619</v>
      </c>
      <c r="AA36" s="1486">
        <f t="shared" si="28"/>
        <v>448559.66715333285</v>
      </c>
      <c r="AB36" s="1486">
        <f t="shared" si="28"/>
        <v>320716.92628999951</v>
      </c>
      <c r="AC36" s="1486">
        <f t="shared" si="28"/>
        <v>192824.18542666617</v>
      </c>
      <c r="AD36" s="1486">
        <f t="shared" si="28"/>
        <v>64981.444563332829</v>
      </c>
      <c r="AE36" s="1486">
        <f t="shared" si="28"/>
        <v>-58344.296300000511</v>
      </c>
      <c r="AF36" s="1486">
        <f t="shared" si="28"/>
        <v>-181670.03716333385</v>
      </c>
      <c r="AG36" s="1486">
        <f t="shared" si="28"/>
        <v>-304995.77802666719</v>
      </c>
      <c r="AH36" s="1487"/>
      <c r="AI36" s="1465">
        <f t="shared" si="0"/>
        <v>0</v>
      </c>
    </row>
    <row r="37" spans="1:35">
      <c r="E37" s="1488"/>
      <c r="H37" s="1457"/>
      <c r="U37" s="1457"/>
      <c r="AH37" s="1457"/>
    </row>
    <row r="38" spans="1:35">
      <c r="A38" s="1489" t="s">
        <v>2256</v>
      </c>
      <c r="H38" s="1457"/>
      <c r="U38" s="1457"/>
      <c r="AH38" s="1457"/>
    </row>
    <row r="39" spans="1:35">
      <c r="A39" s="1471" t="s">
        <v>2257</v>
      </c>
      <c r="B39" s="1446" t="s">
        <v>2258</v>
      </c>
      <c r="F39" s="1446">
        <v>1</v>
      </c>
      <c r="G39" s="1446">
        <v>1</v>
      </c>
      <c r="H39" s="1457"/>
      <c r="I39" s="1446">
        <v>1</v>
      </c>
      <c r="J39" s="1446">
        <v>1</v>
      </c>
      <c r="K39" s="1446">
        <v>1</v>
      </c>
      <c r="L39" s="1446">
        <v>1</v>
      </c>
      <c r="M39" s="1446">
        <v>1</v>
      </c>
      <c r="N39" s="1446">
        <v>1</v>
      </c>
      <c r="O39" s="1446">
        <v>1</v>
      </c>
      <c r="P39" s="1446">
        <v>1</v>
      </c>
      <c r="Q39" s="1446">
        <v>1</v>
      </c>
      <c r="R39" s="1446">
        <v>1</v>
      </c>
      <c r="S39" s="1446">
        <v>1</v>
      </c>
      <c r="T39" s="1446">
        <v>1</v>
      </c>
      <c r="U39" s="1457"/>
      <c r="V39" s="1446">
        <v>1</v>
      </c>
      <c r="W39" s="1446">
        <v>1</v>
      </c>
      <c r="X39" s="1446">
        <v>1</v>
      </c>
      <c r="Y39" s="1446">
        <v>1</v>
      </c>
      <c r="Z39" s="1446">
        <v>1</v>
      </c>
      <c r="AA39" s="1446">
        <v>1</v>
      </c>
      <c r="AB39" s="1446">
        <v>1</v>
      </c>
      <c r="AC39" s="1446">
        <v>1</v>
      </c>
      <c r="AD39" s="1446">
        <v>1</v>
      </c>
      <c r="AE39" s="1446">
        <v>1</v>
      </c>
      <c r="AF39" s="1446">
        <v>1</v>
      </c>
      <c r="AG39" s="1446">
        <v>1</v>
      </c>
      <c r="AH39" s="1457"/>
    </row>
    <row r="40" spans="1:35">
      <c r="A40" s="1471" t="s">
        <v>2259</v>
      </c>
      <c r="B40" s="1446" t="s">
        <v>2258</v>
      </c>
      <c r="F40" s="1446">
        <v>1</v>
      </c>
      <c r="G40" s="1446">
        <v>1</v>
      </c>
      <c r="H40" s="1457"/>
      <c r="I40" s="1446">
        <v>1</v>
      </c>
      <c r="J40" s="1446">
        <v>1</v>
      </c>
      <c r="K40" s="1446">
        <v>1</v>
      </c>
      <c r="L40" s="1446">
        <v>1</v>
      </c>
      <c r="M40" s="1446">
        <v>1</v>
      </c>
      <c r="N40" s="1446">
        <v>1</v>
      </c>
      <c r="O40" s="1446">
        <v>1</v>
      </c>
      <c r="P40" s="1446">
        <v>1</v>
      </c>
      <c r="Q40" s="1446">
        <v>1</v>
      </c>
      <c r="R40" s="1446">
        <v>1</v>
      </c>
      <c r="S40" s="1446">
        <v>1</v>
      </c>
      <c r="T40" s="1446">
        <v>1</v>
      </c>
      <c r="U40" s="1457"/>
      <c r="V40" s="1446">
        <v>1</v>
      </c>
      <c r="W40" s="1446">
        <v>1</v>
      </c>
      <c r="X40" s="1446">
        <v>1</v>
      </c>
      <c r="Y40" s="1446">
        <v>1</v>
      </c>
      <c r="Z40" s="1446">
        <v>1</v>
      </c>
      <c r="AA40" s="1446">
        <v>1</v>
      </c>
      <c r="AB40" s="1446">
        <v>1</v>
      </c>
      <c r="AC40" s="1446">
        <v>1</v>
      </c>
      <c r="AD40" s="1446">
        <v>1</v>
      </c>
      <c r="AE40" s="1446">
        <v>1</v>
      </c>
      <c r="AF40" s="1446">
        <v>1</v>
      </c>
      <c r="AG40" s="1446">
        <v>1</v>
      </c>
      <c r="AH40" s="1457"/>
    </row>
    <row r="41" spans="1:35">
      <c r="A41" s="1471" t="s">
        <v>2033</v>
      </c>
      <c r="B41" s="1446" t="s">
        <v>2258</v>
      </c>
      <c r="F41" s="1446">
        <v>1</v>
      </c>
      <c r="G41" s="1446">
        <v>1</v>
      </c>
      <c r="H41" s="1457"/>
      <c r="I41" s="1446">
        <v>1</v>
      </c>
      <c r="J41" s="1446">
        <v>1</v>
      </c>
      <c r="K41" s="1446">
        <v>1</v>
      </c>
      <c r="L41" s="1446">
        <v>1</v>
      </c>
      <c r="M41" s="1446">
        <v>1</v>
      </c>
      <c r="N41" s="1446">
        <v>1</v>
      </c>
      <c r="O41" s="1446">
        <v>1</v>
      </c>
      <c r="P41" s="1446">
        <v>1</v>
      </c>
      <c r="Q41" s="1446">
        <v>1</v>
      </c>
      <c r="R41" s="1446">
        <v>1</v>
      </c>
      <c r="S41" s="1446">
        <v>1</v>
      </c>
      <c r="T41" s="1446">
        <v>1</v>
      </c>
      <c r="U41" s="1457"/>
      <c r="V41" s="1446">
        <v>1</v>
      </c>
      <c r="W41" s="1446">
        <v>1</v>
      </c>
      <c r="X41" s="1446">
        <v>1</v>
      </c>
      <c r="Y41" s="1446">
        <v>1</v>
      </c>
      <c r="Z41" s="1446">
        <v>1</v>
      </c>
      <c r="AA41" s="1446">
        <v>1</v>
      </c>
      <c r="AB41" s="1446">
        <v>1</v>
      </c>
      <c r="AC41" s="1446">
        <v>1</v>
      </c>
      <c r="AD41" s="1446">
        <v>1</v>
      </c>
      <c r="AE41" s="1446">
        <v>1</v>
      </c>
      <c r="AF41" s="1446">
        <v>1</v>
      </c>
      <c r="AG41" s="1446">
        <v>1</v>
      </c>
      <c r="AH41" s="1457"/>
    </row>
    <row r="42" spans="1:35">
      <c r="A42" s="1471" t="s">
        <v>2035</v>
      </c>
      <c r="B42" s="1446" t="s">
        <v>2258</v>
      </c>
      <c r="F42" s="1446">
        <v>1</v>
      </c>
      <c r="G42" s="1446">
        <v>1</v>
      </c>
      <c r="H42" s="1457"/>
      <c r="I42" s="1446">
        <v>1</v>
      </c>
      <c r="J42" s="1446">
        <v>1</v>
      </c>
      <c r="K42" s="1446">
        <v>1</v>
      </c>
      <c r="L42" s="1446">
        <v>1</v>
      </c>
      <c r="M42" s="1446">
        <v>1</v>
      </c>
      <c r="N42" s="1446">
        <v>1</v>
      </c>
      <c r="O42" s="1446">
        <v>1</v>
      </c>
      <c r="P42" s="1446">
        <v>1</v>
      </c>
      <c r="Q42" s="1446">
        <v>1</v>
      </c>
      <c r="R42" s="1446">
        <v>1</v>
      </c>
      <c r="S42" s="1446">
        <v>1</v>
      </c>
      <c r="T42" s="1446">
        <v>1</v>
      </c>
      <c r="U42" s="1457"/>
      <c r="V42" s="1446">
        <v>1</v>
      </c>
      <c r="W42" s="1446">
        <v>1</v>
      </c>
      <c r="X42" s="1446">
        <v>1</v>
      </c>
      <c r="Y42" s="1446">
        <v>1</v>
      </c>
      <c r="Z42" s="1446">
        <v>1</v>
      </c>
      <c r="AA42" s="1446">
        <v>1</v>
      </c>
      <c r="AB42" s="1446">
        <v>1</v>
      </c>
      <c r="AC42" s="1446">
        <v>1</v>
      </c>
      <c r="AD42" s="1446">
        <v>1</v>
      </c>
      <c r="AE42" s="1446">
        <v>1</v>
      </c>
      <c r="AF42" s="1446">
        <v>1</v>
      </c>
      <c r="AG42" s="1446">
        <v>1</v>
      </c>
      <c r="AH42" s="1457"/>
    </row>
    <row r="43" spans="1:35">
      <c r="A43" s="1471" t="s">
        <v>2034</v>
      </c>
      <c r="B43" s="1446" t="s">
        <v>2260</v>
      </c>
      <c r="F43" s="1446">
        <v>0.4</v>
      </c>
      <c r="G43" s="1446">
        <v>0.4</v>
      </c>
      <c r="H43" s="1457"/>
      <c r="I43" s="1446">
        <v>0.4</v>
      </c>
      <c r="J43" s="1446">
        <v>0.4</v>
      </c>
      <c r="K43" s="1446">
        <v>0.4</v>
      </c>
      <c r="L43" s="1446">
        <v>0.4</v>
      </c>
      <c r="M43" s="1446">
        <v>0.4</v>
      </c>
      <c r="N43" s="1446">
        <v>0.4</v>
      </c>
      <c r="O43" s="1446">
        <v>0.4</v>
      </c>
      <c r="P43" s="1446">
        <v>0.4</v>
      </c>
      <c r="Q43" s="1446">
        <v>0.4</v>
      </c>
      <c r="R43" s="1446">
        <v>0.4</v>
      </c>
      <c r="S43" s="1446">
        <v>0.4</v>
      </c>
      <c r="T43" s="1446">
        <v>0.4</v>
      </c>
      <c r="U43" s="1457"/>
      <c r="V43" s="1446">
        <v>0.4</v>
      </c>
      <c r="W43" s="1446">
        <v>0.4</v>
      </c>
      <c r="X43" s="1446">
        <v>0.4</v>
      </c>
      <c r="Y43" s="1446">
        <v>0.4</v>
      </c>
      <c r="Z43" s="1446">
        <v>0.4</v>
      </c>
      <c r="AA43" s="1446">
        <v>0.4</v>
      </c>
      <c r="AB43" s="1446">
        <v>0.4</v>
      </c>
      <c r="AC43" s="1446">
        <v>0.4</v>
      </c>
      <c r="AD43" s="1446">
        <v>0.4</v>
      </c>
      <c r="AE43" s="1446">
        <v>0.4</v>
      </c>
      <c r="AF43" s="1446">
        <v>0.4</v>
      </c>
      <c r="AG43" s="1446">
        <v>0.4</v>
      </c>
      <c r="AH43" s="1457"/>
    </row>
    <row r="44" spans="1:35">
      <c r="A44" s="1471" t="s">
        <v>2037</v>
      </c>
      <c r="B44" s="1446" t="s">
        <v>2258</v>
      </c>
      <c r="F44" s="1446">
        <v>1</v>
      </c>
      <c r="G44" s="1446">
        <v>1</v>
      </c>
      <c r="H44" s="1457"/>
      <c r="I44" s="1446">
        <v>1</v>
      </c>
      <c r="J44" s="1446">
        <v>1</v>
      </c>
      <c r="K44" s="1446">
        <v>1</v>
      </c>
      <c r="L44" s="1446">
        <v>1</v>
      </c>
      <c r="M44" s="1446">
        <v>1</v>
      </c>
      <c r="N44" s="1446">
        <v>1</v>
      </c>
      <c r="O44" s="1446">
        <v>1</v>
      </c>
      <c r="P44" s="1446">
        <v>1</v>
      </c>
      <c r="Q44" s="1446">
        <v>1</v>
      </c>
      <c r="R44" s="1446">
        <v>1</v>
      </c>
      <c r="S44" s="1446">
        <v>1</v>
      </c>
      <c r="T44" s="1446">
        <v>1</v>
      </c>
      <c r="U44" s="1457"/>
      <c r="V44" s="1446">
        <v>1</v>
      </c>
      <c r="W44" s="1446">
        <v>1</v>
      </c>
      <c r="X44" s="1446">
        <v>1</v>
      </c>
      <c r="Y44" s="1446">
        <v>1</v>
      </c>
      <c r="Z44" s="1446">
        <v>1</v>
      </c>
      <c r="AA44" s="1446">
        <v>1</v>
      </c>
      <c r="AB44" s="1446">
        <v>1</v>
      </c>
      <c r="AC44" s="1446">
        <v>1</v>
      </c>
      <c r="AD44" s="1446">
        <v>1</v>
      </c>
      <c r="AE44" s="1446">
        <v>1</v>
      </c>
      <c r="AF44" s="1446">
        <v>1</v>
      </c>
      <c r="AG44" s="1446">
        <v>1</v>
      </c>
      <c r="AH44" s="1457"/>
    </row>
    <row r="45" spans="1:35">
      <c r="A45" s="1471" t="s">
        <v>2261</v>
      </c>
      <c r="B45" s="1446" t="s">
        <v>2258</v>
      </c>
      <c r="F45" s="1446">
        <v>0</v>
      </c>
      <c r="G45" s="1446">
        <v>0</v>
      </c>
      <c r="H45" s="1457"/>
      <c r="I45" s="1446">
        <v>0</v>
      </c>
      <c r="J45" s="1446">
        <v>0</v>
      </c>
      <c r="K45" s="1446">
        <v>1</v>
      </c>
      <c r="L45" s="1446">
        <v>1</v>
      </c>
      <c r="M45" s="1446">
        <v>1</v>
      </c>
      <c r="N45" s="1446">
        <v>1</v>
      </c>
      <c r="O45" s="1446">
        <v>1</v>
      </c>
      <c r="P45" s="1446">
        <v>1</v>
      </c>
      <c r="Q45" s="1446">
        <v>1</v>
      </c>
      <c r="R45" s="1446">
        <v>1</v>
      </c>
      <c r="S45" s="1446">
        <v>1</v>
      </c>
      <c r="T45" s="1446">
        <v>1</v>
      </c>
      <c r="U45" s="1457"/>
      <c r="V45" s="1446">
        <v>1</v>
      </c>
      <c r="W45" s="1446">
        <v>1</v>
      </c>
      <c r="X45" s="1446">
        <v>1</v>
      </c>
      <c r="Y45" s="1446">
        <v>1</v>
      </c>
      <c r="Z45" s="1446">
        <v>1</v>
      </c>
      <c r="AA45" s="1446">
        <v>1</v>
      </c>
      <c r="AB45" s="1446">
        <v>1</v>
      </c>
      <c r="AC45" s="1446">
        <v>1</v>
      </c>
      <c r="AD45" s="1446">
        <v>1</v>
      </c>
      <c r="AE45" s="1446">
        <v>1</v>
      </c>
      <c r="AF45" s="1446">
        <v>1</v>
      </c>
      <c r="AG45" s="1446">
        <v>1</v>
      </c>
      <c r="AH45" s="1457"/>
    </row>
    <row r="46" spans="1:35">
      <c r="A46" s="1471" t="s">
        <v>2262</v>
      </c>
      <c r="B46" s="1446" t="s">
        <v>2258</v>
      </c>
      <c r="F46" s="1446">
        <v>0</v>
      </c>
      <c r="G46" s="1446">
        <v>0</v>
      </c>
      <c r="H46" s="1457"/>
      <c r="I46" s="1446">
        <v>0</v>
      </c>
      <c r="J46" s="1446">
        <v>0</v>
      </c>
      <c r="K46" s="1446">
        <v>0</v>
      </c>
      <c r="L46" s="1446">
        <v>0</v>
      </c>
      <c r="M46" s="1446">
        <v>1</v>
      </c>
      <c r="N46" s="1446">
        <v>1</v>
      </c>
      <c r="O46" s="1446">
        <v>1</v>
      </c>
      <c r="P46" s="1446">
        <v>1</v>
      </c>
      <c r="Q46" s="1446">
        <v>1</v>
      </c>
      <c r="R46" s="1446">
        <v>1</v>
      </c>
      <c r="S46" s="1446">
        <v>1</v>
      </c>
      <c r="T46" s="1446">
        <v>1</v>
      </c>
      <c r="U46" s="1457"/>
      <c r="V46" s="1446">
        <v>1</v>
      </c>
      <c r="W46" s="1446">
        <v>1</v>
      </c>
      <c r="X46" s="1446">
        <v>1</v>
      </c>
      <c r="Y46" s="1446">
        <v>1</v>
      </c>
      <c r="Z46" s="1446">
        <v>1</v>
      </c>
      <c r="AA46" s="1446">
        <v>1</v>
      </c>
      <c r="AB46" s="1446">
        <v>1</v>
      </c>
      <c r="AC46" s="1446">
        <v>1</v>
      </c>
      <c r="AD46" s="1446">
        <v>1</v>
      </c>
      <c r="AE46" s="1446">
        <v>1</v>
      </c>
      <c r="AF46" s="1446">
        <v>1</v>
      </c>
      <c r="AG46" s="1446">
        <v>1</v>
      </c>
      <c r="AH46" s="1457"/>
    </row>
    <row r="47" spans="1:35">
      <c r="A47" s="1471" t="s">
        <v>2036</v>
      </c>
      <c r="B47" s="1446" t="s">
        <v>2258</v>
      </c>
      <c r="F47" s="1446">
        <v>0.8</v>
      </c>
      <c r="G47" s="1446">
        <v>0.8</v>
      </c>
      <c r="H47" s="1457"/>
      <c r="I47" s="1446">
        <v>0.8</v>
      </c>
      <c r="J47" s="1446">
        <v>0.8</v>
      </c>
      <c r="K47" s="1446">
        <v>0.8</v>
      </c>
      <c r="L47" s="1446">
        <v>0.8</v>
      </c>
      <c r="M47" s="1446">
        <v>0.8</v>
      </c>
      <c r="N47" s="1446">
        <v>0.8</v>
      </c>
      <c r="O47" s="1446">
        <v>0.8</v>
      </c>
      <c r="P47" s="1446">
        <v>0.8</v>
      </c>
      <c r="Q47" s="1446">
        <v>0.8</v>
      </c>
      <c r="R47" s="1446">
        <v>0.8</v>
      </c>
      <c r="S47" s="1446">
        <v>0.8</v>
      </c>
      <c r="T47" s="1446">
        <v>0.8</v>
      </c>
      <c r="U47" s="1457"/>
      <c r="V47" s="1446">
        <v>0.8</v>
      </c>
      <c r="W47" s="1446">
        <v>0.8</v>
      </c>
      <c r="X47" s="1446">
        <v>0.8</v>
      </c>
      <c r="Y47" s="1446">
        <v>0.8</v>
      </c>
      <c r="Z47" s="1446">
        <v>0.8</v>
      </c>
      <c r="AA47" s="1446">
        <v>0.8</v>
      </c>
      <c r="AB47" s="1446">
        <v>0.8</v>
      </c>
      <c r="AC47" s="1446">
        <v>0.8</v>
      </c>
      <c r="AD47" s="1446">
        <v>0.8</v>
      </c>
      <c r="AE47" s="1446">
        <v>0.8</v>
      </c>
      <c r="AF47" s="1446">
        <v>0.8</v>
      </c>
      <c r="AG47" s="1446">
        <v>0.8</v>
      </c>
      <c r="AH47" s="1457"/>
    </row>
    <row r="48" spans="1:35">
      <c r="A48" s="1471" t="s">
        <v>2263</v>
      </c>
      <c r="B48" s="1446" t="s">
        <v>2258</v>
      </c>
      <c r="F48" s="1446">
        <v>0</v>
      </c>
      <c r="G48" s="1446">
        <v>0</v>
      </c>
      <c r="H48" s="1457"/>
      <c r="I48" s="1446">
        <v>0</v>
      </c>
      <c r="J48" s="1446">
        <v>0</v>
      </c>
      <c r="K48" s="1446">
        <v>0</v>
      </c>
      <c r="L48" s="1446">
        <v>0</v>
      </c>
      <c r="M48" s="1446">
        <v>0</v>
      </c>
      <c r="N48" s="1446">
        <v>0</v>
      </c>
      <c r="O48" s="1446">
        <v>0</v>
      </c>
      <c r="P48" s="1446">
        <v>0</v>
      </c>
      <c r="Q48" s="1446">
        <v>0</v>
      </c>
      <c r="R48" s="1446">
        <v>0</v>
      </c>
      <c r="S48" s="1446">
        <v>0</v>
      </c>
      <c r="T48" s="1446">
        <v>1</v>
      </c>
      <c r="U48" s="1457"/>
      <c r="V48" s="1446">
        <v>1</v>
      </c>
      <c r="W48" s="1446">
        <v>1</v>
      </c>
      <c r="X48" s="1446">
        <v>1</v>
      </c>
      <c r="Y48" s="1446">
        <v>1</v>
      </c>
      <c r="Z48" s="1446">
        <v>1</v>
      </c>
      <c r="AA48" s="1446">
        <v>1</v>
      </c>
      <c r="AB48" s="1446">
        <v>1</v>
      </c>
      <c r="AC48" s="1446">
        <v>1</v>
      </c>
      <c r="AD48" s="1446">
        <v>1</v>
      </c>
      <c r="AE48" s="1446">
        <v>1</v>
      </c>
      <c r="AF48" s="1446">
        <v>1</v>
      </c>
      <c r="AG48" s="1446">
        <v>1</v>
      </c>
      <c r="AH48" s="1457"/>
    </row>
    <row r="49" spans="1:35">
      <c r="A49" s="1471" t="s">
        <v>2264</v>
      </c>
      <c r="B49" s="1446" t="s">
        <v>2258</v>
      </c>
      <c r="F49" s="1446">
        <v>1</v>
      </c>
      <c r="G49" s="1446">
        <v>1</v>
      </c>
      <c r="H49" s="1457"/>
      <c r="I49" s="1446">
        <v>1</v>
      </c>
      <c r="J49" s="1446">
        <v>1</v>
      </c>
      <c r="K49" s="1446">
        <v>1</v>
      </c>
      <c r="L49" s="1446">
        <v>1</v>
      </c>
      <c r="M49" s="1446">
        <v>1</v>
      </c>
      <c r="N49" s="1446">
        <v>1</v>
      </c>
      <c r="O49" s="1446">
        <v>1</v>
      </c>
      <c r="P49" s="1446">
        <v>1</v>
      </c>
      <c r="Q49" s="1446">
        <v>1</v>
      </c>
      <c r="R49" s="1446">
        <v>1</v>
      </c>
      <c r="S49" s="1446">
        <v>1</v>
      </c>
      <c r="T49" s="1446">
        <v>1</v>
      </c>
      <c r="U49" s="1457"/>
      <c r="V49" s="1446">
        <v>1</v>
      </c>
      <c r="W49" s="1446">
        <v>1</v>
      </c>
      <c r="X49" s="1446">
        <v>1</v>
      </c>
      <c r="Y49" s="1446">
        <v>1</v>
      </c>
      <c r="Z49" s="1446">
        <v>1</v>
      </c>
      <c r="AA49" s="1446">
        <v>1</v>
      </c>
      <c r="AB49" s="1446">
        <v>1</v>
      </c>
      <c r="AC49" s="1446">
        <v>1</v>
      </c>
      <c r="AD49" s="1446">
        <v>1</v>
      </c>
      <c r="AE49" s="1446">
        <v>1</v>
      </c>
      <c r="AF49" s="1446">
        <v>1</v>
      </c>
      <c r="AG49" s="1446">
        <v>1</v>
      </c>
      <c r="AH49" s="1457"/>
    </row>
    <row r="50" spans="1:35">
      <c r="A50" s="1490" t="s">
        <v>159</v>
      </c>
      <c r="E50" s="1452"/>
      <c r="F50" s="1446">
        <f>SUM(F39:F49)</f>
        <v>7.2</v>
      </c>
      <c r="G50" s="1446">
        <f>SUM(G39:G49)</f>
        <v>7.2</v>
      </c>
      <c r="H50" s="1457"/>
      <c r="I50" s="1446">
        <f>SUM(I39:I49)</f>
        <v>7.2</v>
      </c>
      <c r="J50" s="1446">
        <f t="shared" ref="J50:T50" si="29">SUM(J39:J49)</f>
        <v>7.2</v>
      </c>
      <c r="K50" s="1446">
        <f t="shared" si="29"/>
        <v>8.1999999999999993</v>
      </c>
      <c r="L50" s="1446">
        <f t="shared" si="29"/>
        <v>8.1999999999999993</v>
      </c>
      <c r="M50" s="1446">
        <f t="shared" si="29"/>
        <v>9.2000000000000011</v>
      </c>
      <c r="N50" s="1446">
        <f t="shared" si="29"/>
        <v>9.2000000000000011</v>
      </c>
      <c r="O50" s="1446">
        <f t="shared" si="29"/>
        <v>9.2000000000000011</v>
      </c>
      <c r="P50" s="1446">
        <f t="shared" si="29"/>
        <v>9.2000000000000011</v>
      </c>
      <c r="Q50" s="1446">
        <f t="shared" si="29"/>
        <v>9.2000000000000011</v>
      </c>
      <c r="R50" s="1446">
        <f t="shared" si="29"/>
        <v>9.2000000000000011</v>
      </c>
      <c r="S50" s="1446">
        <f t="shared" si="29"/>
        <v>9.2000000000000011</v>
      </c>
      <c r="T50" s="1446">
        <f t="shared" si="29"/>
        <v>10.200000000000001</v>
      </c>
      <c r="U50" s="1457"/>
      <c r="V50" s="1446">
        <f>SUM(V39:V49)</f>
        <v>10.200000000000001</v>
      </c>
      <c r="W50" s="1446">
        <f t="shared" ref="W50:AG50" si="30">SUM(W39:W49)</f>
        <v>10.200000000000001</v>
      </c>
      <c r="X50" s="1446">
        <f t="shared" si="30"/>
        <v>10.200000000000001</v>
      </c>
      <c r="Y50" s="1446">
        <f t="shared" si="30"/>
        <v>10.200000000000001</v>
      </c>
      <c r="Z50" s="1446">
        <f t="shared" si="30"/>
        <v>10.200000000000001</v>
      </c>
      <c r="AA50" s="1446">
        <f t="shared" si="30"/>
        <v>10.200000000000001</v>
      </c>
      <c r="AB50" s="1446">
        <f t="shared" si="30"/>
        <v>10.200000000000001</v>
      </c>
      <c r="AC50" s="1446">
        <f t="shared" si="30"/>
        <v>10.200000000000001</v>
      </c>
      <c r="AD50" s="1446">
        <f t="shared" si="30"/>
        <v>10.200000000000001</v>
      </c>
      <c r="AE50" s="1446">
        <f t="shared" si="30"/>
        <v>10.200000000000001</v>
      </c>
      <c r="AF50" s="1446">
        <f t="shared" si="30"/>
        <v>10.200000000000001</v>
      </c>
      <c r="AG50" s="1446">
        <f t="shared" si="30"/>
        <v>10.200000000000001</v>
      </c>
      <c r="AH50" s="1457"/>
    </row>
    <row r="51" spans="1:35">
      <c r="A51" s="1490" t="s">
        <v>2265</v>
      </c>
      <c r="E51" s="1452"/>
      <c r="F51" s="1446">
        <f>SUM(F41:F47)</f>
        <v>4.2</v>
      </c>
      <c r="G51" s="1446">
        <f>SUM(G41:G47)</f>
        <v>4.2</v>
      </c>
      <c r="H51" s="1457"/>
      <c r="I51" s="1446">
        <f>SUM(I41:I47)</f>
        <v>4.2</v>
      </c>
      <c r="J51" s="1446">
        <f t="shared" ref="J51:T51" si="31">SUM(J41:J47)</f>
        <v>4.2</v>
      </c>
      <c r="K51" s="1446">
        <f t="shared" si="31"/>
        <v>5.2</v>
      </c>
      <c r="L51" s="1446">
        <f t="shared" si="31"/>
        <v>5.2</v>
      </c>
      <c r="M51" s="1446">
        <f t="shared" si="31"/>
        <v>6.2</v>
      </c>
      <c r="N51" s="1446">
        <f t="shared" si="31"/>
        <v>6.2</v>
      </c>
      <c r="O51" s="1446">
        <f t="shared" si="31"/>
        <v>6.2</v>
      </c>
      <c r="P51" s="1446">
        <f t="shared" si="31"/>
        <v>6.2</v>
      </c>
      <c r="Q51" s="1446">
        <f t="shared" si="31"/>
        <v>6.2</v>
      </c>
      <c r="R51" s="1446">
        <f t="shared" si="31"/>
        <v>6.2</v>
      </c>
      <c r="S51" s="1446">
        <f t="shared" si="31"/>
        <v>6.2</v>
      </c>
      <c r="T51" s="1446">
        <f t="shared" si="31"/>
        <v>6.2</v>
      </c>
      <c r="U51" s="1457"/>
      <c r="V51" s="1446">
        <f>SUM(V41:V47)</f>
        <v>6.2</v>
      </c>
      <c r="W51" s="1446">
        <f t="shared" ref="W51:AG51" si="32">SUM(W41:W47)</f>
        <v>6.2</v>
      </c>
      <c r="X51" s="1446">
        <f t="shared" si="32"/>
        <v>6.2</v>
      </c>
      <c r="Y51" s="1446">
        <f t="shared" si="32"/>
        <v>6.2</v>
      </c>
      <c r="Z51" s="1446">
        <f t="shared" si="32"/>
        <v>6.2</v>
      </c>
      <c r="AA51" s="1446">
        <f t="shared" si="32"/>
        <v>6.2</v>
      </c>
      <c r="AB51" s="1446">
        <f t="shared" si="32"/>
        <v>6.2</v>
      </c>
      <c r="AC51" s="1446">
        <f t="shared" si="32"/>
        <v>6.2</v>
      </c>
      <c r="AD51" s="1446">
        <f t="shared" si="32"/>
        <v>6.2</v>
      </c>
      <c r="AE51" s="1446">
        <f t="shared" si="32"/>
        <v>6.2</v>
      </c>
      <c r="AF51" s="1446">
        <f t="shared" si="32"/>
        <v>6.2</v>
      </c>
      <c r="AG51" s="1446">
        <f t="shared" si="32"/>
        <v>6.2</v>
      </c>
      <c r="AH51" s="1457"/>
    </row>
    <row r="52" spans="1:35">
      <c r="H52" s="1457"/>
      <c r="U52" s="1457"/>
      <c r="AH52" s="1457"/>
    </row>
    <row r="53" spans="1:35">
      <c r="A53" s="1489" t="s">
        <v>2266</v>
      </c>
      <c r="B53" s="1491">
        <v>0.02</v>
      </c>
      <c r="C53" s="1492" t="s">
        <v>2267</v>
      </c>
      <c r="D53" s="1492"/>
      <c r="H53" s="1457"/>
      <c r="U53" s="1457"/>
      <c r="AH53" s="1457"/>
    </row>
    <row r="54" spans="1:35">
      <c r="A54" s="1471" t="s">
        <v>2257</v>
      </c>
      <c r="B54" s="1493">
        <v>0</v>
      </c>
      <c r="C54" s="1492"/>
      <c r="D54" s="1492"/>
      <c r="F54" s="1494">
        <f t="shared" ref="F54:F63" si="33">B54/12</f>
        <v>0</v>
      </c>
      <c r="G54" s="1465">
        <f>F54</f>
        <v>0</v>
      </c>
      <c r="H54" s="1464">
        <f>SUM(F54:G54)</f>
        <v>0</v>
      </c>
      <c r="I54" s="1465">
        <f t="shared" ref="I54:I63" si="34">G54</f>
        <v>0</v>
      </c>
      <c r="J54" s="1465">
        <f t="shared" ref="G54:T64" si="35">I54</f>
        <v>0</v>
      </c>
      <c r="K54" s="1465">
        <f t="shared" si="35"/>
        <v>0</v>
      </c>
      <c r="L54" s="1465">
        <f t="shared" si="35"/>
        <v>0</v>
      </c>
      <c r="M54" s="1465">
        <f t="shared" si="35"/>
        <v>0</v>
      </c>
      <c r="N54" s="1465">
        <f t="shared" si="35"/>
        <v>0</v>
      </c>
      <c r="O54" s="1465">
        <f t="shared" si="35"/>
        <v>0</v>
      </c>
      <c r="P54" s="1465">
        <f t="shared" si="35"/>
        <v>0</v>
      </c>
      <c r="Q54" s="1465">
        <f t="shared" si="35"/>
        <v>0</v>
      </c>
      <c r="R54" s="1465">
        <f t="shared" si="35"/>
        <v>0</v>
      </c>
      <c r="S54" s="1465">
        <f t="shared" si="35"/>
        <v>0</v>
      </c>
      <c r="T54" s="1465">
        <f t="shared" si="35"/>
        <v>0</v>
      </c>
      <c r="U54" s="1464">
        <f>SUM(I54:T54)</f>
        <v>0</v>
      </c>
      <c r="V54" s="1494">
        <f>R54</f>
        <v>0</v>
      </c>
      <c r="W54" s="1465">
        <f t="shared" ref="W54:AG64" si="36">V54</f>
        <v>0</v>
      </c>
      <c r="X54" s="1465">
        <f t="shared" si="36"/>
        <v>0</v>
      </c>
      <c r="Y54" s="1465">
        <f t="shared" si="36"/>
        <v>0</v>
      </c>
      <c r="Z54" s="1465">
        <f t="shared" si="36"/>
        <v>0</v>
      </c>
      <c r="AA54" s="1465">
        <f t="shared" si="36"/>
        <v>0</v>
      </c>
      <c r="AB54" s="1465">
        <f t="shared" si="36"/>
        <v>0</v>
      </c>
      <c r="AC54" s="1465">
        <f t="shared" si="36"/>
        <v>0</v>
      </c>
      <c r="AD54" s="1465">
        <f t="shared" si="36"/>
        <v>0</v>
      </c>
      <c r="AE54" s="1465">
        <f t="shared" si="36"/>
        <v>0</v>
      </c>
      <c r="AF54" s="1465">
        <f t="shared" si="36"/>
        <v>0</v>
      </c>
      <c r="AG54" s="1465">
        <f t="shared" si="36"/>
        <v>0</v>
      </c>
      <c r="AH54" s="1464">
        <f t="shared" ref="AH54:AH64" si="37">SUM(V54:AG54)</f>
        <v>0</v>
      </c>
      <c r="AI54" s="1465">
        <f t="shared" ref="AI54:AI64" si="38">SUM(AH54,U54,H54)</f>
        <v>0</v>
      </c>
    </row>
    <row r="55" spans="1:35">
      <c r="A55" s="1471" t="s">
        <v>2259</v>
      </c>
      <c r="B55" s="1493">
        <v>0</v>
      </c>
      <c r="C55" s="1492"/>
      <c r="D55" s="1492"/>
      <c r="F55" s="1494">
        <f t="shared" si="33"/>
        <v>0</v>
      </c>
      <c r="G55" s="1465">
        <f>F55</f>
        <v>0</v>
      </c>
      <c r="H55" s="1464">
        <f>SUM(F55:G55)</f>
        <v>0</v>
      </c>
      <c r="I55" s="1465">
        <f t="shared" si="34"/>
        <v>0</v>
      </c>
      <c r="J55" s="1465">
        <f t="shared" si="35"/>
        <v>0</v>
      </c>
      <c r="K55" s="1465">
        <f t="shared" si="35"/>
        <v>0</v>
      </c>
      <c r="L55" s="1465">
        <f t="shared" si="35"/>
        <v>0</v>
      </c>
      <c r="M55" s="1465">
        <f t="shared" si="35"/>
        <v>0</v>
      </c>
      <c r="N55" s="1465">
        <f t="shared" si="35"/>
        <v>0</v>
      </c>
      <c r="O55" s="1465">
        <f t="shared" si="35"/>
        <v>0</v>
      </c>
      <c r="P55" s="1465">
        <f t="shared" si="35"/>
        <v>0</v>
      </c>
      <c r="Q55" s="1465">
        <f t="shared" si="35"/>
        <v>0</v>
      </c>
      <c r="R55" s="1465">
        <f t="shared" si="35"/>
        <v>0</v>
      </c>
      <c r="S55" s="1465">
        <f t="shared" si="35"/>
        <v>0</v>
      </c>
      <c r="T55" s="1465">
        <f t="shared" si="35"/>
        <v>0</v>
      </c>
      <c r="U55" s="1464">
        <f>SUM(I55:T55)</f>
        <v>0</v>
      </c>
      <c r="V55" s="1494">
        <f>R55</f>
        <v>0</v>
      </c>
      <c r="W55" s="1465">
        <f t="shared" si="36"/>
        <v>0</v>
      </c>
      <c r="X55" s="1465">
        <f t="shared" si="36"/>
        <v>0</v>
      </c>
      <c r="Y55" s="1465">
        <f t="shared" si="36"/>
        <v>0</v>
      </c>
      <c r="Z55" s="1465">
        <f t="shared" si="36"/>
        <v>0</v>
      </c>
      <c r="AA55" s="1465">
        <f t="shared" si="36"/>
        <v>0</v>
      </c>
      <c r="AB55" s="1465">
        <f t="shared" si="36"/>
        <v>0</v>
      </c>
      <c r="AC55" s="1465">
        <f t="shared" si="36"/>
        <v>0</v>
      </c>
      <c r="AD55" s="1465">
        <f t="shared" si="36"/>
        <v>0</v>
      </c>
      <c r="AE55" s="1465">
        <f t="shared" si="36"/>
        <v>0</v>
      </c>
      <c r="AF55" s="1465">
        <f t="shared" si="36"/>
        <v>0</v>
      </c>
      <c r="AG55" s="1465">
        <f t="shared" si="36"/>
        <v>0</v>
      </c>
      <c r="AH55" s="1464">
        <f t="shared" si="37"/>
        <v>0</v>
      </c>
      <c r="AI55" s="1465">
        <f t="shared" si="38"/>
        <v>0</v>
      </c>
    </row>
    <row r="56" spans="1:35">
      <c r="A56" s="1471" t="s">
        <v>2033</v>
      </c>
      <c r="B56" s="1493">
        <v>190000</v>
      </c>
      <c r="C56" s="1495"/>
      <c r="F56" s="1494">
        <f t="shared" si="33"/>
        <v>15833.333333333334</v>
      </c>
      <c r="G56" s="1465">
        <f>F56</f>
        <v>15833.333333333334</v>
      </c>
      <c r="H56" s="1464">
        <f>SUM(F56:G56)</f>
        <v>31666.666666666668</v>
      </c>
      <c r="I56" s="1465">
        <f t="shared" si="34"/>
        <v>15833.333333333334</v>
      </c>
      <c r="J56" s="1465">
        <f t="shared" si="35"/>
        <v>15833.333333333334</v>
      </c>
      <c r="K56" s="1465">
        <f t="shared" si="35"/>
        <v>15833.333333333334</v>
      </c>
      <c r="L56" s="1465">
        <f t="shared" si="35"/>
        <v>15833.333333333334</v>
      </c>
      <c r="M56" s="1465">
        <f t="shared" si="35"/>
        <v>15833.333333333334</v>
      </c>
      <c r="N56" s="1465">
        <f t="shared" si="35"/>
        <v>15833.333333333334</v>
      </c>
      <c r="O56" s="1465">
        <f t="shared" si="35"/>
        <v>15833.333333333334</v>
      </c>
      <c r="P56" s="1465">
        <f t="shared" si="35"/>
        <v>15833.333333333334</v>
      </c>
      <c r="Q56" s="1465">
        <f t="shared" si="35"/>
        <v>15833.333333333334</v>
      </c>
      <c r="R56" s="1465">
        <f t="shared" si="35"/>
        <v>15833.333333333334</v>
      </c>
      <c r="S56" s="1465">
        <f t="shared" si="35"/>
        <v>15833.333333333334</v>
      </c>
      <c r="T56" s="1465">
        <f t="shared" si="35"/>
        <v>15833.333333333334</v>
      </c>
      <c r="U56" s="1464">
        <f>SUM(I56:T56)</f>
        <v>190000.00000000003</v>
      </c>
      <c r="V56" s="1494">
        <f t="shared" ref="V56:V62" si="39">T56*(1+$B$53)</f>
        <v>16150</v>
      </c>
      <c r="W56" s="1465">
        <f t="shared" si="36"/>
        <v>16150</v>
      </c>
      <c r="X56" s="1465">
        <f t="shared" si="36"/>
        <v>16150</v>
      </c>
      <c r="Y56" s="1465">
        <f t="shared" si="36"/>
        <v>16150</v>
      </c>
      <c r="Z56" s="1465">
        <f t="shared" si="36"/>
        <v>16150</v>
      </c>
      <c r="AA56" s="1465">
        <f t="shared" si="36"/>
        <v>16150</v>
      </c>
      <c r="AB56" s="1465">
        <f t="shared" si="36"/>
        <v>16150</v>
      </c>
      <c r="AC56" s="1465">
        <f t="shared" si="36"/>
        <v>16150</v>
      </c>
      <c r="AD56" s="1465">
        <f t="shared" si="36"/>
        <v>16150</v>
      </c>
      <c r="AE56" s="1465">
        <f t="shared" si="36"/>
        <v>16150</v>
      </c>
      <c r="AF56" s="1465">
        <f t="shared" si="36"/>
        <v>16150</v>
      </c>
      <c r="AG56" s="1465">
        <f t="shared" si="36"/>
        <v>16150</v>
      </c>
      <c r="AH56" s="1464">
        <f t="shared" si="37"/>
        <v>193800</v>
      </c>
      <c r="AI56" s="1465">
        <f t="shared" si="38"/>
        <v>415466.66666666669</v>
      </c>
    </row>
    <row r="57" spans="1:35">
      <c r="A57" s="1471" t="s">
        <v>2035</v>
      </c>
      <c r="B57" s="1493">
        <v>85000</v>
      </c>
      <c r="C57" s="1495"/>
      <c r="D57" s="1496"/>
      <c r="F57" s="1494">
        <f>B57/12</f>
        <v>7083.333333333333</v>
      </c>
      <c r="G57" s="1494">
        <f>F57</f>
        <v>7083.333333333333</v>
      </c>
      <c r="H57" s="1464">
        <f t="shared" ref="H57:H63" si="40">SUM(F57:G57)</f>
        <v>14166.666666666666</v>
      </c>
      <c r="I57" s="1465">
        <f t="shared" si="34"/>
        <v>7083.333333333333</v>
      </c>
      <c r="J57" s="1465">
        <f t="shared" si="35"/>
        <v>7083.333333333333</v>
      </c>
      <c r="K57" s="1465">
        <f t="shared" si="35"/>
        <v>7083.333333333333</v>
      </c>
      <c r="L57" s="1465">
        <f t="shared" si="35"/>
        <v>7083.333333333333</v>
      </c>
      <c r="M57" s="1465">
        <f t="shared" si="35"/>
        <v>7083.333333333333</v>
      </c>
      <c r="N57" s="1465">
        <f t="shared" si="35"/>
        <v>7083.333333333333</v>
      </c>
      <c r="O57" s="1465">
        <f t="shared" si="35"/>
        <v>7083.333333333333</v>
      </c>
      <c r="P57" s="1465">
        <f t="shared" si="35"/>
        <v>7083.333333333333</v>
      </c>
      <c r="Q57" s="1465">
        <f t="shared" si="35"/>
        <v>7083.333333333333</v>
      </c>
      <c r="R57" s="1465">
        <f t="shared" si="35"/>
        <v>7083.333333333333</v>
      </c>
      <c r="S57" s="1465">
        <f t="shared" si="35"/>
        <v>7083.333333333333</v>
      </c>
      <c r="T57" s="1465">
        <f t="shared" si="35"/>
        <v>7083.333333333333</v>
      </c>
      <c r="U57" s="1464">
        <f t="shared" ref="U57:U64" si="41">SUM(I57:T57)</f>
        <v>85000</v>
      </c>
      <c r="V57" s="1494">
        <f t="shared" si="39"/>
        <v>7225</v>
      </c>
      <c r="W57" s="1494">
        <f t="shared" si="36"/>
        <v>7225</v>
      </c>
      <c r="X57" s="1465">
        <f t="shared" si="36"/>
        <v>7225</v>
      </c>
      <c r="Y57" s="1465">
        <f t="shared" si="36"/>
        <v>7225</v>
      </c>
      <c r="Z57" s="1465">
        <f t="shared" si="36"/>
        <v>7225</v>
      </c>
      <c r="AA57" s="1465">
        <f t="shared" si="36"/>
        <v>7225</v>
      </c>
      <c r="AB57" s="1465">
        <f t="shared" si="36"/>
        <v>7225</v>
      </c>
      <c r="AC57" s="1465">
        <f t="shared" si="36"/>
        <v>7225</v>
      </c>
      <c r="AD57" s="1465">
        <f t="shared" si="36"/>
        <v>7225</v>
      </c>
      <c r="AE57" s="1465">
        <f t="shared" si="36"/>
        <v>7225</v>
      </c>
      <c r="AF57" s="1465">
        <f t="shared" si="36"/>
        <v>7225</v>
      </c>
      <c r="AG57" s="1465">
        <f t="shared" si="36"/>
        <v>7225</v>
      </c>
      <c r="AH57" s="1464">
        <f t="shared" si="37"/>
        <v>86700</v>
      </c>
      <c r="AI57" s="1465">
        <f t="shared" si="38"/>
        <v>185866.66666666666</v>
      </c>
    </row>
    <row r="58" spans="1:35">
      <c r="A58" s="1471" t="s">
        <v>2034</v>
      </c>
      <c r="B58" s="1493">
        <v>82514</v>
      </c>
      <c r="C58" s="1465"/>
      <c r="D58" s="1496"/>
      <c r="F58" s="1494">
        <f t="shared" si="33"/>
        <v>6876.166666666667</v>
      </c>
      <c r="G58" s="1465">
        <f t="shared" si="35"/>
        <v>6876.166666666667</v>
      </c>
      <c r="H58" s="1464">
        <f t="shared" si="40"/>
        <v>13752.333333333334</v>
      </c>
      <c r="I58" s="1465">
        <f t="shared" si="34"/>
        <v>6876.166666666667</v>
      </c>
      <c r="J58" s="1465">
        <f t="shared" si="35"/>
        <v>6876.166666666667</v>
      </c>
      <c r="K58" s="1465">
        <f t="shared" si="35"/>
        <v>6876.166666666667</v>
      </c>
      <c r="L58" s="1465">
        <f t="shared" si="35"/>
        <v>6876.166666666667</v>
      </c>
      <c r="M58" s="1465">
        <f t="shared" si="35"/>
        <v>6876.166666666667</v>
      </c>
      <c r="N58" s="1465">
        <f t="shared" si="35"/>
        <v>6876.166666666667</v>
      </c>
      <c r="O58" s="1465">
        <f t="shared" si="35"/>
        <v>6876.166666666667</v>
      </c>
      <c r="P58" s="1465">
        <f t="shared" si="35"/>
        <v>6876.166666666667</v>
      </c>
      <c r="Q58" s="1465">
        <f t="shared" si="35"/>
        <v>6876.166666666667</v>
      </c>
      <c r="R58" s="1465">
        <f t="shared" si="35"/>
        <v>6876.166666666667</v>
      </c>
      <c r="S58" s="1465">
        <f t="shared" si="35"/>
        <v>6876.166666666667</v>
      </c>
      <c r="T58" s="1465">
        <f t="shared" si="35"/>
        <v>6876.166666666667</v>
      </c>
      <c r="U58" s="1464">
        <f t="shared" si="41"/>
        <v>82514</v>
      </c>
      <c r="V58" s="1494">
        <f t="shared" si="39"/>
        <v>7013.6900000000005</v>
      </c>
      <c r="W58" s="1494">
        <f t="shared" si="36"/>
        <v>7013.6900000000005</v>
      </c>
      <c r="X58" s="1465">
        <f t="shared" si="36"/>
        <v>7013.6900000000005</v>
      </c>
      <c r="Y58" s="1465">
        <f t="shared" si="36"/>
        <v>7013.6900000000005</v>
      </c>
      <c r="Z58" s="1465">
        <f t="shared" si="36"/>
        <v>7013.6900000000005</v>
      </c>
      <c r="AA58" s="1465">
        <f t="shared" si="36"/>
        <v>7013.6900000000005</v>
      </c>
      <c r="AB58" s="1465">
        <f t="shared" si="36"/>
        <v>7013.6900000000005</v>
      </c>
      <c r="AC58" s="1465">
        <f t="shared" si="36"/>
        <v>7013.6900000000005</v>
      </c>
      <c r="AD58" s="1465">
        <f t="shared" si="36"/>
        <v>7013.6900000000005</v>
      </c>
      <c r="AE58" s="1465">
        <f t="shared" si="36"/>
        <v>7013.6900000000005</v>
      </c>
      <c r="AF58" s="1465">
        <f t="shared" si="36"/>
        <v>7013.6900000000005</v>
      </c>
      <c r="AG58" s="1465">
        <f t="shared" si="36"/>
        <v>7013.6900000000005</v>
      </c>
      <c r="AH58" s="1464">
        <f t="shared" si="37"/>
        <v>84164.280000000013</v>
      </c>
      <c r="AI58" s="1465">
        <f t="shared" si="38"/>
        <v>180430.61333333337</v>
      </c>
    </row>
    <row r="59" spans="1:35">
      <c r="A59" s="1471" t="s">
        <v>2037</v>
      </c>
      <c r="B59" s="1493">
        <v>80000</v>
      </c>
      <c r="C59" s="1495"/>
      <c r="D59" s="1496"/>
      <c r="F59" s="1494">
        <f t="shared" si="33"/>
        <v>6666.666666666667</v>
      </c>
      <c r="G59" s="1465">
        <f>F59</f>
        <v>6666.666666666667</v>
      </c>
      <c r="H59" s="1464">
        <f t="shared" si="40"/>
        <v>13333.333333333334</v>
      </c>
      <c r="I59" s="1465">
        <f t="shared" si="34"/>
        <v>6666.666666666667</v>
      </c>
      <c r="J59" s="1494">
        <f>I59</f>
        <v>6666.666666666667</v>
      </c>
      <c r="K59" s="1465">
        <f t="shared" si="35"/>
        <v>6666.666666666667</v>
      </c>
      <c r="L59" s="1465">
        <f t="shared" si="35"/>
        <v>6666.666666666667</v>
      </c>
      <c r="M59" s="1465">
        <f t="shared" si="35"/>
        <v>6666.666666666667</v>
      </c>
      <c r="N59" s="1465">
        <f t="shared" si="35"/>
        <v>6666.666666666667</v>
      </c>
      <c r="O59" s="1465">
        <f t="shared" si="35"/>
        <v>6666.666666666667</v>
      </c>
      <c r="P59" s="1465">
        <f t="shared" si="35"/>
        <v>6666.666666666667</v>
      </c>
      <c r="Q59" s="1465">
        <f t="shared" si="35"/>
        <v>6666.666666666667</v>
      </c>
      <c r="R59" s="1465">
        <f t="shared" si="35"/>
        <v>6666.666666666667</v>
      </c>
      <c r="S59" s="1465">
        <f t="shared" si="35"/>
        <v>6666.666666666667</v>
      </c>
      <c r="T59" s="1465">
        <f t="shared" si="35"/>
        <v>6666.666666666667</v>
      </c>
      <c r="U59" s="1464">
        <f t="shared" si="41"/>
        <v>80000</v>
      </c>
      <c r="V59" s="1494">
        <f t="shared" si="39"/>
        <v>6800</v>
      </c>
      <c r="W59" s="1494">
        <f t="shared" si="36"/>
        <v>6800</v>
      </c>
      <c r="X59" s="1465">
        <f t="shared" si="36"/>
        <v>6800</v>
      </c>
      <c r="Y59" s="1494">
        <f t="shared" si="36"/>
        <v>6800</v>
      </c>
      <c r="Z59" s="1465">
        <f t="shared" si="36"/>
        <v>6800</v>
      </c>
      <c r="AA59" s="1465">
        <f t="shared" si="36"/>
        <v>6800</v>
      </c>
      <c r="AB59" s="1465">
        <f t="shared" si="36"/>
        <v>6800</v>
      </c>
      <c r="AC59" s="1465">
        <f t="shared" si="36"/>
        <v>6800</v>
      </c>
      <c r="AD59" s="1465">
        <f t="shared" si="36"/>
        <v>6800</v>
      </c>
      <c r="AE59" s="1465">
        <f t="shared" si="36"/>
        <v>6800</v>
      </c>
      <c r="AF59" s="1465">
        <f t="shared" si="36"/>
        <v>6800</v>
      </c>
      <c r="AG59" s="1465">
        <f t="shared" si="36"/>
        <v>6800</v>
      </c>
      <c r="AH59" s="1464">
        <f t="shared" si="37"/>
        <v>81600</v>
      </c>
      <c r="AI59" s="1465">
        <f t="shared" si="38"/>
        <v>174933.33333333334</v>
      </c>
    </row>
    <row r="60" spans="1:35">
      <c r="A60" s="1471" t="s">
        <v>2261</v>
      </c>
      <c r="B60" s="1493">
        <v>75000</v>
      </c>
      <c r="C60" s="1495"/>
      <c r="D60" s="1496"/>
      <c r="F60" s="1494">
        <f t="shared" si="33"/>
        <v>6250</v>
      </c>
      <c r="G60" s="1465">
        <f>F60</f>
        <v>6250</v>
      </c>
      <c r="H60" s="1464">
        <f t="shared" si="40"/>
        <v>12500</v>
      </c>
      <c r="I60" s="1465">
        <f t="shared" si="34"/>
        <v>6250</v>
      </c>
      <c r="J60" s="1494">
        <f>I60</f>
        <v>6250</v>
      </c>
      <c r="K60" s="1465">
        <f t="shared" si="35"/>
        <v>6250</v>
      </c>
      <c r="L60" s="1465">
        <f t="shared" si="35"/>
        <v>6250</v>
      </c>
      <c r="M60" s="1465">
        <f t="shared" si="35"/>
        <v>6250</v>
      </c>
      <c r="N60" s="1465">
        <f t="shared" si="35"/>
        <v>6250</v>
      </c>
      <c r="O60" s="1465">
        <f t="shared" si="35"/>
        <v>6250</v>
      </c>
      <c r="P60" s="1465">
        <f t="shared" si="35"/>
        <v>6250</v>
      </c>
      <c r="Q60" s="1465">
        <f t="shared" si="35"/>
        <v>6250</v>
      </c>
      <c r="R60" s="1465">
        <f t="shared" si="35"/>
        <v>6250</v>
      </c>
      <c r="S60" s="1465">
        <f t="shared" si="35"/>
        <v>6250</v>
      </c>
      <c r="T60" s="1465">
        <f t="shared" si="35"/>
        <v>6250</v>
      </c>
      <c r="U60" s="1464">
        <f t="shared" si="41"/>
        <v>75000</v>
      </c>
      <c r="V60" s="1494">
        <f t="shared" si="39"/>
        <v>6375</v>
      </c>
      <c r="W60" s="1494">
        <f t="shared" si="36"/>
        <v>6375</v>
      </c>
      <c r="X60" s="1465">
        <f t="shared" si="36"/>
        <v>6375</v>
      </c>
      <c r="Y60" s="1494">
        <f t="shared" si="36"/>
        <v>6375</v>
      </c>
      <c r="Z60" s="1465">
        <f t="shared" si="36"/>
        <v>6375</v>
      </c>
      <c r="AA60" s="1465">
        <f t="shared" si="36"/>
        <v>6375</v>
      </c>
      <c r="AB60" s="1465">
        <f t="shared" si="36"/>
        <v>6375</v>
      </c>
      <c r="AC60" s="1465">
        <f t="shared" si="36"/>
        <v>6375</v>
      </c>
      <c r="AD60" s="1465">
        <f t="shared" si="36"/>
        <v>6375</v>
      </c>
      <c r="AE60" s="1465">
        <f t="shared" si="36"/>
        <v>6375</v>
      </c>
      <c r="AF60" s="1465">
        <f t="shared" si="36"/>
        <v>6375</v>
      </c>
      <c r="AG60" s="1465">
        <f t="shared" si="36"/>
        <v>6375</v>
      </c>
      <c r="AH60" s="1464">
        <f t="shared" si="37"/>
        <v>76500</v>
      </c>
      <c r="AI60" s="1465">
        <f t="shared" si="38"/>
        <v>164000</v>
      </c>
    </row>
    <row r="61" spans="1:35">
      <c r="A61" s="1471" t="s">
        <v>2268</v>
      </c>
      <c r="B61" s="1493">
        <v>70000</v>
      </c>
      <c r="C61" s="1495"/>
      <c r="D61" s="1496"/>
      <c r="F61" s="1494">
        <f t="shared" si="33"/>
        <v>5833.333333333333</v>
      </c>
      <c r="G61" s="1465">
        <f>F61</f>
        <v>5833.333333333333</v>
      </c>
      <c r="H61" s="1464">
        <f t="shared" si="40"/>
        <v>11666.666666666666</v>
      </c>
      <c r="I61" s="1465">
        <f t="shared" si="34"/>
        <v>5833.333333333333</v>
      </c>
      <c r="J61" s="1494">
        <f>I61</f>
        <v>5833.333333333333</v>
      </c>
      <c r="K61" s="1465">
        <f t="shared" si="35"/>
        <v>5833.333333333333</v>
      </c>
      <c r="L61" s="1465">
        <f t="shared" si="35"/>
        <v>5833.333333333333</v>
      </c>
      <c r="M61" s="1465">
        <f t="shared" si="35"/>
        <v>5833.333333333333</v>
      </c>
      <c r="N61" s="1465">
        <f t="shared" si="35"/>
        <v>5833.333333333333</v>
      </c>
      <c r="O61" s="1465">
        <f t="shared" si="35"/>
        <v>5833.333333333333</v>
      </c>
      <c r="P61" s="1465">
        <f t="shared" si="35"/>
        <v>5833.333333333333</v>
      </c>
      <c r="Q61" s="1465">
        <f t="shared" si="35"/>
        <v>5833.333333333333</v>
      </c>
      <c r="R61" s="1465">
        <f t="shared" si="35"/>
        <v>5833.333333333333</v>
      </c>
      <c r="S61" s="1465">
        <f t="shared" si="35"/>
        <v>5833.333333333333</v>
      </c>
      <c r="T61" s="1465">
        <f t="shared" si="35"/>
        <v>5833.333333333333</v>
      </c>
      <c r="U61" s="1464">
        <f t="shared" si="41"/>
        <v>70000.000000000015</v>
      </c>
      <c r="V61" s="1494">
        <f t="shared" si="39"/>
        <v>5950</v>
      </c>
      <c r="W61" s="1494">
        <f t="shared" si="36"/>
        <v>5950</v>
      </c>
      <c r="X61" s="1465">
        <f t="shared" si="36"/>
        <v>5950</v>
      </c>
      <c r="Y61" s="1494">
        <f t="shared" si="36"/>
        <v>5950</v>
      </c>
      <c r="Z61" s="1465">
        <f t="shared" si="36"/>
        <v>5950</v>
      </c>
      <c r="AA61" s="1465">
        <f t="shared" si="36"/>
        <v>5950</v>
      </c>
      <c r="AB61" s="1465">
        <f t="shared" si="36"/>
        <v>5950</v>
      </c>
      <c r="AC61" s="1465">
        <f t="shared" si="36"/>
        <v>5950</v>
      </c>
      <c r="AD61" s="1465">
        <f t="shared" si="36"/>
        <v>5950</v>
      </c>
      <c r="AE61" s="1465">
        <f t="shared" si="36"/>
        <v>5950</v>
      </c>
      <c r="AF61" s="1465">
        <f t="shared" si="36"/>
        <v>5950</v>
      </c>
      <c r="AG61" s="1465">
        <f t="shared" si="36"/>
        <v>5950</v>
      </c>
      <c r="AH61" s="1464">
        <f t="shared" si="37"/>
        <v>71400</v>
      </c>
      <c r="AI61" s="1465">
        <f t="shared" si="38"/>
        <v>153066.66666666666</v>
      </c>
    </row>
    <row r="62" spans="1:35">
      <c r="A62" s="1471" t="s">
        <v>2036</v>
      </c>
      <c r="B62" s="1493">
        <v>120000</v>
      </c>
      <c r="C62" s="1495"/>
      <c r="D62" s="1496"/>
      <c r="F62" s="1494">
        <f t="shared" si="33"/>
        <v>10000</v>
      </c>
      <c r="G62" s="1465">
        <f>F62</f>
        <v>10000</v>
      </c>
      <c r="H62" s="1464">
        <f t="shared" si="40"/>
        <v>20000</v>
      </c>
      <c r="I62" s="1465">
        <f t="shared" si="34"/>
        <v>10000</v>
      </c>
      <c r="J62" s="1465">
        <f t="shared" si="35"/>
        <v>10000</v>
      </c>
      <c r="K62" s="1465">
        <f t="shared" si="35"/>
        <v>10000</v>
      </c>
      <c r="L62" s="1494">
        <f>K62</f>
        <v>10000</v>
      </c>
      <c r="M62" s="1465">
        <f t="shared" si="35"/>
        <v>10000</v>
      </c>
      <c r="N62" s="1465">
        <f t="shared" si="35"/>
        <v>10000</v>
      </c>
      <c r="O62" s="1465">
        <f t="shared" si="35"/>
        <v>10000</v>
      </c>
      <c r="P62" s="1465">
        <f t="shared" si="35"/>
        <v>10000</v>
      </c>
      <c r="Q62" s="1465">
        <f t="shared" si="35"/>
        <v>10000</v>
      </c>
      <c r="R62" s="1465">
        <f t="shared" si="35"/>
        <v>10000</v>
      </c>
      <c r="S62" s="1465">
        <f t="shared" si="35"/>
        <v>10000</v>
      </c>
      <c r="T62" s="1465">
        <f t="shared" si="35"/>
        <v>10000</v>
      </c>
      <c r="U62" s="1464">
        <f t="shared" si="41"/>
        <v>120000</v>
      </c>
      <c r="V62" s="1494">
        <f t="shared" si="39"/>
        <v>10200</v>
      </c>
      <c r="W62" s="1494">
        <f t="shared" si="36"/>
        <v>10200</v>
      </c>
      <c r="X62" s="1465">
        <f t="shared" si="36"/>
        <v>10200</v>
      </c>
      <c r="Y62" s="1465">
        <f t="shared" si="36"/>
        <v>10200</v>
      </c>
      <c r="Z62" s="1465">
        <f t="shared" si="36"/>
        <v>10200</v>
      </c>
      <c r="AA62" s="1465">
        <f t="shared" si="36"/>
        <v>10200</v>
      </c>
      <c r="AB62" s="1465">
        <f t="shared" si="36"/>
        <v>10200</v>
      </c>
      <c r="AC62" s="1465">
        <f t="shared" si="36"/>
        <v>10200</v>
      </c>
      <c r="AD62" s="1465">
        <f t="shared" si="36"/>
        <v>10200</v>
      </c>
      <c r="AE62" s="1465">
        <f t="shared" si="36"/>
        <v>10200</v>
      </c>
      <c r="AF62" s="1465">
        <f t="shared" si="36"/>
        <v>10200</v>
      </c>
      <c r="AG62" s="1465">
        <f t="shared" si="36"/>
        <v>10200</v>
      </c>
      <c r="AH62" s="1464">
        <f t="shared" si="37"/>
        <v>122400</v>
      </c>
      <c r="AI62" s="1465">
        <f t="shared" si="38"/>
        <v>262400</v>
      </c>
    </row>
    <row r="63" spans="1:35">
      <c r="A63" s="1471" t="s">
        <v>2263</v>
      </c>
      <c r="B63" s="1493">
        <v>200000</v>
      </c>
      <c r="C63" s="1495"/>
      <c r="D63" s="1496"/>
      <c r="F63" s="1494">
        <f t="shared" si="33"/>
        <v>16666.666666666668</v>
      </c>
      <c r="G63" s="1465">
        <f>F63</f>
        <v>16666.666666666668</v>
      </c>
      <c r="H63" s="1464">
        <f t="shared" si="40"/>
        <v>33333.333333333336</v>
      </c>
      <c r="I63" s="1465">
        <f t="shared" si="34"/>
        <v>16666.666666666668</v>
      </c>
      <c r="J63" s="1465">
        <f t="shared" si="35"/>
        <v>16666.666666666668</v>
      </c>
      <c r="K63" s="1465">
        <f t="shared" si="35"/>
        <v>16666.666666666668</v>
      </c>
      <c r="L63" s="1494">
        <f>K63</f>
        <v>16666.666666666668</v>
      </c>
      <c r="M63" s="1465">
        <f t="shared" si="35"/>
        <v>16666.666666666668</v>
      </c>
      <c r="N63" s="1465">
        <f t="shared" si="35"/>
        <v>16666.666666666668</v>
      </c>
      <c r="O63" s="1465">
        <f t="shared" si="35"/>
        <v>16666.666666666668</v>
      </c>
      <c r="P63" s="1465">
        <f t="shared" si="35"/>
        <v>16666.666666666668</v>
      </c>
      <c r="Q63" s="1465">
        <f t="shared" si="35"/>
        <v>16666.666666666668</v>
      </c>
      <c r="R63" s="1465">
        <f t="shared" si="35"/>
        <v>16666.666666666668</v>
      </c>
      <c r="S63" s="1465">
        <f t="shared" si="35"/>
        <v>16666.666666666668</v>
      </c>
      <c r="T63" s="1465">
        <f t="shared" si="35"/>
        <v>16666.666666666668</v>
      </c>
      <c r="U63" s="1464">
        <f t="shared" si="41"/>
        <v>199999.99999999997</v>
      </c>
      <c r="V63" s="1494">
        <f>T63</f>
        <v>16666.666666666668</v>
      </c>
      <c r="W63" s="1494">
        <f t="shared" si="36"/>
        <v>16666.666666666668</v>
      </c>
      <c r="X63" s="1465">
        <f t="shared" si="36"/>
        <v>16666.666666666668</v>
      </c>
      <c r="Y63" s="1465">
        <f t="shared" si="36"/>
        <v>16666.666666666668</v>
      </c>
      <c r="Z63" s="1465">
        <f t="shared" si="36"/>
        <v>16666.666666666668</v>
      </c>
      <c r="AA63" s="1465">
        <f t="shared" si="36"/>
        <v>16666.666666666668</v>
      </c>
      <c r="AB63" s="1465">
        <f t="shared" si="36"/>
        <v>16666.666666666668</v>
      </c>
      <c r="AC63" s="1465">
        <f t="shared" si="36"/>
        <v>16666.666666666668</v>
      </c>
      <c r="AD63" s="1465">
        <f t="shared" si="36"/>
        <v>16666.666666666668</v>
      </c>
      <c r="AE63" s="1465">
        <f t="shared" si="36"/>
        <v>16666.666666666668</v>
      </c>
      <c r="AF63" s="1465">
        <f t="shared" si="36"/>
        <v>16666.666666666668</v>
      </c>
      <c r="AG63" s="1465">
        <f t="shared" si="36"/>
        <v>16666.666666666668</v>
      </c>
      <c r="AH63" s="1464">
        <f t="shared" si="37"/>
        <v>199999.99999999997</v>
      </c>
      <c r="AI63" s="1465">
        <f t="shared" si="38"/>
        <v>433333.33333333326</v>
      </c>
    </row>
    <row r="64" spans="1:35">
      <c r="A64" s="1471" t="s">
        <v>2264</v>
      </c>
      <c r="B64" s="1493">
        <v>150000</v>
      </c>
      <c r="C64" s="1465"/>
      <c r="D64" s="1496"/>
      <c r="F64" s="1494">
        <v>9700</v>
      </c>
      <c r="G64" s="1465">
        <f>B64/12</f>
        <v>12500</v>
      </c>
      <c r="H64" s="1464">
        <f>SUM(F64:G64)</f>
        <v>22200</v>
      </c>
      <c r="I64" s="1465">
        <f>G64</f>
        <v>12500</v>
      </c>
      <c r="J64" s="1465">
        <f t="shared" si="35"/>
        <v>12500</v>
      </c>
      <c r="K64" s="1465">
        <f t="shared" si="35"/>
        <v>12500</v>
      </c>
      <c r="L64" s="1465">
        <f t="shared" si="35"/>
        <v>12500</v>
      </c>
      <c r="M64" s="1465">
        <f t="shared" si="35"/>
        <v>12500</v>
      </c>
      <c r="N64" s="1465">
        <f t="shared" si="35"/>
        <v>12500</v>
      </c>
      <c r="O64" s="1465">
        <f t="shared" si="35"/>
        <v>12500</v>
      </c>
      <c r="P64" s="1465">
        <f t="shared" si="35"/>
        <v>12500</v>
      </c>
      <c r="Q64" s="1465">
        <f t="shared" si="35"/>
        <v>12500</v>
      </c>
      <c r="R64" s="1465">
        <f t="shared" si="35"/>
        <v>12500</v>
      </c>
      <c r="S64" s="1465">
        <f t="shared" si="35"/>
        <v>12500</v>
      </c>
      <c r="T64" s="1465">
        <f t="shared" si="35"/>
        <v>12500</v>
      </c>
      <c r="U64" s="1464">
        <f t="shared" si="41"/>
        <v>150000</v>
      </c>
      <c r="V64" s="1494">
        <f>T64*(1+$B$53)</f>
        <v>12750</v>
      </c>
      <c r="W64" s="1494">
        <f t="shared" si="36"/>
        <v>12750</v>
      </c>
      <c r="X64" s="1465">
        <f t="shared" si="36"/>
        <v>12750</v>
      </c>
      <c r="Y64" s="1465">
        <f t="shared" si="36"/>
        <v>12750</v>
      </c>
      <c r="Z64" s="1465">
        <f t="shared" si="36"/>
        <v>12750</v>
      </c>
      <c r="AA64" s="1465">
        <f t="shared" si="36"/>
        <v>12750</v>
      </c>
      <c r="AB64" s="1465">
        <f t="shared" si="36"/>
        <v>12750</v>
      </c>
      <c r="AC64" s="1465">
        <f t="shared" si="36"/>
        <v>12750</v>
      </c>
      <c r="AD64" s="1465">
        <f t="shared" si="36"/>
        <v>12750</v>
      </c>
      <c r="AE64" s="1465">
        <f t="shared" si="36"/>
        <v>12750</v>
      </c>
      <c r="AF64" s="1465">
        <f t="shared" si="36"/>
        <v>12750</v>
      </c>
      <c r="AG64" s="1465">
        <f t="shared" si="36"/>
        <v>12750</v>
      </c>
      <c r="AH64" s="1464">
        <f t="shared" si="37"/>
        <v>153000</v>
      </c>
      <c r="AI64" s="1465">
        <f t="shared" si="38"/>
        <v>325200</v>
      </c>
    </row>
    <row r="65" spans="1:35">
      <c r="H65" s="1457"/>
      <c r="U65" s="1457"/>
      <c r="AH65" s="1457"/>
    </row>
    <row r="66" spans="1:35">
      <c r="A66" s="1497" t="s">
        <v>2269</v>
      </c>
      <c r="H66" s="1457"/>
      <c r="U66" s="1457"/>
      <c r="AH66" s="1457"/>
    </row>
    <row r="67" spans="1:35">
      <c r="A67" s="1471" t="s">
        <v>2270</v>
      </c>
      <c r="F67" s="1465">
        <f>F41*F56+F42*F57+F43*F58+F44*F59+F45*F60+F46*F61+F47*F62+F48*F63+F49*F64</f>
        <v>50033.8</v>
      </c>
      <c r="G67" s="1465">
        <f>G41*G56+G42*G57+G43*G58+G44*G59+G45*G60+G46*G61+G47*G62+G48*G63+G49*G64</f>
        <v>52833.8</v>
      </c>
      <c r="H67" s="1464">
        <f>SUM(F67:G67)</f>
        <v>102867.6</v>
      </c>
      <c r="I67" s="1465">
        <f>I41*I56+I42*I57+I43*I58+I44*I59+I45*I60+I46*I61+I47*I62+I48*I63+I49*I64</f>
        <v>52833.8</v>
      </c>
      <c r="J67" s="1465">
        <f t="shared" ref="J67:AG67" si="42">J41*J56+J42*J57+J43*J58+J44*J59+J45*J60+J46*J61+J47*J62+J48*J63+J49*J64</f>
        <v>52833.8</v>
      </c>
      <c r="K67" s="1465">
        <f t="shared" si="42"/>
        <v>59083.8</v>
      </c>
      <c r="L67" s="1465">
        <f t="shared" si="42"/>
        <v>59083.8</v>
      </c>
      <c r="M67" s="1465">
        <f t="shared" si="42"/>
        <v>64917.133333333339</v>
      </c>
      <c r="N67" s="1465">
        <f t="shared" si="42"/>
        <v>64917.133333333339</v>
      </c>
      <c r="O67" s="1465">
        <f t="shared" si="42"/>
        <v>64917.133333333339</v>
      </c>
      <c r="P67" s="1465">
        <f t="shared" si="42"/>
        <v>64917.133333333339</v>
      </c>
      <c r="Q67" s="1465">
        <f t="shared" si="42"/>
        <v>64917.133333333339</v>
      </c>
      <c r="R67" s="1465">
        <f t="shared" si="42"/>
        <v>64917.133333333339</v>
      </c>
      <c r="S67" s="1465">
        <f t="shared" si="42"/>
        <v>64917.133333333339</v>
      </c>
      <c r="T67" s="1465">
        <f t="shared" si="42"/>
        <v>81583.8</v>
      </c>
      <c r="U67" s="1464">
        <f>SUM(I67:T67)</f>
        <v>759838.93333333347</v>
      </c>
      <c r="V67" s="1465">
        <f t="shared" si="42"/>
        <v>82882.142666666667</v>
      </c>
      <c r="W67" s="1465">
        <f t="shared" si="42"/>
        <v>82882.142666666667</v>
      </c>
      <c r="X67" s="1465">
        <f t="shared" si="42"/>
        <v>82882.142666666667</v>
      </c>
      <c r="Y67" s="1465">
        <f t="shared" si="42"/>
        <v>82882.142666666667</v>
      </c>
      <c r="Z67" s="1465">
        <f t="shared" si="42"/>
        <v>82882.142666666667</v>
      </c>
      <c r="AA67" s="1465">
        <f t="shared" si="42"/>
        <v>82882.142666666667</v>
      </c>
      <c r="AB67" s="1465">
        <f t="shared" si="42"/>
        <v>82882.142666666667</v>
      </c>
      <c r="AC67" s="1465">
        <f t="shared" si="42"/>
        <v>82882.142666666667</v>
      </c>
      <c r="AD67" s="1465">
        <f t="shared" si="42"/>
        <v>82882.142666666667</v>
      </c>
      <c r="AE67" s="1465">
        <f t="shared" si="42"/>
        <v>82882.142666666667</v>
      </c>
      <c r="AF67" s="1465">
        <f t="shared" si="42"/>
        <v>82882.142666666667</v>
      </c>
      <c r="AG67" s="1465">
        <f t="shared" si="42"/>
        <v>82882.142666666667</v>
      </c>
      <c r="AH67" s="1464">
        <f t="shared" ref="AH67:AH73" si="43">SUM(V67:AG67)</f>
        <v>994585.71199999994</v>
      </c>
      <c r="AI67" s="1465">
        <f t="shared" ref="AI67:AI74" si="44">SUM(AH67,U67,H67)</f>
        <v>1857292.2453333335</v>
      </c>
    </row>
    <row r="68" spans="1:35" s="1465" customFormat="1">
      <c r="A68" s="1498" t="s">
        <v>2271</v>
      </c>
      <c r="F68" s="1465">
        <v>30000</v>
      </c>
      <c r="G68" s="1465">
        <v>0</v>
      </c>
      <c r="H68" s="1464">
        <f t="shared" ref="H68:H73" si="45">SUM(F68:G68)</f>
        <v>30000</v>
      </c>
      <c r="I68" s="1465">
        <v>0</v>
      </c>
      <c r="J68" s="1465">
        <v>0</v>
      </c>
      <c r="K68" s="1465">
        <v>0</v>
      </c>
      <c r="L68" s="1465">
        <v>0</v>
      </c>
      <c r="M68" s="1465">
        <v>0</v>
      </c>
      <c r="N68" s="1465">
        <v>0</v>
      </c>
      <c r="O68" s="1465">
        <v>0</v>
      </c>
      <c r="P68" s="1465">
        <v>0</v>
      </c>
      <c r="Q68" s="1465">
        <v>0</v>
      </c>
      <c r="R68" s="1465">
        <v>0</v>
      </c>
      <c r="S68" s="1465">
        <v>0</v>
      </c>
      <c r="T68" s="1465">
        <v>0</v>
      </c>
      <c r="U68" s="1464">
        <f t="shared" ref="U68:U73" si="46">SUM(I68:T68)</f>
        <v>0</v>
      </c>
      <c r="V68" s="1465">
        <v>0</v>
      </c>
      <c r="W68" s="1465">
        <v>0</v>
      </c>
      <c r="X68" s="1465">
        <v>0</v>
      </c>
      <c r="Y68" s="1465">
        <v>0</v>
      </c>
      <c r="Z68" s="1465">
        <v>0</v>
      </c>
      <c r="AA68" s="1465">
        <v>0</v>
      </c>
      <c r="AB68" s="1465">
        <v>0</v>
      </c>
      <c r="AC68" s="1465">
        <v>0</v>
      </c>
      <c r="AD68" s="1465">
        <v>0</v>
      </c>
      <c r="AE68" s="1465">
        <v>0</v>
      </c>
      <c r="AF68" s="1465">
        <v>0</v>
      </c>
      <c r="AG68" s="1465">
        <v>0</v>
      </c>
      <c r="AH68" s="1464">
        <f t="shared" si="43"/>
        <v>0</v>
      </c>
      <c r="AI68" s="1465">
        <f t="shared" si="44"/>
        <v>30000</v>
      </c>
    </row>
    <row r="69" spans="1:35">
      <c r="A69" s="1471" t="s">
        <v>2272</v>
      </c>
      <c r="F69" s="1465">
        <v>75</v>
      </c>
      <c r="G69" s="1465">
        <v>75</v>
      </c>
      <c r="H69" s="1464">
        <f t="shared" si="45"/>
        <v>150</v>
      </c>
      <c r="I69" s="1465">
        <v>75</v>
      </c>
      <c r="J69" s="1465">
        <v>75</v>
      </c>
      <c r="K69" s="1465">
        <v>75</v>
      </c>
      <c r="L69" s="1465">
        <v>75</v>
      </c>
      <c r="M69" s="1465">
        <v>75</v>
      </c>
      <c r="N69" s="1465">
        <v>75</v>
      </c>
      <c r="O69" s="1465">
        <v>75</v>
      </c>
      <c r="P69" s="1465">
        <v>75</v>
      </c>
      <c r="Q69" s="1465">
        <v>75</v>
      </c>
      <c r="R69" s="1465">
        <v>75</v>
      </c>
      <c r="S69" s="1465">
        <v>75</v>
      </c>
      <c r="T69" s="1465">
        <v>75</v>
      </c>
      <c r="U69" s="1464">
        <f t="shared" si="46"/>
        <v>900</v>
      </c>
      <c r="V69" s="1465">
        <v>75</v>
      </c>
      <c r="W69" s="1465">
        <v>75</v>
      </c>
      <c r="X69" s="1465">
        <v>75</v>
      </c>
      <c r="Y69" s="1465">
        <v>75</v>
      </c>
      <c r="Z69" s="1465">
        <v>75</v>
      </c>
      <c r="AA69" s="1465">
        <v>75</v>
      </c>
      <c r="AB69" s="1465">
        <v>75</v>
      </c>
      <c r="AC69" s="1465">
        <v>75</v>
      </c>
      <c r="AD69" s="1465">
        <v>75</v>
      </c>
      <c r="AE69" s="1465">
        <v>75</v>
      </c>
      <c r="AF69" s="1465">
        <v>75</v>
      </c>
      <c r="AG69" s="1465">
        <v>75</v>
      </c>
      <c r="AH69" s="1464">
        <f t="shared" si="43"/>
        <v>900</v>
      </c>
      <c r="AI69" s="1465">
        <f t="shared" si="44"/>
        <v>1950</v>
      </c>
    </row>
    <row r="70" spans="1:35">
      <c r="A70" s="1471" t="s">
        <v>2273</v>
      </c>
      <c r="F70" s="1465">
        <v>0</v>
      </c>
      <c r="G70" s="1465">
        <v>0</v>
      </c>
      <c r="H70" s="1464">
        <f t="shared" si="45"/>
        <v>0</v>
      </c>
      <c r="I70" s="1465">
        <v>600</v>
      </c>
      <c r="J70" s="1465">
        <v>600</v>
      </c>
      <c r="K70" s="1465">
        <v>600</v>
      </c>
      <c r="L70" s="1465">
        <v>0</v>
      </c>
      <c r="M70" s="1465">
        <v>0</v>
      </c>
      <c r="N70" s="1465">
        <v>0</v>
      </c>
      <c r="O70" s="1465">
        <v>0</v>
      </c>
      <c r="P70" s="1465">
        <v>0</v>
      </c>
      <c r="Q70" s="1465">
        <v>0</v>
      </c>
      <c r="R70" s="1465">
        <v>0</v>
      </c>
      <c r="S70" s="1465">
        <v>0</v>
      </c>
      <c r="T70" s="1465">
        <v>0</v>
      </c>
      <c r="U70" s="1464">
        <f t="shared" si="46"/>
        <v>1800</v>
      </c>
      <c r="V70" s="1465">
        <v>750</v>
      </c>
      <c r="W70" s="1465">
        <v>750</v>
      </c>
      <c r="X70" s="1465">
        <v>750</v>
      </c>
      <c r="Y70" s="1465">
        <v>0</v>
      </c>
      <c r="Z70" s="1465">
        <v>0</v>
      </c>
      <c r="AA70" s="1465">
        <v>0</v>
      </c>
      <c r="AB70" s="1465">
        <v>0</v>
      </c>
      <c r="AC70" s="1465">
        <v>0</v>
      </c>
      <c r="AD70" s="1465">
        <v>0</v>
      </c>
      <c r="AE70" s="1465">
        <v>0</v>
      </c>
      <c r="AF70" s="1465">
        <v>0</v>
      </c>
      <c r="AG70" s="1465">
        <v>0</v>
      </c>
      <c r="AH70" s="1464">
        <f t="shared" si="43"/>
        <v>2250</v>
      </c>
      <c r="AI70" s="1465">
        <f t="shared" si="44"/>
        <v>4050</v>
      </c>
    </row>
    <row r="71" spans="1:35">
      <c r="A71" s="1471" t="s">
        <v>2274</v>
      </c>
      <c r="B71" s="1499"/>
      <c r="F71" s="1465">
        <v>6000</v>
      </c>
      <c r="G71" s="1465">
        <v>9000</v>
      </c>
      <c r="H71" s="1464">
        <f t="shared" si="45"/>
        <v>15000</v>
      </c>
      <c r="I71" s="1465">
        <v>9000</v>
      </c>
      <c r="J71" s="1465">
        <v>9000</v>
      </c>
      <c r="K71" s="1465">
        <v>10000</v>
      </c>
      <c r="L71" s="1465">
        <v>10000</v>
      </c>
      <c r="M71" s="1465">
        <v>11000</v>
      </c>
      <c r="N71" s="1465">
        <v>11000</v>
      </c>
      <c r="O71" s="1465">
        <v>11000</v>
      </c>
      <c r="P71" s="1465">
        <v>11000</v>
      </c>
      <c r="Q71" s="1465">
        <v>11000</v>
      </c>
      <c r="R71" s="1465">
        <v>11000</v>
      </c>
      <c r="S71" s="1465">
        <v>11000</v>
      </c>
      <c r="T71" s="1465">
        <v>14000</v>
      </c>
      <c r="U71" s="1464">
        <f t="shared" si="46"/>
        <v>129000</v>
      </c>
      <c r="V71" s="1465">
        <v>14000</v>
      </c>
      <c r="W71" s="1465">
        <v>14000</v>
      </c>
      <c r="X71" s="1465">
        <v>14000</v>
      </c>
      <c r="Y71" s="1465">
        <v>14000</v>
      </c>
      <c r="Z71" s="1465">
        <v>14000</v>
      </c>
      <c r="AA71" s="1465">
        <v>14000</v>
      </c>
      <c r="AB71" s="1465">
        <v>14000</v>
      </c>
      <c r="AC71" s="1465">
        <v>14000</v>
      </c>
      <c r="AD71" s="1465">
        <v>14000</v>
      </c>
      <c r="AE71" s="1465">
        <v>14000</v>
      </c>
      <c r="AF71" s="1465">
        <v>14000</v>
      </c>
      <c r="AG71" s="1465">
        <v>14000</v>
      </c>
      <c r="AH71" s="1464">
        <f t="shared" si="43"/>
        <v>168000</v>
      </c>
      <c r="AI71" s="1465">
        <f t="shared" si="44"/>
        <v>312000</v>
      </c>
    </row>
    <row r="72" spans="1:35">
      <c r="A72" s="1471" t="s">
        <v>2275</v>
      </c>
      <c r="B72" s="1499"/>
      <c r="F72" s="1465">
        <v>600</v>
      </c>
      <c r="G72" s="1465">
        <v>600</v>
      </c>
      <c r="H72" s="1464">
        <f t="shared" si="45"/>
        <v>1200</v>
      </c>
      <c r="I72" s="1465">
        <v>600</v>
      </c>
      <c r="J72" s="1465">
        <v>600</v>
      </c>
      <c r="K72" s="1465">
        <v>700</v>
      </c>
      <c r="L72" s="1465">
        <v>700</v>
      </c>
      <c r="M72" s="1465">
        <v>800</v>
      </c>
      <c r="N72" s="1465">
        <v>800</v>
      </c>
      <c r="O72" s="1465">
        <v>800</v>
      </c>
      <c r="P72" s="1465">
        <v>800</v>
      </c>
      <c r="Q72" s="1465">
        <v>800</v>
      </c>
      <c r="R72" s="1465">
        <v>800</v>
      </c>
      <c r="S72" s="1465">
        <v>800</v>
      </c>
      <c r="T72" s="1465">
        <v>950</v>
      </c>
      <c r="U72" s="1464">
        <f t="shared" si="46"/>
        <v>9150</v>
      </c>
      <c r="V72" s="1465">
        <v>950</v>
      </c>
      <c r="W72" s="1465">
        <v>950</v>
      </c>
      <c r="X72" s="1465">
        <v>950</v>
      </c>
      <c r="Y72" s="1465">
        <v>950</v>
      </c>
      <c r="Z72" s="1465">
        <v>950</v>
      </c>
      <c r="AA72" s="1465">
        <v>950</v>
      </c>
      <c r="AB72" s="1465">
        <v>950</v>
      </c>
      <c r="AC72" s="1465">
        <v>950</v>
      </c>
      <c r="AD72" s="1465">
        <v>950</v>
      </c>
      <c r="AE72" s="1465">
        <v>950</v>
      </c>
      <c r="AF72" s="1465">
        <v>950</v>
      </c>
      <c r="AG72" s="1465">
        <v>950</v>
      </c>
      <c r="AH72" s="1464">
        <f t="shared" si="43"/>
        <v>11400</v>
      </c>
      <c r="AI72" s="1465">
        <f t="shared" si="44"/>
        <v>21750</v>
      </c>
    </row>
    <row r="73" spans="1:35">
      <c r="A73" s="1500" t="s">
        <v>2276</v>
      </c>
      <c r="B73" s="1501">
        <v>9.2499999999999999E-2</v>
      </c>
      <c r="C73" s="1460" t="s">
        <v>2277</v>
      </c>
      <c r="D73" s="1460"/>
      <c r="E73" s="1460"/>
      <c r="F73" s="1502">
        <f t="shared" ref="F73:P73" si="47">F67*$B$73</f>
        <v>4628.1265000000003</v>
      </c>
      <c r="G73" s="1502">
        <f t="shared" si="47"/>
        <v>4887.1265000000003</v>
      </c>
      <c r="H73" s="1464">
        <f t="shared" si="45"/>
        <v>9515.2530000000006</v>
      </c>
      <c r="I73" s="1502">
        <f t="shared" si="47"/>
        <v>4887.1265000000003</v>
      </c>
      <c r="J73" s="1502">
        <f t="shared" si="47"/>
        <v>4887.1265000000003</v>
      </c>
      <c r="K73" s="1502">
        <f t="shared" si="47"/>
        <v>5465.2515000000003</v>
      </c>
      <c r="L73" s="1502">
        <f t="shared" si="47"/>
        <v>5465.2515000000003</v>
      </c>
      <c r="M73" s="1502">
        <f t="shared" si="47"/>
        <v>6004.8348333333333</v>
      </c>
      <c r="N73" s="1502">
        <f t="shared" si="47"/>
        <v>6004.8348333333333</v>
      </c>
      <c r="O73" s="1502">
        <f t="shared" si="47"/>
        <v>6004.8348333333333</v>
      </c>
      <c r="P73" s="1502">
        <f t="shared" si="47"/>
        <v>6004.8348333333333</v>
      </c>
      <c r="Q73" s="1502">
        <f>Q67*$B$73</f>
        <v>6004.8348333333333</v>
      </c>
      <c r="R73" s="1502">
        <f>R67*$B$73</f>
        <v>6004.8348333333333</v>
      </c>
      <c r="S73" s="1502">
        <f>S67*$B$73</f>
        <v>6004.8348333333333</v>
      </c>
      <c r="T73" s="1502">
        <f>T67*$B$73</f>
        <v>7546.5015000000003</v>
      </c>
      <c r="U73" s="1464">
        <f t="shared" si="46"/>
        <v>70285.101333333339</v>
      </c>
      <c r="V73" s="1502">
        <f>V67*$B$73</f>
        <v>7666.5981966666668</v>
      </c>
      <c r="W73" s="1502">
        <f t="shared" ref="W73:AE73" si="48">W67*$B$73</f>
        <v>7666.5981966666668</v>
      </c>
      <c r="X73" s="1502">
        <f t="shared" si="48"/>
        <v>7666.5981966666668</v>
      </c>
      <c r="Y73" s="1502">
        <f t="shared" si="48"/>
        <v>7666.5981966666668</v>
      </c>
      <c r="Z73" s="1502">
        <f t="shared" si="48"/>
        <v>7666.5981966666668</v>
      </c>
      <c r="AA73" s="1502">
        <f t="shared" si="48"/>
        <v>7666.5981966666668</v>
      </c>
      <c r="AB73" s="1502">
        <f t="shared" si="48"/>
        <v>7666.5981966666668</v>
      </c>
      <c r="AC73" s="1502">
        <f t="shared" si="48"/>
        <v>7666.5981966666668</v>
      </c>
      <c r="AD73" s="1502">
        <f t="shared" si="48"/>
        <v>7666.5981966666668</v>
      </c>
      <c r="AE73" s="1502">
        <f t="shared" si="48"/>
        <v>7666.5981966666668</v>
      </c>
      <c r="AF73" s="1502">
        <f>AF67*$B$73</f>
        <v>7666.5981966666668</v>
      </c>
      <c r="AG73" s="1502">
        <f>AG67*$B$73</f>
        <v>7666.5981966666668</v>
      </c>
      <c r="AH73" s="1464">
        <f t="shared" si="43"/>
        <v>91999.17836000002</v>
      </c>
      <c r="AI73" s="1465">
        <f t="shared" si="44"/>
        <v>171799.53269333337</v>
      </c>
    </row>
    <row r="74" spans="1:35">
      <c r="A74" s="1446" t="s">
        <v>2278</v>
      </c>
      <c r="F74" s="1465">
        <f>SUM(F67:F73)</f>
        <v>91336.926500000001</v>
      </c>
      <c r="G74" s="1465">
        <f t="shared" ref="G74:AH74" si="49">SUM(G67:G73)</f>
        <v>67395.926500000001</v>
      </c>
      <c r="H74" s="1464">
        <f>SUM(H67:H73)</f>
        <v>158732.853</v>
      </c>
      <c r="I74" s="1465">
        <f t="shared" si="49"/>
        <v>67995.926500000001</v>
      </c>
      <c r="J74" s="1465">
        <f t="shared" si="49"/>
        <v>67995.926500000001</v>
      </c>
      <c r="K74" s="1465">
        <f t="shared" si="49"/>
        <v>75924.051500000001</v>
      </c>
      <c r="L74" s="1465">
        <f t="shared" si="49"/>
        <v>75324.051500000001</v>
      </c>
      <c r="M74" s="1465">
        <f t="shared" si="49"/>
        <v>82796.968166666658</v>
      </c>
      <c r="N74" s="1465">
        <f t="shared" si="49"/>
        <v>82796.968166666658</v>
      </c>
      <c r="O74" s="1465">
        <f t="shared" si="49"/>
        <v>82796.968166666658</v>
      </c>
      <c r="P74" s="1465">
        <f t="shared" si="49"/>
        <v>82796.968166666658</v>
      </c>
      <c r="Q74" s="1465">
        <f t="shared" si="49"/>
        <v>82796.968166666658</v>
      </c>
      <c r="R74" s="1465">
        <f t="shared" si="49"/>
        <v>82796.968166666658</v>
      </c>
      <c r="S74" s="1465">
        <f t="shared" si="49"/>
        <v>82796.968166666658</v>
      </c>
      <c r="T74" s="1465">
        <f t="shared" si="49"/>
        <v>104155.3015</v>
      </c>
      <c r="U74" s="1464">
        <f>SUM(U67:U73)</f>
        <v>970974.03466666676</v>
      </c>
      <c r="V74" s="1465">
        <f t="shared" si="49"/>
        <v>106323.74086333334</v>
      </c>
      <c r="W74" s="1465">
        <f t="shared" si="49"/>
        <v>106323.74086333334</v>
      </c>
      <c r="X74" s="1465">
        <f t="shared" si="49"/>
        <v>106323.74086333334</v>
      </c>
      <c r="Y74" s="1465">
        <f t="shared" si="49"/>
        <v>105573.74086333334</v>
      </c>
      <c r="Z74" s="1465">
        <f t="shared" si="49"/>
        <v>105573.74086333334</v>
      </c>
      <c r="AA74" s="1465">
        <f t="shared" si="49"/>
        <v>105573.74086333334</v>
      </c>
      <c r="AB74" s="1465">
        <f t="shared" si="49"/>
        <v>105573.74086333334</v>
      </c>
      <c r="AC74" s="1465">
        <f t="shared" si="49"/>
        <v>105573.74086333334</v>
      </c>
      <c r="AD74" s="1465">
        <f t="shared" si="49"/>
        <v>105573.74086333334</v>
      </c>
      <c r="AE74" s="1465">
        <f t="shared" si="49"/>
        <v>105573.74086333334</v>
      </c>
      <c r="AF74" s="1465">
        <f t="shared" si="49"/>
        <v>105573.74086333334</v>
      </c>
      <c r="AG74" s="1465">
        <f t="shared" si="49"/>
        <v>105573.74086333334</v>
      </c>
      <c r="AH74" s="1464">
        <f t="shared" si="49"/>
        <v>1269134.8903599998</v>
      </c>
      <c r="AI74" s="1465">
        <f t="shared" si="44"/>
        <v>2398841.7780266665</v>
      </c>
    </row>
    <row r="75" spans="1:35">
      <c r="F75" s="1465"/>
      <c r="G75" s="1465"/>
      <c r="H75" s="1464"/>
      <c r="I75" s="1465"/>
      <c r="J75" s="1465"/>
      <c r="K75" s="1465"/>
      <c r="L75" s="1465"/>
      <c r="M75" s="1465"/>
      <c r="N75" s="1465"/>
      <c r="O75" s="1465"/>
      <c r="P75" s="1465"/>
      <c r="Q75" s="1465"/>
      <c r="R75" s="1465"/>
      <c r="S75" s="1465"/>
      <c r="T75" s="1465"/>
      <c r="U75" s="1464"/>
      <c r="V75" s="1465"/>
      <c r="W75" s="1465"/>
      <c r="X75" s="1465"/>
      <c r="Y75" s="1465"/>
      <c r="Z75" s="1465"/>
      <c r="AA75" s="1465"/>
      <c r="AB75" s="1465"/>
      <c r="AC75" s="1465"/>
      <c r="AD75" s="1465"/>
      <c r="AE75" s="1465"/>
      <c r="AF75" s="1465"/>
      <c r="AG75" s="1465"/>
      <c r="AH75" s="1464"/>
    </row>
    <row r="76" spans="1:35">
      <c r="A76" s="1489" t="s">
        <v>2279</v>
      </c>
      <c r="F76" s="1465"/>
      <c r="G76" s="1465"/>
      <c r="H76" s="1464"/>
      <c r="I76" s="1465"/>
      <c r="J76" s="1465"/>
      <c r="K76" s="1465"/>
      <c r="L76" s="1465"/>
      <c r="M76" s="1465"/>
      <c r="N76" s="1465"/>
      <c r="O76" s="1465"/>
      <c r="P76" s="1465"/>
      <c r="Q76" s="1465"/>
      <c r="R76" s="1465"/>
      <c r="S76" s="1465"/>
      <c r="T76" s="1465"/>
      <c r="U76" s="1464"/>
      <c r="V76" s="1465"/>
      <c r="W76" s="1465"/>
      <c r="X76" s="1465"/>
      <c r="Y76" s="1465"/>
      <c r="Z76" s="1465"/>
      <c r="AA76" s="1465"/>
      <c r="AB76" s="1465"/>
      <c r="AC76" s="1465"/>
      <c r="AD76" s="1465"/>
      <c r="AE76" s="1465"/>
      <c r="AF76" s="1465"/>
      <c r="AG76" s="1465"/>
      <c r="AH76" s="1464"/>
    </row>
    <row r="77" spans="1:35">
      <c r="A77" s="1471" t="s">
        <v>2280</v>
      </c>
      <c r="F77" s="1465">
        <v>0</v>
      </c>
      <c r="G77" s="1465">
        <v>0</v>
      </c>
      <c r="H77" s="1464">
        <f>SUM(F77:G77)</f>
        <v>0</v>
      </c>
      <c r="I77" s="1465">
        <v>0</v>
      </c>
      <c r="J77" s="1465">
        <v>0</v>
      </c>
      <c r="K77" s="1465">
        <v>0</v>
      </c>
      <c r="L77" s="1465">
        <v>0</v>
      </c>
      <c r="M77" s="1465">
        <v>0</v>
      </c>
      <c r="N77" s="1465">
        <v>0</v>
      </c>
      <c r="O77" s="1465">
        <v>0</v>
      </c>
      <c r="P77" s="1465">
        <v>0</v>
      </c>
      <c r="Q77" s="1465">
        <v>0</v>
      </c>
      <c r="R77" s="1465">
        <v>4000</v>
      </c>
      <c r="S77" s="1465">
        <v>4000</v>
      </c>
      <c r="T77" s="1465">
        <v>4000</v>
      </c>
      <c r="U77" s="1464">
        <f>SUM(I77:T77)</f>
        <v>12000</v>
      </c>
      <c r="V77" s="1465">
        <v>4000</v>
      </c>
      <c r="W77" s="1465">
        <v>4000</v>
      </c>
      <c r="X77" s="1465">
        <v>4000</v>
      </c>
      <c r="Y77" s="1465">
        <v>4000</v>
      </c>
      <c r="Z77" s="1465">
        <v>4000</v>
      </c>
      <c r="AA77" s="1465">
        <v>4000</v>
      </c>
      <c r="AB77" s="1465">
        <v>4000</v>
      </c>
      <c r="AC77" s="1465">
        <v>4000</v>
      </c>
      <c r="AD77" s="1465">
        <v>4000</v>
      </c>
      <c r="AE77" s="1465">
        <v>0</v>
      </c>
      <c r="AF77" s="1465">
        <v>0</v>
      </c>
      <c r="AG77" s="1465">
        <v>0</v>
      </c>
      <c r="AH77" s="1464">
        <f>SUM(V77:AG77)</f>
        <v>36000</v>
      </c>
      <c r="AI77" s="1465">
        <f>SUM(AH77,U77,H77)</f>
        <v>48000</v>
      </c>
    </row>
    <row r="78" spans="1:35">
      <c r="A78" s="1471" t="s">
        <v>2281</v>
      </c>
      <c r="F78" s="1465">
        <v>0</v>
      </c>
      <c r="G78" s="1465">
        <v>0</v>
      </c>
      <c r="H78" s="1464">
        <f>SUM(F78:G78)</f>
        <v>0</v>
      </c>
      <c r="I78" s="1465">
        <v>4000</v>
      </c>
      <c r="J78" s="1465">
        <v>4000</v>
      </c>
      <c r="K78" s="1465">
        <v>4000</v>
      </c>
      <c r="L78" s="1465">
        <v>4000</v>
      </c>
      <c r="M78" s="1465">
        <v>4000</v>
      </c>
      <c r="N78" s="1465">
        <v>4000</v>
      </c>
      <c r="O78" s="1465">
        <v>4000</v>
      </c>
      <c r="P78" s="1465">
        <v>4000</v>
      </c>
      <c r="Q78" s="1465">
        <v>4000</v>
      </c>
      <c r="R78" s="1465">
        <v>4000</v>
      </c>
      <c r="S78" s="1465">
        <v>4000</v>
      </c>
      <c r="T78" s="1465">
        <v>4000</v>
      </c>
      <c r="U78" s="1464">
        <f>SUM(I78:T78)</f>
        <v>48000</v>
      </c>
      <c r="V78" s="1465">
        <v>4000</v>
      </c>
      <c r="W78" s="1465">
        <v>4000</v>
      </c>
      <c r="X78" s="1465">
        <v>4000</v>
      </c>
      <c r="Y78" s="1465">
        <v>4000</v>
      </c>
      <c r="Z78" s="1465">
        <v>4000</v>
      </c>
      <c r="AA78" s="1465">
        <v>4000</v>
      </c>
      <c r="AB78" s="1465">
        <v>4000</v>
      </c>
      <c r="AC78" s="1465">
        <v>4000</v>
      </c>
      <c r="AD78" s="1465">
        <v>4000</v>
      </c>
      <c r="AE78" s="1465">
        <v>0</v>
      </c>
      <c r="AF78" s="1465">
        <v>0</v>
      </c>
      <c r="AG78" s="1465">
        <v>0</v>
      </c>
      <c r="AH78" s="1464">
        <f>SUM(V78:AG78)</f>
        <v>36000</v>
      </c>
      <c r="AI78" s="1465">
        <f>SUM(AH78,U78,H78)</f>
        <v>84000</v>
      </c>
    </row>
    <row r="79" spans="1:35">
      <c r="A79" s="1471" t="s">
        <v>2282</v>
      </c>
      <c r="F79" s="1465">
        <v>0</v>
      </c>
      <c r="G79" s="1465">
        <v>0</v>
      </c>
      <c r="H79" s="1464">
        <f>SUM(F79:G79)</f>
        <v>0</v>
      </c>
      <c r="I79" s="1465">
        <v>0</v>
      </c>
      <c r="J79" s="1465">
        <v>0</v>
      </c>
      <c r="K79" s="1465">
        <v>0</v>
      </c>
      <c r="L79" s="1465">
        <v>0</v>
      </c>
      <c r="M79" s="1465">
        <v>0</v>
      </c>
      <c r="N79" s="1465">
        <v>0</v>
      </c>
      <c r="O79" s="1465">
        <v>0</v>
      </c>
      <c r="P79" s="1465">
        <v>0</v>
      </c>
      <c r="Q79" s="1465">
        <v>0</v>
      </c>
      <c r="R79" s="1465">
        <v>0</v>
      </c>
      <c r="S79" s="1465">
        <v>0</v>
      </c>
      <c r="T79" s="1465">
        <v>0</v>
      </c>
      <c r="U79" s="1464">
        <f>SUM(I79:T79)</f>
        <v>0</v>
      </c>
      <c r="V79" s="1465">
        <v>0</v>
      </c>
      <c r="W79" s="1465">
        <v>0</v>
      </c>
      <c r="X79" s="1465">
        <v>0</v>
      </c>
      <c r="Y79" s="1465">
        <v>0</v>
      </c>
      <c r="Z79" s="1465">
        <v>0</v>
      </c>
      <c r="AA79" s="1465">
        <v>0</v>
      </c>
      <c r="AB79" s="1465">
        <v>0</v>
      </c>
      <c r="AC79" s="1465">
        <v>0</v>
      </c>
      <c r="AD79" s="1465">
        <v>0</v>
      </c>
      <c r="AE79" s="1465">
        <v>0</v>
      </c>
      <c r="AF79" s="1465">
        <v>0</v>
      </c>
      <c r="AG79" s="1465">
        <v>0</v>
      </c>
      <c r="AH79" s="1464">
        <f>SUM(V79:AG79)</f>
        <v>0</v>
      </c>
      <c r="AI79" s="1465">
        <f>SUM(AH79,U79,H79)</f>
        <v>0</v>
      </c>
    </row>
    <row r="80" spans="1:35">
      <c r="A80" s="1490" t="s">
        <v>2278</v>
      </c>
      <c r="F80" s="1465">
        <f t="shared" ref="F80:AH80" si="50">SUM(F77:F79)</f>
        <v>0</v>
      </c>
      <c r="G80" s="1465">
        <f t="shared" si="50"/>
        <v>0</v>
      </c>
      <c r="H80" s="1464">
        <f t="shared" si="50"/>
        <v>0</v>
      </c>
      <c r="I80" s="1465">
        <f t="shared" si="50"/>
        <v>4000</v>
      </c>
      <c r="J80" s="1465">
        <f t="shared" si="50"/>
        <v>4000</v>
      </c>
      <c r="K80" s="1465">
        <f t="shared" si="50"/>
        <v>4000</v>
      </c>
      <c r="L80" s="1465">
        <f t="shared" si="50"/>
        <v>4000</v>
      </c>
      <c r="M80" s="1465">
        <f t="shared" si="50"/>
        <v>4000</v>
      </c>
      <c r="N80" s="1465">
        <f t="shared" si="50"/>
        <v>4000</v>
      </c>
      <c r="O80" s="1465">
        <f t="shared" si="50"/>
        <v>4000</v>
      </c>
      <c r="P80" s="1465">
        <f t="shared" si="50"/>
        <v>4000</v>
      </c>
      <c r="Q80" s="1465">
        <f t="shared" si="50"/>
        <v>4000</v>
      </c>
      <c r="R80" s="1465">
        <f t="shared" si="50"/>
        <v>8000</v>
      </c>
      <c r="S80" s="1465">
        <f t="shared" si="50"/>
        <v>8000</v>
      </c>
      <c r="T80" s="1465">
        <f t="shared" si="50"/>
        <v>8000</v>
      </c>
      <c r="U80" s="1464">
        <f t="shared" si="50"/>
        <v>60000</v>
      </c>
      <c r="V80" s="1465">
        <f t="shared" si="50"/>
        <v>8000</v>
      </c>
      <c r="W80" s="1465">
        <f t="shared" si="50"/>
        <v>8000</v>
      </c>
      <c r="X80" s="1465">
        <f t="shared" si="50"/>
        <v>8000</v>
      </c>
      <c r="Y80" s="1465">
        <f t="shared" si="50"/>
        <v>8000</v>
      </c>
      <c r="Z80" s="1465">
        <f t="shared" si="50"/>
        <v>8000</v>
      </c>
      <c r="AA80" s="1465">
        <f t="shared" si="50"/>
        <v>8000</v>
      </c>
      <c r="AB80" s="1465">
        <f t="shared" si="50"/>
        <v>8000</v>
      </c>
      <c r="AC80" s="1465">
        <f t="shared" si="50"/>
        <v>8000</v>
      </c>
      <c r="AD80" s="1465">
        <f t="shared" si="50"/>
        <v>8000</v>
      </c>
      <c r="AE80" s="1465">
        <f t="shared" si="50"/>
        <v>0</v>
      </c>
      <c r="AF80" s="1465">
        <f t="shared" si="50"/>
        <v>0</v>
      </c>
      <c r="AG80" s="1465">
        <f t="shared" si="50"/>
        <v>0</v>
      </c>
      <c r="AH80" s="1464">
        <f t="shared" si="50"/>
        <v>72000</v>
      </c>
      <c r="AI80" s="1465">
        <f>SUM(AH80,U80,H80)</f>
        <v>132000</v>
      </c>
    </row>
    <row r="81" spans="1:35">
      <c r="A81" s="1490"/>
      <c r="F81" s="1465"/>
      <c r="G81" s="1465"/>
      <c r="H81" s="1464"/>
      <c r="I81" s="1465"/>
      <c r="J81" s="1465"/>
      <c r="K81" s="1465"/>
      <c r="L81" s="1465"/>
      <c r="M81" s="1465"/>
      <c r="N81" s="1465"/>
      <c r="O81" s="1465"/>
      <c r="P81" s="1465"/>
      <c r="Q81" s="1465"/>
      <c r="R81" s="1465"/>
      <c r="S81" s="1465"/>
      <c r="T81" s="1465"/>
      <c r="U81" s="1464"/>
      <c r="V81" s="1465"/>
      <c r="W81" s="1465"/>
      <c r="X81" s="1465"/>
      <c r="Y81" s="1465"/>
      <c r="Z81" s="1465"/>
      <c r="AA81" s="1465"/>
      <c r="AB81" s="1465"/>
      <c r="AC81" s="1465"/>
      <c r="AD81" s="1465"/>
      <c r="AE81" s="1465"/>
      <c r="AF81" s="1465"/>
      <c r="AG81" s="1465"/>
      <c r="AH81" s="1464"/>
    </row>
    <row r="82" spans="1:35">
      <c r="A82" s="1497" t="s">
        <v>2283</v>
      </c>
      <c r="F82" s="1465"/>
      <c r="G82" s="1465"/>
      <c r="H82" s="1464"/>
      <c r="I82" s="1465"/>
      <c r="J82" s="1465"/>
      <c r="K82" s="1465"/>
      <c r="L82" s="1465"/>
      <c r="M82" s="1465"/>
      <c r="N82" s="1465"/>
      <c r="O82" s="1465"/>
      <c r="P82" s="1465"/>
      <c r="Q82" s="1465"/>
      <c r="R82" s="1465"/>
      <c r="S82" s="1465"/>
      <c r="T82" s="1465"/>
      <c r="U82" s="1464"/>
      <c r="V82" s="1465"/>
      <c r="W82" s="1465"/>
      <c r="X82" s="1465"/>
      <c r="Y82" s="1465"/>
      <c r="Z82" s="1465"/>
      <c r="AA82" s="1465"/>
      <c r="AB82" s="1465"/>
      <c r="AC82" s="1465"/>
      <c r="AD82" s="1465"/>
      <c r="AE82" s="1465"/>
      <c r="AF82" s="1465"/>
      <c r="AG82" s="1465"/>
      <c r="AH82" s="1464"/>
    </row>
    <row r="83" spans="1:35">
      <c r="A83" s="1471" t="s">
        <v>2284</v>
      </c>
      <c r="F83" s="1465">
        <v>150</v>
      </c>
      <c r="G83" s="1465">
        <v>150</v>
      </c>
      <c r="H83" s="1464">
        <f>SUM(F83:G83)</f>
        <v>300</v>
      </c>
      <c r="I83" s="1465">
        <v>500</v>
      </c>
      <c r="J83" s="1465">
        <v>500</v>
      </c>
      <c r="K83" s="1465">
        <v>500</v>
      </c>
      <c r="L83" s="1465">
        <v>500</v>
      </c>
      <c r="M83" s="1465">
        <v>500</v>
      </c>
      <c r="N83" s="1465">
        <v>500</v>
      </c>
      <c r="O83" s="1465">
        <v>500</v>
      </c>
      <c r="P83" s="1465">
        <v>500</v>
      </c>
      <c r="Q83" s="1465">
        <v>500</v>
      </c>
      <c r="R83" s="1465">
        <v>500</v>
      </c>
      <c r="S83" s="1465">
        <v>500</v>
      </c>
      <c r="T83" s="1465">
        <v>500</v>
      </c>
      <c r="U83" s="1464">
        <f>SUM(I83:T83)</f>
        <v>6000</v>
      </c>
      <c r="V83" s="1465">
        <v>500</v>
      </c>
      <c r="W83" s="1465">
        <v>500</v>
      </c>
      <c r="X83" s="1465">
        <v>500</v>
      </c>
      <c r="Y83" s="1465">
        <v>500</v>
      </c>
      <c r="Z83" s="1465">
        <v>500</v>
      </c>
      <c r="AA83" s="1465">
        <v>500</v>
      </c>
      <c r="AB83" s="1465">
        <v>500</v>
      </c>
      <c r="AC83" s="1465">
        <v>500</v>
      </c>
      <c r="AD83" s="1465">
        <v>500</v>
      </c>
      <c r="AE83" s="1465">
        <v>0</v>
      </c>
      <c r="AF83" s="1465">
        <v>0</v>
      </c>
      <c r="AG83" s="1465">
        <v>0</v>
      </c>
      <c r="AH83" s="1464">
        <f>SUM(V83:AG83)</f>
        <v>4500</v>
      </c>
      <c r="AI83" s="1465">
        <f t="shared" ref="AI83:AI95" si="51">SUM(AH83,U83,H83)</f>
        <v>10800</v>
      </c>
    </row>
    <row r="84" spans="1:35">
      <c r="A84" s="1471" t="s">
        <v>2285</v>
      </c>
      <c r="F84" s="1465">
        <v>0</v>
      </c>
      <c r="G84" s="1465">
        <v>0</v>
      </c>
      <c r="H84" s="1464">
        <f>SUM(F84:G84)</f>
        <v>0</v>
      </c>
      <c r="I84" s="1465">
        <v>0</v>
      </c>
      <c r="J84" s="1465">
        <v>0</v>
      </c>
      <c r="K84" s="1465">
        <v>0</v>
      </c>
      <c r="L84" s="1465">
        <v>18500</v>
      </c>
      <c r="M84" s="1465">
        <v>0</v>
      </c>
      <c r="N84" s="1465">
        <v>0</v>
      </c>
      <c r="O84" s="1465">
        <v>0</v>
      </c>
      <c r="P84" s="1465">
        <v>0</v>
      </c>
      <c r="Q84" s="1465">
        <v>0</v>
      </c>
      <c r="R84" s="1465">
        <v>0</v>
      </c>
      <c r="S84" s="1465">
        <v>0</v>
      </c>
      <c r="T84" s="1465">
        <v>0</v>
      </c>
      <c r="U84" s="1464">
        <f>SUM(I84:T84)</f>
        <v>18500</v>
      </c>
      <c r="V84" s="1465">
        <v>40000</v>
      </c>
      <c r="W84" s="1465">
        <v>0</v>
      </c>
      <c r="X84" s="1465">
        <v>0</v>
      </c>
      <c r="Y84" s="1465">
        <v>0</v>
      </c>
      <c r="Z84" s="1465">
        <v>0</v>
      </c>
      <c r="AA84" s="1465">
        <v>0</v>
      </c>
      <c r="AB84" s="1465">
        <v>0</v>
      </c>
      <c r="AC84" s="1465">
        <v>0</v>
      </c>
      <c r="AD84" s="1465">
        <v>0</v>
      </c>
      <c r="AE84" s="1465">
        <v>0</v>
      </c>
      <c r="AF84" s="1465">
        <v>0</v>
      </c>
      <c r="AG84" s="1465">
        <v>0</v>
      </c>
      <c r="AH84" s="1464">
        <f>SUM(V84:AG84)</f>
        <v>40000</v>
      </c>
      <c r="AI84" s="1465">
        <f t="shared" si="51"/>
        <v>58500</v>
      </c>
    </row>
    <row r="85" spans="1:35">
      <c r="A85" s="1471" t="s">
        <v>2286</v>
      </c>
      <c r="B85" s="1503"/>
      <c r="F85" s="1465">
        <v>50000</v>
      </c>
      <c r="G85" s="1465">
        <v>2000</v>
      </c>
      <c r="H85" s="1464">
        <f t="shared" ref="H85:H94" si="52">SUM(F85:G85)</f>
        <v>52000</v>
      </c>
      <c r="I85" s="1465">
        <v>2000</v>
      </c>
      <c r="J85" s="1465">
        <v>2000</v>
      </c>
      <c r="K85" s="1465">
        <v>2000</v>
      </c>
      <c r="L85" s="1465">
        <v>2000</v>
      </c>
      <c r="M85" s="1465">
        <v>2000</v>
      </c>
      <c r="N85" s="1465">
        <v>2000</v>
      </c>
      <c r="O85" s="1465">
        <v>2000</v>
      </c>
      <c r="P85" s="1465">
        <v>2000</v>
      </c>
      <c r="Q85" s="1465">
        <v>2000</v>
      </c>
      <c r="R85" s="1465">
        <v>2000</v>
      </c>
      <c r="S85" s="1465">
        <v>2000</v>
      </c>
      <c r="T85" s="1465">
        <v>2000</v>
      </c>
      <c r="U85" s="1464">
        <f t="shared" ref="U85:U94" si="53">SUM(I85:T85)</f>
        <v>24000</v>
      </c>
      <c r="V85" s="1465">
        <v>2000</v>
      </c>
      <c r="W85" s="1465">
        <v>2000</v>
      </c>
      <c r="X85" s="1465">
        <v>2000</v>
      </c>
      <c r="Y85" s="1465">
        <v>2000</v>
      </c>
      <c r="Z85" s="1465">
        <v>2000</v>
      </c>
      <c r="AA85" s="1465">
        <v>2000</v>
      </c>
      <c r="AB85" s="1465">
        <v>2000</v>
      </c>
      <c r="AC85" s="1465">
        <v>2000</v>
      </c>
      <c r="AD85" s="1465">
        <v>2000</v>
      </c>
      <c r="AE85" s="1465">
        <v>0</v>
      </c>
      <c r="AF85" s="1465">
        <v>0</v>
      </c>
      <c r="AG85" s="1465">
        <v>0</v>
      </c>
      <c r="AH85" s="1464">
        <f t="shared" ref="AH85:AH94" si="54">SUM(V85:AG85)</f>
        <v>18000</v>
      </c>
      <c r="AI85" s="1465">
        <f t="shared" si="51"/>
        <v>94000</v>
      </c>
    </row>
    <row r="86" spans="1:35">
      <c r="A86" s="1471" t="s">
        <v>2287</v>
      </c>
      <c r="B86" s="1503"/>
      <c r="F86" s="1465">
        <v>0</v>
      </c>
      <c r="G86" s="1465">
        <v>0</v>
      </c>
      <c r="H86" s="1464">
        <f>SUM(F86:G86)</f>
        <v>0</v>
      </c>
      <c r="I86" s="1465">
        <v>0</v>
      </c>
      <c r="J86" s="1465">
        <v>0</v>
      </c>
      <c r="K86" s="1465">
        <v>0</v>
      </c>
      <c r="L86" s="1465">
        <v>0</v>
      </c>
      <c r="M86" s="1465">
        <v>0</v>
      </c>
      <c r="N86" s="1465">
        <v>0</v>
      </c>
      <c r="O86" s="1465">
        <v>0</v>
      </c>
      <c r="P86" s="1465">
        <v>0</v>
      </c>
      <c r="Q86" s="1465">
        <v>0</v>
      </c>
      <c r="R86" s="1465">
        <v>0</v>
      </c>
      <c r="S86" s="1465">
        <v>0</v>
      </c>
      <c r="T86" s="1465">
        <v>0</v>
      </c>
      <c r="U86" s="1464">
        <f>SUM(I86:T86)</f>
        <v>0</v>
      </c>
      <c r="V86" s="1465">
        <v>0</v>
      </c>
      <c r="W86" s="1465">
        <v>0</v>
      </c>
      <c r="X86" s="1465">
        <v>50000</v>
      </c>
      <c r="Y86" s="1504">
        <v>0</v>
      </c>
      <c r="Z86" s="1504">
        <v>0</v>
      </c>
      <c r="AA86" s="1504">
        <v>0</v>
      </c>
      <c r="AB86" s="1504">
        <v>0</v>
      </c>
      <c r="AC86" s="1504">
        <v>0</v>
      </c>
      <c r="AD86" s="1504">
        <v>0</v>
      </c>
      <c r="AE86" s="1504">
        <v>0</v>
      </c>
      <c r="AF86" s="1504">
        <v>0</v>
      </c>
      <c r="AG86" s="1504">
        <v>0</v>
      </c>
      <c r="AH86" s="1464">
        <f>SUM(V86:AG86)</f>
        <v>50000</v>
      </c>
      <c r="AI86" s="1465">
        <f t="shared" si="51"/>
        <v>50000</v>
      </c>
    </row>
    <row r="87" spans="1:35">
      <c r="A87" s="1471" t="s">
        <v>2288</v>
      </c>
      <c r="B87" s="1503"/>
      <c r="F87" s="1465">
        <v>40000</v>
      </c>
      <c r="G87" s="1465">
        <v>8333</v>
      </c>
      <c r="H87" s="1464">
        <f t="shared" si="52"/>
        <v>48333</v>
      </c>
      <c r="I87" s="1465">
        <v>8333</v>
      </c>
      <c r="J87" s="1465">
        <v>8333</v>
      </c>
      <c r="K87" s="1465">
        <v>8333</v>
      </c>
      <c r="L87" s="1465">
        <v>8333</v>
      </c>
      <c r="M87" s="1465">
        <v>8333</v>
      </c>
      <c r="N87" s="1465">
        <v>8333</v>
      </c>
      <c r="O87" s="1465">
        <v>8333</v>
      </c>
      <c r="P87" s="1465">
        <v>8333</v>
      </c>
      <c r="Q87" s="1465">
        <v>8333</v>
      </c>
      <c r="R87" s="1465">
        <v>8333</v>
      </c>
      <c r="S87" s="1465">
        <v>8333</v>
      </c>
      <c r="T87" s="1465">
        <v>8333</v>
      </c>
      <c r="U87" s="1464">
        <f t="shared" si="53"/>
        <v>99996</v>
      </c>
      <c r="V87" s="1465">
        <v>8333</v>
      </c>
      <c r="W87" s="1465">
        <v>8333</v>
      </c>
      <c r="X87" s="1465">
        <v>8333</v>
      </c>
      <c r="Y87" s="1465">
        <v>8333</v>
      </c>
      <c r="Z87" s="1465">
        <v>8333</v>
      </c>
      <c r="AA87" s="1465">
        <v>8333</v>
      </c>
      <c r="AB87" s="1465">
        <v>0</v>
      </c>
      <c r="AC87" s="1465">
        <v>0</v>
      </c>
      <c r="AD87" s="1465">
        <v>0</v>
      </c>
      <c r="AE87" s="1465">
        <v>0</v>
      </c>
      <c r="AF87" s="1465">
        <v>0</v>
      </c>
      <c r="AG87" s="1465">
        <v>0</v>
      </c>
      <c r="AH87" s="1464">
        <f t="shared" si="54"/>
        <v>49998</v>
      </c>
      <c r="AI87" s="1465">
        <f t="shared" si="51"/>
        <v>198327</v>
      </c>
    </row>
    <row r="88" spans="1:35">
      <c r="A88" s="1471" t="s">
        <v>2289</v>
      </c>
      <c r="B88" s="1503"/>
      <c r="F88" s="1465">
        <v>1500</v>
      </c>
      <c r="G88" s="1465">
        <v>0</v>
      </c>
      <c r="H88" s="1464">
        <f t="shared" si="52"/>
        <v>1500</v>
      </c>
      <c r="I88" s="1465">
        <v>0</v>
      </c>
      <c r="J88" s="1465">
        <v>0</v>
      </c>
      <c r="K88" s="1465">
        <v>800</v>
      </c>
      <c r="L88" s="1465">
        <v>0</v>
      </c>
      <c r="M88" s="1465">
        <v>0</v>
      </c>
      <c r="N88" s="1465">
        <v>0</v>
      </c>
      <c r="O88" s="1465">
        <v>0</v>
      </c>
      <c r="P88" s="1465">
        <v>0</v>
      </c>
      <c r="Q88" s="1465">
        <v>0</v>
      </c>
      <c r="R88" s="1465">
        <v>0</v>
      </c>
      <c r="S88" s="1465">
        <v>3000</v>
      </c>
      <c r="T88" s="1465">
        <v>0</v>
      </c>
      <c r="U88" s="1464">
        <f t="shared" si="53"/>
        <v>3800</v>
      </c>
      <c r="V88" s="1465">
        <v>0</v>
      </c>
      <c r="W88" s="1465">
        <v>0</v>
      </c>
      <c r="X88" s="1465">
        <v>800</v>
      </c>
      <c r="Y88" s="1465">
        <v>0</v>
      </c>
      <c r="Z88" s="1465">
        <v>0</v>
      </c>
      <c r="AA88" s="1465">
        <v>0</v>
      </c>
      <c r="AB88" s="1465">
        <v>0</v>
      </c>
      <c r="AC88" s="1465">
        <v>0</v>
      </c>
      <c r="AD88" s="1465">
        <v>0</v>
      </c>
      <c r="AE88" s="1465">
        <v>0</v>
      </c>
      <c r="AF88" s="1465">
        <v>0</v>
      </c>
      <c r="AG88" s="1465">
        <v>0</v>
      </c>
      <c r="AH88" s="1464">
        <f t="shared" si="54"/>
        <v>800</v>
      </c>
      <c r="AI88" s="1465">
        <f t="shared" si="51"/>
        <v>6100</v>
      </c>
    </row>
    <row r="89" spans="1:35">
      <c r="A89" s="1471" t="s">
        <v>2290</v>
      </c>
      <c r="B89" s="1503"/>
      <c r="F89" s="1465">
        <v>50</v>
      </c>
      <c r="G89" s="1465">
        <v>0</v>
      </c>
      <c r="H89" s="1464">
        <f t="shared" si="52"/>
        <v>50</v>
      </c>
      <c r="I89" s="1465">
        <v>0</v>
      </c>
      <c r="J89" s="1465">
        <v>50</v>
      </c>
      <c r="K89" s="1465">
        <v>0</v>
      </c>
      <c r="L89" s="1465">
        <v>0</v>
      </c>
      <c r="M89" s="1465">
        <v>50</v>
      </c>
      <c r="N89" s="1465">
        <v>0</v>
      </c>
      <c r="O89" s="1465">
        <v>0</v>
      </c>
      <c r="P89" s="1465">
        <v>50</v>
      </c>
      <c r="Q89" s="1465">
        <v>0</v>
      </c>
      <c r="R89" s="1465">
        <v>0</v>
      </c>
      <c r="S89" s="1465">
        <v>50</v>
      </c>
      <c r="T89" s="1465">
        <v>0</v>
      </c>
      <c r="U89" s="1464">
        <f t="shared" si="53"/>
        <v>200</v>
      </c>
      <c r="V89" s="1465">
        <v>0</v>
      </c>
      <c r="W89" s="1465">
        <v>50</v>
      </c>
      <c r="X89" s="1465">
        <v>0</v>
      </c>
      <c r="Y89" s="1465">
        <v>0</v>
      </c>
      <c r="Z89" s="1465">
        <v>50</v>
      </c>
      <c r="AA89" s="1465">
        <v>0</v>
      </c>
      <c r="AB89" s="1465">
        <v>0</v>
      </c>
      <c r="AC89" s="1465">
        <v>50</v>
      </c>
      <c r="AD89" s="1465">
        <v>0</v>
      </c>
      <c r="AE89" s="1465">
        <v>0</v>
      </c>
      <c r="AF89" s="1465">
        <v>0</v>
      </c>
      <c r="AG89" s="1465">
        <v>0</v>
      </c>
      <c r="AH89" s="1464">
        <f t="shared" si="54"/>
        <v>150</v>
      </c>
      <c r="AI89" s="1465">
        <f t="shared" si="51"/>
        <v>400</v>
      </c>
    </row>
    <row r="90" spans="1:35">
      <c r="A90" s="1471" t="s">
        <v>2291</v>
      </c>
      <c r="B90" s="1503"/>
      <c r="F90" s="1465">
        <v>0</v>
      </c>
      <c r="G90" s="1465">
        <v>5000</v>
      </c>
      <c r="H90" s="1464">
        <f t="shared" si="52"/>
        <v>5000</v>
      </c>
      <c r="I90" s="1465">
        <v>0</v>
      </c>
      <c r="J90" s="1465">
        <v>0</v>
      </c>
      <c r="K90" s="1465">
        <v>0</v>
      </c>
      <c r="L90" s="1465">
        <v>0</v>
      </c>
      <c r="M90" s="1465">
        <v>0</v>
      </c>
      <c r="N90" s="1465">
        <v>0</v>
      </c>
      <c r="O90" s="1465">
        <v>0</v>
      </c>
      <c r="P90" s="1465">
        <v>0</v>
      </c>
      <c r="Q90" s="1465">
        <v>0</v>
      </c>
      <c r="R90" s="1465">
        <v>0</v>
      </c>
      <c r="S90" s="1465">
        <v>0</v>
      </c>
      <c r="T90" s="1465">
        <v>5000</v>
      </c>
      <c r="U90" s="1464">
        <f t="shared" si="53"/>
        <v>5000</v>
      </c>
      <c r="V90" s="1465">
        <v>0</v>
      </c>
      <c r="W90" s="1465">
        <v>0</v>
      </c>
      <c r="X90" s="1465">
        <v>0</v>
      </c>
      <c r="Y90" s="1465">
        <v>0</v>
      </c>
      <c r="Z90" s="1465">
        <v>0</v>
      </c>
      <c r="AA90" s="1465">
        <v>0</v>
      </c>
      <c r="AB90" s="1465">
        <v>0</v>
      </c>
      <c r="AC90" s="1465">
        <v>0</v>
      </c>
      <c r="AD90" s="1465">
        <v>0</v>
      </c>
      <c r="AE90" s="1465">
        <v>0</v>
      </c>
      <c r="AF90" s="1465">
        <v>0</v>
      </c>
      <c r="AG90" s="1465">
        <v>0</v>
      </c>
      <c r="AH90" s="1464">
        <f t="shared" si="54"/>
        <v>0</v>
      </c>
      <c r="AI90" s="1465">
        <f t="shared" si="51"/>
        <v>10000</v>
      </c>
    </row>
    <row r="91" spans="1:35">
      <c r="A91" s="1471" t="s">
        <v>2292</v>
      </c>
      <c r="B91" s="1503"/>
      <c r="F91" s="1465">
        <v>0</v>
      </c>
      <c r="G91" s="1465">
        <v>0</v>
      </c>
      <c r="H91" s="1464">
        <f t="shared" si="52"/>
        <v>0</v>
      </c>
      <c r="I91" s="1465">
        <v>0</v>
      </c>
      <c r="J91" s="1465">
        <v>12800</v>
      </c>
      <c r="K91" s="1465">
        <v>0</v>
      </c>
      <c r="L91" s="1465">
        <v>0</v>
      </c>
      <c r="M91" s="1465">
        <v>0</v>
      </c>
      <c r="N91" s="1465">
        <v>0</v>
      </c>
      <c r="O91" s="1465">
        <v>0</v>
      </c>
      <c r="P91" s="1465">
        <v>0</v>
      </c>
      <c r="Q91" s="1465">
        <v>0</v>
      </c>
      <c r="R91" s="1465">
        <v>0</v>
      </c>
      <c r="S91" s="1465">
        <v>0</v>
      </c>
      <c r="T91" s="1465">
        <v>0</v>
      </c>
      <c r="U91" s="1464">
        <f t="shared" si="53"/>
        <v>12800</v>
      </c>
      <c r="V91" s="1465">
        <v>0</v>
      </c>
      <c r="W91" s="1465">
        <v>0</v>
      </c>
      <c r="X91" s="1465">
        <v>0</v>
      </c>
      <c r="Y91" s="1465">
        <v>0</v>
      </c>
      <c r="Z91" s="1465">
        <v>0</v>
      </c>
      <c r="AA91" s="1465">
        <v>0</v>
      </c>
      <c r="AB91" s="1465">
        <v>0</v>
      </c>
      <c r="AC91" s="1465">
        <v>0</v>
      </c>
      <c r="AD91" s="1465">
        <v>0</v>
      </c>
      <c r="AE91" s="1465">
        <v>0</v>
      </c>
      <c r="AF91" s="1465">
        <v>0</v>
      </c>
      <c r="AG91" s="1465">
        <v>0</v>
      </c>
      <c r="AH91" s="1464">
        <f t="shared" si="54"/>
        <v>0</v>
      </c>
      <c r="AI91" s="1465">
        <f t="shared" si="51"/>
        <v>12800</v>
      </c>
    </row>
    <row r="92" spans="1:35">
      <c r="A92" s="1471" t="s">
        <v>2293</v>
      </c>
      <c r="F92" s="1465">
        <v>750</v>
      </c>
      <c r="G92" s="1465">
        <v>5750</v>
      </c>
      <c r="H92" s="1464">
        <f t="shared" si="52"/>
        <v>6500</v>
      </c>
      <c r="I92" s="1465">
        <v>750</v>
      </c>
      <c r="J92" s="1465">
        <v>750</v>
      </c>
      <c r="K92" s="1465">
        <v>2000</v>
      </c>
      <c r="L92" s="1465">
        <v>800</v>
      </c>
      <c r="M92" s="1465">
        <v>2000</v>
      </c>
      <c r="N92" s="1465">
        <v>800</v>
      </c>
      <c r="O92" s="1465">
        <v>800</v>
      </c>
      <c r="P92" s="1465">
        <v>800</v>
      </c>
      <c r="Q92" s="1465">
        <v>800</v>
      </c>
      <c r="R92" s="1465">
        <v>800</v>
      </c>
      <c r="S92" s="1465">
        <v>800</v>
      </c>
      <c r="T92" s="1465">
        <v>2000</v>
      </c>
      <c r="U92" s="1464">
        <f t="shared" si="53"/>
        <v>13100</v>
      </c>
      <c r="V92" s="1465">
        <v>850</v>
      </c>
      <c r="W92" s="1465">
        <v>850</v>
      </c>
      <c r="X92" s="1465">
        <v>850</v>
      </c>
      <c r="Y92" s="1465">
        <v>850</v>
      </c>
      <c r="Z92" s="1465">
        <v>850</v>
      </c>
      <c r="AA92" s="1465">
        <v>850</v>
      </c>
      <c r="AB92" s="1465">
        <v>850</v>
      </c>
      <c r="AC92" s="1465">
        <v>850</v>
      </c>
      <c r="AD92" s="1465">
        <v>850</v>
      </c>
      <c r="AE92" s="1465">
        <v>0</v>
      </c>
      <c r="AF92" s="1465">
        <v>0</v>
      </c>
      <c r="AG92" s="1465">
        <v>0</v>
      </c>
      <c r="AH92" s="1464">
        <f t="shared" si="54"/>
        <v>7650</v>
      </c>
      <c r="AI92" s="1465">
        <f t="shared" si="51"/>
        <v>27250</v>
      </c>
    </row>
    <row r="93" spans="1:35">
      <c r="A93" s="1471" t="s">
        <v>2294</v>
      </c>
      <c r="F93" s="1465">
        <v>1000</v>
      </c>
      <c r="G93" s="1465">
        <v>1000</v>
      </c>
      <c r="H93" s="1464">
        <f t="shared" si="52"/>
        <v>2000</v>
      </c>
      <c r="I93" s="1465">
        <v>2000</v>
      </c>
      <c r="J93" s="1465">
        <v>0</v>
      </c>
      <c r="K93" s="1465">
        <v>0</v>
      </c>
      <c r="L93" s="1465">
        <v>0</v>
      </c>
      <c r="M93" s="1465">
        <v>0</v>
      </c>
      <c r="N93" s="1465">
        <v>0</v>
      </c>
      <c r="O93" s="1465">
        <v>0</v>
      </c>
      <c r="P93" s="1465">
        <v>0</v>
      </c>
      <c r="Q93" s="1465">
        <v>0</v>
      </c>
      <c r="R93" s="1465">
        <v>0</v>
      </c>
      <c r="S93" s="1465">
        <v>2000</v>
      </c>
      <c r="T93" s="1465">
        <v>2000</v>
      </c>
      <c r="U93" s="1464">
        <f t="shared" si="53"/>
        <v>6000</v>
      </c>
      <c r="V93" s="1465">
        <v>2000</v>
      </c>
      <c r="W93" s="1465">
        <v>0</v>
      </c>
      <c r="X93" s="1465">
        <v>0</v>
      </c>
      <c r="Y93" s="1465">
        <v>0</v>
      </c>
      <c r="Z93" s="1465">
        <v>0</v>
      </c>
      <c r="AA93" s="1465">
        <v>0</v>
      </c>
      <c r="AB93" s="1465">
        <v>0</v>
      </c>
      <c r="AC93" s="1465">
        <v>0</v>
      </c>
      <c r="AD93" s="1465">
        <v>0</v>
      </c>
      <c r="AE93" s="1465">
        <v>0</v>
      </c>
      <c r="AF93" s="1465">
        <v>0</v>
      </c>
      <c r="AG93" s="1465">
        <v>0</v>
      </c>
      <c r="AH93" s="1464">
        <f t="shared" si="54"/>
        <v>2000</v>
      </c>
      <c r="AI93" s="1465">
        <f t="shared" si="51"/>
        <v>10000</v>
      </c>
    </row>
    <row r="94" spans="1:35">
      <c r="A94" s="1471" t="s">
        <v>2295</v>
      </c>
      <c r="F94" s="1465">
        <v>0</v>
      </c>
      <c r="G94" s="1465">
        <v>0</v>
      </c>
      <c r="H94" s="1464">
        <f t="shared" si="52"/>
        <v>0</v>
      </c>
      <c r="I94" s="1465">
        <v>5000</v>
      </c>
      <c r="J94" s="1465">
        <v>0</v>
      </c>
      <c r="K94" s="1465">
        <v>0</v>
      </c>
      <c r="L94" s="1465">
        <v>0</v>
      </c>
      <c r="M94" s="1465">
        <v>0</v>
      </c>
      <c r="N94" s="1465">
        <v>0</v>
      </c>
      <c r="O94" s="1465">
        <v>0</v>
      </c>
      <c r="P94" s="1465">
        <v>0</v>
      </c>
      <c r="Q94" s="1465">
        <v>0</v>
      </c>
      <c r="R94" s="1465">
        <v>0</v>
      </c>
      <c r="S94" s="1465">
        <v>0</v>
      </c>
      <c r="T94" s="1465">
        <v>0</v>
      </c>
      <c r="U94" s="1464">
        <f t="shared" si="53"/>
        <v>5000</v>
      </c>
      <c r="V94" s="1465">
        <v>5000</v>
      </c>
      <c r="W94" s="1465">
        <v>0</v>
      </c>
      <c r="X94" s="1465">
        <v>0</v>
      </c>
      <c r="Y94" s="1465">
        <v>0</v>
      </c>
      <c r="Z94" s="1465">
        <v>0</v>
      </c>
      <c r="AA94" s="1465">
        <v>0</v>
      </c>
      <c r="AB94" s="1465">
        <v>0</v>
      </c>
      <c r="AC94" s="1465">
        <v>0</v>
      </c>
      <c r="AD94" s="1465">
        <v>0</v>
      </c>
      <c r="AE94" s="1465">
        <v>0</v>
      </c>
      <c r="AF94" s="1465">
        <v>0</v>
      </c>
      <c r="AG94" s="1465">
        <v>0</v>
      </c>
      <c r="AH94" s="1464">
        <f t="shared" si="54"/>
        <v>5000</v>
      </c>
      <c r="AI94" s="1465">
        <f t="shared" si="51"/>
        <v>10000</v>
      </c>
    </row>
    <row r="95" spans="1:35">
      <c r="A95" s="1490" t="s">
        <v>2278</v>
      </c>
      <c r="F95" s="1465">
        <f t="shared" ref="F95:AH95" si="55">SUM(F83:F94)</f>
        <v>93450</v>
      </c>
      <c r="G95" s="1465">
        <f t="shared" si="55"/>
        <v>22233</v>
      </c>
      <c r="H95" s="1464">
        <f t="shared" si="55"/>
        <v>115683</v>
      </c>
      <c r="I95" s="1465">
        <f t="shared" si="55"/>
        <v>18583</v>
      </c>
      <c r="J95" s="1465">
        <f t="shared" si="55"/>
        <v>24433</v>
      </c>
      <c r="K95" s="1465">
        <f t="shared" si="55"/>
        <v>13633</v>
      </c>
      <c r="L95" s="1465">
        <f t="shared" si="55"/>
        <v>30133</v>
      </c>
      <c r="M95" s="1465">
        <f t="shared" si="55"/>
        <v>12883</v>
      </c>
      <c r="N95" s="1465">
        <f t="shared" si="55"/>
        <v>11633</v>
      </c>
      <c r="O95" s="1465">
        <f t="shared" si="55"/>
        <v>11633</v>
      </c>
      <c r="P95" s="1465">
        <f t="shared" si="55"/>
        <v>11683</v>
      </c>
      <c r="Q95" s="1465">
        <f t="shared" si="55"/>
        <v>11633</v>
      </c>
      <c r="R95" s="1465">
        <f t="shared" si="55"/>
        <v>11633</v>
      </c>
      <c r="S95" s="1465">
        <f t="shared" si="55"/>
        <v>16683</v>
      </c>
      <c r="T95" s="1465">
        <f t="shared" si="55"/>
        <v>19833</v>
      </c>
      <c r="U95" s="1464">
        <f t="shared" si="55"/>
        <v>194396</v>
      </c>
      <c r="V95" s="1465">
        <f t="shared" si="55"/>
        <v>58683</v>
      </c>
      <c r="W95" s="1465">
        <f t="shared" si="55"/>
        <v>11733</v>
      </c>
      <c r="X95" s="1465">
        <f t="shared" si="55"/>
        <v>62483</v>
      </c>
      <c r="Y95" s="1465">
        <f t="shared" si="55"/>
        <v>11683</v>
      </c>
      <c r="Z95" s="1465">
        <f t="shared" si="55"/>
        <v>11733</v>
      </c>
      <c r="AA95" s="1465">
        <f t="shared" si="55"/>
        <v>11683</v>
      </c>
      <c r="AB95" s="1465">
        <f t="shared" si="55"/>
        <v>3350</v>
      </c>
      <c r="AC95" s="1465">
        <f t="shared" si="55"/>
        <v>3400</v>
      </c>
      <c r="AD95" s="1465">
        <f t="shared" si="55"/>
        <v>3350</v>
      </c>
      <c r="AE95" s="1465">
        <f t="shared" si="55"/>
        <v>0</v>
      </c>
      <c r="AF95" s="1465">
        <f t="shared" si="55"/>
        <v>0</v>
      </c>
      <c r="AG95" s="1465">
        <f t="shared" si="55"/>
        <v>0</v>
      </c>
      <c r="AH95" s="1464">
        <f t="shared" si="55"/>
        <v>178098</v>
      </c>
      <c r="AI95" s="1465">
        <f t="shared" si="51"/>
        <v>488177</v>
      </c>
    </row>
    <row r="96" spans="1:35">
      <c r="A96" s="1490"/>
      <c r="F96" s="1465"/>
      <c r="G96" s="1465"/>
      <c r="H96" s="1464"/>
      <c r="I96" s="1465"/>
      <c r="J96" s="1465"/>
      <c r="K96" s="1465"/>
      <c r="L96" s="1465"/>
      <c r="M96" s="1465"/>
      <c r="N96" s="1465"/>
      <c r="O96" s="1465"/>
      <c r="P96" s="1465"/>
      <c r="Q96" s="1465"/>
      <c r="R96" s="1465"/>
      <c r="S96" s="1465"/>
      <c r="T96" s="1465"/>
      <c r="U96" s="1464"/>
      <c r="V96" s="1465"/>
      <c r="W96" s="1465"/>
      <c r="X96" s="1465"/>
      <c r="Y96" s="1465"/>
      <c r="Z96" s="1465"/>
      <c r="AA96" s="1465"/>
      <c r="AB96" s="1465"/>
      <c r="AC96" s="1465"/>
      <c r="AD96" s="1465"/>
      <c r="AE96" s="1465"/>
      <c r="AF96" s="1465"/>
      <c r="AG96" s="1465"/>
      <c r="AH96" s="1464"/>
    </row>
    <row r="97" spans="1:35">
      <c r="A97" s="1497" t="s">
        <v>2296</v>
      </c>
      <c r="F97" s="1465"/>
      <c r="G97" s="1465"/>
      <c r="H97" s="1464"/>
      <c r="I97" s="1465"/>
      <c r="J97" s="1465"/>
      <c r="K97" s="1465"/>
      <c r="L97" s="1465"/>
      <c r="M97" s="1465"/>
      <c r="N97" s="1465"/>
      <c r="O97" s="1465"/>
      <c r="P97" s="1465"/>
      <c r="Q97" s="1465"/>
      <c r="R97" s="1465"/>
      <c r="S97" s="1465"/>
      <c r="T97" s="1465"/>
      <c r="U97" s="1464"/>
      <c r="V97" s="1465"/>
      <c r="W97" s="1465"/>
      <c r="X97" s="1465"/>
      <c r="Y97" s="1465"/>
      <c r="Z97" s="1465"/>
      <c r="AA97" s="1465"/>
      <c r="AB97" s="1465"/>
      <c r="AC97" s="1465"/>
      <c r="AD97" s="1465"/>
      <c r="AE97" s="1465"/>
      <c r="AF97" s="1465"/>
      <c r="AG97" s="1465"/>
      <c r="AH97" s="1464"/>
    </row>
    <row r="98" spans="1:35">
      <c r="A98" s="1471" t="s">
        <v>2297</v>
      </c>
      <c r="F98" s="1465">
        <v>10000</v>
      </c>
      <c r="G98" s="1465">
        <v>15000</v>
      </c>
      <c r="H98" s="1464">
        <f>SUM(F98:G98)</f>
        <v>25000</v>
      </c>
      <c r="I98" s="1465">
        <v>15000</v>
      </c>
      <c r="J98" s="1465">
        <v>15000</v>
      </c>
      <c r="K98" s="1465">
        <v>15000</v>
      </c>
      <c r="L98" s="1465">
        <v>15000</v>
      </c>
      <c r="M98" s="1465">
        <v>15000</v>
      </c>
      <c r="N98" s="1465">
        <v>15000</v>
      </c>
      <c r="O98" s="1465">
        <v>5000</v>
      </c>
      <c r="P98" s="1465">
        <v>5000</v>
      </c>
      <c r="Q98" s="1465">
        <v>5000</v>
      </c>
      <c r="R98" s="1465">
        <v>5000</v>
      </c>
      <c r="S98" s="1465">
        <v>0</v>
      </c>
      <c r="T98" s="1465">
        <v>0</v>
      </c>
      <c r="U98" s="1464">
        <f>SUM(I98:T98)</f>
        <v>110000</v>
      </c>
      <c r="V98" s="1465">
        <v>0</v>
      </c>
      <c r="W98" s="1465">
        <v>0</v>
      </c>
      <c r="X98" s="1465">
        <v>0</v>
      </c>
      <c r="Y98" s="1465">
        <v>0</v>
      </c>
      <c r="Z98" s="1465">
        <v>0</v>
      </c>
      <c r="AA98" s="1465">
        <v>0</v>
      </c>
      <c r="AB98" s="1465">
        <v>0</v>
      </c>
      <c r="AC98" s="1465">
        <v>0</v>
      </c>
      <c r="AD98" s="1465">
        <v>0</v>
      </c>
      <c r="AE98" s="1465">
        <v>0</v>
      </c>
      <c r="AF98" s="1465">
        <v>0</v>
      </c>
      <c r="AG98" s="1465">
        <v>0</v>
      </c>
      <c r="AH98" s="1464">
        <f>SUM(V98:AG98)</f>
        <v>0</v>
      </c>
      <c r="AI98" s="1465">
        <f t="shared" ref="AI98:AI106" si="56">SUM(AH98,U98,H98)</f>
        <v>135000</v>
      </c>
    </row>
    <row r="99" spans="1:35">
      <c r="A99" s="1471" t="s">
        <v>2298</v>
      </c>
      <c r="F99" s="1465">
        <v>2000</v>
      </c>
      <c r="G99" s="1465">
        <v>2000</v>
      </c>
      <c r="H99" s="1464">
        <f t="shared" ref="H99:H104" si="57">SUM(F99:G99)</f>
        <v>4000</v>
      </c>
      <c r="I99" s="1465">
        <v>3200</v>
      </c>
      <c r="J99" s="1465">
        <v>3200</v>
      </c>
      <c r="K99" s="1465">
        <v>3200</v>
      </c>
      <c r="L99" s="1465">
        <v>3200</v>
      </c>
      <c r="M99" s="1465">
        <v>3200</v>
      </c>
      <c r="N99" s="1465">
        <v>3200</v>
      </c>
      <c r="O99" s="1465">
        <v>3200</v>
      </c>
      <c r="P99" s="1465">
        <v>3200</v>
      </c>
      <c r="Q99" s="1465">
        <v>3200</v>
      </c>
      <c r="R99" s="1465">
        <v>3200</v>
      </c>
      <c r="S99" s="1465">
        <v>0</v>
      </c>
      <c r="T99" s="1465">
        <v>0</v>
      </c>
      <c r="U99" s="1464">
        <f t="shared" ref="U99:U105" si="58">SUM(I99:T99)</f>
        <v>32000</v>
      </c>
      <c r="V99" s="1465">
        <v>0</v>
      </c>
      <c r="W99" s="1465">
        <v>0</v>
      </c>
      <c r="X99" s="1465">
        <v>0</v>
      </c>
      <c r="Y99" s="1465">
        <v>0</v>
      </c>
      <c r="Z99" s="1465">
        <v>0</v>
      </c>
      <c r="AA99" s="1465">
        <v>0</v>
      </c>
      <c r="AB99" s="1465">
        <v>0</v>
      </c>
      <c r="AC99" s="1465">
        <v>0</v>
      </c>
      <c r="AD99" s="1465">
        <v>0</v>
      </c>
      <c r="AE99" s="1465">
        <v>0</v>
      </c>
      <c r="AF99" s="1465">
        <v>0</v>
      </c>
      <c r="AG99" s="1465">
        <v>0</v>
      </c>
      <c r="AH99" s="1464">
        <f t="shared" ref="AH99:AH105" si="59">SUM(V99:AG99)</f>
        <v>0</v>
      </c>
      <c r="AI99" s="1465">
        <f t="shared" si="56"/>
        <v>36000</v>
      </c>
    </row>
    <row r="100" spans="1:35">
      <c r="A100" s="1471" t="s">
        <v>2299</v>
      </c>
      <c r="F100" s="1465">
        <v>0</v>
      </c>
      <c r="G100" s="1465">
        <v>6000</v>
      </c>
      <c r="H100" s="1464">
        <f t="shared" si="57"/>
        <v>6000</v>
      </c>
      <c r="I100" s="1465">
        <v>6000</v>
      </c>
      <c r="J100" s="1465">
        <v>6000</v>
      </c>
      <c r="K100" s="1465">
        <v>6000</v>
      </c>
      <c r="L100" s="1465">
        <v>6000</v>
      </c>
      <c r="M100" s="1465">
        <v>6000</v>
      </c>
      <c r="N100" s="1465">
        <v>6000</v>
      </c>
      <c r="O100" s="1465">
        <v>6000</v>
      </c>
      <c r="P100" s="1465">
        <v>0</v>
      </c>
      <c r="Q100" s="1465">
        <v>0</v>
      </c>
      <c r="R100" s="1465">
        <v>0</v>
      </c>
      <c r="S100" s="1465">
        <v>0</v>
      </c>
      <c r="T100" s="1465">
        <v>0</v>
      </c>
      <c r="U100" s="1464">
        <f t="shared" si="58"/>
        <v>42000</v>
      </c>
      <c r="V100" s="1465">
        <v>0</v>
      </c>
      <c r="W100" s="1465">
        <v>0</v>
      </c>
      <c r="X100" s="1465">
        <v>0</v>
      </c>
      <c r="Y100" s="1465">
        <v>0</v>
      </c>
      <c r="Z100" s="1465">
        <v>0</v>
      </c>
      <c r="AA100" s="1465">
        <v>0</v>
      </c>
      <c r="AB100" s="1465">
        <v>0</v>
      </c>
      <c r="AC100" s="1465">
        <v>0</v>
      </c>
      <c r="AD100" s="1465">
        <v>0</v>
      </c>
      <c r="AE100" s="1465">
        <v>0</v>
      </c>
      <c r="AF100" s="1465">
        <v>0</v>
      </c>
      <c r="AG100" s="1465">
        <v>0</v>
      </c>
      <c r="AH100" s="1464">
        <f t="shared" si="59"/>
        <v>0</v>
      </c>
      <c r="AI100" s="1465">
        <f t="shared" si="56"/>
        <v>48000</v>
      </c>
    </row>
    <row r="101" spans="1:35">
      <c r="A101" s="1471" t="s">
        <v>2300</v>
      </c>
      <c r="F101" s="1465">
        <v>0</v>
      </c>
      <c r="G101" s="1465">
        <v>0</v>
      </c>
      <c r="H101" s="1464">
        <f t="shared" si="57"/>
        <v>0</v>
      </c>
      <c r="I101" s="1465">
        <v>0</v>
      </c>
      <c r="J101" s="1465">
        <v>0</v>
      </c>
      <c r="K101" s="1465">
        <v>0</v>
      </c>
      <c r="L101" s="1465">
        <v>0</v>
      </c>
      <c r="M101" s="1465">
        <v>0</v>
      </c>
      <c r="N101" s="1465">
        <v>50000</v>
      </c>
      <c r="O101" s="1465">
        <v>0</v>
      </c>
      <c r="P101" s="1465">
        <v>0</v>
      </c>
      <c r="Q101" s="1465">
        <v>50000</v>
      </c>
      <c r="R101" s="1465">
        <v>0</v>
      </c>
      <c r="S101" s="1465">
        <v>0</v>
      </c>
      <c r="T101" s="1465">
        <v>0</v>
      </c>
      <c r="U101" s="1464">
        <f>SUM(I101:T101)</f>
        <v>100000</v>
      </c>
      <c r="V101" s="1465">
        <v>0</v>
      </c>
      <c r="W101" s="1465">
        <v>0</v>
      </c>
      <c r="X101" s="1465">
        <v>0</v>
      </c>
      <c r="Y101" s="1465">
        <v>0</v>
      </c>
      <c r="Z101" s="1465">
        <v>0</v>
      </c>
      <c r="AA101" s="1465">
        <v>0</v>
      </c>
      <c r="AB101" s="1465">
        <v>0</v>
      </c>
      <c r="AC101" s="1465">
        <v>0</v>
      </c>
      <c r="AD101" s="1465">
        <v>0</v>
      </c>
      <c r="AE101" s="1465">
        <v>0</v>
      </c>
      <c r="AF101" s="1465">
        <v>0</v>
      </c>
      <c r="AG101" s="1465">
        <v>0</v>
      </c>
      <c r="AH101" s="1464">
        <f t="shared" si="59"/>
        <v>0</v>
      </c>
      <c r="AI101" s="1465">
        <f t="shared" si="56"/>
        <v>100000</v>
      </c>
    </row>
    <row r="102" spans="1:35">
      <c r="A102" s="1462" t="s">
        <v>2301</v>
      </c>
      <c r="F102" s="1465">
        <v>0</v>
      </c>
      <c r="G102" s="1465">
        <v>0</v>
      </c>
      <c r="H102" s="1464">
        <f>SUM(F102:G102)</f>
        <v>0</v>
      </c>
      <c r="I102" s="1465">
        <v>2000</v>
      </c>
      <c r="J102" s="1465">
        <v>2000</v>
      </c>
      <c r="K102" s="1465">
        <v>2000</v>
      </c>
      <c r="L102" s="1465">
        <v>2000</v>
      </c>
      <c r="M102" s="1465">
        <v>2000</v>
      </c>
      <c r="N102" s="1465">
        <v>2000</v>
      </c>
      <c r="O102" s="1465">
        <v>2000</v>
      </c>
      <c r="P102" s="1465">
        <v>2000</v>
      </c>
      <c r="Q102" s="1465">
        <v>0</v>
      </c>
      <c r="R102" s="1465">
        <v>0</v>
      </c>
      <c r="S102" s="1465">
        <v>0</v>
      </c>
      <c r="T102" s="1465">
        <v>0</v>
      </c>
      <c r="U102" s="1464">
        <f>SUM(I102:T102)</f>
        <v>16000</v>
      </c>
      <c r="V102" s="1465">
        <v>0</v>
      </c>
      <c r="W102" s="1465">
        <v>0</v>
      </c>
      <c r="X102" s="1465">
        <v>0</v>
      </c>
      <c r="Y102" s="1465">
        <v>0</v>
      </c>
      <c r="Z102" s="1465">
        <v>0</v>
      </c>
      <c r="AA102" s="1465">
        <v>0</v>
      </c>
      <c r="AB102" s="1465">
        <v>0</v>
      </c>
      <c r="AC102" s="1465">
        <v>0</v>
      </c>
      <c r="AD102" s="1465">
        <v>0</v>
      </c>
      <c r="AE102" s="1465">
        <v>0</v>
      </c>
      <c r="AF102" s="1465">
        <v>0</v>
      </c>
      <c r="AG102" s="1465">
        <v>0</v>
      </c>
      <c r="AH102" s="1464">
        <f>SUM(V102:AG102)</f>
        <v>0</v>
      </c>
      <c r="AI102" s="1465">
        <f t="shared" si="56"/>
        <v>16000</v>
      </c>
    </row>
    <row r="103" spans="1:35">
      <c r="A103" s="1471" t="s">
        <v>2302</v>
      </c>
      <c r="F103" s="1465">
        <v>0</v>
      </c>
      <c r="G103" s="1465">
        <v>0</v>
      </c>
      <c r="H103" s="1464">
        <f t="shared" si="57"/>
        <v>0</v>
      </c>
      <c r="I103" s="1465">
        <v>0</v>
      </c>
      <c r="J103" s="1465">
        <v>0</v>
      </c>
      <c r="K103" s="1465">
        <v>0</v>
      </c>
      <c r="L103" s="1465">
        <v>0</v>
      </c>
      <c r="M103" s="1465">
        <v>0</v>
      </c>
      <c r="N103" s="1465">
        <v>0</v>
      </c>
      <c r="O103" s="1465">
        <v>0</v>
      </c>
      <c r="P103" s="1465">
        <v>10000</v>
      </c>
      <c r="Q103" s="1465">
        <v>10000</v>
      </c>
      <c r="R103" s="1465">
        <v>10000</v>
      </c>
      <c r="S103" s="1465">
        <v>10000</v>
      </c>
      <c r="T103" s="1465">
        <v>10000</v>
      </c>
      <c r="U103" s="1464">
        <f>SUM(I103:T103)</f>
        <v>50000</v>
      </c>
      <c r="V103" s="1465">
        <v>0</v>
      </c>
      <c r="W103" s="1465">
        <v>0</v>
      </c>
      <c r="X103" s="1465">
        <v>0</v>
      </c>
      <c r="Y103" s="1465">
        <v>0</v>
      </c>
      <c r="Z103" s="1465">
        <v>0</v>
      </c>
      <c r="AA103" s="1465">
        <v>0</v>
      </c>
      <c r="AB103" s="1465">
        <v>0</v>
      </c>
      <c r="AC103" s="1465">
        <v>0</v>
      </c>
      <c r="AD103" s="1465">
        <v>0</v>
      </c>
      <c r="AE103" s="1465">
        <v>0</v>
      </c>
      <c r="AF103" s="1465">
        <v>0</v>
      </c>
      <c r="AG103" s="1465">
        <v>0</v>
      </c>
      <c r="AH103" s="1464">
        <f t="shared" si="59"/>
        <v>0</v>
      </c>
      <c r="AI103" s="1465">
        <f t="shared" si="56"/>
        <v>50000</v>
      </c>
    </row>
    <row r="104" spans="1:35">
      <c r="A104" s="1505" t="s">
        <v>2303</v>
      </c>
      <c r="F104" s="1465">
        <v>0</v>
      </c>
      <c r="G104" s="1465">
        <v>0</v>
      </c>
      <c r="H104" s="1464">
        <f t="shared" si="57"/>
        <v>0</v>
      </c>
      <c r="I104" s="1465">
        <v>0</v>
      </c>
      <c r="J104" s="1465">
        <v>0</v>
      </c>
      <c r="K104" s="1465">
        <v>0</v>
      </c>
      <c r="L104" s="1465">
        <v>0</v>
      </c>
      <c r="M104" s="1465">
        <v>0</v>
      </c>
      <c r="N104" s="1465">
        <v>0</v>
      </c>
      <c r="O104" s="1465">
        <v>0</v>
      </c>
      <c r="P104" s="1465">
        <v>0</v>
      </c>
      <c r="Q104" s="1465">
        <v>0</v>
      </c>
      <c r="R104" s="1465">
        <v>0</v>
      </c>
      <c r="S104" s="1465">
        <v>30000</v>
      </c>
      <c r="T104" s="1465">
        <v>30000</v>
      </c>
      <c r="U104" s="1464">
        <f t="shared" si="58"/>
        <v>60000</v>
      </c>
      <c r="V104" s="1465">
        <v>0</v>
      </c>
      <c r="W104" s="1465">
        <v>0</v>
      </c>
      <c r="X104" s="1465">
        <v>0</v>
      </c>
      <c r="Y104" s="1465">
        <v>0</v>
      </c>
      <c r="Z104" s="1465">
        <v>0</v>
      </c>
      <c r="AA104" s="1465">
        <v>0</v>
      </c>
      <c r="AB104" s="1465">
        <v>0</v>
      </c>
      <c r="AC104" s="1465">
        <v>0</v>
      </c>
      <c r="AD104" s="1465">
        <v>0</v>
      </c>
      <c r="AE104" s="1465">
        <v>0</v>
      </c>
      <c r="AF104" s="1465">
        <v>0</v>
      </c>
      <c r="AG104" s="1465">
        <v>0</v>
      </c>
      <c r="AH104" s="1464">
        <f t="shared" si="59"/>
        <v>0</v>
      </c>
      <c r="AI104" s="1465">
        <f t="shared" si="56"/>
        <v>60000</v>
      </c>
    </row>
    <row r="105" spans="1:35">
      <c r="A105" s="1471" t="s">
        <v>2304</v>
      </c>
      <c r="F105" s="1465">
        <v>0</v>
      </c>
      <c r="G105" s="1465">
        <v>0</v>
      </c>
      <c r="H105" s="1464">
        <f>SUM(F105:G105)</f>
        <v>0</v>
      </c>
      <c r="I105" s="1465">
        <v>0</v>
      </c>
      <c r="J105" s="1465">
        <v>0</v>
      </c>
      <c r="K105" s="1465">
        <v>0</v>
      </c>
      <c r="L105" s="1465">
        <v>0</v>
      </c>
      <c r="M105" s="1465">
        <v>0</v>
      </c>
      <c r="N105" s="1465">
        <v>0</v>
      </c>
      <c r="O105" s="1465">
        <v>0</v>
      </c>
      <c r="P105" s="1465">
        <v>0</v>
      </c>
      <c r="Q105" s="1465">
        <v>0</v>
      </c>
      <c r="R105" s="1465">
        <v>0</v>
      </c>
      <c r="S105" s="1465">
        <v>0</v>
      </c>
      <c r="T105" s="1465">
        <v>0</v>
      </c>
      <c r="U105" s="1464">
        <f t="shared" si="58"/>
        <v>0</v>
      </c>
      <c r="V105" s="1465">
        <v>0</v>
      </c>
      <c r="W105" s="1465">
        <v>120000</v>
      </c>
      <c r="X105" s="1465">
        <v>120000</v>
      </c>
      <c r="Y105" s="1465">
        <v>120000</v>
      </c>
      <c r="Z105" s="1465">
        <v>0</v>
      </c>
      <c r="AA105" s="1465">
        <v>0</v>
      </c>
      <c r="AB105" s="1465">
        <v>0</v>
      </c>
      <c r="AC105" s="1465">
        <v>0</v>
      </c>
      <c r="AD105" s="1465">
        <v>0</v>
      </c>
      <c r="AE105" s="1465">
        <v>0</v>
      </c>
      <c r="AF105" s="1465">
        <v>0</v>
      </c>
      <c r="AG105" s="1465">
        <v>0</v>
      </c>
      <c r="AH105" s="1464">
        <f t="shared" si="59"/>
        <v>360000</v>
      </c>
      <c r="AI105" s="1465">
        <f>SUM(AH105,U105,H105)</f>
        <v>360000</v>
      </c>
    </row>
    <row r="106" spans="1:35">
      <c r="A106" s="1490" t="s">
        <v>2278</v>
      </c>
      <c r="F106" s="1465">
        <f t="shared" ref="F106:AH106" si="60">SUM(F98:F105)</f>
        <v>12000</v>
      </c>
      <c r="G106" s="1465">
        <f t="shared" si="60"/>
        <v>23000</v>
      </c>
      <c r="H106" s="1464">
        <f t="shared" si="60"/>
        <v>35000</v>
      </c>
      <c r="I106" s="1465">
        <f t="shared" si="60"/>
        <v>26200</v>
      </c>
      <c r="J106" s="1465">
        <f t="shared" si="60"/>
        <v>26200</v>
      </c>
      <c r="K106" s="1465">
        <f t="shared" si="60"/>
        <v>26200</v>
      </c>
      <c r="L106" s="1465">
        <f t="shared" si="60"/>
        <v>26200</v>
      </c>
      <c r="M106" s="1465">
        <f t="shared" si="60"/>
        <v>26200</v>
      </c>
      <c r="N106" s="1465">
        <f t="shared" si="60"/>
        <v>76200</v>
      </c>
      <c r="O106" s="1465">
        <f t="shared" si="60"/>
        <v>16200</v>
      </c>
      <c r="P106" s="1465">
        <f t="shared" si="60"/>
        <v>20200</v>
      </c>
      <c r="Q106" s="1465">
        <f t="shared" si="60"/>
        <v>68200</v>
      </c>
      <c r="R106" s="1465">
        <f t="shared" si="60"/>
        <v>18200</v>
      </c>
      <c r="S106" s="1465">
        <f t="shared" si="60"/>
        <v>40000</v>
      </c>
      <c r="T106" s="1465">
        <f t="shared" si="60"/>
        <v>40000</v>
      </c>
      <c r="U106" s="1464">
        <f t="shared" si="60"/>
        <v>410000</v>
      </c>
      <c r="V106" s="1465">
        <f t="shared" si="60"/>
        <v>0</v>
      </c>
      <c r="W106" s="1465">
        <f t="shared" si="60"/>
        <v>120000</v>
      </c>
      <c r="X106" s="1465">
        <f t="shared" si="60"/>
        <v>120000</v>
      </c>
      <c r="Y106" s="1465">
        <f t="shared" si="60"/>
        <v>120000</v>
      </c>
      <c r="Z106" s="1465">
        <f t="shared" si="60"/>
        <v>0</v>
      </c>
      <c r="AA106" s="1465">
        <f t="shared" si="60"/>
        <v>0</v>
      </c>
      <c r="AB106" s="1465">
        <f t="shared" si="60"/>
        <v>0</v>
      </c>
      <c r="AC106" s="1465">
        <f t="shared" si="60"/>
        <v>0</v>
      </c>
      <c r="AD106" s="1465">
        <f t="shared" si="60"/>
        <v>0</v>
      </c>
      <c r="AE106" s="1465">
        <f t="shared" si="60"/>
        <v>0</v>
      </c>
      <c r="AF106" s="1465">
        <f t="shared" si="60"/>
        <v>0</v>
      </c>
      <c r="AG106" s="1465">
        <f t="shared" si="60"/>
        <v>0</v>
      </c>
      <c r="AH106" s="1464">
        <f t="shared" si="60"/>
        <v>360000</v>
      </c>
      <c r="AI106" s="1465">
        <f t="shared" si="56"/>
        <v>805000</v>
      </c>
    </row>
    <row r="107" spans="1:35">
      <c r="H107" s="1457"/>
      <c r="L107" s="1446" t="s">
        <v>2305</v>
      </c>
      <c r="U107" s="1457"/>
      <c r="AA107" s="1446" t="s">
        <v>2305</v>
      </c>
      <c r="AH107" s="1457"/>
    </row>
    <row r="108" spans="1:35">
      <c r="A108" s="1489" t="s">
        <v>2306</v>
      </c>
      <c r="H108" s="1457"/>
      <c r="U108" s="1457"/>
      <c r="AH108" s="1457"/>
    </row>
    <row r="109" spans="1:35">
      <c r="A109" s="1471" t="s">
        <v>2307</v>
      </c>
      <c r="C109" s="1503"/>
      <c r="F109" s="1465">
        <v>50</v>
      </c>
      <c r="G109" s="1465">
        <v>50</v>
      </c>
      <c r="H109" s="1464">
        <f>SUM(F109:G109)</f>
        <v>100</v>
      </c>
      <c r="I109" s="1465">
        <v>50</v>
      </c>
      <c r="J109" s="1465">
        <v>50</v>
      </c>
      <c r="K109" s="1465">
        <v>50</v>
      </c>
      <c r="L109" s="1465">
        <v>50</v>
      </c>
      <c r="M109" s="1465">
        <v>50</v>
      </c>
      <c r="N109" s="1465">
        <v>50</v>
      </c>
      <c r="O109" s="1465">
        <v>50</v>
      </c>
      <c r="P109" s="1465">
        <v>50</v>
      </c>
      <c r="Q109" s="1465">
        <v>50</v>
      </c>
      <c r="R109" s="1465">
        <v>50</v>
      </c>
      <c r="S109" s="1465">
        <v>50</v>
      </c>
      <c r="T109" s="1465">
        <v>50</v>
      </c>
      <c r="U109" s="1464">
        <f>SUM(I109:T109)</f>
        <v>600</v>
      </c>
      <c r="V109" s="1465">
        <v>50</v>
      </c>
      <c r="W109" s="1465">
        <v>50</v>
      </c>
      <c r="X109" s="1465">
        <v>50</v>
      </c>
      <c r="Y109" s="1465">
        <v>50</v>
      </c>
      <c r="Z109" s="1465">
        <v>50</v>
      </c>
      <c r="AA109" s="1465">
        <v>50</v>
      </c>
      <c r="AB109" s="1465">
        <v>50</v>
      </c>
      <c r="AC109" s="1465">
        <v>50</v>
      </c>
      <c r="AD109" s="1465">
        <v>50</v>
      </c>
      <c r="AE109" s="1465">
        <v>0</v>
      </c>
      <c r="AF109" s="1465">
        <v>0</v>
      </c>
      <c r="AG109" s="1465">
        <v>0</v>
      </c>
      <c r="AH109" s="1464">
        <f>SUM(V109:AG109)</f>
        <v>450</v>
      </c>
      <c r="AI109" s="1465">
        <f>SUM(AH109,U109,H109)</f>
        <v>1150</v>
      </c>
    </row>
    <row r="110" spans="1:35">
      <c r="A110" s="1471" t="s">
        <v>2308</v>
      </c>
      <c r="B110" s="1506">
        <v>2250</v>
      </c>
      <c r="C110" s="1503" t="s">
        <v>2309</v>
      </c>
      <c r="F110" s="1465">
        <f>F51*$B$110</f>
        <v>9450</v>
      </c>
      <c r="G110" s="1465">
        <f>G51*$B$110</f>
        <v>9450</v>
      </c>
      <c r="H110" s="1464">
        <f>SUM(F110:G110)</f>
        <v>18900</v>
      </c>
      <c r="I110" s="1465">
        <f t="shared" ref="I110:T110" si="61">I51*$B$110</f>
        <v>9450</v>
      </c>
      <c r="J110" s="1465">
        <f t="shared" si="61"/>
        <v>9450</v>
      </c>
      <c r="K110" s="1465">
        <f t="shared" si="61"/>
        <v>11700</v>
      </c>
      <c r="L110" s="1465">
        <f t="shared" si="61"/>
        <v>11700</v>
      </c>
      <c r="M110" s="1465">
        <f t="shared" si="61"/>
        <v>13950</v>
      </c>
      <c r="N110" s="1465">
        <f t="shared" si="61"/>
        <v>13950</v>
      </c>
      <c r="O110" s="1465">
        <f t="shared" si="61"/>
        <v>13950</v>
      </c>
      <c r="P110" s="1465">
        <f t="shared" si="61"/>
        <v>13950</v>
      </c>
      <c r="Q110" s="1465">
        <f t="shared" si="61"/>
        <v>13950</v>
      </c>
      <c r="R110" s="1465">
        <f t="shared" si="61"/>
        <v>13950</v>
      </c>
      <c r="S110" s="1465">
        <f t="shared" si="61"/>
        <v>13950</v>
      </c>
      <c r="T110" s="1465">
        <f t="shared" si="61"/>
        <v>13950</v>
      </c>
      <c r="U110" s="1464">
        <f>SUM(I110:T110)</f>
        <v>153900</v>
      </c>
      <c r="V110" s="1465">
        <f t="shared" ref="V110:AD110" si="62">V51*$B$110</f>
        <v>13950</v>
      </c>
      <c r="W110" s="1465">
        <f t="shared" si="62"/>
        <v>13950</v>
      </c>
      <c r="X110" s="1465">
        <f t="shared" si="62"/>
        <v>13950</v>
      </c>
      <c r="Y110" s="1465">
        <f t="shared" si="62"/>
        <v>13950</v>
      </c>
      <c r="Z110" s="1465">
        <f t="shared" si="62"/>
        <v>13950</v>
      </c>
      <c r="AA110" s="1465">
        <f t="shared" si="62"/>
        <v>13950</v>
      </c>
      <c r="AB110" s="1465">
        <f t="shared" si="62"/>
        <v>13950</v>
      </c>
      <c r="AC110" s="1465">
        <f t="shared" si="62"/>
        <v>13950</v>
      </c>
      <c r="AD110" s="1465">
        <f t="shared" si="62"/>
        <v>13950</v>
      </c>
      <c r="AE110" s="1465">
        <v>0</v>
      </c>
      <c r="AF110" s="1465">
        <v>0</v>
      </c>
      <c r="AG110" s="1465">
        <v>0</v>
      </c>
      <c r="AH110" s="1464">
        <f>SUM(V110:AG110)</f>
        <v>125550</v>
      </c>
      <c r="AI110" s="1465">
        <f>SUM(AH110,U110,H110)</f>
        <v>298350</v>
      </c>
    </row>
    <row r="111" spans="1:35">
      <c r="A111" s="1471" t="s">
        <v>2310</v>
      </c>
      <c r="B111" s="1506"/>
      <c r="C111" s="1503"/>
      <c r="F111" s="1465">
        <v>0</v>
      </c>
      <c r="G111" s="1465">
        <v>50000</v>
      </c>
      <c r="H111" s="1464">
        <f>SUM(F111:G111)</f>
        <v>50000</v>
      </c>
      <c r="I111" s="1465">
        <v>50000</v>
      </c>
      <c r="J111" s="1465">
        <v>50000</v>
      </c>
      <c r="K111" s="1465">
        <v>0</v>
      </c>
      <c r="L111" s="1465">
        <v>0</v>
      </c>
      <c r="M111" s="1465">
        <v>0</v>
      </c>
      <c r="N111" s="1465">
        <v>0</v>
      </c>
      <c r="O111" s="1465">
        <v>0</v>
      </c>
      <c r="P111" s="1465">
        <v>0</v>
      </c>
      <c r="Q111" s="1465">
        <v>0</v>
      </c>
      <c r="R111" s="1465">
        <v>0</v>
      </c>
      <c r="S111" s="1465">
        <v>0</v>
      </c>
      <c r="T111" s="1465">
        <v>0</v>
      </c>
      <c r="U111" s="1464">
        <f>SUM(I111:T111)</f>
        <v>100000</v>
      </c>
      <c r="V111" s="1465">
        <v>0</v>
      </c>
      <c r="W111" s="1465">
        <v>0</v>
      </c>
      <c r="X111" s="1465">
        <v>0</v>
      </c>
      <c r="Y111" s="1465">
        <v>0</v>
      </c>
      <c r="Z111" s="1465">
        <v>0</v>
      </c>
      <c r="AA111" s="1465">
        <v>0</v>
      </c>
      <c r="AB111" s="1465">
        <v>0</v>
      </c>
      <c r="AC111" s="1465">
        <v>0</v>
      </c>
      <c r="AD111" s="1465">
        <v>0</v>
      </c>
      <c r="AE111" s="1465">
        <v>0</v>
      </c>
      <c r="AF111" s="1465">
        <v>0</v>
      </c>
      <c r="AG111" s="1465">
        <v>0</v>
      </c>
      <c r="AH111" s="1464">
        <f>SUM(V111:AG111)</f>
        <v>0</v>
      </c>
      <c r="AI111" s="1465">
        <f>SUM(AH111,U111,H111)</f>
        <v>150000</v>
      </c>
    </row>
    <row r="112" spans="1:35">
      <c r="A112" s="1490" t="s">
        <v>2278</v>
      </c>
      <c r="F112" s="1465">
        <f t="shared" ref="F112:P112" si="63">SUM(F109:F111)</f>
        <v>9500</v>
      </c>
      <c r="G112" s="1465">
        <f t="shared" si="63"/>
        <v>59500</v>
      </c>
      <c r="H112" s="1464">
        <f>SUM(H109:H111)</f>
        <v>69000</v>
      </c>
      <c r="I112" s="1465">
        <f t="shared" si="63"/>
        <v>59500</v>
      </c>
      <c r="J112" s="1465">
        <f t="shared" si="63"/>
        <v>59500</v>
      </c>
      <c r="K112" s="1465">
        <f t="shared" si="63"/>
        <v>11750</v>
      </c>
      <c r="L112" s="1465">
        <f t="shared" si="63"/>
        <v>11750</v>
      </c>
      <c r="M112" s="1465">
        <f t="shared" si="63"/>
        <v>14000</v>
      </c>
      <c r="N112" s="1465">
        <f t="shared" si="63"/>
        <v>14000</v>
      </c>
      <c r="O112" s="1465">
        <f t="shared" si="63"/>
        <v>14000</v>
      </c>
      <c r="P112" s="1465">
        <f t="shared" si="63"/>
        <v>14000</v>
      </c>
      <c r="Q112" s="1465">
        <f>SUM(Q109:Q111)</f>
        <v>14000</v>
      </c>
      <c r="R112" s="1465">
        <f>SUM(R109:R111)</f>
        <v>14000</v>
      </c>
      <c r="S112" s="1465">
        <f>SUM(S109:S111)</f>
        <v>14000</v>
      </c>
      <c r="T112" s="1465">
        <f>SUM(T109:T111)</f>
        <v>14000</v>
      </c>
      <c r="U112" s="1464">
        <f>SUM(U109:U111)</f>
        <v>254500</v>
      </c>
      <c r="V112" s="1465">
        <f t="shared" ref="V112:AE112" si="64">SUM(V109:V111)</f>
        <v>14000</v>
      </c>
      <c r="W112" s="1465">
        <f t="shared" si="64"/>
        <v>14000</v>
      </c>
      <c r="X112" s="1465">
        <f t="shared" si="64"/>
        <v>14000</v>
      </c>
      <c r="Y112" s="1465">
        <f t="shared" si="64"/>
        <v>14000</v>
      </c>
      <c r="Z112" s="1465">
        <f t="shared" si="64"/>
        <v>14000</v>
      </c>
      <c r="AA112" s="1465">
        <f t="shared" si="64"/>
        <v>14000</v>
      </c>
      <c r="AB112" s="1465">
        <f t="shared" si="64"/>
        <v>14000</v>
      </c>
      <c r="AC112" s="1465">
        <f t="shared" si="64"/>
        <v>14000</v>
      </c>
      <c r="AD112" s="1465">
        <f t="shared" si="64"/>
        <v>14000</v>
      </c>
      <c r="AE112" s="1465">
        <f t="shared" si="64"/>
        <v>0</v>
      </c>
      <c r="AF112" s="1465">
        <f>SUM(AF109:AF111)</f>
        <v>0</v>
      </c>
      <c r="AG112" s="1465">
        <f>SUM(AG109:AG111)</f>
        <v>0</v>
      </c>
      <c r="AH112" s="1464">
        <f>SUM(AH109:AH111)</f>
        <v>126000</v>
      </c>
      <c r="AI112" s="1465">
        <f>SUM(AH112,U112,H112)</f>
        <v>449500</v>
      </c>
    </row>
    <row r="113" spans="1:34">
      <c r="A113" s="1471"/>
      <c r="H113" s="1457"/>
      <c r="U113" s="1457"/>
      <c r="AH113" s="1457"/>
    </row>
    <row r="114" spans="1:34">
      <c r="A114" s="1497" t="s">
        <v>2311</v>
      </c>
      <c r="H114" s="1457"/>
      <c r="U114" s="1457"/>
      <c r="AH114" s="1457"/>
    </row>
    <row r="115" spans="1:34">
      <c r="A115" s="1462" t="s">
        <v>2312</v>
      </c>
      <c r="B115" s="1462"/>
      <c r="C115" s="1462"/>
      <c r="D115" s="1462"/>
      <c r="E115" s="1462"/>
      <c r="F115" s="1463">
        <v>13500</v>
      </c>
      <c r="G115" s="1463">
        <v>13500</v>
      </c>
      <c r="H115" s="1464">
        <f>SUM(F115:G115)</f>
        <v>27000</v>
      </c>
      <c r="I115" s="1463">
        <v>13500</v>
      </c>
      <c r="J115" s="1463">
        <v>13500</v>
      </c>
      <c r="K115" s="1463">
        <v>13500</v>
      </c>
      <c r="L115" s="1463">
        <v>13500</v>
      </c>
      <c r="M115" s="1463">
        <v>16100</v>
      </c>
      <c r="N115" s="1463">
        <v>16100</v>
      </c>
      <c r="O115" s="1463">
        <v>16100</v>
      </c>
      <c r="P115" s="1463">
        <v>16100</v>
      </c>
      <c r="Q115" s="1463">
        <v>16100</v>
      </c>
      <c r="R115" s="1463">
        <v>16100</v>
      </c>
      <c r="S115" s="1463">
        <v>16100</v>
      </c>
      <c r="T115" s="1463">
        <v>17036</v>
      </c>
      <c r="U115" s="1464">
        <f>SUM(I115:T115)</f>
        <v>183736</v>
      </c>
      <c r="V115" s="1463">
        <v>17036</v>
      </c>
      <c r="W115" s="1463">
        <v>17036</v>
      </c>
      <c r="X115" s="1463">
        <v>17036</v>
      </c>
      <c r="Y115" s="1463">
        <v>17036</v>
      </c>
      <c r="Z115" s="1463">
        <v>17036</v>
      </c>
      <c r="AA115" s="1463">
        <v>17036</v>
      </c>
      <c r="AB115" s="1463">
        <v>17036</v>
      </c>
      <c r="AC115" s="1463">
        <v>17036</v>
      </c>
      <c r="AD115" s="1463">
        <v>17036</v>
      </c>
      <c r="AE115" s="1463">
        <v>17036</v>
      </c>
      <c r="AF115" s="1463">
        <v>17036</v>
      </c>
      <c r="AG115" s="1463">
        <v>17036</v>
      </c>
      <c r="AH115" s="1464">
        <f>SUM(V115:AG115)</f>
        <v>204432</v>
      </c>
    </row>
    <row r="116" spans="1:34">
      <c r="A116" s="1462" t="s">
        <v>2313</v>
      </c>
      <c r="B116" s="1462"/>
      <c r="C116" s="1462"/>
      <c r="D116" s="1462"/>
      <c r="E116" s="1462"/>
      <c r="F116" s="1470">
        <v>716</v>
      </c>
      <c r="G116" s="1470">
        <v>716</v>
      </c>
      <c r="H116" s="1464">
        <f>SUM(F116:G116)</f>
        <v>1432</v>
      </c>
      <c r="I116" s="1470">
        <v>716</v>
      </c>
      <c r="J116" s="1470">
        <v>716</v>
      </c>
      <c r="K116" s="1470">
        <v>716</v>
      </c>
      <c r="L116" s="1470">
        <v>716</v>
      </c>
      <c r="M116" s="1470">
        <v>716</v>
      </c>
      <c r="N116" s="1470">
        <v>716</v>
      </c>
      <c r="O116" s="1470">
        <v>716</v>
      </c>
      <c r="P116" s="1470">
        <v>716</v>
      </c>
      <c r="Q116" s="1470">
        <v>716</v>
      </c>
      <c r="R116" s="1470">
        <v>716</v>
      </c>
      <c r="S116" s="1470">
        <v>716</v>
      </c>
      <c r="T116" s="1470">
        <v>716</v>
      </c>
      <c r="U116" s="1464">
        <f>SUM(I116:T116)</f>
        <v>8592</v>
      </c>
      <c r="V116" s="1470">
        <v>716</v>
      </c>
      <c r="W116" s="1470">
        <v>716</v>
      </c>
      <c r="X116" s="1470">
        <v>716</v>
      </c>
      <c r="Y116" s="1470">
        <v>716</v>
      </c>
      <c r="Z116" s="1470">
        <v>716</v>
      </c>
      <c r="AA116" s="1470">
        <v>716</v>
      </c>
      <c r="AB116" s="1470">
        <v>716</v>
      </c>
      <c r="AC116" s="1470">
        <v>716</v>
      </c>
      <c r="AD116" s="1470">
        <v>716</v>
      </c>
      <c r="AE116" s="1470">
        <v>716</v>
      </c>
      <c r="AF116" s="1470">
        <v>716</v>
      </c>
      <c r="AG116" s="1470">
        <v>716</v>
      </c>
      <c r="AH116" s="1464">
        <f>SUM(V116:AG116)</f>
        <v>8592</v>
      </c>
    </row>
    <row r="117" spans="1:34">
      <c r="A117" s="1462" t="s">
        <v>2314</v>
      </c>
      <c r="B117" s="1462"/>
      <c r="C117" s="1462"/>
      <c r="D117" s="1462"/>
      <c r="E117" s="1462"/>
      <c r="F117" s="1470">
        <v>0</v>
      </c>
      <c r="G117" s="1470">
        <v>0</v>
      </c>
      <c r="H117" s="1464">
        <f>SUM(F117:G117)</f>
        <v>0</v>
      </c>
      <c r="I117" s="1470">
        <v>0</v>
      </c>
      <c r="J117" s="1470">
        <v>0</v>
      </c>
      <c r="K117" s="1470">
        <v>0</v>
      </c>
      <c r="L117" s="1470">
        <v>0</v>
      </c>
      <c r="M117" s="1470">
        <v>5200</v>
      </c>
      <c r="N117" s="1470">
        <v>0</v>
      </c>
      <c r="O117" s="1470">
        <v>0</v>
      </c>
      <c r="P117" s="1470">
        <v>0</v>
      </c>
      <c r="Q117" s="1470">
        <v>0</v>
      </c>
      <c r="R117" s="1470">
        <v>0</v>
      </c>
      <c r="S117" s="1470">
        <v>0</v>
      </c>
      <c r="T117" s="1470">
        <v>1872</v>
      </c>
      <c r="U117" s="1464">
        <f>SUM(I117:T117)</f>
        <v>7072</v>
      </c>
      <c r="V117" s="1470">
        <v>0</v>
      </c>
      <c r="W117" s="1470">
        <v>0</v>
      </c>
      <c r="X117" s="1470">
        <v>0</v>
      </c>
      <c r="Y117" s="1470">
        <v>0</v>
      </c>
      <c r="Z117" s="1470">
        <v>0</v>
      </c>
      <c r="AA117" s="1470">
        <v>0</v>
      </c>
      <c r="AB117" s="1470">
        <v>0</v>
      </c>
      <c r="AC117" s="1470">
        <v>0</v>
      </c>
      <c r="AD117" s="1470">
        <v>0</v>
      </c>
      <c r="AE117" s="1470">
        <v>0</v>
      </c>
      <c r="AF117" s="1470">
        <v>0</v>
      </c>
      <c r="AG117" s="1470">
        <v>0</v>
      </c>
      <c r="AH117" s="1464">
        <f>SUM(V117:AG117)</f>
        <v>0</v>
      </c>
    </row>
    <row r="118" spans="1:34">
      <c r="A118" s="1507" t="s">
        <v>2278</v>
      </c>
      <c r="B118" s="1462"/>
      <c r="C118" s="1462"/>
      <c r="D118" s="1462"/>
      <c r="E118" s="1462"/>
      <c r="F118" s="1476">
        <f t="shared" ref="F118:T118" si="65">SUM(F115:F117)</f>
        <v>14216</v>
      </c>
      <c r="G118" s="1476">
        <f t="shared" si="65"/>
        <v>14216</v>
      </c>
      <c r="H118" s="1464">
        <f>SUM(H115:H117)</f>
        <v>28432</v>
      </c>
      <c r="I118" s="1476">
        <f t="shared" si="65"/>
        <v>14216</v>
      </c>
      <c r="J118" s="1476">
        <f t="shared" si="65"/>
        <v>14216</v>
      </c>
      <c r="K118" s="1476">
        <f t="shared" si="65"/>
        <v>14216</v>
      </c>
      <c r="L118" s="1476">
        <f t="shared" si="65"/>
        <v>14216</v>
      </c>
      <c r="M118" s="1476">
        <f t="shared" si="65"/>
        <v>22016</v>
      </c>
      <c r="N118" s="1476">
        <f t="shared" si="65"/>
        <v>16816</v>
      </c>
      <c r="O118" s="1476">
        <f t="shared" si="65"/>
        <v>16816</v>
      </c>
      <c r="P118" s="1476">
        <f t="shared" si="65"/>
        <v>16816</v>
      </c>
      <c r="Q118" s="1476">
        <f t="shared" si="65"/>
        <v>16816</v>
      </c>
      <c r="R118" s="1476">
        <f t="shared" si="65"/>
        <v>16816</v>
      </c>
      <c r="S118" s="1476">
        <f t="shared" si="65"/>
        <v>16816</v>
      </c>
      <c r="T118" s="1476">
        <f t="shared" si="65"/>
        <v>19624</v>
      </c>
      <c r="U118" s="1464">
        <f>SUM(U115:U117)</f>
        <v>199400</v>
      </c>
      <c r="V118" s="1476">
        <f t="shared" ref="V118:AG118" si="66">SUM(V115:V117)</f>
        <v>17752</v>
      </c>
      <c r="W118" s="1476">
        <f t="shared" si="66"/>
        <v>17752</v>
      </c>
      <c r="X118" s="1476">
        <f t="shared" si="66"/>
        <v>17752</v>
      </c>
      <c r="Y118" s="1476">
        <f t="shared" si="66"/>
        <v>17752</v>
      </c>
      <c r="Z118" s="1476">
        <f t="shared" si="66"/>
        <v>17752</v>
      </c>
      <c r="AA118" s="1476">
        <f t="shared" si="66"/>
        <v>17752</v>
      </c>
      <c r="AB118" s="1476">
        <f t="shared" si="66"/>
        <v>17752</v>
      </c>
      <c r="AC118" s="1476">
        <f t="shared" si="66"/>
        <v>17752</v>
      </c>
      <c r="AD118" s="1476">
        <f t="shared" si="66"/>
        <v>17752</v>
      </c>
      <c r="AE118" s="1476">
        <f t="shared" si="66"/>
        <v>17752</v>
      </c>
      <c r="AF118" s="1476">
        <f t="shared" si="66"/>
        <v>17752</v>
      </c>
      <c r="AG118" s="1476">
        <f t="shared" si="66"/>
        <v>17752</v>
      </c>
      <c r="AH118" s="1464">
        <f>SUM(AH115:AH117)</f>
        <v>213024</v>
      </c>
    </row>
    <row r="119" spans="1:34" ht="12.75" customHeight="1">
      <c r="F119" s="1452"/>
      <c r="G119" s="1452"/>
      <c r="H119" s="1457"/>
      <c r="I119" s="1452"/>
      <c r="J119" s="1452"/>
      <c r="K119" s="1452"/>
      <c r="L119" s="1452"/>
      <c r="M119" s="1452"/>
      <c r="N119" s="1452"/>
      <c r="O119" s="1452"/>
      <c r="P119" s="1452"/>
      <c r="Q119" s="1452"/>
      <c r="R119" s="1452"/>
      <c r="S119" s="1452"/>
      <c r="T119" s="1452"/>
      <c r="U119" s="1457"/>
      <c r="V119" s="1452"/>
      <c r="W119" s="1452"/>
      <c r="X119" s="1452"/>
      <c r="Y119" s="1452"/>
      <c r="Z119" s="1452"/>
      <c r="AA119" s="1452"/>
      <c r="AB119" s="1452"/>
      <c r="AC119" s="1452"/>
      <c r="AD119" s="1452"/>
      <c r="AE119" s="1452"/>
      <c r="AF119" s="1452"/>
      <c r="AG119" s="1452"/>
      <c r="AH119" s="1457"/>
    </row>
    <row r="120" spans="1:34">
      <c r="A120" s="1472" t="s">
        <v>2240</v>
      </c>
      <c r="H120" s="1457"/>
      <c r="U120" s="1457"/>
      <c r="AH120" s="1457"/>
    </row>
    <row r="121" spans="1:34">
      <c r="A121" s="1471" t="s">
        <v>2315</v>
      </c>
      <c r="F121" s="1465">
        <v>0</v>
      </c>
      <c r="G121" s="1465">
        <v>1000000</v>
      </c>
      <c r="H121" s="1464">
        <f>SUM(F121:G121)</f>
        <v>1000000</v>
      </c>
      <c r="I121" s="1465">
        <v>0</v>
      </c>
      <c r="J121" s="1465">
        <v>0</v>
      </c>
      <c r="K121" s="1465">
        <v>0</v>
      </c>
      <c r="L121" s="1465">
        <v>0</v>
      </c>
      <c r="M121" s="1465">
        <v>0</v>
      </c>
      <c r="N121" s="1465">
        <v>0</v>
      </c>
      <c r="O121" s="1465">
        <v>0</v>
      </c>
      <c r="P121" s="1465">
        <v>0</v>
      </c>
      <c r="Q121" s="1465">
        <v>0</v>
      </c>
      <c r="R121" s="1465">
        <v>0</v>
      </c>
      <c r="S121" s="1465">
        <v>0</v>
      </c>
      <c r="T121" s="1465">
        <v>0</v>
      </c>
      <c r="U121" s="1464">
        <f>SUM(I121:T121)</f>
        <v>0</v>
      </c>
      <c r="V121" s="1465">
        <v>0</v>
      </c>
      <c r="W121" s="1465">
        <v>0</v>
      </c>
      <c r="X121" s="1465">
        <v>0</v>
      </c>
      <c r="Y121" s="1465">
        <v>0</v>
      </c>
      <c r="Z121" s="1465">
        <v>0</v>
      </c>
      <c r="AA121" s="1465">
        <v>0</v>
      </c>
      <c r="AB121" s="1465">
        <v>0</v>
      </c>
      <c r="AC121" s="1465">
        <v>0</v>
      </c>
      <c r="AD121" s="1465">
        <v>0</v>
      </c>
      <c r="AE121" s="1465">
        <v>0</v>
      </c>
      <c r="AF121" s="1465">
        <v>0</v>
      </c>
      <c r="AG121" s="1465">
        <v>0</v>
      </c>
      <c r="AH121" s="1464">
        <f>SUM(V121:AG121)</f>
        <v>0</v>
      </c>
    </row>
    <row r="122" spans="1:34">
      <c r="A122" s="1471" t="s">
        <v>2316</v>
      </c>
      <c r="F122" s="1465">
        <v>0</v>
      </c>
      <c r="G122" s="1465">
        <v>1000000</v>
      </c>
      <c r="H122" s="1464">
        <f>SUM(F122:G122)</f>
        <v>1000000</v>
      </c>
      <c r="I122" s="1465">
        <v>0</v>
      </c>
      <c r="J122" s="1465">
        <v>0</v>
      </c>
      <c r="K122" s="1465">
        <v>0</v>
      </c>
      <c r="L122" s="1465">
        <v>0</v>
      </c>
      <c r="M122" s="1465">
        <v>0</v>
      </c>
      <c r="N122" s="1465">
        <v>0</v>
      </c>
      <c r="O122" s="1465">
        <v>0</v>
      </c>
      <c r="P122" s="1465">
        <v>0</v>
      </c>
      <c r="Q122" s="1465">
        <v>0</v>
      </c>
      <c r="R122" s="1465">
        <v>0</v>
      </c>
      <c r="S122" s="1465">
        <v>0</v>
      </c>
      <c r="T122" s="1465">
        <v>0</v>
      </c>
      <c r="U122" s="1464">
        <f>SUM(I122:T122)</f>
        <v>0</v>
      </c>
      <c r="V122" s="1465">
        <v>0</v>
      </c>
      <c r="W122" s="1465">
        <v>0</v>
      </c>
      <c r="X122" s="1465">
        <v>0</v>
      </c>
      <c r="Y122" s="1465">
        <v>0</v>
      </c>
      <c r="Z122" s="1465">
        <v>0</v>
      </c>
      <c r="AA122" s="1465">
        <v>0</v>
      </c>
      <c r="AB122" s="1465">
        <v>0</v>
      </c>
      <c r="AC122" s="1465">
        <v>0</v>
      </c>
      <c r="AD122" s="1465">
        <v>0</v>
      </c>
      <c r="AE122" s="1465">
        <v>0</v>
      </c>
      <c r="AF122" s="1465">
        <v>0</v>
      </c>
      <c r="AG122" s="1465">
        <v>0</v>
      </c>
      <c r="AH122" s="1464">
        <f>SUM(V122:AG122)</f>
        <v>0</v>
      </c>
    </row>
    <row r="123" spans="1:34">
      <c r="A123" s="1446" t="s">
        <v>2278</v>
      </c>
      <c r="F123" s="1465">
        <f>SUM(F121:F122)</f>
        <v>0</v>
      </c>
      <c r="G123" s="1465">
        <f>SUM(G121:G122)</f>
        <v>2000000</v>
      </c>
      <c r="H123" s="1464">
        <f>SUM(H121:H122)</f>
        <v>2000000</v>
      </c>
      <c r="I123" s="1465">
        <f>SUM(I121:I122)</f>
        <v>0</v>
      </c>
      <c r="J123" s="1465">
        <f t="shared" ref="J123:T123" si="67">SUM(J121:J122)</f>
        <v>0</v>
      </c>
      <c r="K123" s="1465">
        <f t="shared" si="67"/>
        <v>0</v>
      </c>
      <c r="L123" s="1465">
        <f t="shared" si="67"/>
        <v>0</v>
      </c>
      <c r="M123" s="1465">
        <f t="shared" si="67"/>
        <v>0</v>
      </c>
      <c r="N123" s="1465">
        <f t="shared" si="67"/>
        <v>0</v>
      </c>
      <c r="O123" s="1465">
        <f t="shared" si="67"/>
        <v>0</v>
      </c>
      <c r="P123" s="1465">
        <f t="shared" si="67"/>
        <v>0</v>
      </c>
      <c r="Q123" s="1465">
        <f t="shared" si="67"/>
        <v>0</v>
      </c>
      <c r="R123" s="1465">
        <f t="shared" si="67"/>
        <v>0</v>
      </c>
      <c r="S123" s="1465">
        <f t="shared" si="67"/>
        <v>0</v>
      </c>
      <c r="T123" s="1465">
        <f t="shared" si="67"/>
        <v>0</v>
      </c>
      <c r="U123" s="1464">
        <f>SUM(U121:U122)</f>
        <v>0</v>
      </c>
      <c r="V123" s="1465">
        <f>SUM(V121:V122)</f>
        <v>0</v>
      </c>
      <c r="W123" s="1465">
        <f t="shared" ref="W123:AG123" si="68">SUM(W121:W122)</f>
        <v>0</v>
      </c>
      <c r="X123" s="1465">
        <f t="shared" si="68"/>
        <v>0</v>
      </c>
      <c r="Y123" s="1465">
        <f t="shared" si="68"/>
        <v>0</v>
      </c>
      <c r="Z123" s="1465">
        <f t="shared" si="68"/>
        <v>0</v>
      </c>
      <c r="AA123" s="1465">
        <f t="shared" si="68"/>
        <v>0</v>
      </c>
      <c r="AB123" s="1465">
        <f t="shared" si="68"/>
        <v>0</v>
      </c>
      <c r="AC123" s="1465">
        <f t="shared" si="68"/>
        <v>0</v>
      </c>
      <c r="AD123" s="1465">
        <f t="shared" si="68"/>
        <v>0</v>
      </c>
      <c r="AE123" s="1465">
        <f t="shared" si="68"/>
        <v>0</v>
      </c>
      <c r="AF123" s="1465">
        <f t="shared" si="68"/>
        <v>0</v>
      </c>
      <c r="AG123" s="1465">
        <f t="shared" si="68"/>
        <v>0</v>
      </c>
      <c r="AH123" s="1464">
        <f>SUM(AH121:AH122)</f>
        <v>0</v>
      </c>
    </row>
  </sheetData>
  <mergeCells count="6">
    <mergeCell ref="C6:E6"/>
    <mergeCell ref="F3:P3"/>
    <mergeCell ref="V3:AE3"/>
    <mergeCell ref="F4:G4"/>
    <mergeCell ref="I4:T4"/>
    <mergeCell ref="V4:AG4"/>
  </mergeCell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78"/>
  <dimension ref="A1:G101"/>
  <sheetViews>
    <sheetView workbookViewId="0">
      <pane xSplit="6" ySplit="1" topLeftCell="G22" activePane="bottomRight" state="frozenSplit"/>
      <selection activeCell="G2" sqref="G2"/>
      <selection pane="topRight" activeCell="G2" sqref="G2"/>
      <selection pane="bottomLeft" activeCell="G2" sqref="G2"/>
      <selection pane="bottomRight" activeCell="G37" sqref="G37"/>
    </sheetView>
  </sheetViews>
  <sheetFormatPr defaultRowHeight="15"/>
  <cols>
    <col min="1" max="5" width="3.5" style="1425" customWidth="1"/>
    <col min="6" max="6" width="29.5" style="1425" customWidth="1"/>
    <col min="7" max="7" width="15" style="1426" customWidth="1"/>
    <col min="8" max="16384" width="9.33203125" style="1417"/>
  </cols>
  <sheetData>
    <row r="1" spans="1:7" s="1427" customFormat="1" ht="15" customHeight="1" thickBot="1">
      <c r="A1" s="1415"/>
      <c r="B1" s="1415"/>
      <c r="C1" s="1415"/>
      <c r="D1" s="1415"/>
      <c r="E1" s="1415"/>
      <c r="F1" s="1415"/>
      <c r="G1" s="1416" t="s">
        <v>2208</v>
      </c>
    </row>
    <row r="2" spans="1:7" ht="15" customHeight="1" thickTop="1">
      <c r="A2" s="1418"/>
      <c r="B2" s="1418" t="s">
        <v>2137</v>
      </c>
      <c r="C2" s="1418"/>
      <c r="D2" s="1418"/>
      <c r="E2" s="1418"/>
      <c r="F2" s="1418"/>
      <c r="G2" s="1419"/>
    </row>
    <row r="3" spans="1:7" ht="15" customHeight="1">
      <c r="A3" s="1418"/>
      <c r="B3" s="1418"/>
      <c r="C3" s="1418"/>
      <c r="D3" s="1418" t="s">
        <v>2138</v>
      </c>
      <c r="E3" s="1418"/>
      <c r="F3" s="1418"/>
      <c r="G3" s="1419"/>
    </row>
    <row r="4" spans="1:7" ht="15" customHeight="1">
      <c r="A4" s="1418"/>
      <c r="B4" s="1418"/>
      <c r="C4" s="1418"/>
      <c r="D4" s="1418"/>
      <c r="E4" s="1418" t="s">
        <v>2211</v>
      </c>
      <c r="F4" s="1418"/>
      <c r="G4" s="1431">
        <v>137840.85</v>
      </c>
    </row>
    <row r="5" spans="1:7" ht="15" customHeight="1" thickBot="1">
      <c r="A5" s="1418"/>
      <c r="B5" s="1418"/>
      <c r="C5" s="1418"/>
      <c r="D5" s="1418"/>
      <c r="E5" s="1418" t="s">
        <v>2139</v>
      </c>
      <c r="F5" s="1418"/>
      <c r="G5" s="1429">
        <v>703058</v>
      </c>
    </row>
    <row r="6" spans="1:7" ht="15" customHeight="1" thickBot="1">
      <c r="A6" s="1418"/>
      <c r="B6" s="1418"/>
      <c r="C6" s="1418"/>
      <c r="D6" s="1418" t="s">
        <v>2140</v>
      </c>
      <c r="E6" s="1418"/>
      <c r="F6" s="1418"/>
      <c r="G6" s="1430">
        <v>840898.85</v>
      </c>
    </row>
    <row r="7" spans="1:7" ht="15" customHeight="1" thickBot="1">
      <c r="A7" s="1418"/>
      <c r="B7" s="1418"/>
      <c r="C7" s="1418" t="s">
        <v>160</v>
      </c>
      <c r="D7" s="1418"/>
      <c r="E7" s="1418"/>
      <c r="F7" s="1418"/>
      <c r="G7" s="1430">
        <v>840898.85</v>
      </c>
    </row>
    <row r="8" spans="1:7" ht="15" customHeight="1">
      <c r="A8" s="1418"/>
      <c r="B8" s="1418"/>
      <c r="C8" s="1418"/>
      <c r="D8" s="1418" t="s">
        <v>2141</v>
      </c>
      <c r="E8" s="1418"/>
      <c r="F8" s="1418"/>
      <c r="G8" s="1419"/>
    </row>
    <row r="9" spans="1:7" ht="15" customHeight="1">
      <c r="A9" s="1418"/>
      <c r="B9" s="1418"/>
      <c r="C9" s="1418"/>
      <c r="D9" s="1418"/>
      <c r="E9" s="1418" t="s">
        <v>2212</v>
      </c>
      <c r="F9" s="1418"/>
      <c r="G9" s="1419">
        <v>486.73</v>
      </c>
    </row>
    <row r="10" spans="1:7" ht="15" customHeight="1">
      <c r="A10" s="1418"/>
      <c r="B10" s="1418"/>
      <c r="C10" s="1418"/>
      <c r="D10" s="1418"/>
      <c r="E10" s="1418" t="s">
        <v>2142</v>
      </c>
      <c r="F10" s="1418"/>
      <c r="G10" s="1431">
        <v>824.29</v>
      </c>
    </row>
    <row r="11" spans="1:7" ht="15" customHeight="1">
      <c r="A11" s="1418"/>
      <c r="B11" s="1418"/>
      <c r="C11" s="1418"/>
      <c r="D11" s="1418"/>
      <c r="E11" s="1418" t="s">
        <v>2216</v>
      </c>
      <c r="F11" s="1418"/>
      <c r="G11" s="1431">
        <v>3195</v>
      </c>
    </row>
    <row r="12" spans="1:7" ht="15" customHeight="1">
      <c r="A12" s="1418"/>
      <c r="B12" s="1418"/>
      <c r="C12" s="1418"/>
      <c r="D12" s="1418"/>
      <c r="E12" s="1418" t="s">
        <v>2143</v>
      </c>
      <c r="F12" s="1418"/>
      <c r="G12" s="1431">
        <v>0</v>
      </c>
    </row>
    <row r="13" spans="1:7" ht="15" customHeight="1">
      <c r="A13" s="1418"/>
      <c r="B13" s="1418"/>
      <c r="C13" s="1418"/>
      <c r="D13" s="1418"/>
      <c r="E13" s="1418" t="s">
        <v>2144</v>
      </c>
      <c r="F13" s="1418"/>
      <c r="G13" s="1431">
        <v>0</v>
      </c>
    </row>
    <row r="14" spans="1:7" ht="15" customHeight="1">
      <c r="A14" s="1418"/>
      <c r="B14" s="1418"/>
      <c r="C14" s="1418"/>
      <c r="D14" s="1418"/>
      <c r="E14" s="1418" t="s">
        <v>2145</v>
      </c>
      <c r="F14" s="1418"/>
      <c r="G14" s="1419">
        <v>770</v>
      </c>
    </row>
    <row r="15" spans="1:7" ht="15" customHeight="1">
      <c r="A15" s="1418"/>
      <c r="B15" s="1418"/>
      <c r="C15" s="1418"/>
      <c r="D15" s="1418"/>
      <c r="E15" s="1418" t="s">
        <v>2146</v>
      </c>
      <c r="F15" s="1418"/>
      <c r="G15" s="1431">
        <v>1719.75</v>
      </c>
    </row>
    <row r="16" spans="1:7" ht="15" customHeight="1">
      <c r="A16" s="1418"/>
      <c r="B16" s="1418"/>
      <c r="C16" s="1418"/>
      <c r="D16" s="1418"/>
      <c r="E16" s="1418" t="s">
        <v>2147</v>
      </c>
      <c r="F16" s="1418"/>
      <c r="G16" s="1419"/>
    </row>
    <row r="17" spans="1:7" ht="15" customHeight="1">
      <c r="A17" s="1418"/>
      <c r="B17" s="1418"/>
      <c r="C17" s="1418"/>
      <c r="D17" s="1418"/>
      <c r="E17" s="1418"/>
      <c r="F17" s="1418" t="s">
        <v>2148</v>
      </c>
      <c r="G17" s="1431">
        <v>3948.62</v>
      </c>
    </row>
    <row r="18" spans="1:7" ht="15" customHeight="1">
      <c r="A18" s="1418"/>
      <c r="B18" s="1418"/>
      <c r="C18" s="1418"/>
      <c r="D18" s="1418"/>
      <c r="E18" s="1418"/>
      <c r="F18" s="1418" t="s">
        <v>2149</v>
      </c>
      <c r="G18" s="1431">
        <v>3406</v>
      </c>
    </row>
    <row r="19" spans="1:7" ht="15" customHeight="1" thickBot="1">
      <c r="A19" s="1418"/>
      <c r="B19" s="1418"/>
      <c r="C19" s="1418"/>
      <c r="D19" s="1418"/>
      <c r="E19" s="1418"/>
      <c r="F19" s="1418" t="s">
        <v>2150</v>
      </c>
      <c r="G19" s="1431">
        <v>0</v>
      </c>
    </row>
    <row r="20" spans="1:7" ht="15" customHeight="1" thickBot="1">
      <c r="A20" s="1418"/>
      <c r="B20" s="1418"/>
      <c r="C20" s="1418"/>
      <c r="D20" s="1418"/>
      <c r="E20" s="1418" t="s">
        <v>2151</v>
      </c>
      <c r="F20" s="1418"/>
      <c r="G20" s="1430">
        <v>7354.62</v>
      </c>
    </row>
    <row r="21" spans="1:7" ht="15" customHeight="1">
      <c r="A21" s="1418"/>
      <c r="B21" s="1418"/>
      <c r="C21" s="1418"/>
      <c r="D21" s="1418"/>
      <c r="E21" s="1418" t="s">
        <v>2217</v>
      </c>
      <c r="F21" s="1418"/>
      <c r="G21" s="1419">
        <v>963.38</v>
      </c>
    </row>
    <row r="22" spans="1:7" ht="15" customHeight="1">
      <c r="A22" s="1418"/>
      <c r="B22" s="1418"/>
      <c r="C22" s="1418"/>
      <c r="D22" s="1418"/>
      <c r="E22" s="1418" t="s">
        <v>2152</v>
      </c>
      <c r="F22" s="1418"/>
      <c r="G22" s="1419">
        <v>25</v>
      </c>
    </row>
    <row r="23" spans="1:7" ht="15" customHeight="1">
      <c r="A23" s="1418"/>
      <c r="B23" s="1418"/>
      <c r="C23" s="1418"/>
      <c r="D23" s="1418"/>
      <c r="E23" s="1425" t="s">
        <v>2193</v>
      </c>
      <c r="F23" s="1418"/>
      <c r="G23" s="1431">
        <v>79295.37</v>
      </c>
    </row>
    <row r="24" spans="1:7" ht="15" customHeight="1">
      <c r="A24" s="1418"/>
      <c r="B24" s="1418"/>
      <c r="C24" s="1418"/>
      <c r="D24" s="1418"/>
      <c r="E24" s="1418" t="s">
        <v>2153</v>
      </c>
      <c r="F24" s="1418"/>
      <c r="G24" s="1431">
        <v>0</v>
      </c>
    </row>
    <row r="25" spans="1:7" ht="15" customHeight="1">
      <c r="A25" s="1418"/>
      <c r="B25" s="1418"/>
      <c r="C25" s="1418"/>
      <c r="D25" s="1418"/>
      <c r="E25" s="1418" t="s">
        <v>2154</v>
      </c>
      <c r="F25" s="1418"/>
      <c r="G25" s="1431">
        <v>0</v>
      </c>
    </row>
    <row r="26" spans="1:7" ht="15" customHeight="1">
      <c r="A26" s="1418"/>
      <c r="B26" s="1418"/>
      <c r="C26" s="1418"/>
      <c r="D26" s="1418"/>
      <c r="E26" s="1418" t="s">
        <v>2155</v>
      </c>
      <c r="F26" s="1418"/>
      <c r="G26" s="1431">
        <v>4766.8100000000004</v>
      </c>
    </row>
    <row r="27" spans="1:7" ht="15" customHeight="1">
      <c r="A27" s="1418"/>
      <c r="B27" s="1418"/>
      <c r="C27" s="1418"/>
      <c r="D27" s="1418"/>
      <c r="E27" s="1418" t="s">
        <v>2156</v>
      </c>
      <c r="F27" s="1418"/>
      <c r="G27" s="1431">
        <v>0</v>
      </c>
    </row>
    <row r="28" spans="1:7" ht="15" customHeight="1">
      <c r="A28" s="1418"/>
      <c r="B28" s="1418"/>
      <c r="C28" s="1418"/>
      <c r="D28" s="1418"/>
      <c r="E28" s="1418" t="s">
        <v>2157</v>
      </c>
      <c r="F28" s="1418"/>
      <c r="G28" s="1431">
        <v>516612.94</v>
      </c>
    </row>
    <row r="29" spans="1:7" ht="15" customHeight="1">
      <c r="A29" s="1418"/>
      <c r="B29" s="1418"/>
      <c r="C29" s="1418"/>
      <c r="D29" s="1418"/>
      <c r="E29" s="1418" t="s">
        <v>2158</v>
      </c>
      <c r="F29" s="1418"/>
      <c r="G29" s="1431">
        <v>42041.279999999999</v>
      </c>
    </row>
    <row r="30" spans="1:7" ht="15" customHeight="1">
      <c r="A30" s="1418"/>
      <c r="B30" s="1418"/>
      <c r="C30" s="1418"/>
      <c r="D30" s="1418"/>
      <c r="E30" s="1418" t="s">
        <v>2196</v>
      </c>
      <c r="F30" s="1418"/>
      <c r="G30" s="1431">
        <v>267</v>
      </c>
    </row>
    <row r="31" spans="1:7" ht="15" customHeight="1">
      <c r="A31" s="1418"/>
      <c r="B31" s="1418"/>
      <c r="C31" s="1418"/>
      <c r="D31" s="1418"/>
      <c r="E31" s="1418" t="s">
        <v>2159</v>
      </c>
      <c r="F31" s="1418"/>
      <c r="G31" s="1417"/>
    </row>
    <row r="32" spans="1:7" ht="15" customHeight="1">
      <c r="A32" s="1418"/>
      <c r="B32" s="1418"/>
      <c r="C32" s="1418"/>
      <c r="D32" s="1418"/>
      <c r="E32" s="1418"/>
      <c r="F32" s="1418" t="s">
        <v>2160</v>
      </c>
      <c r="G32" s="1431">
        <v>2229</v>
      </c>
    </row>
    <row r="33" spans="1:7" ht="15" customHeight="1">
      <c r="A33" s="1418"/>
      <c r="B33" s="1418"/>
      <c r="C33" s="1418"/>
      <c r="D33" s="1418"/>
      <c r="E33" s="1418"/>
      <c r="F33" s="1418" t="s">
        <v>2161</v>
      </c>
      <c r="G33" s="1429">
        <v>95949.93</v>
      </c>
    </row>
    <row r="34" spans="1:7" ht="15" customHeight="1">
      <c r="A34" s="1418"/>
      <c r="B34" s="1418"/>
      <c r="C34" s="1418"/>
      <c r="D34" s="1418"/>
      <c r="E34" s="1418"/>
      <c r="F34" s="1418" t="s">
        <v>2205</v>
      </c>
      <c r="G34" s="1431">
        <v>32610</v>
      </c>
    </row>
    <row r="35" spans="1:7" ht="15" customHeight="1" thickBot="1">
      <c r="A35" s="1418"/>
      <c r="B35" s="1418"/>
      <c r="C35" s="1418"/>
      <c r="D35" s="1418"/>
      <c r="E35" s="1418"/>
      <c r="F35" s="1418" t="s">
        <v>2206</v>
      </c>
      <c r="G35" s="1431">
        <v>888</v>
      </c>
    </row>
    <row r="36" spans="1:7" ht="15" customHeight="1" thickBot="1">
      <c r="A36" s="1418"/>
      <c r="B36" s="1418"/>
      <c r="C36" s="1418"/>
      <c r="D36" s="1418"/>
      <c r="E36" s="1418" t="s">
        <v>2162</v>
      </c>
      <c r="F36" s="1418"/>
      <c r="G36" s="1430">
        <v>131676.93</v>
      </c>
    </row>
    <row r="37" spans="1:7" ht="15" customHeight="1">
      <c r="A37" s="1418"/>
      <c r="B37" s="1418"/>
      <c r="C37" s="1418"/>
      <c r="D37" s="1418"/>
      <c r="E37" s="1418" t="s">
        <v>2163</v>
      </c>
      <c r="F37" s="1418"/>
      <c r="G37" s="1431">
        <v>280810.48</v>
      </c>
    </row>
    <row r="38" spans="1:7" ht="15" customHeight="1">
      <c r="A38" s="1418"/>
      <c r="B38" s="1418"/>
      <c r="C38" s="1418"/>
      <c r="D38" s="1418"/>
      <c r="E38" s="1418" t="s">
        <v>2164</v>
      </c>
      <c r="F38" s="1418"/>
      <c r="G38" s="1431">
        <v>154498.38</v>
      </c>
    </row>
    <row r="39" spans="1:7" ht="15" customHeight="1">
      <c r="A39" s="1418"/>
      <c r="B39" s="1418"/>
      <c r="C39" s="1418"/>
      <c r="D39" s="1418"/>
      <c r="E39" s="1418" t="s">
        <v>2197</v>
      </c>
      <c r="F39" s="1418"/>
      <c r="G39" s="1431"/>
    </row>
    <row r="40" spans="1:7" ht="15" customHeight="1">
      <c r="A40" s="1418"/>
      <c r="B40" s="1418"/>
      <c r="C40" s="1418"/>
      <c r="D40" s="1418"/>
      <c r="E40" s="1418"/>
      <c r="F40" s="1418" t="s">
        <v>2213</v>
      </c>
      <c r="G40" s="1431">
        <v>591</v>
      </c>
    </row>
    <row r="41" spans="1:7" ht="15" customHeight="1" thickBot="1">
      <c r="A41" s="1418"/>
      <c r="B41" s="1418"/>
      <c r="C41" s="1418"/>
      <c r="D41" s="1418"/>
      <c r="E41" s="1418"/>
      <c r="F41" s="1418" t="s">
        <v>2192</v>
      </c>
      <c r="G41" s="1431">
        <v>34.79</v>
      </c>
    </row>
    <row r="42" spans="1:7" ht="15" customHeight="1" thickBot="1">
      <c r="A42" s="1418"/>
      <c r="B42" s="1418"/>
      <c r="C42" s="1418"/>
      <c r="D42" s="1418"/>
      <c r="E42" s="1418" t="s">
        <v>2191</v>
      </c>
      <c r="F42" s="1418"/>
      <c r="G42" s="1430">
        <v>625.79</v>
      </c>
    </row>
    <row r="43" spans="1:7" ht="15" customHeight="1">
      <c r="A43" s="1418"/>
      <c r="B43" s="1418"/>
      <c r="C43" s="1418"/>
      <c r="D43" s="1418"/>
      <c r="E43" s="1418" t="s">
        <v>2207</v>
      </c>
      <c r="F43" s="1418"/>
      <c r="G43" s="1429">
        <v>15062.49</v>
      </c>
    </row>
    <row r="44" spans="1:7" ht="15" customHeight="1">
      <c r="A44" s="1418"/>
      <c r="B44" s="1418"/>
      <c r="C44" s="1418"/>
      <c r="D44" s="1418"/>
      <c r="E44" s="1418" t="s">
        <v>2165</v>
      </c>
      <c r="F44" s="1418"/>
      <c r="G44" s="1429">
        <v>-3760.09</v>
      </c>
    </row>
    <row r="45" spans="1:7" ht="15" customHeight="1">
      <c r="A45" s="1418"/>
      <c r="B45" s="1418"/>
      <c r="C45" s="1418"/>
      <c r="D45" s="1418"/>
      <c r="E45" s="1418" t="s">
        <v>2166</v>
      </c>
      <c r="F45" s="1418"/>
      <c r="G45" s="1429">
        <v>11516.9</v>
      </c>
    </row>
    <row r="46" spans="1:7" ht="15" customHeight="1">
      <c r="A46" s="1418"/>
      <c r="B46" s="1418"/>
      <c r="C46" s="1418"/>
      <c r="D46" s="1418"/>
      <c r="E46" s="1418" t="s">
        <v>2198</v>
      </c>
      <c r="F46" s="1418"/>
      <c r="G46" s="1429"/>
    </row>
    <row r="47" spans="1:7" ht="15" customHeight="1">
      <c r="A47" s="1418"/>
      <c r="B47" s="1418"/>
      <c r="C47" s="1418"/>
      <c r="D47" s="1418"/>
      <c r="E47" s="1418" t="s">
        <v>2167</v>
      </c>
      <c r="F47" s="1418"/>
      <c r="G47" s="1429"/>
    </row>
    <row r="48" spans="1:7" ht="15" customHeight="1">
      <c r="A48" s="1418"/>
      <c r="B48" s="1418"/>
      <c r="C48" s="1418"/>
      <c r="D48" s="1418"/>
      <c r="E48" s="1418"/>
      <c r="F48" s="1418" t="s">
        <v>2168</v>
      </c>
      <c r="G48" s="1431">
        <v>135.16</v>
      </c>
    </row>
    <row r="49" spans="1:7" ht="15" customHeight="1">
      <c r="A49" s="1418"/>
      <c r="B49" s="1418"/>
      <c r="C49" s="1418"/>
      <c r="D49" s="1418"/>
      <c r="E49" s="1418"/>
      <c r="F49" s="1418" t="s">
        <v>2169</v>
      </c>
      <c r="G49" s="1431">
        <v>2577.2399999999998</v>
      </c>
    </row>
    <row r="50" spans="1:7" ht="15" customHeight="1">
      <c r="A50" s="1418"/>
      <c r="B50" s="1418"/>
      <c r="C50" s="1418"/>
      <c r="D50" s="1418"/>
      <c r="E50" s="1418"/>
      <c r="F50" s="1418" t="s">
        <v>2170</v>
      </c>
      <c r="G50" s="1431">
        <v>22</v>
      </c>
    </row>
    <row r="51" spans="1:7" ht="15" customHeight="1">
      <c r="A51" s="1418"/>
      <c r="B51" s="1418"/>
      <c r="C51" s="1418"/>
      <c r="D51" s="1418"/>
      <c r="E51" s="1418" t="s">
        <v>2171</v>
      </c>
      <c r="F51" s="1418"/>
      <c r="G51" s="1431">
        <v>2734.4</v>
      </c>
    </row>
    <row r="52" spans="1:7" ht="15" customHeight="1" thickBot="1">
      <c r="A52" s="1418"/>
      <c r="B52" s="1418"/>
      <c r="C52" s="1418"/>
      <c r="D52" s="1418" t="s">
        <v>2172</v>
      </c>
      <c r="E52" s="1418"/>
      <c r="F52" s="1418"/>
      <c r="G52" s="1429">
        <v>1251487.45</v>
      </c>
    </row>
    <row r="53" spans="1:7" s="1428" customFormat="1" ht="15" customHeight="1">
      <c r="A53" s="1418"/>
      <c r="B53" s="1418" t="s">
        <v>2173</v>
      </c>
      <c r="C53" s="1418"/>
      <c r="D53" s="1418"/>
      <c r="E53" s="1418"/>
      <c r="F53" s="1418"/>
      <c r="G53" s="1433">
        <v>-410588.6</v>
      </c>
    </row>
    <row r="54" spans="1:7" ht="15" customHeight="1" thickBot="1">
      <c r="A54" s="1418"/>
      <c r="B54" s="1418" t="s">
        <v>2174</v>
      </c>
      <c r="C54" s="1418"/>
      <c r="D54" s="1418"/>
      <c r="E54" s="1418"/>
      <c r="F54" s="1418"/>
      <c r="G54" s="1440"/>
    </row>
    <row r="55" spans="1:7" ht="15" customHeight="1" thickBot="1">
      <c r="A55" s="1418"/>
      <c r="B55" s="1418"/>
      <c r="C55" s="1418" t="s">
        <v>2175</v>
      </c>
      <c r="D55" s="1418"/>
      <c r="E55" s="1418"/>
      <c r="F55" s="1418"/>
      <c r="G55" s="1424"/>
    </row>
    <row r="56" spans="1:7" ht="15" customHeight="1" thickTop="1">
      <c r="A56" s="1418"/>
      <c r="B56" s="1418"/>
      <c r="C56" s="1418"/>
      <c r="D56" s="1418" t="s">
        <v>2176</v>
      </c>
      <c r="E56" s="1418"/>
      <c r="F56" s="1418"/>
      <c r="G56" s="1431">
        <v>0</v>
      </c>
    </row>
    <row r="57" spans="1:7" ht="15" customHeight="1">
      <c r="A57" s="1418"/>
      <c r="B57" s="1418"/>
      <c r="C57" s="1418" t="s">
        <v>2177</v>
      </c>
      <c r="D57" s="1418"/>
      <c r="E57" s="1418"/>
      <c r="F57" s="1418"/>
      <c r="G57" s="1431">
        <v>0</v>
      </c>
    </row>
    <row r="58" spans="1:7" ht="15" customHeight="1" thickBot="1">
      <c r="A58" s="1418"/>
      <c r="B58" s="1418" t="s">
        <v>2178</v>
      </c>
      <c r="C58" s="1418"/>
      <c r="D58" s="1418"/>
      <c r="E58" s="1418"/>
      <c r="F58" s="1418"/>
      <c r="G58" s="1441">
        <v>0</v>
      </c>
    </row>
    <row r="59" spans="1:7" ht="15" customHeight="1" thickBot="1">
      <c r="A59" s="1418" t="s">
        <v>290</v>
      </c>
      <c r="B59" s="1418"/>
      <c r="C59" s="1418"/>
      <c r="D59" s="1418"/>
      <c r="E59" s="1418"/>
      <c r="F59" s="1418"/>
      <c r="G59" s="1422">
        <v>-410588.6</v>
      </c>
    </row>
    <row r="60" spans="1:7" ht="15" customHeight="1"/>
    <row r="61" spans="1:7" ht="15" customHeight="1"/>
    <row r="62" spans="1:7" ht="15" customHeight="1"/>
    <row r="63" spans="1:7" ht="15" customHeight="1"/>
    <row r="64" spans="1:7"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sheetData>
  <pageMargins left="0.7" right="0.7" top="0.75" bottom="0.75" header="0.1" footer="0.3"/>
  <pageSetup orientation="portrait" horizontalDpi="4294967293" verticalDpi="4294967293" r:id="rId1"/>
  <headerFooter>
    <oddHeader>&amp;L&amp;"Arial,Bold"&amp;8 1:25 PM
&amp;"Arial,Bold"&amp;8 10/16/16
&amp;"Arial,Bold"&amp;8 Accrual Basis&amp;C&amp;"Arial,Bold"&amp;12 Medikine, Inc.
&amp;"Arial,Bold"&amp;14 Profit &amp;&amp; Loss
&amp;"Arial,Bold"&amp;10 January through December 2015</oddHeader>
    <oddFooter>&amp;R&amp;"Arial,Bold"&amp;8 Page &amp;P of &amp;N</odd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F101"/>
  <sheetViews>
    <sheetView topLeftCell="A23" workbookViewId="0">
      <selection activeCell="F41" sqref="F41"/>
    </sheetView>
  </sheetViews>
  <sheetFormatPr defaultRowHeight="15"/>
  <cols>
    <col min="1" max="4" width="3.5" style="1425" customWidth="1"/>
    <col min="5" max="5" width="29.83203125" style="1425" customWidth="1"/>
    <col min="6" max="6" width="12.33203125" style="1426" bestFit="1" customWidth="1"/>
    <col min="7" max="16384" width="9.33203125" style="1417"/>
  </cols>
  <sheetData>
    <row r="1" spans="1:6" ht="15" customHeight="1" thickBot="1">
      <c r="A1" s="1415"/>
      <c r="B1" s="1415"/>
      <c r="C1" s="1415"/>
      <c r="D1" s="1415"/>
      <c r="E1" s="1415"/>
      <c r="F1" s="1416" t="s">
        <v>2210</v>
      </c>
    </row>
    <row r="2" spans="1:6" ht="15" customHeight="1" thickTop="1">
      <c r="A2" s="1418" t="s">
        <v>2113</v>
      </c>
      <c r="B2" s="1418"/>
      <c r="C2" s="1418"/>
      <c r="D2" s="1418"/>
      <c r="E2" s="1418"/>
      <c r="F2" s="1419"/>
    </row>
    <row r="3" spans="1:6" ht="15" customHeight="1">
      <c r="A3" s="1418"/>
      <c r="B3" s="1418" t="s">
        <v>183</v>
      </c>
      <c r="C3" s="1418"/>
      <c r="D3" s="1418"/>
      <c r="E3" s="1418"/>
      <c r="F3" s="1419"/>
    </row>
    <row r="4" spans="1:6" ht="15" customHeight="1">
      <c r="A4" s="1418"/>
      <c r="B4" s="1418"/>
      <c r="C4" s="1418" t="s">
        <v>2114</v>
      </c>
      <c r="D4" s="1418"/>
      <c r="E4" s="1418"/>
      <c r="F4" s="1419"/>
    </row>
    <row r="5" spans="1:6" ht="15" customHeight="1" thickBot="1">
      <c r="A5" s="1418"/>
      <c r="B5" s="1418"/>
      <c r="C5" s="1418"/>
      <c r="D5" s="1418" t="s">
        <v>2115</v>
      </c>
      <c r="E5" s="1418"/>
      <c r="F5" s="1432">
        <v>3684136.01</v>
      </c>
    </row>
    <row r="6" spans="1:6" ht="15" customHeight="1">
      <c r="A6" s="1418"/>
      <c r="B6" s="1418"/>
      <c r="C6" s="1418" t="s">
        <v>2116</v>
      </c>
      <c r="D6" s="1418"/>
      <c r="E6" s="1418"/>
      <c r="F6" s="1431">
        <v>3684136.01</v>
      </c>
    </row>
    <row r="7" spans="1:6" ht="15" customHeight="1">
      <c r="A7" s="1418"/>
      <c r="B7" s="1418"/>
      <c r="C7" s="1418" t="s">
        <v>188</v>
      </c>
      <c r="D7" s="1418"/>
      <c r="E7" s="1418"/>
      <c r="F7" s="1431"/>
    </row>
    <row r="8" spans="1:6" ht="15" customHeight="1" thickBot="1">
      <c r="A8" s="1418"/>
      <c r="B8" s="1418"/>
      <c r="C8" s="1418"/>
      <c r="D8" s="1418" t="s">
        <v>2117</v>
      </c>
      <c r="E8" s="1418"/>
      <c r="F8" s="1429">
        <v>0</v>
      </c>
    </row>
    <row r="9" spans="1:6" ht="15" customHeight="1" thickBot="1">
      <c r="A9" s="1418"/>
      <c r="B9" s="1418"/>
      <c r="C9" s="1418" t="s">
        <v>2118</v>
      </c>
      <c r="D9" s="1418"/>
      <c r="E9" s="1418"/>
      <c r="F9" s="1430">
        <v>0</v>
      </c>
    </row>
    <row r="10" spans="1:6" ht="15" customHeight="1">
      <c r="A10" s="1418"/>
      <c r="B10" s="1418" t="s">
        <v>192</v>
      </c>
      <c r="C10" s="1418"/>
      <c r="D10" s="1418"/>
      <c r="E10" s="1418"/>
      <c r="F10" s="1419">
        <v>3684136.01</v>
      </c>
    </row>
    <row r="11" spans="1:6" ht="15" customHeight="1">
      <c r="A11" s="1418"/>
      <c r="B11" s="1418" t="s">
        <v>2119</v>
      </c>
      <c r="C11" s="1418"/>
      <c r="D11" s="1418"/>
      <c r="E11" s="1418"/>
      <c r="F11" s="1431"/>
    </row>
    <row r="12" spans="1:6" ht="15" customHeight="1">
      <c r="A12" s="1418"/>
      <c r="B12" s="1418"/>
      <c r="C12" s="1418" t="s">
        <v>2120</v>
      </c>
      <c r="D12" s="1418"/>
      <c r="E12" s="1418"/>
      <c r="F12" s="1431"/>
    </row>
    <row r="13" spans="1:6" ht="15" customHeight="1">
      <c r="A13" s="1418"/>
      <c r="B13" s="1418"/>
      <c r="C13" s="1418"/>
      <c r="D13" s="1418" t="s">
        <v>2121</v>
      </c>
      <c r="E13" s="1418"/>
      <c r="F13" s="1431">
        <v>-21249.66</v>
      </c>
    </row>
    <row r="14" spans="1:6" ht="15" customHeight="1" thickBot="1">
      <c r="A14" s="1418"/>
      <c r="B14" s="1418"/>
      <c r="C14" s="1418"/>
      <c r="D14" s="1418" t="s">
        <v>2122</v>
      </c>
      <c r="E14" s="1418"/>
      <c r="F14" s="1432">
        <v>22000</v>
      </c>
    </row>
    <row r="15" spans="1:6" ht="15" customHeight="1">
      <c r="A15" s="1418"/>
      <c r="B15" s="1418"/>
      <c r="C15" s="1418" t="s">
        <v>2123</v>
      </c>
      <c r="D15" s="1418"/>
      <c r="E15" s="1418"/>
      <c r="F15" s="1431">
        <v>750.34</v>
      </c>
    </row>
    <row r="16" spans="1:6" ht="15" customHeight="1">
      <c r="A16" s="1418"/>
      <c r="B16" s="1418"/>
      <c r="C16" s="1418" t="s">
        <v>2124</v>
      </c>
      <c r="D16" s="1418"/>
      <c r="E16" s="1418"/>
      <c r="F16" s="1431"/>
    </row>
    <row r="17" spans="1:6" ht="15" customHeight="1">
      <c r="A17" s="1418"/>
      <c r="B17" s="1418"/>
      <c r="C17" s="1418"/>
      <c r="D17" s="1418" t="s">
        <v>2121</v>
      </c>
      <c r="E17" s="1418"/>
      <c r="F17" s="1431">
        <v>4193.8999999999996</v>
      </c>
    </row>
    <row r="18" spans="1:6" ht="15" customHeight="1" thickBot="1">
      <c r="A18" s="1418"/>
      <c r="B18" s="1418"/>
      <c r="C18" s="1418"/>
      <c r="D18" s="1418" t="s">
        <v>2125</v>
      </c>
      <c r="E18" s="1418"/>
      <c r="F18" s="1429">
        <v>7300</v>
      </c>
    </row>
    <row r="19" spans="1:6" ht="15" customHeight="1" thickBot="1">
      <c r="A19" s="1418"/>
      <c r="B19" s="1418"/>
      <c r="C19" s="1418" t="s">
        <v>2126</v>
      </c>
      <c r="D19" s="1418"/>
      <c r="E19" s="1418"/>
      <c r="F19" s="1430">
        <v>3106.1</v>
      </c>
    </row>
    <row r="20" spans="1:6" ht="15" customHeight="1">
      <c r="A20" s="1418"/>
      <c r="B20" s="1418" t="s">
        <v>2127</v>
      </c>
      <c r="C20" s="1418"/>
      <c r="D20" s="1418"/>
      <c r="E20" s="1418"/>
      <c r="F20" s="1431">
        <v>3856.44</v>
      </c>
    </row>
    <row r="21" spans="1:6" ht="15" customHeight="1">
      <c r="A21" s="1418"/>
      <c r="B21" s="1418" t="s">
        <v>191</v>
      </c>
      <c r="C21" s="1418"/>
      <c r="D21" s="1418"/>
      <c r="E21" s="1418"/>
      <c r="F21" s="1431"/>
    </row>
    <row r="22" spans="1:6" ht="15" customHeight="1" thickBot="1">
      <c r="A22" s="1418"/>
      <c r="B22" s="1418"/>
      <c r="C22" s="1418" t="s">
        <v>2128</v>
      </c>
      <c r="D22" s="1418"/>
      <c r="E22" s="1418"/>
      <c r="F22" s="1429">
        <v>11116</v>
      </c>
    </row>
    <row r="23" spans="1:6" ht="15" customHeight="1">
      <c r="A23" s="1418"/>
      <c r="B23" s="1418" t="s">
        <v>2129</v>
      </c>
      <c r="C23" s="1418"/>
      <c r="D23" s="1418"/>
      <c r="E23" s="1418"/>
      <c r="F23" s="1433">
        <v>11116</v>
      </c>
    </row>
    <row r="24" spans="1:6" ht="15" customHeight="1" thickBot="1">
      <c r="A24" s="1418" t="s">
        <v>2130</v>
      </c>
      <c r="B24" s="1418"/>
      <c r="C24" s="1418"/>
      <c r="D24" s="1418"/>
      <c r="E24" s="1418"/>
      <c r="F24" s="1438">
        <v>3699108.45</v>
      </c>
    </row>
    <row r="25" spans="1:6" ht="15" customHeight="1" thickTop="1">
      <c r="A25" s="1418" t="s">
        <v>2131</v>
      </c>
      <c r="B25" s="1418"/>
      <c r="C25" s="1418"/>
      <c r="D25" s="1418"/>
      <c r="E25" s="1418"/>
      <c r="F25" s="1419"/>
    </row>
    <row r="26" spans="1:6" ht="15" customHeight="1">
      <c r="A26" s="1418"/>
      <c r="B26" s="1418" t="s">
        <v>2132</v>
      </c>
      <c r="C26" s="1418"/>
      <c r="D26" s="1418"/>
      <c r="E26" s="1418"/>
      <c r="F26" s="1419"/>
    </row>
    <row r="27" spans="1:6" ht="15" customHeight="1">
      <c r="A27" s="1418"/>
      <c r="B27" s="1418"/>
      <c r="C27" s="1418" t="s">
        <v>195</v>
      </c>
      <c r="D27" s="1418"/>
      <c r="E27" s="1418"/>
      <c r="F27" s="1419"/>
    </row>
    <row r="28" spans="1:6" ht="15" customHeight="1">
      <c r="A28" s="1418"/>
      <c r="B28" s="1418"/>
      <c r="C28" s="1418"/>
      <c r="D28" s="1418" t="s">
        <v>196</v>
      </c>
      <c r="E28" s="1418"/>
      <c r="F28" s="1419"/>
    </row>
    <row r="29" spans="1:6" ht="15" customHeight="1">
      <c r="A29" s="1418"/>
      <c r="B29" s="1418"/>
      <c r="C29" s="1418"/>
      <c r="D29" s="1418"/>
      <c r="E29" s="1418" t="s">
        <v>196</v>
      </c>
      <c r="F29" s="1443">
        <v>0</v>
      </c>
    </row>
    <row r="30" spans="1:6" ht="15" customHeight="1">
      <c r="A30" s="1418"/>
      <c r="B30" s="1418"/>
      <c r="C30" s="1418"/>
      <c r="D30" s="1418" t="s">
        <v>2133</v>
      </c>
      <c r="E30" s="1418"/>
      <c r="F30" s="1444">
        <v>0</v>
      </c>
    </row>
    <row r="31" spans="1:6" ht="15" customHeight="1">
      <c r="A31" s="1418"/>
      <c r="B31" s="1418"/>
      <c r="C31" s="1418"/>
      <c r="D31" s="1418" t="s">
        <v>199</v>
      </c>
      <c r="E31" s="1418"/>
      <c r="F31" s="1443">
        <v>0</v>
      </c>
    </row>
    <row r="32" spans="1:6" ht="15" customHeight="1">
      <c r="A32" s="1418"/>
      <c r="B32" s="1418"/>
      <c r="C32" s="1418"/>
      <c r="D32" s="1418"/>
      <c r="E32" s="1418" t="s">
        <v>2204</v>
      </c>
      <c r="F32" s="1443">
        <v>0</v>
      </c>
    </row>
    <row r="33" spans="1:6" ht="15" customHeight="1">
      <c r="A33" s="1418"/>
      <c r="B33" s="1418"/>
      <c r="C33" s="1418"/>
      <c r="D33" s="1418" t="s">
        <v>2203</v>
      </c>
      <c r="E33" s="1418"/>
      <c r="F33" s="1442">
        <v>0</v>
      </c>
    </row>
    <row r="34" spans="1:6" ht="15" customHeight="1">
      <c r="A34" s="1418"/>
      <c r="B34" s="1418"/>
      <c r="C34" s="1418" t="s">
        <v>200</v>
      </c>
      <c r="D34" s="1418"/>
      <c r="E34" s="1418"/>
      <c r="F34" s="1434">
        <v>0</v>
      </c>
    </row>
    <row r="35" spans="1:6" ht="15" customHeight="1">
      <c r="A35" s="1418"/>
      <c r="B35" s="1418" t="s">
        <v>204</v>
      </c>
      <c r="C35" s="1418"/>
      <c r="D35" s="1418"/>
      <c r="E35" s="1418"/>
      <c r="F35" s="1434">
        <v>0</v>
      </c>
    </row>
    <row r="36" spans="1:6" ht="15" customHeight="1">
      <c r="A36" s="1418"/>
      <c r="B36" s="1418" t="s">
        <v>239</v>
      </c>
      <c r="C36" s="1418"/>
      <c r="D36" s="1418"/>
      <c r="E36" s="1418"/>
      <c r="F36" s="1419"/>
    </row>
    <row r="37" spans="1:6" ht="15" customHeight="1">
      <c r="A37" s="1418"/>
      <c r="B37" s="1418"/>
      <c r="C37" s="1418" t="s">
        <v>2195</v>
      </c>
      <c r="D37" s="1418"/>
      <c r="E37" s="1418"/>
      <c r="F37" s="1419">
        <v>2</v>
      </c>
    </row>
    <row r="38" spans="1:6" ht="15" customHeight="1">
      <c r="A38" s="1418"/>
      <c r="B38" s="1418"/>
      <c r="C38" s="1418" t="s">
        <v>212</v>
      </c>
      <c r="D38" s="1418"/>
      <c r="E38" s="1418"/>
      <c r="F38" s="1431">
        <v>-1125303.95</v>
      </c>
    </row>
    <row r="39" spans="1:6" ht="15" customHeight="1">
      <c r="A39" s="1418"/>
      <c r="B39" s="1418"/>
      <c r="C39" s="1425" t="s">
        <v>2194</v>
      </c>
      <c r="D39" s="1418"/>
      <c r="E39" s="1418"/>
      <c r="F39" s="1429">
        <v>1235000</v>
      </c>
    </row>
    <row r="40" spans="1:6" ht="15" customHeight="1">
      <c r="A40" s="1418"/>
      <c r="B40" s="1418"/>
      <c r="C40" s="1425" t="s">
        <v>2209</v>
      </c>
      <c r="D40" s="1418"/>
      <c r="E40" s="1418"/>
      <c r="F40" s="1429">
        <v>3999999</v>
      </c>
    </row>
    <row r="41" spans="1:6" ht="15" customHeight="1">
      <c r="A41" s="1418"/>
      <c r="B41" s="1418"/>
      <c r="C41" s="1418" t="s">
        <v>290</v>
      </c>
      <c r="D41" s="1418"/>
      <c r="E41" s="1418"/>
      <c r="F41" s="1429">
        <v>-410588.6</v>
      </c>
    </row>
    <row r="42" spans="1:6" ht="15" customHeight="1">
      <c r="A42" s="1418"/>
      <c r="B42" s="1418" t="s">
        <v>506</v>
      </c>
      <c r="C42" s="1418"/>
      <c r="D42" s="1418"/>
      <c r="E42" s="1418"/>
      <c r="F42" s="1439">
        <v>3699108.45</v>
      </c>
    </row>
    <row r="43" spans="1:6" ht="15" customHeight="1" thickBot="1">
      <c r="A43" s="1418" t="s">
        <v>2135</v>
      </c>
      <c r="B43" s="1418"/>
      <c r="C43" s="1418"/>
      <c r="D43" s="1418"/>
      <c r="E43" s="1418"/>
      <c r="F43" s="1438">
        <v>3699108.45</v>
      </c>
    </row>
    <row r="44" spans="1:6" ht="15" customHeight="1" thickTop="1"/>
    <row r="45" spans="1:6" ht="15" customHeight="1"/>
    <row r="46" spans="1:6" ht="15" customHeight="1"/>
    <row r="47" spans="1:6" ht="15" customHeight="1"/>
    <row r="48" spans="1:6"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F101"/>
  <sheetViews>
    <sheetView workbookViewId="0"/>
  </sheetViews>
  <sheetFormatPr defaultRowHeight="15"/>
  <cols>
    <col min="1" max="4" width="3.5" style="1425" customWidth="1"/>
    <col min="5" max="5" width="48.1640625" style="1425" customWidth="1"/>
    <col min="6" max="6" width="15.83203125" style="1426" customWidth="1"/>
    <col min="7" max="16384" width="9.33203125" style="1417"/>
  </cols>
  <sheetData>
    <row r="1" spans="1:6" ht="15" customHeight="1" thickBot="1">
      <c r="A1" s="1415"/>
      <c r="B1" s="1415"/>
      <c r="C1" s="1415"/>
      <c r="D1" s="1415"/>
      <c r="E1" s="1415"/>
      <c r="F1" s="1416" t="s">
        <v>2208</v>
      </c>
    </row>
    <row r="2" spans="1:6" ht="15" customHeight="1" thickTop="1">
      <c r="A2" s="1418"/>
      <c r="B2" s="1418"/>
      <c r="C2" s="1418" t="s">
        <v>2179</v>
      </c>
      <c r="D2" s="1418"/>
      <c r="E2" s="1418"/>
      <c r="F2" s="1419"/>
    </row>
    <row r="3" spans="1:6" ht="15" customHeight="1">
      <c r="A3" s="1418"/>
      <c r="B3" s="1418"/>
      <c r="C3" s="1418"/>
      <c r="D3" s="1418" t="s">
        <v>290</v>
      </c>
      <c r="E3" s="1418"/>
      <c r="F3" s="1431">
        <v>-410588.6</v>
      </c>
    </row>
    <row r="4" spans="1:6" ht="15" customHeight="1">
      <c r="A4" s="1418"/>
      <c r="B4" s="1418"/>
      <c r="C4" s="1418"/>
      <c r="D4" s="1418" t="s">
        <v>2180</v>
      </c>
      <c r="E4" s="1418"/>
      <c r="F4" s="1431"/>
    </row>
    <row r="5" spans="1:6" ht="15" customHeight="1">
      <c r="A5" s="1418"/>
      <c r="B5" s="1418"/>
      <c r="C5" s="1418"/>
      <c r="D5" s="1418" t="s">
        <v>2181</v>
      </c>
      <c r="E5" s="1418"/>
      <c r="F5" s="1419"/>
    </row>
    <row r="6" spans="1:6" ht="15" customHeight="1">
      <c r="A6" s="1418"/>
      <c r="B6" s="1418"/>
      <c r="C6" s="1418"/>
      <c r="D6" s="1418"/>
      <c r="E6" s="1418" t="s">
        <v>2117</v>
      </c>
      <c r="F6" s="1429">
        <v>0</v>
      </c>
    </row>
    <row r="7" spans="1:6" ht="15" customHeight="1" thickBot="1">
      <c r="A7" s="1418"/>
      <c r="B7" s="1418"/>
      <c r="C7" s="1418"/>
      <c r="D7" s="1418"/>
      <c r="E7" s="1418" t="s">
        <v>196</v>
      </c>
      <c r="F7" s="1432">
        <v>0</v>
      </c>
    </row>
    <row r="8" spans="1:6" ht="15" customHeight="1">
      <c r="A8" s="1418"/>
      <c r="B8" s="1418"/>
      <c r="C8" s="1418" t="s">
        <v>2182</v>
      </c>
      <c r="D8" s="1418"/>
      <c r="E8" s="1418"/>
      <c r="F8" s="1431">
        <v>-410588.6</v>
      </c>
    </row>
    <row r="9" spans="1:6" ht="15" customHeight="1">
      <c r="A9" s="1418"/>
      <c r="B9" s="1418"/>
      <c r="C9" s="1418" t="s">
        <v>2183</v>
      </c>
      <c r="D9" s="1418"/>
      <c r="E9" s="1418"/>
      <c r="F9" s="1419"/>
    </row>
    <row r="10" spans="1:6" ht="15" customHeight="1">
      <c r="A10" s="1418"/>
      <c r="B10" s="1418"/>
      <c r="C10" s="1418"/>
      <c r="D10" s="1418" t="s">
        <v>2214</v>
      </c>
      <c r="E10" s="1418"/>
      <c r="F10" s="1431">
        <v>0</v>
      </c>
    </row>
    <row r="11" spans="1:6" ht="15" customHeight="1" thickBot="1">
      <c r="A11" s="1418"/>
      <c r="B11" s="1418"/>
      <c r="C11" s="1418"/>
      <c r="D11" s="1418" t="s">
        <v>2215</v>
      </c>
      <c r="E11" s="1418"/>
      <c r="F11" s="1432">
        <v>0</v>
      </c>
    </row>
    <row r="12" spans="1:6" ht="15" customHeight="1">
      <c r="A12" s="1418"/>
      <c r="B12" s="1418"/>
      <c r="C12" s="1418" t="s">
        <v>2184</v>
      </c>
      <c r="D12" s="1418"/>
      <c r="E12" s="1418"/>
      <c r="F12" s="1431">
        <v>0</v>
      </c>
    </row>
    <row r="13" spans="1:6" ht="15" customHeight="1">
      <c r="A13" s="1418"/>
      <c r="B13" s="1418"/>
      <c r="C13" s="1418" t="s">
        <v>2185</v>
      </c>
      <c r="D13" s="1418"/>
      <c r="E13" s="1418"/>
      <c r="F13" s="1419"/>
    </row>
    <row r="14" spans="1:6" ht="15" customHeight="1" thickBot="1">
      <c r="A14" s="1418"/>
      <c r="B14" s="1418"/>
      <c r="C14" s="1418"/>
      <c r="D14" s="1418" t="s">
        <v>2209</v>
      </c>
      <c r="E14" s="1418"/>
      <c r="F14" s="1429">
        <v>3999999</v>
      </c>
    </row>
    <row r="15" spans="1:6" ht="15" customHeight="1" thickBot="1">
      <c r="A15" s="1418"/>
      <c r="B15" s="1418"/>
      <c r="C15" s="1418" t="s">
        <v>2187</v>
      </c>
      <c r="D15" s="1418"/>
      <c r="E15" s="1418"/>
      <c r="F15" s="1430">
        <v>3999999</v>
      </c>
    </row>
    <row r="16" spans="1:6" ht="15" customHeight="1">
      <c r="A16" s="1418"/>
      <c r="B16" s="1418" t="s">
        <v>2188</v>
      </c>
      <c r="C16" s="1418"/>
      <c r="D16" s="1418"/>
      <c r="E16" s="1418"/>
      <c r="F16" s="1431">
        <v>3589410.4</v>
      </c>
    </row>
    <row r="17" spans="1:6" ht="15" customHeight="1" thickBot="1">
      <c r="A17" s="1418"/>
      <c r="B17" s="1418" t="s">
        <v>2189</v>
      </c>
      <c r="C17" s="1418"/>
      <c r="D17" s="1418"/>
      <c r="E17" s="1418"/>
      <c r="F17" s="1429">
        <v>94725.61</v>
      </c>
    </row>
    <row r="18" spans="1:6" ht="15" customHeight="1" thickBot="1">
      <c r="A18" s="1418" t="s">
        <v>2190</v>
      </c>
      <c r="B18" s="1418"/>
      <c r="C18" s="1418"/>
      <c r="D18" s="1418"/>
      <c r="E18" s="1418"/>
      <c r="F18" s="1437">
        <v>3684136.01</v>
      </c>
    </row>
    <row r="19" spans="1:6" ht="15" customHeight="1" thickTop="1"/>
    <row r="20" spans="1:6" ht="15" customHeight="1"/>
    <row r="21" spans="1:6" ht="15" customHeight="1"/>
    <row r="22" spans="1:6" ht="15" customHeight="1"/>
    <row r="23" spans="1:6" ht="15" customHeight="1"/>
    <row r="24" spans="1:6" ht="15" customHeight="1"/>
    <row r="25" spans="1:6" ht="15" customHeight="1"/>
    <row r="26" spans="1:6" ht="15" customHeight="1"/>
    <row r="27" spans="1:6" ht="15" customHeight="1"/>
    <row r="28" spans="1:6" ht="15" customHeight="1"/>
    <row r="29" spans="1:6" ht="15" customHeight="1"/>
    <row r="30" spans="1:6" ht="15" customHeight="1"/>
    <row r="31" spans="1:6" ht="15" customHeight="1"/>
    <row r="32" spans="1:6"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sheetData>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76"/>
  <dimension ref="A1:G101"/>
  <sheetViews>
    <sheetView workbookViewId="0">
      <pane xSplit="6" ySplit="1" topLeftCell="G23" activePane="bottomRight" state="frozenSplit"/>
      <selection activeCell="G2" sqref="G2"/>
      <selection pane="topRight" activeCell="G2" sqref="G2"/>
      <selection pane="bottomLeft" activeCell="G2" sqref="G2"/>
      <selection pane="bottomRight" activeCell="G33" sqref="G33"/>
    </sheetView>
  </sheetViews>
  <sheetFormatPr defaultRowHeight="15"/>
  <cols>
    <col min="1" max="5" width="3.5" style="1425" customWidth="1"/>
    <col min="6" max="6" width="29.5" style="1425" customWidth="1"/>
    <col min="7" max="7" width="15" style="1426" customWidth="1"/>
    <col min="8" max="16384" width="9.33203125" style="1417"/>
  </cols>
  <sheetData>
    <row r="1" spans="1:7" s="1427" customFormat="1" ht="15" customHeight="1" thickBot="1">
      <c r="A1" s="1415"/>
      <c r="B1" s="1415"/>
      <c r="C1" s="1415"/>
      <c r="D1" s="1415"/>
      <c r="E1" s="1415"/>
      <c r="F1" s="1415"/>
      <c r="G1" s="1416" t="s">
        <v>2201</v>
      </c>
    </row>
    <row r="2" spans="1:7" ht="15" customHeight="1" thickTop="1">
      <c r="A2" s="1418"/>
      <c r="B2" s="1418" t="s">
        <v>2137</v>
      </c>
      <c r="C2" s="1418"/>
      <c r="D2" s="1418"/>
      <c r="E2" s="1418"/>
      <c r="F2" s="1418"/>
      <c r="G2" s="1419"/>
    </row>
    <row r="3" spans="1:7" ht="15" customHeight="1">
      <c r="A3" s="1418"/>
      <c r="B3" s="1418"/>
      <c r="C3" s="1418"/>
      <c r="D3" s="1418" t="s">
        <v>2138</v>
      </c>
      <c r="E3" s="1418"/>
      <c r="F3" s="1418"/>
      <c r="G3" s="1419"/>
    </row>
    <row r="4" spans="1:7" ht="15" customHeight="1" thickBot="1">
      <c r="A4" s="1418"/>
      <c r="B4" s="1418"/>
      <c r="C4" s="1418"/>
      <c r="D4" s="1418"/>
      <c r="E4" s="1418" t="s">
        <v>2139</v>
      </c>
      <c r="F4" s="1418"/>
      <c r="G4" s="1429">
        <v>4350</v>
      </c>
    </row>
    <row r="5" spans="1:7" ht="15" customHeight="1" thickBot="1">
      <c r="A5" s="1418"/>
      <c r="B5" s="1418"/>
      <c r="C5" s="1418"/>
      <c r="D5" s="1418" t="s">
        <v>2140</v>
      </c>
      <c r="E5" s="1418"/>
      <c r="F5" s="1418"/>
      <c r="G5" s="1430">
        <v>4350</v>
      </c>
    </row>
    <row r="6" spans="1:7" ht="15" customHeight="1" thickBot="1">
      <c r="A6" s="1418"/>
      <c r="B6" s="1418"/>
      <c r="C6" s="1418" t="s">
        <v>160</v>
      </c>
      <c r="D6" s="1418"/>
      <c r="E6" s="1418"/>
      <c r="F6" s="1418"/>
      <c r="G6" s="1430">
        <v>4350</v>
      </c>
    </row>
    <row r="7" spans="1:7" ht="15" customHeight="1">
      <c r="A7" s="1418"/>
      <c r="B7" s="1418"/>
      <c r="C7" s="1418"/>
      <c r="D7" s="1418" t="s">
        <v>2141</v>
      </c>
      <c r="E7" s="1418"/>
      <c r="F7" s="1418"/>
      <c r="G7" s="1419"/>
    </row>
    <row r="8" spans="1:7" ht="15" customHeight="1">
      <c r="A8" s="1418"/>
      <c r="B8" s="1418"/>
      <c r="C8" s="1418"/>
      <c r="D8" s="1418"/>
      <c r="E8" s="1418" t="s">
        <v>2142</v>
      </c>
      <c r="F8" s="1418"/>
      <c r="G8" s="1431">
        <v>145</v>
      </c>
    </row>
    <row r="9" spans="1:7" ht="15" customHeight="1">
      <c r="A9" s="1418"/>
      <c r="B9" s="1418"/>
      <c r="C9" s="1418"/>
      <c r="D9" s="1418"/>
      <c r="E9" s="1418" t="s">
        <v>2143</v>
      </c>
      <c r="F9" s="1418"/>
      <c r="G9" s="1431">
        <v>3075.8</v>
      </c>
    </row>
    <row r="10" spans="1:7" ht="15" customHeight="1">
      <c r="A10" s="1418"/>
      <c r="B10" s="1418"/>
      <c r="C10" s="1418"/>
      <c r="D10" s="1418"/>
      <c r="E10" s="1418" t="s">
        <v>2144</v>
      </c>
      <c r="F10" s="1418"/>
      <c r="G10" s="1431">
        <v>0</v>
      </c>
    </row>
    <row r="11" spans="1:7" ht="15" customHeight="1">
      <c r="A11" s="1418"/>
      <c r="B11" s="1418"/>
      <c r="C11" s="1418"/>
      <c r="D11" s="1418"/>
      <c r="E11" s="1418" t="s">
        <v>2145</v>
      </c>
      <c r="F11" s="1418"/>
      <c r="G11" s="1419">
        <v>200</v>
      </c>
    </row>
    <row r="12" spans="1:7" ht="15" customHeight="1">
      <c r="A12" s="1418"/>
      <c r="B12" s="1418"/>
      <c r="C12" s="1418"/>
      <c r="D12" s="1418"/>
      <c r="E12" s="1418" t="s">
        <v>2146</v>
      </c>
      <c r="F12" s="1418"/>
      <c r="G12" s="1431">
        <v>2643.06</v>
      </c>
    </row>
    <row r="13" spans="1:7" ht="15" customHeight="1">
      <c r="A13" s="1418"/>
      <c r="B13" s="1418"/>
      <c r="C13" s="1418"/>
      <c r="D13" s="1418"/>
      <c r="E13" s="1418" t="s">
        <v>2147</v>
      </c>
      <c r="F13" s="1418"/>
      <c r="G13" s="1419"/>
    </row>
    <row r="14" spans="1:7" ht="15" customHeight="1">
      <c r="A14" s="1418"/>
      <c r="B14" s="1418"/>
      <c r="C14" s="1418"/>
      <c r="D14" s="1418"/>
      <c r="E14" s="1418"/>
      <c r="F14" s="1418" t="s">
        <v>2148</v>
      </c>
      <c r="G14" s="1431">
        <v>1713</v>
      </c>
    </row>
    <row r="15" spans="1:7" ht="15" customHeight="1">
      <c r="A15" s="1418"/>
      <c r="B15" s="1418"/>
      <c r="C15" s="1418"/>
      <c r="D15" s="1418"/>
      <c r="E15" s="1418"/>
      <c r="F15" s="1418" t="s">
        <v>2149</v>
      </c>
      <c r="G15" s="1431">
        <v>1040.5</v>
      </c>
    </row>
    <row r="16" spans="1:7" ht="15" customHeight="1" thickBot="1">
      <c r="A16" s="1418"/>
      <c r="B16" s="1418"/>
      <c r="C16" s="1418"/>
      <c r="D16" s="1418"/>
      <c r="E16" s="1418"/>
      <c r="F16" s="1418" t="s">
        <v>2150</v>
      </c>
      <c r="G16" s="1431">
        <v>0</v>
      </c>
    </row>
    <row r="17" spans="1:7" ht="15" customHeight="1" thickBot="1">
      <c r="A17" s="1418"/>
      <c r="B17" s="1418"/>
      <c r="C17" s="1418"/>
      <c r="D17" s="1418"/>
      <c r="E17" s="1418" t="s">
        <v>2151</v>
      </c>
      <c r="F17" s="1418"/>
      <c r="G17" s="1430">
        <v>2753.5</v>
      </c>
    </row>
    <row r="18" spans="1:7" ht="15" customHeight="1">
      <c r="A18" s="1418"/>
      <c r="B18" s="1418"/>
      <c r="C18" s="1418"/>
      <c r="D18" s="1418"/>
      <c r="E18" s="1418" t="s">
        <v>2152</v>
      </c>
      <c r="F18" s="1418"/>
      <c r="G18" s="1419">
        <v>691</v>
      </c>
    </row>
    <row r="19" spans="1:7" ht="15" customHeight="1">
      <c r="A19" s="1418"/>
      <c r="B19" s="1418"/>
      <c r="C19" s="1418"/>
      <c r="D19" s="1418"/>
      <c r="E19" s="1425" t="s">
        <v>2193</v>
      </c>
      <c r="F19" s="1418"/>
      <c r="G19" s="1431">
        <v>57220.72</v>
      </c>
    </row>
    <row r="20" spans="1:7" ht="15" customHeight="1">
      <c r="A20" s="1418"/>
      <c r="B20" s="1418"/>
      <c r="C20" s="1418"/>
      <c r="D20" s="1418"/>
      <c r="E20" s="1418" t="s">
        <v>2153</v>
      </c>
      <c r="F20" s="1418"/>
      <c r="G20" s="1431">
        <v>0</v>
      </c>
    </row>
    <row r="21" spans="1:7" ht="15" customHeight="1">
      <c r="A21" s="1418"/>
      <c r="B21" s="1418"/>
      <c r="C21" s="1418"/>
      <c r="D21" s="1418"/>
      <c r="E21" s="1418" t="s">
        <v>2154</v>
      </c>
      <c r="F21" s="1418"/>
      <c r="G21" s="1431">
        <v>0</v>
      </c>
    </row>
    <row r="22" spans="1:7" ht="15" customHeight="1">
      <c r="A22" s="1418"/>
      <c r="B22" s="1418"/>
      <c r="C22" s="1418"/>
      <c r="D22" s="1418"/>
      <c r="E22" s="1418" t="s">
        <v>2155</v>
      </c>
      <c r="F22" s="1418"/>
      <c r="G22" s="1431">
        <v>10342.49</v>
      </c>
    </row>
    <row r="23" spans="1:7" ht="15" customHeight="1">
      <c r="A23" s="1418"/>
      <c r="B23" s="1418"/>
      <c r="C23" s="1418"/>
      <c r="D23" s="1418"/>
      <c r="E23" s="1418" t="s">
        <v>2156</v>
      </c>
      <c r="F23" s="1418"/>
      <c r="G23" s="1431">
        <v>381469.76</v>
      </c>
    </row>
    <row r="24" spans="1:7" ht="15" customHeight="1">
      <c r="A24" s="1418"/>
      <c r="B24" s="1418"/>
      <c r="C24" s="1418"/>
      <c r="D24" s="1418"/>
      <c r="E24" s="1418" t="s">
        <v>2157</v>
      </c>
      <c r="F24" s="1418"/>
      <c r="G24" s="1431">
        <v>0</v>
      </c>
    </row>
    <row r="25" spans="1:7" ht="15" customHeight="1">
      <c r="A25" s="1418"/>
      <c r="B25" s="1418"/>
      <c r="C25" s="1418"/>
      <c r="D25" s="1418"/>
      <c r="E25" s="1418" t="s">
        <v>2158</v>
      </c>
      <c r="F25" s="1418"/>
      <c r="G25" s="1431">
        <v>29205.87</v>
      </c>
    </row>
    <row r="26" spans="1:7" ht="15" customHeight="1">
      <c r="A26" s="1418"/>
      <c r="B26" s="1418"/>
      <c r="C26" s="1418"/>
      <c r="D26" s="1418"/>
      <c r="E26" s="1418" t="s">
        <v>2196</v>
      </c>
      <c r="F26" s="1418"/>
      <c r="G26" s="1431">
        <v>280.98</v>
      </c>
    </row>
    <row r="27" spans="1:7" ht="15" customHeight="1">
      <c r="A27" s="1418"/>
      <c r="B27" s="1418"/>
      <c r="C27" s="1418"/>
      <c r="D27" s="1418"/>
      <c r="E27" s="1418" t="s">
        <v>2159</v>
      </c>
      <c r="F27" s="1418"/>
      <c r="G27" s="1417"/>
    </row>
    <row r="28" spans="1:7" ht="15" customHeight="1">
      <c r="A28" s="1418"/>
      <c r="B28" s="1418"/>
      <c r="C28" s="1418"/>
      <c r="D28" s="1418"/>
      <c r="E28" s="1418"/>
      <c r="F28" s="1418" t="s">
        <v>2160</v>
      </c>
      <c r="G28" s="1431">
        <v>5898.75</v>
      </c>
    </row>
    <row r="29" spans="1:7" ht="15" customHeight="1">
      <c r="A29" s="1418"/>
      <c r="B29" s="1418"/>
      <c r="C29" s="1418"/>
      <c r="D29" s="1418"/>
      <c r="E29" s="1418"/>
      <c r="F29" s="1418" t="s">
        <v>2161</v>
      </c>
      <c r="G29" s="1429">
        <v>956</v>
      </c>
    </row>
    <row r="30" spans="1:7" ht="15" customHeight="1">
      <c r="A30" s="1418"/>
      <c r="B30" s="1418"/>
      <c r="C30" s="1418"/>
      <c r="D30" s="1418"/>
      <c r="E30" s="1418"/>
      <c r="F30" s="1418" t="s">
        <v>2205</v>
      </c>
      <c r="G30" s="1431">
        <v>56915.31</v>
      </c>
    </row>
    <row r="31" spans="1:7" ht="15" customHeight="1" thickBot="1">
      <c r="A31" s="1418"/>
      <c r="B31" s="1418"/>
      <c r="C31" s="1418"/>
      <c r="D31" s="1418"/>
      <c r="E31" s="1418"/>
      <c r="F31" s="1418" t="s">
        <v>2206</v>
      </c>
      <c r="G31" s="1431">
        <v>747.01</v>
      </c>
    </row>
    <row r="32" spans="1:7" ht="15" customHeight="1" thickBot="1">
      <c r="A32" s="1418"/>
      <c r="B32" s="1418"/>
      <c r="C32" s="1418"/>
      <c r="D32" s="1418"/>
      <c r="E32" s="1418" t="s">
        <v>2162</v>
      </c>
      <c r="F32" s="1418"/>
      <c r="G32" s="1430">
        <v>64517.07</v>
      </c>
    </row>
    <row r="33" spans="1:7" ht="15" customHeight="1">
      <c r="A33" s="1418"/>
      <c r="B33" s="1418"/>
      <c r="C33" s="1418"/>
      <c r="D33" s="1418"/>
      <c r="E33" s="1418" t="s">
        <v>2163</v>
      </c>
      <c r="F33" s="1418"/>
      <c r="G33" s="1431">
        <v>298681.64</v>
      </c>
    </row>
    <row r="34" spans="1:7" ht="15" customHeight="1">
      <c r="A34" s="1418"/>
      <c r="B34" s="1418"/>
      <c r="C34" s="1418"/>
      <c r="D34" s="1418"/>
      <c r="E34" s="1418" t="s">
        <v>2164</v>
      </c>
      <c r="F34" s="1418"/>
      <c r="G34" s="1431">
        <v>175568.83</v>
      </c>
    </row>
    <row r="35" spans="1:7" ht="15" customHeight="1">
      <c r="A35" s="1418"/>
      <c r="B35" s="1418"/>
      <c r="C35" s="1418"/>
      <c r="D35" s="1418"/>
      <c r="E35" s="1418" t="s">
        <v>2197</v>
      </c>
      <c r="F35" s="1418"/>
      <c r="G35" s="1431"/>
    </row>
    <row r="36" spans="1:7" ht="15" customHeight="1">
      <c r="A36" s="1418"/>
      <c r="B36" s="1418"/>
      <c r="C36" s="1418"/>
      <c r="D36" s="1418"/>
      <c r="E36" s="1418"/>
      <c r="F36" s="1418" t="s">
        <v>2213</v>
      </c>
      <c r="G36" s="1431">
        <v>1257.3</v>
      </c>
    </row>
    <row r="37" spans="1:7" ht="15" customHeight="1" thickBot="1">
      <c r="A37" s="1418"/>
      <c r="B37" s="1418"/>
      <c r="C37" s="1418"/>
      <c r="D37" s="1418"/>
      <c r="E37" s="1418"/>
      <c r="F37" s="1418" t="s">
        <v>2192</v>
      </c>
      <c r="G37" s="1431">
        <v>1818.24</v>
      </c>
    </row>
    <row r="38" spans="1:7" ht="15" customHeight="1" thickBot="1">
      <c r="A38" s="1418"/>
      <c r="B38" s="1418"/>
      <c r="C38" s="1418"/>
      <c r="D38" s="1418"/>
      <c r="E38" s="1418" t="s">
        <v>2191</v>
      </c>
      <c r="F38" s="1418"/>
      <c r="G38" s="1430">
        <v>3075.54</v>
      </c>
    </row>
    <row r="39" spans="1:7" ht="15" customHeight="1">
      <c r="A39" s="1418"/>
      <c r="B39" s="1418"/>
      <c r="C39" s="1418"/>
      <c r="D39" s="1418"/>
      <c r="E39" s="1418" t="s">
        <v>2207</v>
      </c>
      <c r="F39" s="1418"/>
      <c r="G39" s="1429">
        <v>6085.24</v>
      </c>
    </row>
    <row r="40" spans="1:7" ht="15" customHeight="1">
      <c r="A40" s="1418"/>
      <c r="B40" s="1418"/>
      <c r="C40" s="1418"/>
      <c r="D40" s="1418"/>
      <c r="E40" s="1418" t="s">
        <v>2165</v>
      </c>
      <c r="F40" s="1418"/>
      <c r="G40" s="1429">
        <v>1521.14</v>
      </c>
    </row>
    <row r="41" spans="1:7" ht="15" customHeight="1">
      <c r="A41" s="1418"/>
      <c r="B41" s="1418"/>
      <c r="C41" s="1418"/>
      <c r="D41" s="1418"/>
      <c r="E41" s="1418" t="s">
        <v>2166</v>
      </c>
      <c r="F41" s="1418"/>
      <c r="G41" s="1429">
        <v>3820.01</v>
      </c>
    </row>
    <row r="42" spans="1:7" ht="15" customHeight="1">
      <c r="A42" s="1418"/>
      <c r="B42" s="1418"/>
      <c r="C42" s="1418"/>
      <c r="D42" s="1418"/>
      <c r="E42" s="1418" t="s">
        <v>2198</v>
      </c>
      <c r="F42" s="1418"/>
      <c r="G42" s="1429">
        <v>0</v>
      </c>
    </row>
    <row r="43" spans="1:7" ht="15" customHeight="1">
      <c r="A43" s="1418"/>
      <c r="B43" s="1418"/>
      <c r="C43" s="1418"/>
      <c r="D43" s="1418"/>
      <c r="E43" s="1418" t="s">
        <v>2167</v>
      </c>
      <c r="F43" s="1418"/>
      <c r="G43" s="1429"/>
    </row>
    <row r="44" spans="1:7" ht="15" customHeight="1">
      <c r="A44" s="1418"/>
      <c r="B44" s="1418"/>
      <c r="C44" s="1418"/>
      <c r="D44" s="1418"/>
      <c r="E44" s="1418"/>
      <c r="F44" s="1418" t="s">
        <v>2168</v>
      </c>
      <c r="G44" s="1431">
        <v>2.1800000000000002</v>
      </c>
    </row>
    <row r="45" spans="1:7" ht="15" customHeight="1">
      <c r="A45" s="1418"/>
      <c r="B45" s="1418"/>
      <c r="C45" s="1418"/>
      <c r="D45" s="1418"/>
      <c r="E45" s="1418"/>
      <c r="F45" s="1418" t="s">
        <v>2169</v>
      </c>
      <c r="G45" s="1431">
        <v>3066</v>
      </c>
    </row>
    <row r="46" spans="1:7" ht="15" customHeight="1">
      <c r="A46" s="1418"/>
      <c r="B46" s="1418"/>
      <c r="C46" s="1418"/>
      <c r="D46" s="1418"/>
      <c r="E46" s="1418"/>
      <c r="F46" s="1418" t="s">
        <v>2170</v>
      </c>
      <c r="G46" s="1431">
        <v>0</v>
      </c>
    </row>
    <row r="47" spans="1:7" ht="15" customHeight="1">
      <c r="A47" s="1418"/>
      <c r="B47" s="1418"/>
      <c r="C47" s="1418"/>
      <c r="D47" s="1418"/>
      <c r="E47" s="1418" t="s">
        <v>2171</v>
      </c>
      <c r="F47" s="1418"/>
      <c r="G47" s="1431">
        <v>3068.18</v>
      </c>
    </row>
    <row r="48" spans="1:7" ht="15" customHeight="1" thickBot="1">
      <c r="A48" s="1418"/>
      <c r="B48" s="1418"/>
      <c r="C48" s="1418"/>
      <c r="D48" s="1418" t="s">
        <v>2172</v>
      </c>
      <c r="E48" s="1418"/>
      <c r="F48" s="1418"/>
      <c r="G48" s="1429">
        <v>1044365.83</v>
      </c>
    </row>
    <row r="49" spans="1:7" s="1428" customFormat="1" ht="15" customHeight="1">
      <c r="A49" s="1418"/>
      <c r="B49" s="1418" t="s">
        <v>2173</v>
      </c>
      <c r="C49" s="1418"/>
      <c r="D49" s="1418"/>
      <c r="E49" s="1418"/>
      <c r="F49" s="1418"/>
      <c r="G49" s="1433">
        <v>-1040015.83</v>
      </c>
    </row>
    <row r="50" spans="1:7" ht="15" customHeight="1" thickBot="1">
      <c r="A50" s="1418"/>
      <c r="B50" s="1418" t="s">
        <v>2174</v>
      </c>
      <c r="C50" s="1418"/>
      <c r="D50" s="1418"/>
      <c r="E50" s="1418"/>
      <c r="F50" s="1418"/>
      <c r="G50" s="1440"/>
    </row>
    <row r="51" spans="1:7" ht="15" customHeight="1" thickBot="1">
      <c r="A51" s="1418"/>
      <c r="B51" s="1418"/>
      <c r="C51" s="1418" t="s">
        <v>2175</v>
      </c>
      <c r="D51" s="1418"/>
      <c r="E51" s="1418"/>
      <c r="F51" s="1418"/>
      <c r="G51" s="1424"/>
    </row>
    <row r="52" spans="1:7" ht="15" customHeight="1" thickTop="1">
      <c r="A52" s="1418"/>
      <c r="B52" s="1418"/>
      <c r="C52" s="1418"/>
      <c r="D52" s="1418" t="s">
        <v>2176</v>
      </c>
      <c r="E52" s="1418"/>
      <c r="F52" s="1418"/>
      <c r="G52" s="1431">
        <v>0</v>
      </c>
    </row>
    <row r="53" spans="1:7" ht="15" customHeight="1">
      <c r="A53" s="1418"/>
      <c r="B53" s="1418"/>
      <c r="C53" s="1418" t="s">
        <v>2177</v>
      </c>
      <c r="D53" s="1418"/>
      <c r="E53" s="1418"/>
      <c r="F53" s="1418"/>
      <c r="G53" s="1431">
        <v>0</v>
      </c>
    </row>
    <row r="54" spans="1:7" ht="15" customHeight="1" thickBot="1">
      <c r="A54" s="1418"/>
      <c r="B54" s="1418" t="s">
        <v>2178</v>
      </c>
      <c r="C54" s="1418"/>
      <c r="D54" s="1418"/>
      <c r="E54" s="1418"/>
      <c r="F54" s="1418"/>
      <c r="G54" s="1441">
        <v>0</v>
      </c>
    </row>
    <row r="55" spans="1:7" ht="15" customHeight="1" thickBot="1">
      <c r="A55" s="1418" t="s">
        <v>290</v>
      </c>
      <c r="B55" s="1418"/>
      <c r="C55" s="1418"/>
      <c r="D55" s="1418"/>
      <c r="E55" s="1418"/>
      <c r="F55" s="1418"/>
      <c r="G55" s="1422">
        <v>-1040015.83</v>
      </c>
    </row>
    <row r="56" spans="1:7" ht="15" customHeight="1"/>
    <row r="57" spans="1:7" ht="15" customHeight="1"/>
    <row r="58" spans="1:7" ht="15" customHeight="1"/>
    <row r="59" spans="1:7" ht="15" customHeight="1"/>
    <row r="60" spans="1:7" ht="15" customHeight="1"/>
    <row r="61" spans="1:7" ht="15" customHeight="1"/>
    <row r="62" spans="1:7" ht="15" customHeight="1"/>
    <row r="63" spans="1:7" ht="15" customHeight="1"/>
    <row r="64" spans="1:7"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sheetData>
  <pageMargins left="0.7" right="0.7" top="0.75" bottom="0.75" header="0.1" footer="0.3"/>
  <pageSetup orientation="portrait" horizontalDpi="4294967293" verticalDpi="4294967293" r:id="rId1"/>
  <headerFooter>
    <oddHeader>&amp;L&amp;"Arial,Bold"&amp;8 1:25 PM
&amp;"Arial,Bold"&amp;8 10/16/16
&amp;"Arial,Bold"&amp;8 Accrual Basis&amp;C&amp;"Arial,Bold"&amp;12 Medikine, Inc.
&amp;"Arial,Bold"&amp;14 Profit &amp;&amp; Loss
&amp;"Arial,Bold"&amp;10 January through December 2015</oddHeader>
    <oddFooter>&amp;R&amp;"Arial,Bold"&amp;8 Page &amp;P of &amp;N</odd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F101"/>
  <sheetViews>
    <sheetView topLeftCell="A32" workbookViewId="0">
      <selection activeCell="F40" sqref="F40"/>
    </sheetView>
  </sheetViews>
  <sheetFormatPr defaultRowHeight="15"/>
  <cols>
    <col min="1" max="4" width="3.5" style="1425" customWidth="1"/>
    <col min="5" max="5" width="29.83203125" style="1425" customWidth="1"/>
    <col min="6" max="6" width="12.33203125" style="1426" bestFit="1" customWidth="1"/>
    <col min="7" max="16384" width="9.33203125" style="1417"/>
  </cols>
  <sheetData>
    <row r="1" spans="1:6" ht="15" customHeight="1" thickBot="1">
      <c r="A1" s="1415"/>
      <c r="B1" s="1415"/>
      <c r="C1" s="1415"/>
      <c r="D1" s="1415"/>
      <c r="E1" s="1415"/>
      <c r="F1" s="1416" t="s">
        <v>2202</v>
      </c>
    </row>
    <row r="2" spans="1:6" ht="15" customHeight="1" thickTop="1">
      <c r="A2" s="1418" t="s">
        <v>2113</v>
      </c>
      <c r="B2" s="1418"/>
      <c r="C2" s="1418"/>
      <c r="D2" s="1418"/>
      <c r="E2" s="1418"/>
      <c r="F2" s="1419"/>
    </row>
    <row r="3" spans="1:6" ht="15" customHeight="1">
      <c r="A3" s="1418"/>
      <c r="B3" s="1418" t="s">
        <v>183</v>
      </c>
      <c r="C3" s="1418"/>
      <c r="D3" s="1418"/>
      <c r="E3" s="1418"/>
      <c r="F3" s="1419"/>
    </row>
    <row r="4" spans="1:6" ht="15" customHeight="1">
      <c r="A4" s="1418"/>
      <c r="B4" s="1418"/>
      <c r="C4" s="1418" t="s">
        <v>2114</v>
      </c>
      <c r="D4" s="1418"/>
      <c r="E4" s="1418"/>
      <c r="F4" s="1419"/>
    </row>
    <row r="5" spans="1:6" ht="15" customHeight="1" thickBot="1">
      <c r="A5" s="1418"/>
      <c r="B5" s="1418"/>
      <c r="C5" s="1418"/>
      <c r="D5" s="1418" t="s">
        <v>2115</v>
      </c>
      <c r="E5" s="1418"/>
      <c r="F5" s="1432">
        <v>94725.61</v>
      </c>
    </row>
    <row r="6" spans="1:6" ht="15" customHeight="1">
      <c r="A6" s="1418"/>
      <c r="B6" s="1418"/>
      <c r="C6" s="1418" t="s">
        <v>2116</v>
      </c>
      <c r="D6" s="1418"/>
      <c r="E6" s="1418"/>
      <c r="F6" s="1431">
        <v>94725.61</v>
      </c>
    </row>
    <row r="7" spans="1:6" ht="15" customHeight="1">
      <c r="A7" s="1418"/>
      <c r="B7" s="1418"/>
      <c r="C7" s="1418" t="s">
        <v>188</v>
      </c>
      <c r="D7" s="1418"/>
      <c r="E7" s="1418"/>
      <c r="F7" s="1431"/>
    </row>
    <row r="8" spans="1:6" ht="15" customHeight="1" thickBot="1">
      <c r="A8" s="1418"/>
      <c r="B8" s="1418"/>
      <c r="C8" s="1418"/>
      <c r="D8" s="1418" t="s">
        <v>2117</v>
      </c>
      <c r="E8" s="1418"/>
      <c r="F8" s="1429">
        <v>0</v>
      </c>
    </row>
    <row r="9" spans="1:6" ht="15" customHeight="1" thickBot="1">
      <c r="A9" s="1418"/>
      <c r="B9" s="1418"/>
      <c r="C9" s="1418" t="s">
        <v>2118</v>
      </c>
      <c r="D9" s="1418"/>
      <c r="E9" s="1418"/>
      <c r="F9" s="1430">
        <v>0</v>
      </c>
    </row>
    <row r="10" spans="1:6" ht="15" customHeight="1">
      <c r="A10" s="1418"/>
      <c r="B10" s="1418" t="s">
        <v>192</v>
      </c>
      <c r="C10" s="1418"/>
      <c r="D10" s="1418"/>
      <c r="E10" s="1418"/>
      <c r="F10" s="1419">
        <v>94725.61</v>
      </c>
    </row>
    <row r="11" spans="1:6" ht="15" customHeight="1">
      <c r="A11" s="1418"/>
      <c r="B11" s="1418" t="s">
        <v>2119</v>
      </c>
      <c r="C11" s="1418"/>
      <c r="D11" s="1418"/>
      <c r="E11" s="1418"/>
      <c r="F11" s="1431"/>
    </row>
    <row r="12" spans="1:6" ht="15" customHeight="1">
      <c r="A12" s="1418"/>
      <c r="B12" s="1418"/>
      <c r="C12" s="1418" t="s">
        <v>2120</v>
      </c>
      <c r="D12" s="1418"/>
      <c r="E12" s="1418"/>
      <c r="F12" s="1431"/>
    </row>
    <row r="13" spans="1:6" ht="15" customHeight="1">
      <c r="A13" s="1418"/>
      <c r="B13" s="1418"/>
      <c r="C13" s="1418"/>
      <c r="D13" s="1418" t="s">
        <v>2121</v>
      </c>
      <c r="E13" s="1418"/>
      <c r="F13" s="1431">
        <v>-21249.66</v>
      </c>
    </row>
    <row r="14" spans="1:6" ht="15" customHeight="1" thickBot="1">
      <c r="A14" s="1418"/>
      <c r="B14" s="1418"/>
      <c r="C14" s="1418"/>
      <c r="D14" s="1418" t="s">
        <v>2122</v>
      </c>
      <c r="E14" s="1418"/>
      <c r="F14" s="1432">
        <v>22000</v>
      </c>
    </row>
    <row r="15" spans="1:6" ht="15" customHeight="1">
      <c r="A15" s="1418"/>
      <c r="B15" s="1418"/>
      <c r="C15" s="1418" t="s">
        <v>2123</v>
      </c>
      <c r="D15" s="1418"/>
      <c r="E15" s="1418"/>
      <c r="F15" s="1431">
        <v>750.34</v>
      </c>
    </row>
    <row r="16" spans="1:6" ht="15" customHeight="1">
      <c r="A16" s="1418"/>
      <c r="B16" s="1418"/>
      <c r="C16" s="1418" t="s">
        <v>2124</v>
      </c>
      <c r="D16" s="1418"/>
      <c r="E16" s="1418"/>
      <c r="F16" s="1431"/>
    </row>
    <row r="17" spans="1:6" ht="15" customHeight="1">
      <c r="A17" s="1418"/>
      <c r="B17" s="1418"/>
      <c r="C17" s="1418"/>
      <c r="D17" s="1418" t="s">
        <v>2121</v>
      </c>
      <c r="E17" s="1418"/>
      <c r="F17" s="1431">
        <v>-2255.9</v>
      </c>
    </row>
    <row r="18" spans="1:6" ht="15" customHeight="1" thickBot="1">
      <c r="A18" s="1418"/>
      <c r="B18" s="1418"/>
      <c r="C18" s="1418"/>
      <c r="D18" s="1418" t="s">
        <v>2125</v>
      </c>
      <c r="E18" s="1418"/>
      <c r="F18" s="1429">
        <v>7300</v>
      </c>
    </row>
    <row r="19" spans="1:6" ht="15" customHeight="1" thickBot="1">
      <c r="A19" s="1418"/>
      <c r="B19" s="1418"/>
      <c r="C19" s="1418" t="s">
        <v>2126</v>
      </c>
      <c r="D19" s="1418"/>
      <c r="E19" s="1418"/>
      <c r="F19" s="1430">
        <v>5044.1000000000004</v>
      </c>
    </row>
    <row r="20" spans="1:6" ht="15" customHeight="1">
      <c r="A20" s="1418"/>
      <c r="B20" s="1418" t="s">
        <v>2127</v>
      </c>
      <c r="C20" s="1418"/>
      <c r="D20" s="1418"/>
      <c r="E20" s="1418"/>
      <c r="F20" s="1431">
        <v>5794.44</v>
      </c>
    </row>
    <row r="21" spans="1:6" ht="15" customHeight="1">
      <c r="A21" s="1418"/>
      <c r="B21" s="1418" t="s">
        <v>191</v>
      </c>
      <c r="C21" s="1418"/>
      <c r="D21" s="1418"/>
      <c r="E21" s="1418"/>
      <c r="F21" s="1431"/>
    </row>
    <row r="22" spans="1:6" ht="15" customHeight="1" thickBot="1">
      <c r="A22" s="1418"/>
      <c r="B22" s="1418"/>
      <c r="C22" s="1418" t="s">
        <v>2128</v>
      </c>
      <c r="D22" s="1418"/>
      <c r="E22" s="1418"/>
      <c r="F22" s="1429">
        <v>11116</v>
      </c>
    </row>
    <row r="23" spans="1:6" ht="15" customHeight="1">
      <c r="A23" s="1418"/>
      <c r="B23" s="1418" t="s">
        <v>2129</v>
      </c>
      <c r="C23" s="1418"/>
      <c r="D23" s="1418"/>
      <c r="E23" s="1418"/>
      <c r="F23" s="1433">
        <v>11116</v>
      </c>
    </row>
    <row r="24" spans="1:6" ht="15" customHeight="1" thickBot="1">
      <c r="A24" s="1418" t="s">
        <v>2130</v>
      </c>
      <c r="B24" s="1418"/>
      <c r="C24" s="1418"/>
      <c r="D24" s="1418"/>
      <c r="E24" s="1418"/>
      <c r="F24" s="1438">
        <v>111636.05</v>
      </c>
    </row>
    <row r="25" spans="1:6" ht="15" customHeight="1" thickTop="1">
      <c r="A25" s="1418" t="s">
        <v>2131</v>
      </c>
      <c r="B25" s="1418"/>
      <c r="C25" s="1418"/>
      <c r="D25" s="1418"/>
      <c r="E25" s="1418"/>
      <c r="F25" s="1419"/>
    </row>
    <row r="26" spans="1:6" ht="15" customHeight="1">
      <c r="A26" s="1418"/>
      <c r="B26" s="1418" t="s">
        <v>2132</v>
      </c>
      <c r="C26" s="1418"/>
      <c r="D26" s="1418"/>
      <c r="E26" s="1418"/>
      <c r="F26" s="1419"/>
    </row>
    <row r="27" spans="1:6" ht="15" customHeight="1">
      <c r="A27" s="1418"/>
      <c r="B27" s="1418"/>
      <c r="C27" s="1418" t="s">
        <v>195</v>
      </c>
      <c r="D27" s="1418"/>
      <c r="E27" s="1418"/>
      <c r="F27" s="1419"/>
    </row>
    <row r="28" spans="1:6" ht="15" customHeight="1">
      <c r="A28" s="1418"/>
      <c r="B28" s="1418"/>
      <c r="C28" s="1418"/>
      <c r="D28" s="1418" t="s">
        <v>196</v>
      </c>
      <c r="E28" s="1418"/>
      <c r="F28" s="1419"/>
    </row>
    <row r="29" spans="1:6" ht="15" customHeight="1" thickBot="1">
      <c r="A29" s="1418"/>
      <c r="B29" s="1418"/>
      <c r="C29" s="1418"/>
      <c r="D29" s="1418"/>
      <c r="E29" s="1418" t="s">
        <v>196</v>
      </c>
      <c r="F29" s="1421"/>
    </row>
    <row r="30" spans="1:6" ht="15" customHeight="1" thickBot="1">
      <c r="A30" s="1418"/>
      <c r="B30" s="1418"/>
      <c r="C30" s="1418"/>
      <c r="D30" s="1418" t="s">
        <v>2133</v>
      </c>
      <c r="E30" s="1418"/>
      <c r="F30" s="1423"/>
    </row>
    <row r="31" spans="1:6" ht="15" customHeight="1" thickBot="1">
      <c r="A31" s="1418"/>
      <c r="B31" s="1418"/>
      <c r="C31" s="1418"/>
      <c r="D31" s="1418" t="s">
        <v>199</v>
      </c>
      <c r="E31" s="1418"/>
      <c r="F31" s="1423"/>
    </row>
    <row r="32" spans="1:6" ht="15" customHeight="1" thickBot="1">
      <c r="A32" s="1418"/>
      <c r="B32" s="1418"/>
      <c r="C32" s="1418"/>
      <c r="D32" s="1418"/>
      <c r="E32" s="1418" t="s">
        <v>2204</v>
      </c>
      <c r="F32" s="1433">
        <v>116660</v>
      </c>
    </row>
    <row r="33" spans="1:6" ht="15" customHeight="1" thickBot="1">
      <c r="A33" s="1418"/>
      <c r="B33" s="1418"/>
      <c r="C33" s="1418"/>
      <c r="D33" s="1418" t="s">
        <v>2203</v>
      </c>
      <c r="E33" s="1418"/>
      <c r="F33" s="1433">
        <v>116660</v>
      </c>
    </row>
    <row r="34" spans="1:6" ht="15" customHeight="1" thickBot="1">
      <c r="A34" s="1418"/>
      <c r="B34" s="1418"/>
      <c r="C34" s="1418" t="s">
        <v>200</v>
      </c>
      <c r="D34" s="1418"/>
      <c r="E34" s="1418"/>
      <c r="F34" s="1430">
        <v>116660</v>
      </c>
    </row>
    <row r="35" spans="1:6" ht="15" customHeight="1">
      <c r="A35" s="1418"/>
      <c r="B35" s="1418" t="s">
        <v>204</v>
      </c>
      <c r="C35" s="1418"/>
      <c r="D35" s="1418"/>
      <c r="E35" s="1418"/>
      <c r="F35" s="1431">
        <v>116660</v>
      </c>
    </row>
    <row r="36" spans="1:6" ht="15" customHeight="1">
      <c r="A36" s="1418"/>
      <c r="B36" s="1418" t="s">
        <v>239</v>
      </c>
      <c r="C36" s="1418"/>
      <c r="D36" s="1418"/>
      <c r="E36" s="1418"/>
      <c r="F36" s="1419"/>
    </row>
    <row r="37" spans="1:6" ht="15" customHeight="1">
      <c r="A37" s="1418"/>
      <c r="B37" s="1418"/>
      <c r="C37" s="1418" t="s">
        <v>2195</v>
      </c>
      <c r="D37" s="1418"/>
      <c r="E37" s="1418"/>
      <c r="F37" s="1419">
        <v>2</v>
      </c>
    </row>
    <row r="38" spans="1:6" ht="15" customHeight="1">
      <c r="A38" s="1418"/>
      <c r="B38" s="1418"/>
      <c r="C38" s="1418" t="s">
        <v>212</v>
      </c>
      <c r="D38" s="1418"/>
      <c r="E38" s="1418"/>
      <c r="F38" s="1431">
        <v>-200010.12</v>
      </c>
    </row>
    <row r="39" spans="1:6" ht="15" customHeight="1">
      <c r="A39" s="1418"/>
      <c r="B39" s="1418"/>
      <c r="C39" s="1425" t="s">
        <v>2194</v>
      </c>
      <c r="D39" s="1418"/>
      <c r="E39" s="1418"/>
      <c r="F39" s="1429">
        <v>1235000</v>
      </c>
    </row>
    <row r="40" spans="1:6" ht="15" customHeight="1">
      <c r="A40" s="1418"/>
      <c r="B40" s="1418"/>
      <c r="C40" s="1418" t="s">
        <v>290</v>
      </c>
      <c r="D40" s="1418"/>
      <c r="E40" s="1418"/>
      <c r="F40" s="1429">
        <v>-1040015.83</v>
      </c>
    </row>
    <row r="41" spans="1:6" ht="15" customHeight="1">
      <c r="A41" s="1418"/>
      <c r="B41" s="1418" t="s">
        <v>506</v>
      </c>
      <c r="C41" s="1418"/>
      <c r="D41" s="1418"/>
      <c r="E41" s="1418"/>
      <c r="F41" s="1439">
        <v>-5023.95</v>
      </c>
    </row>
    <row r="42" spans="1:6" ht="15" customHeight="1" thickBot="1">
      <c r="A42" s="1418" t="s">
        <v>2135</v>
      </c>
      <c r="B42" s="1418"/>
      <c r="C42" s="1418"/>
      <c r="D42" s="1418"/>
      <c r="E42" s="1418"/>
      <c r="F42" s="1438">
        <v>111636.05</v>
      </c>
    </row>
    <row r="43" spans="1:6" ht="15" customHeight="1" thickTop="1"/>
    <row r="44" spans="1:6" ht="15" customHeight="1"/>
    <row r="45" spans="1:6" ht="15" customHeight="1"/>
    <row r="46" spans="1:6" ht="15" customHeight="1"/>
    <row r="47" spans="1:6" ht="15" customHeight="1"/>
    <row r="48" spans="1:6"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F101"/>
  <sheetViews>
    <sheetView workbookViewId="0"/>
  </sheetViews>
  <sheetFormatPr defaultRowHeight="15"/>
  <cols>
    <col min="1" max="4" width="3.5" style="1425" customWidth="1"/>
    <col min="5" max="5" width="48.1640625" style="1425" customWidth="1"/>
    <col min="6" max="6" width="15.83203125" style="1426" customWidth="1"/>
    <col min="7" max="16384" width="9.33203125" style="1417"/>
  </cols>
  <sheetData>
    <row r="1" spans="1:6" ht="15" customHeight="1" thickBot="1">
      <c r="A1" s="1415"/>
      <c r="B1" s="1415"/>
      <c r="C1" s="1415"/>
      <c r="D1" s="1415"/>
      <c r="E1" s="1415"/>
      <c r="F1" s="1416" t="s">
        <v>2201</v>
      </c>
    </row>
    <row r="2" spans="1:6" ht="15" customHeight="1" thickTop="1">
      <c r="A2" s="1418"/>
      <c r="B2" s="1418"/>
      <c r="C2" s="1418" t="s">
        <v>2179</v>
      </c>
      <c r="D2" s="1418"/>
      <c r="E2" s="1418"/>
      <c r="F2" s="1419"/>
    </row>
    <row r="3" spans="1:6" ht="15" customHeight="1">
      <c r="A3" s="1418"/>
      <c r="B3" s="1418"/>
      <c r="C3" s="1418"/>
      <c r="D3" s="1418" t="s">
        <v>290</v>
      </c>
      <c r="E3" s="1418"/>
      <c r="F3" s="1431">
        <v>-1040015.83</v>
      </c>
    </row>
    <row r="4" spans="1:6" ht="15" customHeight="1">
      <c r="A4" s="1418"/>
      <c r="B4" s="1418"/>
      <c r="C4" s="1418"/>
      <c r="D4" s="1418" t="s">
        <v>2180</v>
      </c>
      <c r="E4" s="1418"/>
      <c r="F4" s="1419"/>
    </row>
    <row r="5" spans="1:6" ht="15" customHeight="1">
      <c r="A5" s="1418"/>
      <c r="B5" s="1418"/>
      <c r="C5" s="1418"/>
      <c r="D5" s="1418" t="s">
        <v>2181</v>
      </c>
      <c r="E5" s="1418"/>
      <c r="F5" s="1419"/>
    </row>
    <row r="6" spans="1:6" ht="15" customHeight="1">
      <c r="A6" s="1418"/>
      <c r="B6" s="1418"/>
      <c r="C6" s="1418"/>
      <c r="D6" s="1418"/>
      <c r="E6" s="1418" t="s">
        <v>2117</v>
      </c>
      <c r="F6" s="1429">
        <v>116660</v>
      </c>
    </row>
    <row r="7" spans="1:6" ht="15" customHeight="1" thickBot="1">
      <c r="A7" s="1418"/>
      <c r="B7" s="1418"/>
      <c r="C7" s="1418"/>
      <c r="D7" s="1418"/>
      <c r="E7" s="1418" t="s">
        <v>196</v>
      </c>
      <c r="F7" s="1432">
        <v>0</v>
      </c>
    </row>
    <row r="8" spans="1:6" ht="15" customHeight="1">
      <c r="A8" s="1418"/>
      <c r="B8" s="1418"/>
      <c r="C8" s="1418" t="s">
        <v>2182</v>
      </c>
      <c r="D8" s="1418"/>
      <c r="E8" s="1418"/>
      <c r="F8" s="1431">
        <v>-923355.83</v>
      </c>
    </row>
    <row r="9" spans="1:6" ht="15" customHeight="1">
      <c r="A9" s="1418"/>
      <c r="B9" s="1418"/>
      <c r="C9" s="1418" t="s">
        <v>2183</v>
      </c>
      <c r="D9" s="1418"/>
      <c r="E9" s="1418"/>
      <c r="F9" s="1419"/>
    </row>
    <row r="10" spans="1:6" ht="15" customHeight="1">
      <c r="A10" s="1418"/>
      <c r="B10" s="1418"/>
      <c r="C10" s="1418"/>
      <c r="D10" s="1418" t="s">
        <v>2214</v>
      </c>
      <c r="E10" s="1418"/>
      <c r="F10" s="1431"/>
    </row>
    <row r="11" spans="1:6" ht="15" customHeight="1" thickBot="1">
      <c r="A11" s="1418"/>
      <c r="B11" s="1418"/>
      <c r="C11" s="1418"/>
      <c r="D11" s="1418" t="s">
        <v>2215</v>
      </c>
      <c r="E11" s="1418"/>
      <c r="F11" s="1420"/>
    </row>
    <row r="12" spans="1:6" ht="15" customHeight="1">
      <c r="A12" s="1418"/>
      <c r="B12" s="1418"/>
      <c r="C12" s="1418" t="s">
        <v>2184</v>
      </c>
      <c r="D12" s="1418"/>
      <c r="E12" s="1418"/>
      <c r="F12" s="1431"/>
    </row>
    <row r="13" spans="1:6" ht="15" customHeight="1">
      <c r="A13" s="1418"/>
      <c r="B13" s="1418"/>
      <c r="C13" s="1418" t="s">
        <v>2185</v>
      </c>
      <c r="D13" s="1418"/>
      <c r="E13" s="1418"/>
      <c r="F13" s="1419"/>
    </row>
    <row r="14" spans="1:6" ht="15" customHeight="1" thickBot="1">
      <c r="A14" s="1418"/>
      <c r="B14" s="1418"/>
      <c r="C14" s="1418"/>
      <c r="D14" s="1418" t="s">
        <v>2194</v>
      </c>
      <c r="E14" s="1418"/>
      <c r="F14" s="1429">
        <v>535000</v>
      </c>
    </row>
    <row r="15" spans="1:6" ht="15" customHeight="1" thickBot="1">
      <c r="A15" s="1418"/>
      <c r="B15" s="1418"/>
      <c r="C15" s="1418" t="s">
        <v>2187</v>
      </c>
      <c r="D15" s="1418"/>
      <c r="E15" s="1418"/>
      <c r="F15" s="1430">
        <v>535000</v>
      </c>
    </row>
    <row r="16" spans="1:6" ht="15" customHeight="1">
      <c r="A16" s="1418"/>
      <c r="B16" s="1418" t="s">
        <v>2188</v>
      </c>
      <c r="C16" s="1418"/>
      <c r="D16" s="1418"/>
      <c r="E16" s="1418"/>
      <c r="F16" s="1431"/>
    </row>
    <row r="17" spans="1:6" ht="15" customHeight="1" thickBot="1">
      <c r="A17" s="1418"/>
      <c r="B17" s="1418" t="s">
        <v>2189</v>
      </c>
      <c r="C17" s="1418"/>
      <c r="D17" s="1418"/>
      <c r="E17" s="1418"/>
      <c r="F17" s="1429">
        <v>483081.44</v>
      </c>
    </row>
    <row r="18" spans="1:6" ht="15" customHeight="1" thickBot="1">
      <c r="A18" s="1418" t="s">
        <v>2190</v>
      </c>
      <c r="B18" s="1418"/>
      <c r="C18" s="1418"/>
      <c r="D18" s="1418"/>
      <c r="E18" s="1418"/>
      <c r="F18" s="1437">
        <v>94725.61</v>
      </c>
    </row>
    <row r="19" spans="1:6" ht="15" customHeight="1" thickTop="1"/>
    <row r="20" spans="1:6" ht="15" customHeight="1"/>
    <row r="21" spans="1:6" ht="15" customHeight="1"/>
    <row r="22" spans="1:6" ht="15" customHeight="1"/>
    <row r="23" spans="1:6" ht="15" customHeight="1"/>
    <row r="24" spans="1:6" ht="15" customHeight="1"/>
    <row r="25" spans="1:6" ht="15" customHeight="1"/>
    <row r="26" spans="1:6" ht="15" customHeight="1"/>
    <row r="27" spans="1:6" ht="15" customHeight="1"/>
    <row r="28" spans="1:6" ht="15" customHeight="1"/>
    <row r="29" spans="1:6" ht="15" customHeight="1"/>
    <row r="30" spans="1:6" ht="15" customHeight="1"/>
    <row r="31" spans="1:6" ht="15" customHeight="1"/>
    <row r="32" spans="1:6"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sheetData>
  <pageMargins left="0.7" right="0.7" top="0.75" bottom="0.75" header="0.3" footer="0.3"/>
  <pageSetup paperSize="9"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75"/>
  <dimension ref="A1:G101"/>
  <sheetViews>
    <sheetView workbookViewId="0">
      <pane xSplit="6" ySplit="1" topLeftCell="G4" activePane="bottomRight" state="frozenSplit"/>
      <selection activeCell="G2" sqref="G2"/>
      <selection pane="topRight" activeCell="G2" sqref="G2"/>
      <selection pane="bottomLeft" activeCell="G2" sqref="G2"/>
      <selection pane="bottomRight" activeCell="G10" sqref="G10"/>
    </sheetView>
  </sheetViews>
  <sheetFormatPr defaultRowHeight="15"/>
  <cols>
    <col min="1" max="5" width="3.5" style="1425" customWidth="1"/>
    <col min="6" max="6" width="29.5" style="1425" customWidth="1"/>
    <col min="7" max="7" width="11.83203125" style="1426" bestFit="1" customWidth="1"/>
    <col min="8" max="16384" width="9.33203125" style="1417"/>
  </cols>
  <sheetData>
    <row r="1" spans="1:7" s="1427" customFormat="1" ht="15" customHeight="1" thickBot="1">
      <c r="A1" s="1415"/>
      <c r="B1" s="1415"/>
      <c r="C1" s="1415"/>
      <c r="D1" s="1415"/>
      <c r="E1" s="1415"/>
      <c r="F1" s="1415"/>
      <c r="G1" s="1416" t="s">
        <v>2200</v>
      </c>
    </row>
    <row r="2" spans="1:7" ht="15" customHeight="1" thickTop="1">
      <c r="A2" s="1418"/>
      <c r="B2" s="1418" t="s">
        <v>2137</v>
      </c>
      <c r="C2" s="1418"/>
      <c r="D2" s="1418"/>
      <c r="E2" s="1418"/>
      <c r="F2" s="1418"/>
      <c r="G2" s="1419"/>
    </row>
    <row r="3" spans="1:7" ht="15" customHeight="1">
      <c r="A3" s="1418"/>
      <c r="B3" s="1418"/>
      <c r="C3" s="1418"/>
      <c r="D3" s="1418" t="s">
        <v>2138</v>
      </c>
      <c r="E3" s="1418"/>
      <c r="F3" s="1418"/>
      <c r="G3" s="1419"/>
    </row>
    <row r="4" spans="1:7" ht="15" customHeight="1" thickBot="1">
      <c r="A4" s="1418"/>
      <c r="B4" s="1418"/>
      <c r="C4" s="1418"/>
      <c r="D4" s="1418"/>
      <c r="E4" s="1418" t="s">
        <v>2139</v>
      </c>
      <c r="F4" s="1418"/>
      <c r="G4" s="1429">
        <v>337590.01</v>
      </c>
    </row>
    <row r="5" spans="1:7" ht="15" customHeight="1" thickBot="1">
      <c r="A5" s="1418"/>
      <c r="B5" s="1418"/>
      <c r="C5" s="1418"/>
      <c r="D5" s="1418" t="s">
        <v>2140</v>
      </c>
      <c r="E5" s="1418"/>
      <c r="F5" s="1418"/>
      <c r="G5" s="1430">
        <v>337590.01</v>
      </c>
    </row>
    <row r="6" spans="1:7" ht="15" customHeight="1" thickBot="1">
      <c r="A6" s="1418"/>
      <c r="B6" s="1418"/>
      <c r="C6" s="1418" t="s">
        <v>160</v>
      </c>
      <c r="D6" s="1418"/>
      <c r="E6" s="1418"/>
      <c r="F6" s="1418"/>
      <c r="G6" s="1430">
        <v>337590.01</v>
      </c>
    </row>
    <row r="7" spans="1:7" ht="15" customHeight="1">
      <c r="A7" s="1418"/>
      <c r="B7" s="1418"/>
      <c r="C7" s="1418"/>
      <c r="D7" s="1418" t="s">
        <v>2141</v>
      </c>
      <c r="E7" s="1418"/>
      <c r="F7" s="1418"/>
      <c r="G7" s="1419"/>
    </row>
    <row r="8" spans="1:7" ht="15" customHeight="1">
      <c r="A8" s="1418"/>
      <c r="B8" s="1418"/>
      <c r="C8" s="1418"/>
      <c r="D8" s="1418"/>
      <c r="E8" s="1418" t="s">
        <v>2142</v>
      </c>
      <c r="F8" s="1418"/>
      <c r="G8" s="1431">
        <v>190.26</v>
      </c>
    </row>
    <row r="9" spans="1:7" ht="15" customHeight="1">
      <c r="A9" s="1418"/>
      <c r="B9" s="1418"/>
      <c r="C9" s="1418"/>
      <c r="D9" s="1418"/>
      <c r="E9" s="1418" t="s">
        <v>2143</v>
      </c>
      <c r="F9" s="1418"/>
      <c r="G9" s="1431">
        <v>6300</v>
      </c>
    </row>
    <row r="10" spans="1:7" ht="15" customHeight="1">
      <c r="A10" s="1418"/>
      <c r="B10" s="1418"/>
      <c r="C10" s="1418"/>
      <c r="D10" s="1418"/>
      <c r="E10" s="1418" t="s">
        <v>2144</v>
      </c>
      <c r="F10" s="1418"/>
      <c r="G10" s="1419">
        <v>5659.92</v>
      </c>
    </row>
    <row r="11" spans="1:7" ht="15" customHeight="1">
      <c r="A11" s="1418"/>
      <c r="B11" s="1418"/>
      <c r="C11" s="1418"/>
      <c r="D11" s="1418"/>
      <c r="E11" s="1418" t="s">
        <v>2145</v>
      </c>
      <c r="F11" s="1418"/>
      <c r="G11" s="1431">
        <v>667.51</v>
      </c>
    </row>
    <row r="12" spans="1:7" ht="15" customHeight="1">
      <c r="A12" s="1418"/>
      <c r="B12" s="1418"/>
      <c r="C12" s="1418"/>
      <c r="D12" s="1418"/>
      <c r="E12" s="1418" t="s">
        <v>2146</v>
      </c>
      <c r="F12" s="1418"/>
      <c r="G12" s="1419">
        <v>1462.8</v>
      </c>
    </row>
    <row r="13" spans="1:7" ht="15" customHeight="1">
      <c r="A13" s="1418"/>
      <c r="B13" s="1418"/>
      <c r="C13" s="1418"/>
      <c r="D13" s="1418"/>
      <c r="E13" s="1418" t="s">
        <v>2147</v>
      </c>
      <c r="F13" s="1418"/>
      <c r="G13" s="1419"/>
    </row>
    <row r="14" spans="1:7" ht="15" customHeight="1">
      <c r="A14" s="1418"/>
      <c r="B14" s="1418"/>
      <c r="C14" s="1418"/>
      <c r="D14" s="1418"/>
      <c r="E14" s="1418"/>
      <c r="F14" s="1418" t="s">
        <v>2148</v>
      </c>
      <c r="G14" s="1419">
        <v>603</v>
      </c>
    </row>
    <row r="15" spans="1:7" ht="15" customHeight="1">
      <c r="A15" s="1418"/>
      <c r="B15" s="1418"/>
      <c r="C15" s="1418"/>
      <c r="D15" s="1418"/>
      <c r="E15" s="1418"/>
      <c r="F15" s="1418" t="s">
        <v>2149</v>
      </c>
      <c r="G15" s="1431">
        <v>241</v>
      </c>
    </row>
    <row r="16" spans="1:7" ht="15" customHeight="1" thickBot="1">
      <c r="A16" s="1418"/>
      <c r="B16" s="1418"/>
      <c r="C16" s="1418"/>
      <c r="D16" s="1418"/>
      <c r="E16" s="1418"/>
      <c r="F16" s="1418" t="s">
        <v>2150</v>
      </c>
      <c r="G16" s="1420">
        <v>989</v>
      </c>
    </row>
    <row r="17" spans="1:7" ht="15" customHeight="1" thickBot="1">
      <c r="A17" s="1418"/>
      <c r="B17" s="1418"/>
      <c r="C17" s="1418"/>
      <c r="D17" s="1418"/>
      <c r="E17" s="1418" t="s">
        <v>2151</v>
      </c>
      <c r="F17" s="1418"/>
      <c r="G17" s="1430">
        <v>1833</v>
      </c>
    </row>
    <row r="18" spans="1:7" ht="15" customHeight="1">
      <c r="A18" s="1418"/>
      <c r="B18" s="1418"/>
      <c r="C18" s="1418"/>
      <c r="D18" s="1418"/>
      <c r="E18" s="1418" t="s">
        <v>2152</v>
      </c>
      <c r="F18" s="1418"/>
      <c r="G18" s="1419">
        <v>639</v>
      </c>
    </row>
    <row r="19" spans="1:7" ht="15" customHeight="1">
      <c r="A19" s="1418"/>
      <c r="B19" s="1418"/>
      <c r="C19" s="1418"/>
      <c r="D19" s="1418"/>
      <c r="E19" s="1425" t="s">
        <v>2193</v>
      </c>
      <c r="F19" s="1418"/>
      <c r="G19" s="1419">
        <v>23195.09</v>
      </c>
    </row>
    <row r="20" spans="1:7" ht="15" customHeight="1">
      <c r="A20" s="1418"/>
      <c r="B20" s="1418"/>
      <c r="C20" s="1418"/>
      <c r="D20" s="1418"/>
      <c r="E20" s="1418" t="s">
        <v>2153</v>
      </c>
      <c r="F20" s="1418"/>
      <c r="G20" s="1431">
        <v>0</v>
      </c>
    </row>
    <row r="21" spans="1:7" ht="15" customHeight="1">
      <c r="A21" s="1418"/>
      <c r="B21" s="1418"/>
      <c r="C21" s="1418"/>
      <c r="D21" s="1418"/>
      <c r="E21" s="1418" t="s">
        <v>2154</v>
      </c>
      <c r="F21" s="1418"/>
      <c r="G21" s="1419">
        <v>630</v>
      </c>
    </row>
    <row r="22" spans="1:7" ht="15" customHeight="1">
      <c r="A22" s="1418"/>
      <c r="B22" s="1418"/>
      <c r="C22" s="1418"/>
      <c r="D22" s="1418"/>
      <c r="E22" s="1418" t="s">
        <v>2155</v>
      </c>
      <c r="F22" s="1418"/>
      <c r="G22" s="1431">
        <v>7225.23</v>
      </c>
    </row>
    <row r="23" spans="1:7" ht="15" customHeight="1">
      <c r="A23" s="1418"/>
      <c r="B23" s="1418"/>
      <c r="C23" s="1418"/>
      <c r="D23" s="1418"/>
      <c r="E23" s="1418" t="s">
        <v>2156</v>
      </c>
      <c r="F23" s="1418"/>
      <c r="G23" s="1431">
        <v>951.53</v>
      </c>
    </row>
    <row r="24" spans="1:7" ht="15" customHeight="1">
      <c r="A24" s="1418"/>
      <c r="B24" s="1418"/>
      <c r="C24" s="1418"/>
      <c r="D24" s="1418"/>
      <c r="E24" s="1418" t="s">
        <v>2157</v>
      </c>
      <c r="F24" s="1418"/>
      <c r="G24" s="1419">
        <v>207552.53</v>
      </c>
    </row>
    <row r="25" spans="1:7" ht="15" customHeight="1">
      <c r="A25" s="1418"/>
      <c r="B25" s="1418"/>
      <c r="C25" s="1418"/>
      <c r="D25" s="1418"/>
      <c r="E25" s="1418" t="s">
        <v>2158</v>
      </c>
      <c r="F25" s="1418"/>
      <c r="G25" s="1431">
        <v>24048.18</v>
      </c>
    </row>
    <row r="26" spans="1:7" ht="15" customHeight="1">
      <c r="A26" s="1418"/>
      <c r="B26" s="1418"/>
      <c r="C26" s="1418"/>
      <c r="D26" s="1418"/>
      <c r="E26" s="1418" t="s">
        <v>2196</v>
      </c>
      <c r="F26" s="1418"/>
      <c r="G26" s="1431">
        <v>184.78</v>
      </c>
    </row>
    <row r="27" spans="1:7" ht="15" customHeight="1">
      <c r="A27" s="1418"/>
      <c r="B27" s="1418"/>
      <c r="C27" s="1418"/>
      <c r="D27" s="1418"/>
      <c r="E27" s="1418" t="s">
        <v>2159</v>
      </c>
      <c r="F27" s="1418"/>
      <c r="G27" s="1431"/>
    </row>
    <row r="28" spans="1:7" ht="15" customHeight="1">
      <c r="A28" s="1418"/>
      <c r="B28" s="1418"/>
      <c r="C28" s="1418"/>
      <c r="D28" s="1418"/>
      <c r="E28" s="1418"/>
      <c r="F28" s="1418" t="s">
        <v>2160</v>
      </c>
      <c r="G28" s="1429">
        <v>6116.5</v>
      </c>
    </row>
    <row r="29" spans="1:7" ht="15" customHeight="1" thickBot="1">
      <c r="A29" s="1418"/>
      <c r="B29" s="1418"/>
      <c r="C29" s="1418"/>
      <c r="D29" s="1418"/>
      <c r="E29" s="1418"/>
      <c r="F29" s="1418" t="s">
        <v>2161</v>
      </c>
      <c r="G29" s="1431">
        <v>7815</v>
      </c>
    </row>
    <row r="30" spans="1:7" ht="15" customHeight="1" thickBot="1">
      <c r="A30" s="1418"/>
      <c r="B30" s="1418"/>
      <c r="C30" s="1418"/>
      <c r="D30" s="1418"/>
      <c r="E30" s="1418" t="s">
        <v>2162</v>
      </c>
      <c r="F30" s="1418"/>
      <c r="G30" s="1430">
        <v>13931.5</v>
      </c>
    </row>
    <row r="31" spans="1:7" ht="15" customHeight="1">
      <c r="A31" s="1418"/>
      <c r="B31" s="1418"/>
      <c r="C31" s="1418"/>
      <c r="D31" s="1418"/>
      <c r="E31" s="1418" t="s">
        <v>2163</v>
      </c>
      <c r="F31" s="1418"/>
      <c r="G31" s="1431">
        <v>142102.57</v>
      </c>
    </row>
    <row r="32" spans="1:7" ht="15" customHeight="1">
      <c r="A32" s="1418"/>
      <c r="B32" s="1418"/>
      <c r="C32" s="1418"/>
      <c r="D32" s="1418"/>
      <c r="E32" s="1418" t="s">
        <v>2164</v>
      </c>
      <c r="F32" s="1418"/>
      <c r="G32" s="1419">
        <v>126758.77</v>
      </c>
    </row>
    <row r="33" spans="1:7" ht="15" customHeight="1">
      <c r="A33" s="1418"/>
      <c r="B33" s="1418"/>
      <c r="C33" s="1418"/>
      <c r="D33" s="1418"/>
      <c r="E33" s="1418" t="s">
        <v>2197</v>
      </c>
      <c r="F33" s="1418"/>
      <c r="G33" s="1431"/>
    </row>
    <row r="34" spans="1:7" ht="15" customHeight="1">
      <c r="A34" s="1418"/>
      <c r="B34" s="1418"/>
      <c r="C34" s="1418"/>
      <c r="D34" s="1418"/>
      <c r="E34" s="1418"/>
      <c r="F34" s="1418" t="s">
        <v>2213</v>
      </c>
      <c r="G34" s="1431">
        <v>8785.4599999999991</v>
      </c>
    </row>
    <row r="35" spans="1:7" ht="15" customHeight="1" thickBot="1">
      <c r="A35" s="1418"/>
      <c r="B35" s="1418"/>
      <c r="C35" s="1418"/>
      <c r="D35" s="1418"/>
      <c r="E35" s="1418"/>
      <c r="F35" s="1418" t="s">
        <v>2192</v>
      </c>
      <c r="G35" s="1431">
        <v>100</v>
      </c>
    </row>
    <row r="36" spans="1:7" ht="15" customHeight="1" thickBot="1">
      <c r="A36" s="1418"/>
      <c r="B36" s="1418"/>
      <c r="C36" s="1418"/>
      <c r="D36" s="1418"/>
      <c r="E36" s="1418" t="s">
        <v>2191</v>
      </c>
      <c r="F36" s="1418"/>
      <c r="G36" s="1422">
        <v>8885.4599999999991</v>
      </c>
    </row>
    <row r="37" spans="1:7" ht="15" customHeight="1">
      <c r="A37" s="1418"/>
      <c r="B37" s="1418"/>
      <c r="C37" s="1418"/>
      <c r="D37" s="1418"/>
      <c r="E37" s="1418" t="s">
        <v>2165</v>
      </c>
      <c r="F37" s="1418"/>
      <c r="G37" s="1421">
        <v>1434.86</v>
      </c>
    </row>
    <row r="38" spans="1:7" ht="15" customHeight="1">
      <c r="A38" s="1418"/>
      <c r="B38" s="1418"/>
      <c r="C38" s="1418"/>
      <c r="D38" s="1418"/>
      <c r="E38" s="1418" t="s">
        <v>2166</v>
      </c>
      <c r="F38" s="1418"/>
      <c r="G38" s="1429">
        <v>1912.98</v>
      </c>
    </row>
    <row r="39" spans="1:7" ht="15" customHeight="1" thickBot="1">
      <c r="A39" s="1418"/>
      <c r="B39" s="1418"/>
      <c r="C39" s="1418"/>
      <c r="D39" s="1418"/>
      <c r="E39" s="1418" t="s">
        <v>2198</v>
      </c>
      <c r="F39" s="1418"/>
      <c r="G39" s="1432">
        <v>285</v>
      </c>
    </row>
    <row r="40" spans="1:7" ht="15" customHeight="1">
      <c r="A40" s="1418"/>
      <c r="B40" s="1418"/>
      <c r="C40" s="1418"/>
      <c r="D40" s="1418"/>
      <c r="E40" s="1418" t="s">
        <v>2167</v>
      </c>
      <c r="F40" s="1418"/>
      <c r="G40" s="1429"/>
    </row>
    <row r="41" spans="1:7" ht="15" customHeight="1">
      <c r="A41" s="1418"/>
      <c r="B41" s="1418"/>
      <c r="C41" s="1418"/>
      <c r="D41" s="1418"/>
      <c r="E41" s="1418"/>
      <c r="F41" s="1418" t="s">
        <v>2168</v>
      </c>
      <c r="G41" s="1431">
        <v>147.02000000000001</v>
      </c>
    </row>
    <row r="42" spans="1:7" ht="15" customHeight="1">
      <c r="A42" s="1418"/>
      <c r="B42" s="1418"/>
      <c r="C42" s="1418"/>
      <c r="D42" s="1418"/>
      <c r="E42" s="1418"/>
      <c r="F42" s="1418" t="s">
        <v>2169</v>
      </c>
      <c r="G42" s="1431">
        <v>1514.52</v>
      </c>
    </row>
    <row r="43" spans="1:7" ht="15" customHeight="1">
      <c r="A43" s="1418"/>
      <c r="B43" s="1418"/>
      <c r="C43" s="1418"/>
      <c r="D43" s="1418"/>
      <c r="E43" s="1418"/>
      <c r="F43" s="1418" t="s">
        <v>2170</v>
      </c>
      <c r="G43" s="1431">
        <v>0</v>
      </c>
    </row>
    <row r="44" spans="1:7" ht="15" customHeight="1">
      <c r="A44" s="1418"/>
      <c r="B44" s="1418"/>
      <c r="C44" s="1418"/>
      <c r="D44" s="1418"/>
      <c r="E44" s="1418" t="s">
        <v>2171</v>
      </c>
      <c r="F44" s="1418"/>
      <c r="G44" s="1431">
        <v>1661.54</v>
      </c>
    </row>
    <row r="45" spans="1:7" ht="15" customHeight="1" thickBot="1">
      <c r="A45" s="1418"/>
      <c r="B45" s="1418"/>
      <c r="C45" s="1418"/>
      <c r="D45" s="1418" t="s">
        <v>2172</v>
      </c>
      <c r="E45" s="1418"/>
      <c r="F45" s="1418"/>
      <c r="G45" s="1421">
        <v>577512.51</v>
      </c>
    </row>
    <row r="46" spans="1:7" s="1428" customFormat="1" ht="15" customHeight="1">
      <c r="A46" s="1418"/>
      <c r="B46" s="1418" t="s">
        <v>2173</v>
      </c>
      <c r="C46" s="1418"/>
      <c r="D46" s="1418"/>
      <c r="E46" s="1418"/>
      <c r="F46" s="1418"/>
      <c r="G46" s="1423">
        <v>-239922.5</v>
      </c>
    </row>
    <row r="47" spans="1:7" ht="15" customHeight="1" thickBot="1">
      <c r="A47" s="1418"/>
      <c r="B47" s="1418" t="s">
        <v>2174</v>
      </c>
      <c r="C47" s="1418"/>
      <c r="D47" s="1418"/>
      <c r="E47" s="1418"/>
      <c r="F47" s="1418"/>
      <c r="G47" s="1417"/>
    </row>
    <row r="48" spans="1:7" ht="15" customHeight="1" thickBot="1">
      <c r="A48" s="1418"/>
      <c r="B48" s="1418"/>
      <c r="C48" s="1418" t="s">
        <v>2175</v>
      </c>
      <c r="D48" s="1418"/>
      <c r="E48" s="1418"/>
      <c r="F48" s="1418"/>
      <c r="G48" s="1424"/>
    </row>
    <row r="49" spans="1:7" ht="15" customHeight="1" thickTop="1">
      <c r="A49" s="1418"/>
      <c r="B49" s="1418"/>
      <c r="C49" s="1418"/>
      <c r="D49" s="1418" t="s">
        <v>2176</v>
      </c>
      <c r="E49" s="1418"/>
      <c r="F49" s="1418"/>
      <c r="G49" s="1426">
        <v>0</v>
      </c>
    </row>
    <row r="50" spans="1:7" ht="15" customHeight="1">
      <c r="A50" s="1418"/>
      <c r="B50" s="1418"/>
      <c r="C50" s="1418" t="s">
        <v>2177</v>
      </c>
      <c r="D50" s="1418"/>
      <c r="E50" s="1418"/>
      <c r="F50" s="1418"/>
      <c r="G50" s="1426">
        <v>0</v>
      </c>
    </row>
    <row r="51" spans="1:7" ht="15" customHeight="1" thickBot="1">
      <c r="A51" s="1418"/>
      <c r="B51" s="1418" t="s">
        <v>2178</v>
      </c>
      <c r="C51" s="1418"/>
      <c r="D51" s="1418"/>
      <c r="E51" s="1418"/>
      <c r="F51" s="1418"/>
      <c r="G51" s="1426">
        <v>0</v>
      </c>
    </row>
    <row r="52" spans="1:7" ht="15" customHeight="1">
      <c r="A52" s="1418" t="s">
        <v>290</v>
      </c>
      <c r="B52" s="1418"/>
      <c r="C52" s="1418"/>
      <c r="D52" s="1418"/>
      <c r="E52" s="1418"/>
      <c r="F52" s="1418"/>
      <c r="G52" s="1423">
        <v>-239922.5</v>
      </c>
    </row>
    <row r="53" spans="1:7" ht="15" customHeight="1"/>
    <row r="54" spans="1:7" ht="15" customHeight="1"/>
    <row r="55" spans="1:7" ht="15" customHeight="1"/>
    <row r="56" spans="1:7" ht="15" customHeight="1"/>
    <row r="57" spans="1:7" ht="15" customHeight="1"/>
    <row r="58" spans="1:7" ht="15" customHeight="1"/>
    <row r="59" spans="1:7" ht="15" customHeight="1"/>
    <row r="60" spans="1:7" ht="15" customHeight="1"/>
    <row r="61" spans="1:7" ht="15" customHeight="1"/>
    <row r="62" spans="1:7" ht="15" customHeight="1"/>
    <row r="63" spans="1:7" ht="15" customHeight="1"/>
    <row r="64" spans="1:7"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sheetData>
  <pageMargins left="0.7" right="0.7" top="0.75" bottom="0.75" header="0.1" footer="0.3"/>
  <pageSetup orientation="portrait" horizontalDpi="4294967293" verticalDpi="4294967293" r:id="rId1"/>
  <headerFooter>
    <oddHeader>&amp;L&amp;"Arial,Bold"&amp;8 1:25 PM
&amp;"Arial,Bold"&amp;8 10/16/16
&amp;"Arial,Bold"&amp;8 Accrual Basis&amp;C&amp;"Arial,Bold"&amp;12 Medikine, Inc.
&amp;"Arial,Bold"&amp;14 Profit &amp;&amp; Loss
&amp;"Arial,Bold"&amp;10 January through December 2015</oddHeader>
    <oddFooter>&amp;R&amp;"Arial,Bold"&amp;8 Page &amp;P of &amp;N</oddFooter>
  </headerFooter>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dimension ref="A1:F101"/>
  <sheetViews>
    <sheetView topLeftCell="A23" workbookViewId="0">
      <selection activeCell="F37" sqref="F37"/>
    </sheetView>
  </sheetViews>
  <sheetFormatPr defaultRowHeight="15"/>
  <cols>
    <col min="1" max="4" width="3.5" style="1425" customWidth="1"/>
    <col min="5" max="5" width="29.83203125" style="1425" customWidth="1"/>
    <col min="6" max="6" width="10.83203125" style="1426" bestFit="1" customWidth="1"/>
    <col min="7" max="16384" width="9.33203125" style="1417"/>
  </cols>
  <sheetData>
    <row r="1" spans="1:6" ht="15" customHeight="1" thickBot="1">
      <c r="A1" s="1415"/>
      <c r="B1" s="1415"/>
      <c r="C1" s="1415"/>
      <c r="D1" s="1415"/>
      <c r="E1" s="1415"/>
      <c r="F1" s="1416" t="s">
        <v>2199</v>
      </c>
    </row>
    <row r="2" spans="1:6" ht="15" customHeight="1" thickTop="1">
      <c r="A2" s="1418" t="s">
        <v>2113</v>
      </c>
      <c r="B2" s="1418"/>
      <c r="C2" s="1418"/>
      <c r="D2" s="1418"/>
      <c r="E2" s="1418"/>
      <c r="F2" s="1419"/>
    </row>
    <row r="3" spans="1:6" ht="15" customHeight="1">
      <c r="A3" s="1418"/>
      <c r="B3" s="1418" t="s">
        <v>183</v>
      </c>
      <c r="C3" s="1418"/>
      <c r="D3" s="1418"/>
      <c r="E3" s="1418"/>
      <c r="F3" s="1419"/>
    </row>
    <row r="4" spans="1:6" ht="15" customHeight="1">
      <c r="A4" s="1418"/>
      <c r="B4" s="1418"/>
      <c r="C4" s="1418" t="s">
        <v>2114</v>
      </c>
      <c r="D4" s="1418"/>
      <c r="E4" s="1418"/>
      <c r="F4" s="1419"/>
    </row>
    <row r="5" spans="1:6" ht="15" customHeight="1" thickBot="1">
      <c r="A5" s="1418"/>
      <c r="B5" s="1418"/>
      <c r="C5" s="1418"/>
      <c r="D5" s="1418" t="s">
        <v>2115</v>
      </c>
      <c r="E5" s="1418"/>
      <c r="F5" s="1432">
        <v>483081.44</v>
      </c>
    </row>
    <row r="6" spans="1:6" ht="15" customHeight="1">
      <c r="A6" s="1418"/>
      <c r="B6" s="1418"/>
      <c r="C6" s="1418" t="s">
        <v>2116</v>
      </c>
      <c r="D6" s="1418"/>
      <c r="E6" s="1418"/>
      <c r="F6" s="1431">
        <v>483081.44</v>
      </c>
    </row>
    <row r="7" spans="1:6" ht="15" customHeight="1">
      <c r="A7" s="1418"/>
      <c r="B7" s="1418"/>
      <c r="C7" s="1418" t="s">
        <v>188</v>
      </c>
      <c r="D7" s="1418"/>
      <c r="E7" s="1418"/>
      <c r="F7" s="1431"/>
    </row>
    <row r="8" spans="1:6" ht="15" customHeight="1" thickBot="1">
      <c r="A8" s="1418"/>
      <c r="B8" s="1418"/>
      <c r="C8" s="1418"/>
      <c r="D8" s="1418" t="s">
        <v>2117</v>
      </c>
      <c r="E8" s="1418"/>
      <c r="F8" s="1429">
        <v>0</v>
      </c>
    </row>
    <row r="9" spans="1:6" ht="15" customHeight="1" thickBot="1">
      <c r="A9" s="1418"/>
      <c r="B9" s="1418"/>
      <c r="C9" s="1418" t="s">
        <v>2118</v>
      </c>
      <c r="D9" s="1418"/>
      <c r="E9" s="1418"/>
      <c r="F9" s="1430">
        <v>0</v>
      </c>
    </row>
    <row r="10" spans="1:6" ht="15" customHeight="1">
      <c r="A10" s="1418"/>
      <c r="B10" s="1418" t="s">
        <v>192</v>
      </c>
      <c r="C10" s="1418"/>
      <c r="D10" s="1418"/>
      <c r="E10" s="1418"/>
      <c r="F10" s="1419">
        <v>483081.44</v>
      </c>
    </row>
    <row r="11" spans="1:6" ht="15" customHeight="1">
      <c r="A11" s="1418"/>
      <c r="B11" s="1418" t="s">
        <v>2119</v>
      </c>
      <c r="C11" s="1418"/>
      <c r="D11" s="1418"/>
      <c r="E11" s="1418"/>
      <c r="F11" s="1431"/>
    </row>
    <row r="12" spans="1:6" ht="15" customHeight="1">
      <c r="A12" s="1418"/>
      <c r="B12" s="1418"/>
      <c r="C12" s="1418" t="s">
        <v>2120</v>
      </c>
      <c r="D12" s="1418"/>
      <c r="E12" s="1418"/>
      <c r="F12" s="1431"/>
    </row>
    <row r="13" spans="1:6" ht="15" customHeight="1">
      <c r="A13" s="1418"/>
      <c r="B13" s="1418"/>
      <c r="C13" s="1418"/>
      <c r="D13" s="1418" t="s">
        <v>2121</v>
      </c>
      <c r="E13" s="1418"/>
      <c r="F13" s="1431">
        <v>-21249.66</v>
      </c>
    </row>
    <row r="14" spans="1:6" ht="15" customHeight="1" thickBot="1">
      <c r="A14" s="1418"/>
      <c r="B14" s="1418"/>
      <c r="C14" s="1418"/>
      <c r="D14" s="1418" t="s">
        <v>2122</v>
      </c>
      <c r="E14" s="1418"/>
      <c r="F14" s="1432">
        <v>22000</v>
      </c>
    </row>
    <row r="15" spans="1:6" ht="15" customHeight="1">
      <c r="A15" s="1418"/>
      <c r="B15" s="1418"/>
      <c r="C15" s="1418" t="s">
        <v>2123</v>
      </c>
      <c r="D15" s="1418"/>
      <c r="E15" s="1418"/>
      <c r="F15" s="1431">
        <v>750.34</v>
      </c>
    </row>
    <row r="16" spans="1:6" ht="15" customHeight="1">
      <c r="A16" s="1418"/>
      <c r="B16" s="1418"/>
      <c r="C16" s="1418" t="s">
        <v>2124</v>
      </c>
      <c r="D16" s="1418"/>
      <c r="E16" s="1418"/>
      <c r="F16" s="1431"/>
    </row>
    <row r="17" spans="1:6" ht="15" customHeight="1">
      <c r="A17" s="1418"/>
      <c r="B17" s="1418"/>
      <c r="C17" s="1418"/>
      <c r="D17" s="1418" t="s">
        <v>2121</v>
      </c>
      <c r="E17" s="1418"/>
      <c r="F17" s="1431">
        <v>-2255.9</v>
      </c>
    </row>
    <row r="18" spans="1:6" ht="15" customHeight="1" thickBot="1">
      <c r="A18" s="1418"/>
      <c r="B18" s="1418"/>
      <c r="C18" s="1418"/>
      <c r="D18" s="1418" t="s">
        <v>2125</v>
      </c>
      <c r="E18" s="1418"/>
      <c r="F18" s="1421">
        <v>7300</v>
      </c>
    </row>
    <row r="19" spans="1:6" ht="15" customHeight="1" thickBot="1">
      <c r="A19" s="1418"/>
      <c r="B19" s="1418"/>
      <c r="C19" s="1418" t="s">
        <v>2126</v>
      </c>
      <c r="D19" s="1418"/>
      <c r="E19" s="1418"/>
      <c r="F19" s="1430">
        <v>5044.1000000000004</v>
      </c>
    </row>
    <row r="20" spans="1:6" ht="15" customHeight="1">
      <c r="A20" s="1418"/>
      <c r="B20" s="1418" t="s">
        <v>2127</v>
      </c>
      <c r="C20" s="1418"/>
      <c r="D20" s="1418"/>
      <c r="E20" s="1418"/>
      <c r="F20" s="1431">
        <v>5794.44</v>
      </c>
    </row>
    <row r="21" spans="1:6" ht="15" customHeight="1">
      <c r="A21" s="1418"/>
      <c r="B21" s="1418" t="s">
        <v>191</v>
      </c>
      <c r="C21" s="1418"/>
      <c r="D21" s="1418"/>
      <c r="E21" s="1418"/>
      <c r="F21" s="1431"/>
    </row>
    <row r="22" spans="1:6" ht="15" customHeight="1" thickBot="1">
      <c r="A22" s="1418"/>
      <c r="B22" s="1418"/>
      <c r="C22" s="1418" t="s">
        <v>2128</v>
      </c>
      <c r="D22" s="1418"/>
      <c r="E22" s="1418"/>
      <c r="F22" s="1429">
        <v>11116</v>
      </c>
    </row>
    <row r="23" spans="1:6" ht="15" customHeight="1">
      <c r="A23" s="1418"/>
      <c r="B23" s="1418" t="s">
        <v>2129</v>
      </c>
      <c r="C23" s="1418"/>
      <c r="D23" s="1418"/>
      <c r="E23" s="1418"/>
      <c r="F23" s="1433">
        <v>11116</v>
      </c>
    </row>
    <row r="24" spans="1:6" ht="15" customHeight="1" thickBot="1">
      <c r="A24" s="1418" t="s">
        <v>2130</v>
      </c>
      <c r="B24" s="1418"/>
      <c r="C24" s="1418"/>
      <c r="D24" s="1418"/>
      <c r="E24" s="1418"/>
      <c r="F24" s="1436">
        <v>499991.88</v>
      </c>
    </row>
    <row r="25" spans="1:6" ht="15" customHeight="1" thickTop="1">
      <c r="A25" s="1418" t="s">
        <v>2131</v>
      </c>
      <c r="B25" s="1418"/>
      <c r="C25" s="1418"/>
      <c r="D25" s="1418"/>
      <c r="E25" s="1418"/>
      <c r="F25" s="1419"/>
    </row>
    <row r="26" spans="1:6" ht="15" customHeight="1">
      <c r="A26" s="1418"/>
      <c r="B26" s="1418" t="s">
        <v>2132</v>
      </c>
      <c r="C26" s="1418"/>
      <c r="D26" s="1418"/>
      <c r="E26" s="1418"/>
      <c r="F26" s="1419"/>
    </row>
    <row r="27" spans="1:6" ht="15" customHeight="1">
      <c r="A27" s="1418"/>
      <c r="B27" s="1418"/>
      <c r="C27" s="1418" t="s">
        <v>195</v>
      </c>
      <c r="D27" s="1418"/>
      <c r="E27" s="1418"/>
      <c r="F27" s="1419"/>
    </row>
    <row r="28" spans="1:6" ht="15" customHeight="1">
      <c r="A28" s="1418"/>
      <c r="B28" s="1418"/>
      <c r="C28" s="1418"/>
      <c r="D28" s="1418" t="s">
        <v>196</v>
      </c>
      <c r="E28" s="1418"/>
      <c r="F28" s="1419"/>
    </row>
    <row r="29" spans="1:6" ht="15" customHeight="1" thickBot="1">
      <c r="A29" s="1418"/>
      <c r="B29" s="1418"/>
      <c r="C29" s="1418"/>
      <c r="D29" s="1418"/>
      <c r="E29" s="1418" t="s">
        <v>196</v>
      </c>
      <c r="F29" s="1421">
        <v>0</v>
      </c>
    </row>
    <row r="30" spans="1:6" ht="15" customHeight="1" thickBot="1">
      <c r="A30" s="1418"/>
      <c r="B30" s="1418"/>
      <c r="C30" s="1418"/>
      <c r="D30" s="1418" t="s">
        <v>2133</v>
      </c>
      <c r="E30" s="1418"/>
      <c r="F30" s="1423">
        <v>0</v>
      </c>
    </row>
    <row r="31" spans="1:6" ht="15" customHeight="1" thickBot="1">
      <c r="A31" s="1418"/>
      <c r="B31" s="1418"/>
      <c r="C31" s="1418" t="s">
        <v>200</v>
      </c>
      <c r="D31" s="1418"/>
      <c r="E31" s="1418"/>
      <c r="F31" s="1422">
        <v>0</v>
      </c>
    </row>
    <row r="32" spans="1:6" ht="15" customHeight="1">
      <c r="A32" s="1418"/>
      <c r="B32" s="1418" t="s">
        <v>204</v>
      </c>
      <c r="C32" s="1418"/>
      <c r="D32" s="1418"/>
      <c r="E32" s="1418"/>
      <c r="F32" s="1419">
        <v>0</v>
      </c>
    </row>
    <row r="33" spans="1:6" ht="15" customHeight="1">
      <c r="A33" s="1418"/>
      <c r="B33" s="1418" t="s">
        <v>239</v>
      </c>
      <c r="C33" s="1418"/>
      <c r="D33" s="1418"/>
      <c r="E33" s="1418"/>
      <c r="F33" s="1419"/>
    </row>
    <row r="34" spans="1:6" ht="15" customHeight="1">
      <c r="A34" s="1418"/>
      <c r="B34" s="1418"/>
      <c r="C34" s="1418" t="s">
        <v>2195</v>
      </c>
      <c r="D34" s="1418"/>
      <c r="E34" s="1418"/>
      <c r="F34" s="1419">
        <v>2</v>
      </c>
    </row>
    <row r="35" spans="1:6" ht="15" customHeight="1">
      <c r="A35" s="1418"/>
      <c r="B35" s="1418"/>
      <c r="C35" s="1418" t="s">
        <v>212</v>
      </c>
      <c r="D35" s="1418"/>
      <c r="E35" s="1418"/>
      <c r="F35" s="1419">
        <v>39912.379999999997</v>
      </c>
    </row>
    <row r="36" spans="1:6" ht="15" customHeight="1">
      <c r="A36" s="1418"/>
      <c r="B36" s="1418"/>
      <c r="C36" s="1425" t="s">
        <v>2194</v>
      </c>
      <c r="D36" s="1418"/>
      <c r="E36" s="1418"/>
      <c r="F36" s="1421">
        <v>700000</v>
      </c>
    </row>
    <row r="37" spans="1:6" ht="15" customHeight="1">
      <c r="A37" s="1418"/>
      <c r="B37" s="1418"/>
      <c r="C37" s="1418" t="s">
        <v>290</v>
      </c>
      <c r="D37" s="1418"/>
      <c r="E37" s="1418"/>
      <c r="F37" s="1421">
        <v>-239922.5</v>
      </c>
    </row>
    <row r="38" spans="1:6" ht="15" customHeight="1">
      <c r="A38" s="1418"/>
      <c r="B38" s="1418" t="s">
        <v>506</v>
      </c>
      <c r="C38" s="1418"/>
      <c r="D38" s="1418"/>
      <c r="E38" s="1418"/>
      <c r="F38" s="1435">
        <v>499991.88</v>
      </c>
    </row>
    <row r="39" spans="1:6" ht="15" customHeight="1" thickBot="1">
      <c r="A39" s="1418" t="s">
        <v>2135</v>
      </c>
      <c r="B39" s="1418"/>
      <c r="C39" s="1418"/>
      <c r="D39" s="1418"/>
      <c r="E39" s="1418"/>
      <c r="F39" s="1436">
        <v>499991.88</v>
      </c>
    </row>
    <row r="40" spans="1:6" ht="15" customHeight="1" thickTop="1"/>
    <row r="41" spans="1:6" ht="15" customHeight="1"/>
    <row r="42" spans="1:6" ht="15" customHeight="1"/>
    <row r="43" spans="1:6" ht="15" customHeight="1"/>
    <row r="44" spans="1:6" ht="15" customHeight="1"/>
    <row r="45" spans="1:6" ht="15" customHeight="1"/>
    <row r="46" spans="1:6" ht="15" customHeight="1"/>
    <row r="47" spans="1:6" ht="15" customHeight="1"/>
    <row r="48" spans="1:6"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dimension ref="A1:F101"/>
  <sheetViews>
    <sheetView workbookViewId="0">
      <selection activeCell="G2" sqref="G2"/>
    </sheetView>
  </sheetViews>
  <sheetFormatPr defaultRowHeight="15"/>
  <cols>
    <col min="1" max="4" width="3.5" style="1425" customWidth="1"/>
    <col min="5" max="5" width="48.1640625" style="1425" customWidth="1"/>
    <col min="6" max="6" width="11.83203125" style="1426" bestFit="1" customWidth="1"/>
    <col min="7" max="16384" width="9.33203125" style="1417"/>
  </cols>
  <sheetData>
    <row r="1" spans="1:6" ht="15" customHeight="1" thickBot="1">
      <c r="A1" s="1415"/>
      <c r="B1" s="1415"/>
      <c r="C1" s="1415"/>
      <c r="D1" s="1415"/>
      <c r="E1" s="1415"/>
      <c r="F1" s="1416" t="s">
        <v>2200</v>
      </c>
    </row>
    <row r="2" spans="1:6" ht="15" customHeight="1" thickTop="1">
      <c r="A2" s="1418"/>
      <c r="B2" s="1418"/>
      <c r="C2" s="1418" t="s">
        <v>2179</v>
      </c>
      <c r="D2" s="1418"/>
      <c r="E2" s="1418"/>
      <c r="F2" s="1419"/>
    </row>
    <row r="3" spans="1:6" ht="15" customHeight="1">
      <c r="A3" s="1418"/>
      <c r="B3" s="1418"/>
      <c r="C3" s="1418"/>
      <c r="D3" s="1418" t="s">
        <v>290</v>
      </c>
      <c r="E3" s="1418"/>
      <c r="F3" s="1431">
        <v>-239922.5</v>
      </c>
    </row>
    <row r="4" spans="1:6" ht="15" customHeight="1">
      <c r="A4" s="1418"/>
      <c r="B4" s="1418"/>
      <c r="C4" s="1418"/>
      <c r="D4" s="1418" t="s">
        <v>2180</v>
      </c>
      <c r="E4" s="1418"/>
      <c r="F4" s="1419"/>
    </row>
    <row r="5" spans="1:6" ht="15" customHeight="1">
      <c r="A5" s="1418"/>
      <c r="B5" s="1418"/>
      <c r="C5" s="1418"/>
      <c r="D5" s="1418" t="s">
        <v>2181</v>
      </c>
      <c r="E5" s="1418"/>
      <c r="F5" s="1419"/>
    </row>
    <row r="6" spans="1:6" ht="15" customHeight="1">
      <c r="A6" s="1418"/>
      <c r="B6" s="1418"/>
      <c r="C6" s="1418"/>
      <c r="D6" s="1418"/>
      <c r="E6" s="1418" t="s">
        <v>2117</v>
      </c>
      <c r="F6" s="1431">
        <v>-136686</v>
      </c>
    </row>
    <row r="7" spans="1:6" ht="15" customHeight="1" thickBot="1">
      <c r="A7" s="1418"/>
      <c r="B7" s="1418"/>
      <c r="C7" s="1418"/>
      <c r="D7" s="1418"/>
      <c r="E7" s="1418" t="s">
        <v>196</v>
      </c>
      <c r="F7" s="1420">
        <v>0</v>
      </c>
    </row>
    <row r="8" spans="1:6" ht="15" customHeight="1">
      <c r="A8" s="1418"/>
      <c r="B8" s="1418"/>
      <c r="C8" s="1418" t="s">
        <v>2182</v>
      </c>
      <c r="D8" s="1418"/>
      <c r="E8" s="1418"/>
      <c r="F8" s="1431">
        <v>-376608.5</v>
      </c>
    </row>
    <row r="9" spans="1:6" ht="15" customHeight="1">
      <c r="A9" s="1418"/>
      <c r="B9" s="1418"/>
      <c r="C9" s="1418" t="s">
        <v>2183</v>
      </c>
      <c r="D9" s="1418"/>
      <c r="E9" s="1418"/>
      <c r="F9" s="1419"/>
    </row>
    <row r="10" spans="1:6" ht="15" customHeight="1">
      <c r="A10" s="1418"/>
      <c r="B10" s="1418"/>
      <c r="C10" s="1418"/>
      <c r="D10" s="1418" t="s">
        <v>2214</v>
      </c>
      <c r="E10" s="1418"/>
      <c r="F10" s="1431">
        <v>4999.92</v>
      </c>
    </row>
    <row r="11" spans="1:6" ht="15" customHeight="1" thickBot="1">
      <c r="A11" s="1418"/>
      <c r="B11" s="1418"/>
      <c r="C11" s="1418"/>
      <c r="D11" s="1418" t="s">
        <v>2215</v>
      </c>
      <c r="E11" s="1418"/>
      <c r="F11" s="1420">
        <v>660</v>
      </c>
    </row>
    <row r="12" spans="1:6" ht="15" customHeight="1">
      <c r="A12" s="1418"/>
      <c r="B12" s="1418"/>
      <c r="C12" s="1418" t="s">
        <v>2184</v>
      </c>
      <c r="D12" s="1418"/>
      <c r="E12" s="1418"/>
      <c r="F12" s="1431">
        <v>5659.92</v>
      </c>
    </row>
    <row r="13" spans="1:6" ht="15" customHeight="1">
      <c r="A13" s="1418"/>
      <c r="B13" s="1418"/>
      <c r="C13" s="1418" t="s">
        <v>2185</v>
      </c>
      <c r="D13" s="1418"/>
      <c r="E13" s="1418"/>
      <c r="F13" s="1419"/>
    </row>
    <row r="14" spans="1:6" ht="15" customHeight="1" thickBot="1">
      <c r="A14" s="1418"/>
      <c r="B14" s="1418"/>
      <c r="C14" s="1418"/>
      <c r="D14" s="1418" t="s">
        <v>2194</v>
      </c>
      <c r="E14" s="1418"/>
      <c r="F14" s="1429">
        <v>700000</v>
      </c>
    </row>
    <row r="15" spans="1:6" ht="15" customHeight="1" thickBot="1">
      <c r="A15" s="1418"/>
      <c r="B15" s="1418"/>
      <c r="C15" s="1418" t="s">
        <v>2187</v>
      </c>
      <c r="D15" s="1418"/>
      <c r="E15" s="1418"/>
      <c r="F15" s="1430">
        <v>700000</v>
      </c>
    </row>
    <row r="16" spans="1:6" ht="15" customHeight="1">
      <c r="A16" s="1418"/>
      <c r="B16" s="1418" t="s">
        <v>2188</v>
      </c>
      <c r="C16" s="1418"/>
      <c r="D16" s="1418"/>
      <c r="E16" s="1418"/>
      <c r="F16" s="1431">
        <v>329051.42</v>
      </c>
    </row>
    <row r="17" spans="1:6" ht="15" customHeight="1" thickBot="1">
      <c r="A17" s="1418"/>
      <c r="B17" s="1418" t="s">
        <v>2189</v>
      </c>
      <c r="C17" s="1418"/>
      <c r="D17" s="1418"/>
      <c r="E17" s="1418"/>
      <c r="F17" s="1429">
        <v>154030.01999999999</v>
      </c>
    </row>
    <row r="18" spans="1:6" ht="15" customHeight="1" thickBot="1">
      <c r="A18" s="1418" t="s">
        <v>2190</v>
      </c>
      <c r="B18" s="1418"/>
      <c r="C18" s="1418"/>
      <c r="D18" s="1418"/>
      <c r="E18" s="1418"/>
      <c r="F18" s="1437">
        <v>483081.44</v>
      </c>
    </row>
    <row r="19" spans="1:6" ht="15" customHeight="1" thickTop="1"/>
    <row r="20" spans="1:6" ht="15" customHeight="1"/>
    <row r="21" spans="1:6" ht="15" customHeight="1"/>
    <row r="22" spans="1:6" ht="15" customHeight="1"/>
    <row r="23" spans="1:6" ht="15" customHeight="1"/>
    <row r="24" spans="1:6" ht="15" customHeight="1"/>
    <row r="25" spans="1:6" ht="15" customHeight="1"/>
    <row r="26" spans="1:6" ht="15" customHeight="1"/>
    <row r="27" spans="1:6" ht="15" customHeight="1"/>
    <row r="28" spans="1:6" ht="15" customHeight="1"/>
    <row r="29" spans="1:6" ht="15" customHeight="1"/>
    <row r="30" spans="1:6" ht="15" customHeight="1"/>
    <row r="31" spans="1:6" ht="15" customHeight="1"/>
    <row r="32" spans="1:6"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sheetData>
  <pageMargins left="0.7" right="0.7" top="0.75" bottom="0.75" header="0.3" footer="0.3"/>
  <pageSetup paperSize="9" orientation="portrait" r:id="rId1"/>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74"/>
  <dimension ref="A1:G101"/>
  <sheetViews>
    <sheetView workbookViewId="0">
      <selection activeCell="G5" sqref="G5"/>
    </sheetView>
  </sheetViews>
  <sheetFormatPr defaultRowHeight="15"/>
  <cols>
    <col min="1" max="5" width="3.5" style="1425" customWidth="1"/>
    <col min="6" max="6" width="29.5" style="1425" customWidth="1"/>
    <col min="7" max="7" width="11.83203125" style="1426" bestFit="1" customWidth="1"/>
    <col min="8" max="16384" width="9.33203125" style="1417"/>
  </cols>
  <sheetData>
    <row r="1" spans="1:7" s="1427" customFormat="1" ht="15" customHeight="1" thickBot="1">
      <c r="A1" s="1415"/>
      <c r="B1" s="1415"/>
      <c r="C1" s="1415"/>
      <c r="D1" s="1415"/>
      <c r="E1" s="1415"/>
      <c r="F1" s="1415"/>
      <c r="G1" s="1416" t="s">
        <v>2136</v>
      </c>
    </row>
    <row r="2" spans="1:7" ht="15" customHeight="1" thickTop="1">
      <c r="A2" s="1418"/>
      <c r="B2" s="1418" t="s">
        <v>2137</v>
      </c>
      <c r="C2" s="1418"/>
      <c r="D2" s="1418"/>
      <c r="E2" s="1418"/>
      <c r="F2" s="1418"/>
      <c r="G2" s="1419"/>
    </row>
    <row r="3" spans="1:7" ht="15" customHeight="1">
      <c r="A3" s="1418"/>
      <c r="B3" s="1418"/>
      <c r="C3" s="1418"/>
      <c r="D3" s="1418" t="s">
        <v>2138</v>
      </c>
      <c r="E3" s="1418"/>
      <c r="F3" s="1418"/>
      <c r="G3" s="1419"/>
    </row>
    <row r="4" spans="1:7" ht="15" customHeight="1" thickBot="1">
      <c r="A4" s="1418"/>
      <c r="B4" s="1418"/>
      <c r="C4" s="1418"/>
      <c r="D4" s="1418"/>
      <c r="E4" s="1418" t="s">
        <v>2139</v>
      </c>
      <c r="F4" s="1418"/>
      <c r="G4" s="1421">
        <v>452758.1</v>
      </c>
    </row>
    <row r="5" spans="1:7" ht="15" customHeight="1" thickBot="1">
      <c r="A5" s="1418"/>
      <c r="B5" s="1418"/>
      <c r="C5" s="1418"/>
      <c r="D5" s="1418" t="s">
        <v>2140</v>
      </c>
      <c r="E5" s="1418"/>
      <c r="F5" s="1418"/>
      <c r="G5" s="1422">
        <f>ROUND(SUM(G3:G4),5)</f>
        <v>452758.1</v>
      </c>
    </row>
    <row r="6" spans="1:7" ht="15" customHeight="1">
      <c r="A6" s="1418"/>
      <c r="B6" s="1418"/>
      <c r="C6" s="1418" t="s">
        <v>160</v>
      </c>
      <c r="D6" s="1418"/>
      <c r="E6" s="1418"/>
      <c r="F6" s="1418"/>
      <c r="G6" s="1419">
        <f>G5</f>
        <v>452758.1</v>
      </c>
    </row>
    <row r="7" spans="1:7" ht="15" customHeight="1">
      <c r="A7" s="1418"/>
      <c r="B7" s="1418"/>
      <c r="C7" s="1418"/>
      <c r="D7" s="1418" t="s">
        <v>2141</v>
      </c>
      <c r="E7" s="1418"/>
      <c r="F7" s="1418"/>
      <c r="G7" s="1419"/>
    </row>
    <row r="8" spans="1:7" ht="15" customHeight="1">
      <c r="A8" s="1418"/>
      <c r="B8" s="1418"/>
      <c r="C8" s="1418"/>
      <c r="D8" s="1418"/>
      <c r="E8" s="1418" t="s">
        <v>2142</v>
      </c>
      <c r="F8" s="1418"/>
      <c r="G8" s="1419">
        <v>37</v>
      </c>
    </row>
    <row r="9" spans="1:7" ht="15" customHeight="1">
      <c r="A9" s="1418"/>
      <c r="B9" s="1418"/>
      <c r="C9" s="1418"/>
      <c r="D9" s="1418"/>
      <c r="E9" s="1418" t="s">
        <v>2143</v>
      </c>
      <c r="F9" s="1418"/>
      <c r="G9" s="1419">
        <v>6375</v>
      </c>
    </row>
    <row r="10" spans="1:7" ht="15" customHeight="1">
      <c r="A10" s="1418"/>
      <c r="B10" s="1418"/>
      <c r="C10" s="1418"/>
      <c r="D10" s="1418"/>
      <c r="E10" s="1418" t="s">
        <v>2144</v>
      </c>
      <c r="F10" s="1418"/>
      <c r="G10" s="1419">
        <v>5500.97</v>
      </c>
    </row>
    <row r="11" spans="1:7" ht="15" customHeight="1">
      <c r="A11" s="1418"/>
      <c r="B11" s="1418"/>
      <c r="C11" s="1418"/>
      <c r="D11" s="1418"/>
      <c r="E11" s="1418" t="s">
        <v>2145</v>
      </c>
      <c r="F11" s="1418"/>
      <c r="G11" s="1419">
        <v>921.9</v>
      </c>
    </row>
    <row r="12" spans="1:7" ht="15" customHeight="1">
      <c r="A12" s="1418"/>
      <c r="B12" s="1418"/>
      <c r="C12" s="1418"/>
      <c r="D12" s="1418"/>
      <c r="E12" s="1418" t="s">
        <v>2146</v>
      </c>
      <c r="F12" s="1418"/>
      <c r="G12" s="1419">
        <v>1380.2</v>
      </c>
    </row>
    <row r="13" spans="1:7" ht="15" customHeight="1">
      <c r="A13" s="1418"/>
      <c r="B13" s="1418"/>
      <c r="C13" s="1418"/>
      <c r="D13" s="1418"/>
      <c r="E13" s="1418" t="s">
        <v>2147</v>
      </c>
      <c r="F13" s="1418"/>
      <c r="G13" s="1419"/>
    </row>
    <row r="14" spans="1:7" ht="15" customHeight="1">
      <c r="A14" s="1418"/>
      <c r="B14" s="1418"/>
      <c r="C14" s="1418"/>
      <c r="D14" s="1418"/>
      <c r="E14" s="1418"/>
      <c r="F14" s="1418" t="s">
        <v>2148</v>
      </c>
      <c r="G14" s="1419">
        <v>732</v>
      </c>
    </row>
    <row r="15" spans="1:7" ht="15" customHeight="1">
      <c r="A15" s="1418"/>
      <c r="B15" s="1418"/>
      <c r="C15" s="1418"/>
      <c r="D15" s="1418"/>
      <c r="E15" s="1418"/>
      <c r="F15" s="1418" t="s">
        <v>2149</v>
      </c>
      <c r="G15" s="1419">
        <v>662.75</v>
      </c>
    </row>
    <row r="16" spans="1:7" ht="15" customHeight="1" thickBot="1">
      <c r="A16" s="1418"/>
      <c r="B16" s="1418"/>
      <c r="C16" s="1418"/>
      <c r="D16" s="1418"/>
      <c r="E16" s="1418"/>
      <c r="F16" s="1418" t="s">
        <v>2150</v>
      </c>
      <c r="G16" s="1420">
        <v>1209.5</v>
      </c>
    </row>
    <row r="17" spans="1:7" ht="15" customHeight="1">
      <c r="A17" s="1418"/>
      <c r="B17" s="1418"/>
      <c r="C17" s="1418"/>
      <c r="D17" s="1418"/>
      <c r="E17" s="1418" t="s">
        <v>2151</v>
      </c>
      <c r="F17" s="1418"/>
      <c r="G17" s="1419">
        <f>ROUND(SUM(G13:G16),5)</f>
        <v>2604.25</v>
      </c>
    </row>
    <row r="18" spans="1:7" ht="15" customHeight="1">
      <c r="A18" s="1418"/>
      <c r="B18" s="1418"/>
      <c r="C18" s="1418"/>
      <c r="D18" s="1418"/>
      <c r="E18" s="1418" t="s">
        <v>2152</v>
      </c>
      <c r="F18" s="1418"/>
      <c r="G18" s="1419">
        <v>566</v>
      </c>
    </row>
    <row r="19" spans="1:7" ht="15" customHeight="1">
      <c r="A19" s="1418"/>
      <c r="B19" s="1418"/>
      <c r="C19" s="1418"/>
      <c r="D19" s="1418"/>
      <c r="E19" s="1418" t="s">
        <v>2153</v>
      </c>
      <c r="F19" s="1418"/>
      <c r="G19" s="1419">
        <v>3675</v>
      </c>
    </row>
    <row r="20" spans="1:7" ht="15" customHeight="1">
      <c r="A20" s="1418"/>
      <c r="B20" s="1418"/>
      <c r="C20" s="1418"/>
      <c r="D20" s="1418"/>
      <c r="E20" s="1418" t="s">
        <v>2154</v>
      </c>
      <c r="F20" s="1418"/>
      <c r="G20" s="1419">
        <v>488.8</v>
      </c>
    </row>
    <row r="21" spans="1:7" ht="15" customHeight="1">
      <c r="A21" s="1418"/>
      <c r="B21" s="1418"/>
      <c r="C21" s="1418"/>
      <c r="D21" s="1418"/>
      <c r="E21" s="1418" t="s">
        <v>2155</v>
      </c>
      <c r="F21" s="1418"/>
      <c r="G21" s="1419">
        <v>85.76</v>
      </c>
    </row>
    <row r="22" spans="1:7" ht="15" customHeight="1">
      <c r="A22" s="1418"/>
      <c r="B22" s="1418"/>
      <c r="C22" s="1418"/>
      <c r="D22" s="1418"/>
      <c r="E22" s="1418" t="s">
        <v>2156</v>
      </c>
      <c r="F22" s="1418"/>
      <c r="G22" s="1419">
        <v>608.97</v>
      </c>
    </row>
    <row r="23" spans="1:7" ht="15" customHeight="1">
      <c r="A23" s="1418"/>
      <c r="B23" s="1418"/>
      <c r="C23" s="1418"/>
      <c r="D23" s="1418"/>
      <c r="E23" s="1418" t="s">
        <v>2157</v>
      </c>
      <c r="F23" s="1418"/>
      <c r="G23" s="1419">
        <v>105367.1</v>
      </c>
    </row>
    <row r="24" spans="1:7" ht="15" customHeight="1">
      <c r="A24" s="1418"/>
      <c r="B24" s="1418"/>
      <c r="C24" s="1418"/>
      <c r="D24" s="1418"/>
      <c r="E24" s="1418" t="s">
        <v>2158</v>
      </c>
      <c r="F24" s="1418"/>
      <c r="G24" s="1419">
        <v>9490.49</v>
      </c>
    </row>
    <row r="25" spans="1:7" ht="15" customHeight="1">
      <c r="A25" s="1418"/>
      <c r="B25" s="1418"/>
      <c r="C25" s="1418"/>
      <c r="D25" s="1418"/>
      <c r="E25" s="1418" t="s">
        <v>2159</v>
      </c>
      <c r="F25" s="1418"/>
      <c r="G25" s="1419"/>
    </row>
    <row r="26" spans="1:7" ht="15" customHeight="1">
      <c r="A26" s="1418"/>
      <c r="B26" s="1418"/>
      <c r="C26" s="1418"/>
      <c r="D26" s="1418"/>
      <c r="E26" s="1418"/>
      <c r="F26" s="1418" t="s">
        <v>2160</v>
      </c>
      <c r="G26" s="1419">
        <v>2260.25</v>
      </c>
    </row>
    <row r="27" spans="1:7" ht="15" customHeight="1" thickBot="1">
      <c r="A27" s="1418"/>
      <c r="B27" s="1418"/>
      <c r="C27" s="1418"/>
      <c r="D27" s="1418"/>
      <c r="E27" s="1418"/>
      <c r="F27" s="1418" t="s">
        <v>2161</v>
      </c>
      <c r="G27" s="1420">
        <v>610</v>
      </c>
    </row>
    <row r="28" spans="1:7" ht="15" customHeight="1">
      <c r="A28" s="1418"/>
      <c r="B28" s="1418"/>
      <c r="C28" s="1418"/>
      <c r="D28" s="1418"/>
      <c r="E28" s="1418" t="s">
        <v>2162</v>
      </c>
      <c r="F28" s="1418"/>
      <c r="G28" s="1419">
        <f>ROUND(SUM(G25:G27),5)</f>
        <v>2870.25</v>
      </c>
    </row>
    <row r="29" spans="1:7" ht="15" customHeight="1">
      <c r="A29" s="1418"/>
      <c r="B29" s="1418"/>
      <c r="C29" s="1418"/>
      <c r="D29" s="1418"/>
      <c r="E29" s="1418" t="s">
        <v>2163</v>
      </c>
      <c r="F29" s="1418"/>
      <c r="G29" s="1419">
        <v>70099.75</v>
      </c>
    </row>
    <row r="30" spans="1:7" ht="15" customHeight="1">
      <c r="A30" s="1418"/>
      <c r="B30" s="1418"/>
      <c r="C30" s="1418"/>
      <c r="D30" s="1418"/>
      <c r="E30" s="1418" t="s">
        <v>2164</v>
      </c>
      <c r="F30" s="1418"/>
      <c r="G30" s="1419">
        <v>121865.23</v>
      </c>
    </row>
    <row r="31" spans="1:7" ht="15" customHeight="1">
      <c r="A31" s="1418"/>
      <c r="B31" s="1418"/>
      <c r="C31" s="1418"/>
      <c r="D31" s="1418"/>
      <c r="E31" s="1418" t="s">
        <v>2165</v>
      </c>
      <c r="F31" s="1418"/>
      <c r="G31" s="1419">
        <v>1758.63</v>
      </c>
    </row>
    <row r="32" spans="1:7" ht="15" customHeight="1">
      <c r="A32" s="1418"/>
      <c r="B32" s="1418"/>
      <c r="C32" s="1418"/>
      <c r="D32" s="1418"/>
      <c r="E32" s="1418" t="s">
        <v>2166</v>
      </c>
      <c r="F32" s="1418"/>
      <c r="G32" s="1419">
        <v>901.27</v>
      </c>
    </row>
    <row r="33" spans="1:7" ht="15" customHeight="1">
      <c r="A33" s="1418"/>
      <c r="B33" s="1418"/>
      <c r="C33" s="1418"/>
      <c r="D33" s="1418"/>
      <c r="E33" s="1418" t="s">
        <v>2167</v>
      </c>
      <c r="F33" s="1418"/>
      <c r="G33" s="1419"/>
    </row>
    <row r="34" spans="1:7" ht="15" customHeight="1">
      <c r="A34" s="1418"/>
      <c r="B34" s="1418"/>
      <c r="C34" s="1418"/>
      <c r="D34" s="1418"/>
      <c r="E34" s="1418"/>
      <c r="F34" s="1418" t="s">
        <v>2168</v>
      </c>
      <c r="G34" s="1419">
        <v>157.88999999999999</v>
      </c>
    </row>
    <row r="35" spans="1:7" ht="15" customHeight="1">
      <c r="A35" s="1418"/>
      <c r="B35" s="1418"/>
      <c r="C35" s="1418"/>
      <c r="D35" s="1418"/>
      <c r="E35" s="1418"/>
      <c r="F35" s="1418" t="s">
        <v>2169</v>
      </c>
      <c r="G35" s="1419">
        <v>170.67</v>
      </c>
    </row>
    <row r="36" spans="1:7" ht="15" customHeight="1" thickBot="1">
      <c r="A36" s="1418"/>
      <c r="B36" s="1418"/>
      <c r="C36" s="1418"/>
      <c r="D36" s="1418"/>
      <c r="E36" s="1418"/>
      <c r="F36" s="1418" t="s">
        <v>2170</v>
      </c>
      <c r="G36" s="1421">
        <v>10037</v>
      </c>
    </row>
    <row r="37" spans="1:7" ht="15" customHeight="1" thickBot="1">
      <c r="A37" s="1418"/>
      <c r="B37" s="1418"/>
      <c r="C37" s="1418"/>
      <c r="D37" s="1418"/>
      <c r="E37" s="1418" t="s">
        <v>2171</v>
      </c>
      <c r="F37" s="1418"/>
      <c r="G37" s="1423">
        <f>ROUND(SUM(G33:G36),5)</f>
        <v>10365.56</v>
      </c>
    </row>
    <row r="38" spans="1:7" ht="15" customHeight="1" thickBot="1">
      <c r="A38" s="1418"/>
      <c r="B38" s="1418"/>
      <c r="C38" s="1418"/>
      <c r="D38" s="1418" t="s">
        <v>2172</v>
      </c>
      <c r="E38" s="1418"/>
      <c r="F38" s="1418"/>
      <c r="G38" s="1422">
        <f>ROUND(SUM(G7:G12)+SUM(G17:G24)+SUM(G28:G32)+G37,5)</f>
        <v>344962.13</v>
      </c>
    </row>
    <row r="39" spans="1:7" ht="15" customHeight="1">
      <c r="A39" s="1418"/>
      <c r="B39" s="1418" t="s">
        <v>2173</v>
      </c>
      <c r="C39" s="1418"/>
      <c r="D39" s="1418"/>
      <c r="E39" s="1418"/>
      <c r="F39" s="1418"/>
      <c r="G39" s="1419">
        <f>ROUND(G2+G6-G38,5)</f>
        <v>107795.97</v>
      </c>
    </row>
    <row r="40" spans="1:7" ht="15" customHeight="1">
      <c r="A40" s="1418"/>
      <c r="B40" s="1418" t="s">
        <v>2174</v>
      </c>
      <c r="C40" s="1418"/>
      <c r="D40" s="1418"/>
      <c r="E40" s="1418"/>
      <c r="F40" s="1418"/>
      <c r="G40" s="1419"/>
    </row>
    <row r="41" spans="1:7" ht="15" customHeight="1">
      <c r="A41" s="1418"/>
      <c r="B41" s="1418"/>
      <c r="C41" s="1418" t="s">
        <v>2175</v>
      </c>
      <c r="D41" s="1418"/>
      <c r="E41" s="1418"/>
      <c r="F41" s="1418"/>
      <c r="G41" s="1419"/>
    </row>
    <row r="42" spans="1:7" ht="15" customHeight="1" thickBot="1">
      <c r="A42" s="1418"/>
      <c r="B42" s="1418"/>
      <c r="C42" s="1418"/>
      <c r="D42" s="1418" t="s">
        <v>2176</v>
      </c>
      <c r="E42" s="1418"/>
      <c r="F42" s="1418"/>
      <c r="G42" s="1421">
        <v>7177.31</v>
      </c>
    </row>
    <row r="43" spans="1:7" ht="15" customHeight="1" thickBot="1">
      <c r="A43" s="1418"/>
      <c r="B43" s="1418"/>
      <c r="C43" s="1418" t="s">
        <v>2177</v>
      </c>
      <c r="D43" s="1418"/>
      <c r="E43" s="1418"/>
      <c r="F43" s="1418"/>
      <c r="G43" s="1423">
        <f>ROUND(SUM(G41:G42),5)</f>
        <v>7177.31</v>
      </c>
    </row>
    <row r="44" spans="1:7" ht="15" customHeight="1" thickBot="1">
      <c r="A44" s="1418"/>
      <c r="B44" s="1418" t="s">
        <v>2178</v>
      </c>
      <c r="C44" s="1418"/>
      <c r="D44" s="1418"/>
      <c r="E44" s="1418"/>
      <c r="F44" s="1418"/>
      <c r="G44" s="1423">
        <f>ROUND(G40-G43,5)</f>
        <v>-7177.31</v>
      </c>
    </row>
    <row r="45" spans="1:7" s="1428" customFormat="1" ht="15" customHeight="1" thickBot="1">
      <c r="A45" s="1418" t="s">
        <v>290</v>
      </c>
      <c r="B45" s="1418"/>
      <c r="C45" s="1418"/>
      <c r="D45" s="1418"/>
      <c r="E45" s="1418"/>
      <c r="F45" s="1418"/>
      <c r="G45" s="1424">
        <f>ROUND(G39+G44,5)</f>
        <v>100618.66</v>
      </c>
    </row>
    <row r="46" spans="1:7" ht="15" customHeight="1" thickTop="1"/>
    <row r="47" spans="1:7" ht="15" customHeight="1"/>
    <row r="48" spans="1:7"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sheetData>
  <pageMargins left="0.7" right="0.7" top="0.75" bottom="0.75" header="0.1" footer="0.3"/>
  <pageSetup orientation="portrait" horizontalDpi="4294967293" verticalDpi="4294967293" r:id="rId1"/>
  <headerFooter>
    <oddHeader>&amp;L&amp;"Arial,Bold"&amp;8 1:25 PM
&amp;"Arial,Bold"&amp;8 10/16/16
&amp;"Arial,Bold"&amp;8 Accrual Basis&amp;C&amp;"Arial,Bold"&amp;12 Medikine, Inc.
&amp;"Arial,Bold"&amp;14 Profit &amp;&amp; Loss
&amp;"Arial,Bold"&amp;10 January through December 2015</oddHeader>
    <oddFooter>&amp;R&amp;"Arial,Bold"&amp;8 Page &amp;P of &amp;N</oddFooter>
  </headerFooter>
  <drawing r:id="rId2"/>
  <legacyDrawing r:id="rId3"/>
  <controls>
    <mc:AlternateContent xmlns:mc="http://schemas.openxmlformats.org/markup-compatibility/2006">
      <mc:Choice Requires="x14">
        <control shapeId="405505" r:id="rId4" name="FILTER">
          <controlPr defaultSize="0" autoLine="0" r:id="rId5">
            <anchor moveWithCells="1">
              <from>
                <xdr:col>0</xdr:col>
                <xdr:colOff>0</xdr:colOff>
                <xdr:row>0</xdr:row>
                <xdr:rowOff>0</xdr:rowOff>
              </from>
              <to>
                <xdr:col>4</xdr:col>
                <xdr:colOff>114300</xdr:colOff>
                <xdr:row>1</xdr:row>
                <xdr:rowOff>38100</xdr:rowOff>
              </to>
            </anchor>
          </controlPr>
        </control>
      </mc:Choice>
      <mc:Fallback>
        <control shapeId="405505" r:id="rId4" name="FILTER"/>
      </mc:Fallback>
    </mc:AlternateContent>
    <mc:AlternateContent xmlns:mc="http://schemas.openxmlformats.org/markup-compatibility/2006">
      <mc:Choice Requires="x14">
        <control shapeId="405506" r:id="rId6" name="HEADER">
          <controlPr defaultSize="0" autoLine="0" r:id="rId7">
            <anchor moveWithCells="1">
              <from>
                <xdr:col>0</xdr:col>
                <xdr:colOff>0</xdr:colOff>
                <xdr:row>0</xdr:row>
                <xdr:rowOff>0</xdr:rowOff>
              </from>
              <to>
                <xdr:col>4</xdr:col>
                <xdr:colOff>114300</xdr:colOff>
                <xdr:row>1</xdr:row>
                <xdr:rowOff>38100</xdr:rowOff>
              </to>
            </anchor>
          </controlPr>
        </control>
      </mc:Choice>
      <mc:Fallback>
        <control shapeId="405506" r:id="rId6" name="HEADER"/>
      </mc:Fallback>
    </mc:AlternateContent>
  </control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dimension ref="A1:F101"/>
  <sheetViews>
    <sheetView topLeftCell="A24" workbookViewId="0">
      <selection activeCell="F36" sqref="F36"/>
    </sheetView>
  </sheetViews>
  <sheetFormatPr defaultRowHeight="15"/>
  <cols>
    <col min="1" max="4" width="3.5" style="1425" customWidth="1"/>
    <col min="5" max="5" width="29.83203125" style="1425" customWidth="1"/>
    <col min="6" max="6" width="10.83203125" style="1426" bestFit="1" customWidth="1"/>
    <col min="7" max="16384" width="9.33203125" style="1417"/>
  </cols>
  <sheetData>
    <row r="1" spans="1:6" ht="15" customHeight="1" thickBot="1">
      <c r="A1" s="1415"/>
      <c r="B1" s="1415"/>
      <c r="C1" s="1415"/>
      <c r="D1" s="1415"/>
      <c r="E1" s="1415"/>
      <c r="F1" s="1416" t="s">
        <v>2112</v>
      </c>
    </row>
    <row r="2" spans="1:6" ht="15" customHeight="1" thickTop="1">
      <c r="A2" s="1418" t="s">
        <v>2113</v>
      </c>
      <c r="B2" s="1418"/>
      <c r="C2" s="1418"/>
      <c r="D2" s="1418"/>
      <c r="E2" s="1418"/>
      <c r="F2" s="1419"/>
    </row>
    <row r="3" spans="1:6" ht="15" customHeight="1">
      <c r="A3" s="1418"/>
      <c r="B3" s="1418" t="s">
        <v>183</v>
      </c>
      <c r="C3" s="1418"/>
      <c r="D3" s="1418"/>
      <c r="E3" s="1418"/>
      <c r="F3" s="1419"/>
    </row>
    <row r="4" spans="1:6" ht="15" customHeight="1">
      <c r="A4" s="1418"/>
      <c r="B4" s="1418"/>
      <c r="C4" s="1418" t="s">
        <v>2114</v>
      </c>
      <c r="D4" s="1418"/>
      <c r="E4" s="1418"/>
      <c r="F4" s="1419"/>
    </row>
    <row r="5" spans="1:6" ht="15" customHeight="1" thickBot="1">
      <c r="A5" s="1418"/>
      <c r="B5" s="1418"/>
      <c r="C5" s="1418"/>
      <c r="D5" s="1418" t="s">
        <v>2115</v>
      </c>
      <c r="E5" s="1418"/>
      <c r="F5" s="1420">
        <v>154225.01999999999</v>
      </c>
    </row>
    <row r="6" spans="1:6" ht="15" customHeight="1">
      <c r="A6" s="1418"/>
      <c r="B6" s="1418"/>
      <c r="C6" s="1418" t="s">
        <v>2116</v>
      </c>
      <c r="D6" s="1418"/>
      <c r="E6" s="1418"/>
      <c r="F6" s="1419">
        <f>ROUND(SUM(F4:F5),5)</f>
        <v>154225.01999999999</v>
      </c>
    </row>
    <row r="7" spans="1:6" ht="15" customHeight="1">
      <c r="A7" s="1418"/>
      <c r="B7" s="1418"/>
      <c r="C7" s="1418" t="s">
        <v>188</v>
      </c>
      <c r="D7" s="1418"/>
      <c r="E7" s="1418"/>
      <c r="F7" s="1419"/>
    </row>
    <row r="8" spans="1:6" ht="15" customHeight="1" thickBot="1">
      <c r="A8" s="1418"/>
      <c r="B8" s="1418"/>
      <c r="C8" s="1418"/>
      <c r="D8" s="1418" t="s">
        <v>2117</v>
      </c>
      <c r="E8" s="1418"/>
      <c r="F8" s="1421">
        <v>-136686</v>
      </c>
    </row>
    <row r="9" spans="1:6" ht="15" customHeight="1" thickBot="1">
      <c r="A9" s="1418"/>
      <c r="B9" s="1418"/>
      <c r="C9" s="1418" t="s">
        <v>2118</v>
      </c>
      <c r="D9" s="1418"/>
      <c r="E9" s="1418"/>
      <c r="F9" s="1422">
        <f>ROUND(SUM(F7:F8),5)</f>
        <v>-136686</v>
      </c>
    </row>
    <row r="10" spans="1:6" ht="15" customHeight="1">
      <c r="A10" s="1418"/>
      <c r="B10" s="1418" t="s">
        <v>192</v>
      </c>
      <c r="C10" s="1418"/>
      <c r="D10" s="1418"/>
      <c r="E10" s="1418"/>
      <c r="F10" s="1419">
        <f>ROUND(F3+F6+F9,5)</f>
        <v>17539.02</v>
      </c>
    </row>
    <row r="11" spans="1:6" ht="15" customHeight="1">
      <c r="A11" s="1418"/>
      <c r="B11" s="1418" t="s">
        <v>2119</v>
      </c>
      <c r="C11" s="1418"/>
      <c r="D11" s="1418"/>
      <c r="E11" s="1418"/>
      <c r="F11" s="1419"/>
    </row>
    <row r="12" spans="1:6" ht="15" customHeight="1">
      <c r="A12" s="1418"/>
      <c r="B12" s="1418"/>
      <c r="C12" s="1418" t="s">
        <v>2120</v>
      </c>
      <c r="D12" s="1418"/>
      <c r="E12" s="1418"/>
      <c r="F12" s="1419"/>
    </row>
    <row r="13" spans="1:6" ht="15" customHeight="1">
      <c r="A13" s="1418"/>
      <c r="B13" s="1418"/>
      <c r="C13" s="1418"/>
      <c r="D13" s="1418" t="s">
        <v>2121</v>
      </c>
      <c r="E13" s="1418"/>
      <c r="F13" s="1419">
        <v>-16249.74</v>
      </c>
    </row>
    <row r="14" spans="1:6" ht="15" customHeight="1" thickBot="1">
      <c r="A14" s="1418"/>
      <c r="B14" s="1418"/>
      <c r="C14" s="1418"/>
      <c r="D14" s="1418" t="s">
        <v>2122</v>
      </c>
      <c r="E14" s="1418"/>
      <c r="F14" s="1420">
        <v>22000</v>
      </c>
    </row>
    <row r="15" spans="1:6" ht="15" customHeight="1">
      <c r="A15" s="1418"/>
      <c r="B15" s="1418"/>
      <c r="C15" s="1418" t="s">
        <v>2123</v>
      </c>
      <c r="D15" s="1418"/>
      <c r="E15" s="1418"/>
      <c r="F15" s="1419">
        <f>ROUND(SUM(F12:F14),5)</f>
        <v>5750.26</v>
      </c>
    </row>
    <row r="16" spans="1:6" ht="15" customHeight="1">
      <c r="A16" s="1418"/>
      <c r="B16" s="1418"/>
      <c r="C16" s="1418" t="s">
        <v>2124</v>
      </c>
      <c r="D16" s="1418"/>
      <c r="E16" s="1418"/>
      <c r="F16" s="1419"/>
    </row>
    <row r="17" spans="1:6" ht="15" customHeight="1">
      <c r="A17" s="1418"/>
      <c r="B17" s="1418"/>
      <c r="C17" s="1418"/>
      <c r="D17" s="1418" t="s">
        <v>2121</v>
      </c>
      <c r="E17" s="1418"/>
      <c r="F17" s="1419">
        <v>-1595.9</v>
      </c>
    </row>
    <row r="18" spans="1:6" ht="15" customHeight="1" thickBot="1">
      <c r="A18" s="1418"/>
      <c r="B18" s="1418"/>
      <c r="C18" s="1418"/>
      <c r="D18" s="1418" t="s">
        <v>2125</v>
      </c>
      <c r="E18" s="1418"/>
      <c r="F18" s="1421">
        <v>7300</v>
      </c>
    </row>
    <row r="19" spans="1:6" ht="15" customHeight="1" thickBot="1">
      <c r="A19" s="1418"/>
      <c r="B19" s="1418"/>
      <c r="C19" s="1418" t="s">
        <v>2126</v>
      </c>
      <c r="D19" s="1418"/>
      <c r="E19" s="1418"/>
      <c r="F19" s="1422">
        <f>ROUND(SUM(F16:F18),5)</f>
        <v>5704.1</v>
      </c>
    </row>
    <row r="20" spans="1:6" ht="15" customHeight="1">
      <c r="A20" s="1418"/>
      <c r="B20" s="1418" t="s">
        <v>2127</v>
      </c>
      <c r="C20" s="1418"/>
      <c r="D20" s="1418"/>
      <c r="E20" s="1418"/>
      <c r="F20" s="1419">
        <f>ROUND(F11+F15+F19,5)</f>
        <v>11454.36</v>
      </c>
    </row>
    <row r="21" spans="1:6" ht="15" customHeight="1">
      <c r="A21" s="1418"/>
      <c r="B21" s="1418" t="s">
        <v>191</v>
      </c>
      <c r="C21" s="1418"/>
      <c r="D21" s="1418"/>
      <c r="E21" s="1418"/>
      <c r="F21" s="1419"/>
    </row>
    <row r="22" spans="1:6" ht="15" customHeight="1" thickBot="1">
      <c r="A22" s="1418"/>
      <c r="B22" s="1418"/>
      <c r="C22" s="1418" t="s">
        <v>2128</v>
      </c>
      <c r="D22" s="1418"/>
      <c r="E22" s="1418"/>
      <c r="F22" s="1421">
        <v>11116</v>
      </c>
    </row>
    <row r="23" spans="1:6" ht="15" customHeight="1" thickBot="1">
      <c r="A23" s="1418"/>
      <c r="B23" s="1418" t="s">
        <v>2129</v>
      </c>
      <c r="C23" s="1418"/>
      <c r="D23" s="1418"/>
      <c r="E23" s="1418"/>
      <c r="F23" s="1423">
        <f>ROUND(SUM(F21:F22),5)</f>
        <v>11116</v>
      </c>
    </row>
    <row r="24" spans="1:6" ht="15" customHeight="1" thickBot="1">
      <c r="A24" s="1418" t="s">
        <v>2130</v>
      </c>
      <c r="B24" s="1418"/>
      <c r="C24" s="1418"/>
      <c r="D24" s="1418"/>
      <c r="E24" s="1418"/>
      <c r="F24" s="1424">
        <f>ROUND(F2+F10+F20+F23,5)</f>
        <v>40109.379999999997</v>
      </c>
    </row>
    <row r="25" spans="1:6" ht="15" customHeight="1" thickTop="1">
      <c r="A25" s="1418" t="s">
        <v>2131</v>
      </c>
      <c r="B25" s="1418"/>
      <c r="C25" s="1418"/>
      <c r="D25" s="1418"/>
      <c r="E25" s="1418"/>
      <c r="F25" s="1419"/>
    </row>
    <row r="26" spans="1:6" ht="15" customHeight="1">
      <c r="A26" s="1418"/>
      <c r="B26" s="1418" t="s">
        <v>2132</v>
      </c>
      <c r="C26" s="1418"/>
      <c r="D26" s="1418"/>
      <c r="E26" s="1418"/>
      <c r="F26" s="1419"/>
    </row>
    <row r="27" spans="1:6" ht="15" customHeight="1">
      <c r="A27" s="1418"/>
      <c r="B27" s="1418"/>
      <c r="C27" s="1418" t="s">
        <v>195</v>
      </c>
      <c r="D27" s="1418"/>
      <c r="E27" s="1418"/>
      <c r="F27" s="1419"/>
    </row>
    <row r="28" spans="1:6" ht="15" customHeight="1">
      <c r="A28" s="1418"/>
      <c r="B28" s="1418"/>
      <c r="C28" s="1418"/>
      <c r="D28" s="1418" t="s">
        <v>196</v>
      </c>
      <c r="E28" s="1418"/>
      <c r="F28" s="1419"/>
    </row>
    <row r="29" spans="1:6" ht="15" customHeight="1" thickBot="1">
      <c r="A29" s="1418"/>
      <c r="B29" s="1418"/>
      <c r="C29" s="1418"/>
      <c r="D29" s="1418"/>
      <c r="E29" s="1418" t="s">
        <v>196</v>
      </c>
      <c r="F29" s="1421">
        <v>195</v>
      </c>
    </row>
    <row r="30" spans="1:6" ht="15" customHeight="1" thickBot="1">
      <c r="A30" s="1418"/>
      <c r="B30" s="1418"/>
      <c r="C30" s="1418"/>
      <c r="D30" s="1418" t="s">
        <v>2133</v>
      </c>
      <c r="E30" s="1418"/>
      <c r="F30" s="1423">
        <f>ROUND(SUM(F28:F29),5)</f>
        <v>195</v>
      </c>
    </row>
    <row r="31" spans="1:6" ht="15" customHeight="1" thickBot="1">
      <c r="A31" s="1418"/>
      <c r="B31" s="1418"/>
      <c r="C31" s="1418" t="s">
        <v>200</v>
      </c>
      <c r="D31" s="1418"/>
      <c r="E31" s="1418"/>
      <c r="F31" s="1422">
        <f>ROUND(F27+F30,5)</f>
        <v>195</v>
      </c>
    </row>
    <row r="32" spans="1:6" ht="15" customHeight="1">
      <c r="A32" s="1418"/>
      <c r="B32" s="1418" t="s">
        <v>204</v>
      </c>
      <c r="C32" s="1418"/>
      <c r="D32" s="1418"/>
      <c r="E32" s="1418"/>
      <c r="F32" s="1419">
        <f>ROUND(F26+F31,5)</f>
        <v>195</v>
      </c>
    </row>
    <row r="33" spans="1:6" ht="15" customHeight="1">
      <c r="A33" s="1418"/>
      <c r="B33" s="1418" t="s">
        <v>239</v>
      </c>
      <c r="C33" s="1418"/>
      <c r="D33" s="1418"/>
      <c r="E33" s="1418"/>
      <c r="F33" s="1419"/>
    </row>
    <row r="34" spans="1:6" ht="15" customHeight="1">
      <c r="A34" s="1418"/>
      <c r="B34" s="1418"/>
      <c r="C34" s="1418" t="s">
        <v>2134</v>
      </c>
      <c r="D34" s="1418"/>
      <c r="E34" s="1418"/>
      <c r="F34" s="1419">
        <v>2</v>
      </c>
    </row>
    <row r="35" spans="1:6" ht="15" customHeight="1">
      <c r="A35" s="1418"/>
      <c r="B35" s="1418"/>
      <c r="C35" s="1418" t="s">
        <v>212</v>
      </c>
      <c r="D35" s="1418"/>
      <c r="E35" s="1418"/>
      <c r="F35" s="1419">
        <v>-60706.28</v>
      </c>
    </row>
    <row r="36" spans="1:6" ht="15" customHeight="1" thickBot="1">
      <c r="A36" s="1418"/>
      <c r="B36" s="1418"/>
      <c r="C36" s="1418" t="s">
        <v>290</v>
      </c>
      <c r="D36" s="1418"/>
      <c r="E36" s="1418"/>
      <c r="F36" s="1421">
        <v>100618.66</v>
      </c>
    </row>
    <row r="37" spans="1:6" ht="15" customHeight="1" thickBot="1">
      <c r="A37" s="1418"/>
      <c r="B37" s="1418" t="s">
        <v>506</v>
      </c>
      <c r="C37" s="1418"/>
      <c r="D37" s="1418"/>
      <c r="E37" s="1418"/>
      <c r="F37" s="1423">
        <f>ROUND(SUM(F33:F36),5)</f>
        <v>39914.379999999997</v>
      </c>
    </row>
    <row r="38" spans="1:6" ht="15" customHeight="1" thickBot="1">
      <c r="A38" s="1418" t="s">
        <v>2135</v>
      </c>
      <c r="B38" s="1418"/>
      <c r="C38" s="1418"/>
      <c r="D38" s="1418"/>
      <c r="E38" s="1418"/>
      <c r="F38" s="1424">
        <f>ROUND(F25+F32+F37,5)</f>
        <v>40109.379999999997</v>
      </c>
    </row>
    <row r="39" spans="1:6" ht="15" customHeight="1" thickTop="1"/>
    <row r="40" spans="1:6" ht="15" customHeight="1"/>
    <row r="41" spans="1:6" ht="15" customHeight="1"/>
    <row r="42" spans="1:6" ht="15" customHeight="1"/>
    <row r="43" spans="1:6" ht="15" customHeight="1"/>
    <row r="44" spans="1:6" ht="15" customHeight="1"/>
    <row r="45" spans="1:6" ht="15" customHeight="1"/>
    <row r="46" spans="1:6" ht="15" customHeight="1"/>
    <row r="47" spans="1:6" ht="15" customHeight="1"/>
    <row r="48" spans="1:6"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dimension ref="A1:F101"/>
  <sheetViews>
    <sheetView workbookViewId="0">
      <selection activeCell="G2" sqref="G2"/>
    </sheetView>
  </sheetViews>
  <sheetFormatPr defaultRowHeight="15"/>
  <cols>
    <col min="1" max="4" width="3.5" style="1425" customWidth="1"/>
    <col min="5" max="5" width="48.1640625" style="1425" customWidth="1"/>
    <col min="6" max="6" width="11.83203125" style="1426" bestFit="1" customWidth="1"/>
    <col min="7" max="16384" width="9.33203125" style="1417"/>
  </cols>
  <sheetData>
    <row r="1" spans="1:6" ht="15" customHeight="1" thickBot="1">
      <c r="A1" s="1415"/>
      <c r="B1" s="1415"/>
      <c r="C1" s="1415"/>
      <c r="D1" s="1415"/>
      <c r="E1" s="1415"/>
      <c r="F1" s="1416" t="s">
        <v>2136</v>
      </c>
    </row>
    <row r="2" spans="1:6" ht="15" customHeight="1" thickTop="1">
      <c r="A2" s="1418"/>
      <c r="B2" s="1418"/>
      <c r="C2" s="1418" t="s">
        <v>2179</v>
      </c>
      <c r="D2" s="1418"/>
      <c r="E2" s="1418"/>
      <c r="F2" s="1419"/>
    </row>
    <row r="3" spans="1:6" ht="15" customHeight="1">
      <c r="A3" s="1418"/>
      <c r="B3" s="1418"/>
      <c r="C3" s="1418"/>
      <c r="D3" s="1418" t="s">
        <v>290</v>
      </c>
      <c r="E3" s="1418"/>
      <c r="F3" s="1419">
        <v>100618.66</v>
      </c>
    </row>
    <row r="4" spans="1:6" ht="15" customHeight="1">
      <c r="A4" s="1418"/>
      <c r="B4" s="1418"/>
      <c r="C4" s="1418"/>
      <c r="D4" s="1418" t="s">
        <v>2180</v>
      </c>
      <c r="E4" s="1418"/>
      <c r="F4" s="1419"/>
    </row>
    <row r="5" spans="1:6" ht="15" customHeight="1">
      <c r="A5" s="1418"/>
      <c r="B5" s="1418"/>
      <c r="C5" s="1418"/>
      <c r="D5" s="1418" t="s">
        <v>2181</v>
      </c>
      <c r="E5" s="1418"/>
      <c r="F5" s="1419"/>
    </row>
    <row r="6" spans="1:6" ht="15" customHeight="1">
      <c r="A6" s="1418"/>
      <c r="B6" s="1418"/>
      <c r="C6" s="1418"/>
      <c r="D6" s="1418"/>
      <c r="E6" s="1418" t="s">
        <v>2117</v>
      </c>
      <c r="F6" s="1419">
        <v>49976</v>
      </c>
    </row>
    <row r="7" spans="1:6" ht="15" customHeight="1" thickBot="1">
      <c r="A7" s="1418"/>
      <c r="B7" s="1418"/>
      <c r="C7" s="1418"/>
      <c r="D7" s="1418"/>
      <c r="E7" s="1418" t="s">
        <v>196</v>
      </c>
      <c r="F7" s="1420">
        <v>195</v>
      </c>
    </row>
    <row r="8" spans="1:6" ht="15" customHeight="1">
      <c r="A8" s="1418"/>
      <c r="B8" s="1418"/>
      <c r="C8" s="1418" t="s">
        <v>2182</v>
      </c>
      <c r="D8" s="1418"/>
      <c r="E8" s="1418"/>
      <c r="F8" s="1419">
        <f>ROUND(SUM(F2:F3)+SUM(F6:F7),5)</f>
        <v>150789.66</v>
      </c>
    </row>
    <row r="9" spans="1:6" ht="15" customHeight="1">
      <c r="A9" s="1418"/>
      <c r="B9" s="1418"/>
      <c r="C9" s="1418" t="s">
        <v>2183</v>
      </c>
      <c r="D9" s="1418"/>
      <c r="E9" s="1418"/>
      <c r="F9" s="1419"/>
    </row>
    <row r="10" spans="1:6" ht="15" customHeight="1">
      <c r="A10" s="1418"/>
      <c r="B10" s="1418"/>
      <c r="C10" s="1418"/>
      <c r="D10" s="1418" t="s">
        <v>2214</v>
      </c>
      <c r="E10" s="1418"/>
      <c r="F10" s="1419">
        <v>4999.92</v>
      </c>
    </row>
    <row r="11" spans="1:6" ht="15" customHeight="1" thickBot="1">
      <c r="A11" s="1418"/>
      <c r="B11" s="1418"/>
      <c r="C11" s="1418"/>
      <c r="D11" s="1418" t="s">
        <v>2215</v>
      </c>
      <c r="E11" s="1418"/>
      <c r="F11" s="1420">
        <v>501.05</v>
      </c>
    </row>
    <row r="12" spans="1:6" ht="15" customHeight="1">
      <c r="A12" s="1418"/>
      <c r="B12" s="1418"/>
      <c r="C12" s="1418" t="s">
        <v>2184</v>
      </c>
      <c r="D12" s="1418"/>
      <c r="E12" s="1418"/>
      <c r="F12" s="1419">
        <f>ROUND(SUM(F9:F11),5)</f>
        <v>5500.97</v>
      </c>
    </row>
    <row r="13" spans="1:6" ht="15" customHeight="1">
      <c r="A13" s="1418"/>
      <c r="B13" s="1418"/>
      <c r="C13" s="1418" t="s">
        <v>2185</v>
      </c>
      <c r="D13" s="1418"/>
      <c r="E13" s="1418"/>
      <c r="F13" s="1419"/>
    </row>
    <row r="14" spans="1:6" ht="15" customHeight="1" thickBot="1">
      <c r="A14" s="1418"/>
      <c r="B14" s="1418"/>
      <c r="C14" s="1418"/>
      <c r="D14" s="1418" t="s">
        <v>2186</v>
      </c>
      <c r="E14" s="1418"/>
      <c r="F14" s="1421">
        <v>-78250</v>
      </c>
    </row>
    <row r="15" spans="1:6" ht="15" customHeight="1" thickBot="1">
      <c r="A15" s="1418"/>
      <c r="B15" s="1418"/>
      <c r="C15" s="1418" t="s">
        <v>2187</v>
      </c>
      <c r="D15" s="1418"/>
      <c r="E15" s="1418"/>
      <c r="F15" s="1422">
        <f>ROUND(SUM(F13:F14),5)</f>
        <v>-78250</v>
      </c>
    </row>
    <row r="16" spans="1:6" ht="15" customHeight="1">
      <c r="A16" s="1418"/>
      <c r="B16" s="1418" t="s">
        <v>2188</v>
      </c>
      <c r="C16" s="1418"/>
      <c r="D16" s="1418"/>
      <c r="E16" s="1418"/>
      <c r="F16" s="1419">
        <f>ROUND(F8+F12+F15,5)</f>
        <v>78040.63</v>
      </c>
    </row>
    <row r="17" spans="1:6" ht="15" customHeight="1" thickBot="1">
      <c r="A17" s="1418"/>
      <c r="B17" s="1418" t="s">
        <v>2189</v>
      </c>
      <c r="C17" s="1418"/>
      <c r="D17" s="1418"/>
      <c r="E17" s="1418"/>
      <c r="F17" s="1421">
        <v>76184.39</v>
      </c>
    </row>
    <row r="18" spans="1:6" ht="15" customHeight="1" thickBot="1">
      <c r="A18" s="1418" t="s">
        <v>2190</v>
      </c>
      <c r="B18" s="1418"/>
      <c r="C18" s="1418"/>
      <c r="D18" s="1418"/>
      <c r="E18" s="1418"/>
      <c r="F18" s="1424">
        <f>ROUND(SUM(F16:F17),5)</f>
        <v>154225.01999999999</v>
      </c>
    </row>
    <row r="19" spans="1:6" ht="15" customHeight="1" thickTop="1"/>
    <row r="20" spans="1:6" ht="15" customHeight="1"/>
    <row r="21" spans="1:6" ht="15" customHeight="1"/>
    <row r="22" spans="1:6" ht="15" customHeight="1"/>
    <row r="23" spans="1:6" ht="15" customHeight="1"/>
    <row r="24" spans="1:6" ht="15" customHeight="1"/>
    <row r="25" spans="1:6" ht="15" customHeight="1"/>
    <row r="26" spans="1:6" ht="15" customHeight="1"/>
    <row r="27" spans="1:6" ht="15" customHeight="1"/>
    <row r="28" spans="1:6" ht="15" customHeight="1"/>
    <row r="29" spans="1:6" ht="15" customHeight="1"/>
    <row r="30" spans="1:6" ht="15" customHeight="1"/>
    <row r="31" spans="1:6" ht="15" customHeight="1"/>
    <row r="32" spans="1:6"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tabColor theme="9" tint="0.39997558519241921"/>
  </sheetPr>
  <dimension ref="B1:L107"/>
  <sheetViews>
    <sheetView topLeftCell="A43" workbookViewId="0">
      <selection activeCell="I66" sqref="I66"/>
    </sheetView>
  </sheetViews>
  <sheetFormatPr defaultColWidth="10.33203125" defaultRowHeight="12.75"/>
  <cols>
    <col min="1" max="1" width="2.33203125" customWidth="1"/>
    <col min="2" max="2" width="53" customWidth="1"/>
    <col min="3" max="3" width="15.83203125" customWidth="1"/>
    <col min="4" max="4" width="17.5" bestFit="1" customWidth="1"/>
    <col min="5" max="5" width="14" bestFit="1" customWidth="1"/>
    <col min="6" max="6" width="19.33203125" customWidth="1"/>
    <col min="7" max="7" width="5.33203125" style="1310" customWidth="1"/>
    <col min="8" max="9" width="14.1640625" customWidth="1"/>
    <col min="10" max="10" width="5.33203125" style="1262" customWidth="1"/>
    <col min="11" max="12" width="14.1640625" customWidth="1"/>
  </cols>
  <sheetData>
    <row r="1" spans="2:12" ht="20.25">
      <c r="B1" s="1259" t="s">
        <v>2006</v>
      </c>
      <c r="C1" s="1260"/>
      <c r="D1" s="1260"/>
      <c r="E1" s="1260"/>
      <c r="G1" s="1261"/>
    </row>
    <row r="2" spans="2:12">
      <c r="G2" s="1261"/>
    </row>
    <row r="3" spans="2:12">
      <c r="B3" s="1263"/>
      <c r="G3" s="1261"/>
    </row>
    <row r="4" spans="2:12" ht="13.5" thickBot="1">
      <c r="G4" s="1261"/>
    </row>
    <row r="5" spans="2:12">
      <c r="B5" s="1264" t="s">
        <v>2008</v>
      </c>
      <c r="C5" s="1265">
        <f>F68*C8</f>
        <v>15543974.5</v>
      </c>
      <c r="G5" s="1261"/>
    </row>
    <row r="6" spans="2:12">
      <c r="B6" s="1266" t="s">
        <v>2009</v>
      </c>
      <c r="C6" s="1267">
        <f>K66*C8</f>
        <v>19543974.5</v>
      </c>
      <c r="G6" s="1261"/>
    </row>
    <row r="7" spans="2:12">
      <c r="B7" s="1268" t="s">
        <v>2010</v>
      </c>
      <c r="C7" s="1379">
        <f>F68</f>
        <v>10362649.666666666</v>
      </c>
      <c r="G7" s="1261"/>
    </row>
    <row r="8" spans="2:12">
      <c r="B8" s="1268" t="s">
        <v>2011</v>
      </c>
      <c r="C8" s="1380">
        <v>1.5</v>
      </c>
      <c r="G8" s="1261"/>
    </row>
    <row r="9" spans="2:12">
      <c r="B9" s="1269" t="s">
        <v>2012</v>
      </c>
      <c r="C9" s="1270">
        <v>2</v>
      </c>
      <c r="G9" s="1261"/>
    </row>
    <row r="10" spans="2:12" ht="13.5" thickBot="1">
      <c r="B10" s="1271" t="s">
        <v>2013</v>
      </c>
      <c r="C10" s="1272">
        <v>1</v>
      </c>
      <c r="G10" s="1261"/>
    </row>
    <row r="11" spans="2:12">
      <c r="B11" s="1273"/>
      <c r="C11" s="1274"/>
      <c r="G11" s="1261"/>
    </row>
    <row r="12" spans="2:12">
      <c r="B12" s="1273"/>
      <c r="C12" s="1274"/>
      <c r="G12" s="1261"/>
    </row>
    <row r="13" spans="2:12" ht="15" customHeight="1" thickBot="1">
      <c r="C13" s="1917" t="s">
        <v>2014</v>
      </c>
      <c r="D13" s="1917"/>
      <c r="E13" s="1917"/>
      <c r="F13" s="1917"/>
      <c r="G13" s="1261"/>
      <c r="H13" s="1917" t="s">
        <v>2015</v>
      </c>
      <c r="I13" s="1917"/>
      <c r="K13" s="1918" t="s">
        <v>2016</v>
      </c>
      <c r="L13" s="1918"/>
    </row>
    <row r="14" spans="2:12" ht="3.75" customHeight="1" thickBot="1">
      <c r="C14" s="1919"/>
      <c r="D14" s="1920"/>
      <c r="E14" s="1920"/>
      <c r="F14" s="1920"/>
      <c r="G14" s="1920"/>
      <c r="H14" s="1920"/>
      <c r="I14" s="1920"/>
      <c r="J14" s="1920"/>
      <c r="K14" s="1920"/>
      <c r="L14" s="1921"/>
    </row>
    <row r="15" spans="2:12" ht="38.25">
      <c r="B15" s="1275" t="s">
        <v>2017</v>
      </c>
      <c r="C15" s="1276" t="s">
        <v>2018</v>
      </c>
      <c r="D15" s="1277" t="s">
        <v>2019</v>
      </c>
      <c r="E15" s="1277" t="s">
        <v>2020</v>
      </c>
      <c r="F15" s="1278" t="s">
        <v>2021</v>
      </c>
      <c r="G15" s="1279"/>
      <c r="H15" s="1280" t="s">
        <v>2022</v>
      </c>
      <c r="I15" s="1281" t="s">
        <v>2023</v>
      </c>
      <c r="J15" s="1282"/>
      <c r="K15" s="1283" t="s">
        <v>2024</v>
      </c>
      <c r="L15" s="1284" t="s">
        <v>2025</v>
      </c>
    </row>
    <row r="16" spans="2:12">
      <c r="B16" s="1285" t="s">
        <v>2026</v>
      </c>
      <c r="C16" s="1286">
        <v>2375000</v>
      </c>
      <c r="D16" s="1287">
        <v>0</v>
      </c>
      <c r="E16" s="1288">
        <v>200000</v>
      </c>
      <c r="F16" s="1289">
        <f>IF($C$8&lt;$C$9,(E16*2*$C$10/$C$8)-E16,0)</f>
        <v>66666.666666666686</v>
      </c>
      <c r="G16" s="1290"/>
      <c r="H16" s="1291">
        <v>100000</v>
      </c>
      <c r="I16" s="1292">
        <f>H16/$C$8</f>
        <v>66666.666666666672</v>
      </c>
      <c r="J16" s="1293"/>
      <c r="K16" s="1292">
        <f>SUM(C16, D16, E16,F16, I16)</f>
        <v>2708333.333333333</v>
      </c>
      <c r="L16" s="1294">
        <f>K16/$K$66</f>
        <v>0.20786457739187084</v>
      </c>
    </row>
    <row r="17" spans="2:12">
      <c r="B17" s="1285" t="s">
        <v>2027</v>
      </c>
      <c r="C17" s="1286">
        <v>2375000</v>
      </c>
      <c r="D17" s="1287">
        <v>0</v>
      </c>
      <c r="E17" s="1288">
        <v>10000</v>
      </c>
      <c r="F17" s="1289">
        <f>IF($C$8&lt;$C$9,(E17*2*$C$10/$C$8)-E17,0)</f>
        <v>3333.3333333333339</v>
      </c>
      <c r="G17" s="1290"/>
      <c r="H17" s="1291">
        <v>0</v>
      </c>
      <c r="I17" s="1292">
        <f>H17/$C$8</f>
        <v>0</v>
      </c>
      <c r="J17" s="1293"/>
      <c r="K17" s="1292">
        <f>SUM(C17, D17, E17,F17, I17)</f>
        <v>2388333.3333333335</v>
      </c>
      <c r="L17" s="1294">
        <f>K17/$K$66</f>
        <v>0.18330457809387751</v>
      </c>
    </row>
    <row r="18" spans="2:12" ht="15.4" customHeight="1">
      <c r="B18" s="1285" t="s">
        <v>2028</v>
      </c>
      <c r="C18" s="1286">
        <v>1600000</v>
      </c>
      <c r="D18" s="1287">
        <v>775000</v>
      </c>
      <c r="E18" s="1288">
        <v>200000</v>
      </c>
      <c r="F18" s="1289">
        <f>IF($C$8&lt;$C$9,(E18*2*$C$10/$C$8)-E18,0)</f>
        <v>66666.666666666686</v>
      </c>
      <c r="G18" s="1290"/>
      <c r="H18" s="1291">
        <v>200000</v>
      </c>
      <c r="I18" s="1292">
        <f>H18/$C$8</f>
        <v>133333.33333333334</v>
      </c>
      <c r="J18" s="1293"/>
      <c r="K18" s="1292">
        <f>SUM(C18, D18, E18,F18, I18)</f>
        <v>2775000</v>
      </c>
      <c r="L18" s="1294">
        <f>K18/$K$66</f>
        <v>0.21298124391228612</v>
      </c>
    </row>
    <row r="19" spans="2:12" s="1304" customFormat="1" ht="15.4" customHeight="1">
      <c r="B19" s="1295" t="s">
        <v>2029</v>
      </c>
      <c r="C19" s="1296">
        <f>SUM(C16:C18)</f>
        <v>6350000</v>
      </c>
      <c r="D19" s="1297">
        <f>SUM(D16:D18)</f>
        <v>775000</v>
      </c>
      <c r="E19" s="1298">
        <f>SUM(E16:E18)</f>
        <v>410000</v>
      </c>
      <c r="F19" s="1299">
        <f>SUM(F5:F18)</f>
        <v>136666.66666666669</v>
      </c>
      <c r="G19" s="1290"/>
      <c r="H19" s="1300">
        <f>SUM(H16:H18)</f>
        <v>300000</v>
      </c>
      <c r="I19" s="1301">
        <f>SUM(I16:I18)</f>
        <v>200000</v>
      </c>
      <c r="J19" s="1293"/>
      <c r="K19" s="1302">
        <f>SUM(K16:K18)</f>
        <v>7871666.666666666</v>
      </c>
      <c r="L19" s="1303">
        <f>K19/$K$66</f>
        <v>0.60415039939803439</v>
      </c>
    </row>
    <row r="20" spans="2:12" s="1262" customFormat="1" ht="12.4" customHeight="1">
      <c r="B20" s="1305"/>
      <c r="C20" s="1306"/>
      <c r="D20" s="1307"/>
      <c r="E20" s="1307"/>
      <c r="F20" s="1308">
        <f>IF($C$8&lt;$C$9,(E20*2*$C$10/$C$8)-E20,E20)</f>
        <v>0</v>
      </c>
      <c r="G20" s="1290"/>
      <c r="H20" s="1309"/>
      <c r="I20" s="1261"/>
      <c r="J20" s="1310"/>
      <c r="K20" s="1261"/>
      <c r="L20" s="1311"/>
    </row>
    <row r="21" spans="2:12" ht="13.5" customHeight="1">
      <c r="B21" s="1285" t="s">
        <v>2030</v>
      </c>
      <c r="C21" s="1286">
        <v>250000</v>
      </c>
      <c r="D21" s="1287">
        <v>0</v>
      </c>
      <c r="E21" s="1288">
        <v>0</v>
      </c>
      <c r="F21" s="1289">
        <f>IF($C$8&lt;$C$9,(E21*2*$C$10/$C$8)-E21,0)</f>
        <v>0</v>
      </c>
      <c r="G21" s="1290"/>
      <c r="H21" s="1312">
        <v>0</v>
      </c>
      <c r="I21" s="1313">
        <f>H21/$C$8</f>
        <v>0</v>
      </c>
      <c r="J21" s="1314"/>
      <c r="K21" s="1292">
        <f>SUM(C21, D21, E21,F21, I21)</f>
        <v>250000</v>
      </c>
      <c r="L21" s="1294">
        <f>K21/$K$66</f>
        <v>1.9187499451557309E-2</v>
      </c>
    </row>
    <row r="22" spans="2:12" ht="14.65" customHeight="1">
      <c r="B22" s="1285" t="s">
        <v>2031</v>
      </c>
      <c r="C22" s="1286">
        <v>15983</v>
      </c>
      <c r="D22" s="1287">
        <v>0</v>
      </c>
      <c r="E22" s="1288">
        <v>0</v>
      </c>
      <c r="F22" s="1289">
        <f>IF($C$8&lt;$C$9,(E22*2*$C$10/$C$8)-E22,0)</f>
        <v>0</v>
      </c>
      <c r="G22" s="1290"/>
      <c r="H22" s="1312">
        <v>0</v>
      </c>
      <c r="I22" s="1313">
        <f>H22/$C$8</f>
        <v>0</v>
      </c>
      <c r="J22" s="1314"/>
      <c r="K22" s="1292">
        <f>SUM(C22, D22, E22,F22, I22)</f>
        <v>15983</v>
      </c>
      <c r="L22" s="1294">
        <f>K22/$K$66</f>
        <v>1.226695214936962E-3</v>
      </c>
    </row>
    <row r="23" spans="2:12" s="1304" customFormat="1">
      <c r="B23" s="1295" t="s">
        <v>2032</v>
      </c>
      <c r="C23" s="1296">
        <f>SUM(C21:C22)</f>
        <v>265983</v>
      </c>
      <c r="D23" s="1298">
        <f>SUM(D21:D22)</f>
        <v>0</v>
      </c>
      <c r="E23" s="1298">
        <f>SUM(E21:E22)</f>
        <v>0</v>
      </c>
      <c r="F23" s="1315">
        <f>SUM(F21:F22)</f>
        <v>0</v>
      </c>
      <c r="G23" s="1290"/>
      <c r="H23" s="1316">
        <f>SUM(H21:H22)</f>
        <v>0</v>
      </c>
      <c r="I23" s="1301">
        <f>SUM(I21:I22)</f>
        <v>0</v>
      </c>
      <c r="J23" s="1293"/>
      <c r="K23" s="1301">
        <f>SUM(K21:K22)</f>
        <v>265983</v>
      </c>
      <c r="L23" s="1303">
        <f>K23/$K$66</f>
        <v>2.041419466649427E-2</v>
      </c>
    </row>
    <row r="24" spans="2:12" s="1262" customFormat="1">
      <c r="B24" s="1305"/>
      <c r="C24" s="1317"/>
      <c r="D24" s="1307"/>
      <c r="E24" s="1318"/>
      <c r="F24" s="1308">
        <f>IF($C$8&lt;$C$9,(E24*2*$C$10/$C$8)-E24,E24)</f>
        <v>0</v>
      </c>
      <c r="G24" s="1290"/>
      <c r="H24" s="1319"/>
      <c r="I24" s="1261"/>
      <c r="J24" s="1261"/>
      <c r="K24" s="1261"/>
      <c r="L24" s="1311"/>
    </row>
    <row r="25" spans="2:12">
      <c r="B25" s="1285" t="s">
        <v>2033</v>
      </c>
      <c r="C25" s="1320">
        <v>0</v>
      </c>
      <c r="D25" s="1288">
        <v>275000</v>
      </c>
      <c r="E25" s="1288">
        <v>0</v>
      </c>
      <c r="F25" s="1289">
        <f>IF($C$8&lt;$C$9,(E25*2*$C$10/$C$8)-E25,0)</f>
        <v>0</v>
      </c>
      <c r="G25" s="1290"/>
      <c r="H25" s="1312">
        <v>0</v>
      </c>
      <c r="I25" s="1313">
        <f>H25/$C$8</f>
        <v>0</v>
      </c>
      <c r="J25" s="1314"/>
      <c r="K25" s="1292">
        <f>SUM(C25, D25, E25,F25, I25)</f>
        <v>275000</v>
      </c>
      <c r="L25" s="1294">
        <f t="shared" ref="L25:L30" si="0">K25/$K$66</f>
        <v>2.1106249396713041E-2</v>
      </c>
    </row>
    <row r="26" spans="2:12">
      <c r="B26" s="1285" t="s">
        <v>2034</v>
      </c>
      <c r="C26" s="1320">
        <v>0</v>
      </c>
      <c r="D26" s="1288">
        <v>55000</v>
      </c>
      <c r="E26" s="1288">
        <v>0</v>
      </c>
      <c r="F26" s="1289">
        <f>IF($C$8&lt;$C$9,(E26*2*$C$10/$C$8)-E26,0)</f>
        <v>0</v>
      </c>
      <c r="G26" s="1290"/>
      <c r="H26" s="1312">
        <v>0</v>
      </c>
      <c r="I26" s="1313">
        <f>H26/$C$8</f>
        <v>0</v>
      </c>
      <c r="J26" s="1314"/>
      <c r="K26" s="1292">
        <f>SUM(C26, D26, E26,F26, I26)</f>
        <v>55000</v>
      </c>
      <c r="L26" s="1294">
        <f t="shared" si="0"/>
        <v>4.2212498793426081E-3</v>
      </c>
    </row>
    <row r="27" spans="2:12">
      <c r="B27" s="1285" t="s">
        <v>2035</v>
      </c>
      <c r="C27" s="1320">
        <v>0</v>
      </c>
      <c r="D27" s="1288">
        <v>55000</v>
      </c>
      <c r="E27" s="1288">
        <v>0</v>
      </c>
      <c r="F27" s="1289">
        <f>IF($C$8&lt;$C$9,(E27*2*$C$10/$C$8)-E27,0)</f>
        <v>0</v>
      </c>
      <c r="G27" s="1290"/>
      <c r="H27" s="1312">
        <v>0</v>
      </c>
      <c r="I27" s="1313">
        <f>H27/$C$8</f>
        <v>0</v>
      </c>
      <c r="J27" s="1314"/>
      <c r="K27" s="1292">
        <f>SUM(C27, D27, E27,F27, I27)</f>
        <v>55000</v>
      </c>
      <c r="L27" s="1294">
        <f t="shared" si="0"/>
        <v>4.2212498793426081E-3</v>
      </c>
    </row>
    <row r="28" spans="2:12">
      <c r="B28" s="1285" t="s">
        <v>2036</v>
      </c>
      <c r="C28" s="1320">
        <v>0</v>
      </c>
      <c r="D28" s="1288">
        <v>106000</v>
      </c>
      <c r="E28" s="1288">
        <v>0</v>
      </c>
      <c r="F28" s="1289">
        <f>IF($C$8&lt;$C$9,(E28*2*$C$10/$C$8)-E28,0)</f>
        <v>0</v>
      </c>
      <c r="G28" s="1290"/>
      <c r="H28" s="1312">
        <v>0</v>
      </c>
      <c r="I28" s="1313">
        <f>H28/$C$8</f>
        <v>0</v>
      </c>
      <c r="J28" s="1314"/>
      <c r="K28" s="1292">
        <f>SUM(C28, D28, E28,F28, I28)</f>
        <v>106000</v>
      </c>
      <c r="L28" s="1294">
        <f t="shared" si="0"/>
        <v>8.1354997674602993E-3</v>
      </c>
    </row>
    <row r="29" spans="2:12">
      <c r="B29" s="1285" t="s">
        <v>2037</v>
      </c>
      <c r="C29" s="1320">
        <v>0</v>
      </c>
      <c r="D29" s="1288">
        <v>50000</v>
      </c>
      <c r="E29" s="1288">
        <v>0</v>
      </c>
      <c r="F29" s="1289">
        <f>IF($C$8&lt;$C$9,(E29*2*$C$10/$C$8)-E29,0)</f>
        <v>0</v>
      </c>
      <c r="G29" s="1290"/>
      <c r="H29" s="1312">
        <v>0</v>
      </c>
      <c r="I29" s="1313">
        <f>H29/$C$8</f>
        <v>0</v>
      </c>
      <c r="J29" s="1314"/>
      <c r="K29" s="1292">
        <f>SUM(C29, D29, E29,F29, I29)</f>
        <v>50000</v>
      </c>
      <c r="L29" s="1294">
        <f t="shared" si="0"/>
        <v>3.837499890311462E-3</v>
      </c>
    </row>
    <row r="30" spans="2:12" s="1304" customFormat="1">
      <c r="B30" s="1295" t="s">
        <v>2038</v>
      </c>
      <c r="C30" s="1296">
        <f>SUM(C25:C29)</f>
        <v>0</v>
      </c>
      <c r="D30" s="1298">
        <f>SUM(D25:D29)</f>
        <v>541000</v>
      </c>
      <c r="E30" s="1298">
        <f>SUM(E25:E29)</f>
        <v>0</v>
      </c>
      <c r="F30" s="1315">
        <f>IF($C$8&lt;$C$9,(E30*2*$C$10/$C$8)-E30,E30)</f>
        <v>0</v>
      </c>
      <c r="G30" s="1290"/>
      <c r="H30" s="1316">
        <f>SUM(H25:H29)</f>
        <v>0</v>
      </c>
      <c r="I30" s="1301">
        <f>SUM(I25:I29)</f>
        <v>0</v>
      </c>
      <c r="J30" s="1293"/>
      <c r="K30" s="1301">
        <f>SUM(K25:K29)</f>
        <v>541000</v>
      </c>
      <c r="L30" s="1303">
        <f t="shared" si="0"/>
        <v>4.1521748813170015E-2</v>
      </c>
    </row>
    <row r="31" spans="2:12" s="1262" customFormat="1">
      <c r="B31" s="1305"/>
      <c r="C31" s="1317"/>
      <c r="D31" s="1318"/>
      <c r="E31" s="1318"/>
      <c r="F31" s="1308">
        <f>IF($C$8&lt;$C$9,(E31*2*$C$10/$C$8)-E31,E31)</f>
        <v>0</v>
      </c>
      <c r="G31" s="1290"/>
      <c r="H31" s="1319"/>
      <c r="I31" s="1261"/>
      <c r="J31" s="1310"/>
      <c r="K31" s="1261"/>
      <c r="L31" s="1311"/>
    </row>
    <row r="32" spans="2:12" s="1262" customFormat="1">
      <c r="B32" s="1285" t="s">
        <v>2039</v>
      </c>
      <c r="C32" s="1320">
        <v>0</v>
      </c>
      <c r="D32" s="1288">
        <v>55000</v>
      </c>
      <c r="E32" s="1288">
        <v>0</v>
      </c>
      <c r="F32" s="1289">
        <f t="shared" ref="F32:F43" si="1">IF($C$8&lt;$C$9,(E32*2*$C$10/$C$8)-E32,0)</f>
        <v>0</v>
      </c>
      <c r="G32" s="1290"/>
      <c r="H32" s="1312">
        <v>0</v>
      </c>
      <c r="I32" s="1313">
        <f t="shared" ref="I32:I44" si="2">H32/$C$8</f>
        <v>0</v>
      </c>
      <c r="J32" s="1314"/>
      <c r="K32" s="1292">
        <f t="shared" ref="K32:K44" si="3">SUM(C32, D32, E32,F32, I32)</f>
        <v>55000</v>
      </c>
      <c r="L32" s="1294">
        <f t="shared" ref="L32:L45" si="4">K32/$K$66</f>
        <v>4.2212498793426081E-3</v>
      </c>
    </row>
    <row r="33" spans="2:12" s="1262" customFormat="1">
      <c r="B33" s="1305" t="s">
        <v>2040</v>
      </c>
      <c r="C33" s="1320">
        <v>0</v>
      </c>
      <c r="D33" s="1288">
        <v>10000</v>
      </c>
      <c r="E33" s="1288">
        <v>0</v>
      </c>
      <c r="F33" s="1289">
        <f t="shared" si="1"/>
        <v>0</v>
      </c>
      <c r="G33" s="1290"/>
      <c r="H33" s="1312">
        <v>0</v>
      </c>
      <c r="I33" s="1313">
        <f t="shared" si="2"/>
        <v>0</v>
      </c>
      <c r="J33" s="1314"/>
      <c r="K33" s="1292">
        <f t="shared" si="3"/>
        <v>10000</v>
      </c>
      <c r="L33" s="1294">
        <f t="shared" si="4"/>
        <v>7.6749997806229233E-4</v>
      </c>
    </row>
    <row r="34" spans="2:12">
      <c r="B34" s="1285" t="s">
        <v>2041</v>
      </c>
      <c r="C34" s="1320">
        <v>0</v>
      </c>
      <c r="D34" s="1288">
        <v>30000</v>
      </c>
      <c r="E34" s="1288">
        <v>0</v>
      </c>
      <c r="F34" s="1289">
        <f t="shared" si="1"/>
        <v>0</v>
      </c>
      <c r="G34" s="1290"/>
      <c r="H34" s="1312">
        <v>0</v>
      </c>
      <c r="I34" s="1313">
        <f t="shared" si="2"/>
        <v>0</v>
      </c>
      <c r="J34" s="1314"/>
      <c r="K34" s="1292">
        <f t="shared" si="3"/>
        <v>30000</v>
      </c>
      <c r="L34" s="1294">
        <f t="shared" si="4"/>
        <v>2.3024999341868771E-3</v>
      </c>
    </row>
    <row r="35" spans="2:12">
      <c r="B35" s="1285" t="s">
        <v>2042</v>
      </c>
      <c r="C35" s="1320">
        <v>0</v>
      </c>
      <c r="D35" s="1288">
        <v>30000</v>
      </c>
      <c r="E35" s="1288">
        <v>0</v>
      </c>
      <c r="F35" s="1289">
        <f t="shared" si="1"/>
        <v>0</v>
      </c>
      <c r="G35" s="1290"/>
      <c r="H35" s="1312">
        <v>0</v>
      </c>
      <c r="I35" s="1313">
        <f t="shared" si="2"/>
        <v>0</v>
      </c>
      <c r="J35" s="1314"/>
      <c r="K35" s="1292">
        <f t="shared" si="3"/>
        <v>30000</v>
      </c>
      <c r="L35" s="1294">
        <f t="shared" si="4"/>
        <v>2.3024999341868771E-3</v>
      </c>
    </row>
    <row r="36" spans="2:12">
      <c r="B36" s="1285" t="s">
        <v>2043</v>
      </c>
      <c r="C36" s="1320">
        <v>0</v>
      </c>
      <c r="D36" s="1288">
        <v>30000</v>
      </c>
      <c r="E36" s="1288">
        <v>0</v>
      </c>
      <c r="F36" s="1289">
        <f t="shared" si="1"/>
        <v>0</v>
      </c>
      <c r="G36" s="1290"/>
      <c r="H36" s="1312">
        <v>0</v>
      </c>
      <c r="I36" s="1313">
        <f t="shared" si="2"/>
        <v>0</v>
      </c>
      <c r="J36" s="1314"/>
      <c r="K36" s="1292">
        <f t="shared" si="3"/>
        <v>30000</v>
      </c>
      <c r="L36" s="1294">
        <f t="shared" si="4"/>
        <v>2.3024999341868771E-3</v>
      </c>
    </row>
    <row r="37" spans="2:12">
      <c r="B37" s="1285" t="s">
        <v>2044</v>
      </c>
      <c r="C37" s="1320">
        <v>0</v>
      </c>
      <c r="D37" s="1288">
        <v>10000</v>
      </c>
      <c r="E37" s="1288">
        <v>0</v>
      </c>
      <c r="F37" s="1289">
        <f t="shared" si="1"/>
        <v>0</v>
      </c>
      <c r="G37" s="1290"/>
      <c r="H37" s="1312">
        <v>0</v>
      </c>
      <c r="I37" s="1313">
        <f t="shared" si="2"/>
        <v>0</v>
      </c>
      <c r="J37" s="1314"/>
      <c r="K37" s="1292">
        <f t="shared" si="3"/>
        <v>10000</v>
      </c>
      <c r="L37" s="1294">
        <f t="shared" si="4"/>
        <v>7.6749997806229233E-4</v>
      </c>
    </row>
    <row r="38" spans="2:12">
      <c r="B38" s="1285" t="s">
        <v>2045</v>
      </c>
      <c r="C38" s="1320">
        <v>0</v>
      </c>
      <c r="D38" s="1288">
        <v>40000</v>
      </c>
      <c r="E38" s="1288">
        <v>0</v>
      </c>
      <c r="F38" s="1289">
        <f t="shared" si="1"/>
        <v>0</v>
      </c>
      <c r="G38" s="1290"/>
      <c r="H38" s="1312">
        <v>0</v>
      </c>
      <c r="I38" s="1313">
        <f t="shared" si="2"/>
        <v>0</v>
      </c>
      <c r="J38" s="1314"/>
      <c r="K38" s="1292">
        <f t="shared" si="3"/>
        <v>40000</v>
      </c>
      <c r="L38" s="1294">
        <f t="shared" si="4"/>
        <v>3.0699999122491693E-3</v>
      </c>
    </row>
    <row r="39" spans="2:12">
      <c r="B39" s="1285" t="s">
        <v>2046</v>
      </c>
      <c r="C39" s="1320">
        <v>0</v>
      </c>
      <c r="D39" s="1288">
        <v>5000</v>
      </c>
      <c r="E39" s="1288">
        <v>0</v>
      </c>
      <c r="F39" s="1289">
        <f t="shared" si="1"/>
        <v>0</v>
      </c>
      <c r="G39" s="1290"/>
      <c r="H39" s="1312">
        <v>0</v>
      </c>
      <c r="I39" s="1313">
        <f t="shared" si="2"/>
        <v>0</v>
      </c>
      <c r="J39" s="1314"/>
      <c r="K39" s="1292">
        <f t="shared" si="3"/>
        <v>5000</v>
      </c>
      <c r="L39" s="1294">
        <f t="shared" si="4"/>
        <v>3.8374998903114617E-4</v>
      </c>
    </row>
    <row r="40" spans="2:12">
      <c r="B40" s="1285" t="s">
        <v>2047</v>
      </c>
      <c r="C40" s="1321">
        <v>0</v>
      </c>
      <c r="D40" s="1322">
        <v>30000</v>
      </c>
      <c r="E40" s="1322">
        <v>50000</v>
      </c>
      <c r="F40" s="1289">
        <f t="shared" si="1"/>
        <v>16666.666666666672</v>
      </c>
      <c r="G40" s="1290"/>
      <c r="H40" s="1312">
        <v>50000</v>
      </c>
      <c r="I40" s="1292">
        <f t="shared" si="2"/>
        <v>33333.333333333336</v>
      </c>
      <c r="J40" s="1293"/>
      <c r="K40" s="1292">
        <f t="shared" si="3"/>
        <v>130000</v>
      </c>
      <c r="L40" s="1294">
        <f t="shared" si="4"/>
        <v>9.9774997148098007E-3</v>
      </c>
    </row>
    <row r="41" spans="2:12">
      <c r="B41" s="1285" t="s">
        <v>2048</v>
      </c>
      <c r="C41" s="1321">
        <v>0</v>
      </c>
      <c r="D41" s="1322">
        <v>40000</v>
      </c>
      <c r="E41" s="1322">
        <v>0</v>
      </c>
      <c r="F41" s="1289">
        <f t="shared" si="1"/>
        <v>0</v>
      </c>
      <c r="G41" s="1290"/>
      <c r="H41" s="1312">
        <v>0</v>
      </c>
      <c r="I41" s="1292">
        <f t="shared" si="2"/>
        <v>0</v>
      </c>
      <c r="J41" s="1293"/>
      <c r="K41" s="1292">
        <f t="shared" si="3"/>
        <v>40000</v>
      </c>
      <c r="L41" s="1294">
        <f t="shared" si="4"/>
        <v>3.0699999122491693E-3</v>
      </c>
    </row>
    <row r="42" spans="2:12">
      <c r="B42" s="1285" t="s">
        <v>2049</v>
      </c>
      <c r="C42" s="1321">
        <v>0</v>
      </c>
      <c r="D42" s="1322">
        <v>30000</v>
      </c>
      <c r="E42" s="1322">
        <v>0</v>
      </c>
      <c r="F42" s="1289">
        <f t="shared" si="1"/>
        <v>0</v>
      </c>
      <c r="G42" s="1290"/>
      <c r="H42" s="1312">
        <v>0</v>
      </c>
      <c r="I42" s="1292">
        <f t="shared" si="2"/>
        <v>0</v>
      </c>
      <c r="J42" s="1293"/>
      <c r="K42" s="1292">
        <f t="shared" si="3"/>
        <v>30000</v>
      </c>
      <c r="L42" s="1294">
        <f t="shared" si="4"/>
        <v>2.3024999341868771E-3</v>
      </c>
    </row>
    <row r="43" spans="2:12">
      <c r="B43" s="1285" t="s">
        <v>2050</v>
      </c>
      <c r="C43" s="1321">
        <v>0</v>
      </c>
      <c r="D43" s="1322">
        <v>40000</v>
      </c>
      <c r="E43" s="1322">
        <v>0</v>
      </c>
      <c r="F43" s="1289">
        <f t="shared" si="1"/>
        <v>0</v>
      </c>
      <c r="G43" s="1290"/>
      <c r="H43" s="1312">
        <v>100000</v>
      </c>
      <c r="I43" s="1292">
        <f t="shared" si="2"/>
        <v>66666.666666666672</v>
      </c>
      <c r="J43" s="1293"/>
      <c r="K43" s="1292">
        <f t="shared" si="3"/>
        <v>106666.66666666667</v>
      </c>
      <c r="L43" s="1294">
        <f t="shared" si="4"/>
        <v>8.1866664326644516E-3</v>
      </c>
    </row>
    <row r="44" spans="2:12">
      <c r="B44" s="1285" t="s">
        <v>2051</v>
      </c>
      <c r="C44" s="1321">
        <v>0</v>
      </c>
      <c r="D44" s="1322">
        <v>40000</v>
      </c>
      <c r="E44" s="1322">
        <v>0</v>
      </c>
      <c r="F44" s="1289">
        <f>IF($C$8&lt;$C$9,(E44*2*$C$10/$C$8)-E44,E44)</f>
        <v>0</v>
      </c>
      <c r="G44" s="1290"/>
      <c r="H44" s="1312">
        <v>0</v>
      </c>
      <c r="I44" s="1292">
        <f t="shared" si="2"/>
        <v>0</v>
      </c>
      <c r="J44" s="1293"/>
      <c r="K44" s="1292">
        <f t="shared" si="3"/>
        <v>40000</v>
      </c>
      <c r="L44" s="1294">
        <f t="shared" si="4"/>
        <v>3.0699999122491693E-3</v>
      </c>
    </row>
    <row r="45" spans="2:12" s="1304" customFormat="1">
      <c r="B45" s="1295" t="s">
        <v>2052</v>
      </c>
      <c r="C45" s="1296">
        <f>SUM(C32:C44)</f>
        <v>0</v>
      </c>
      <c r="D45" s="1298">
        <f>SUM(D32:D44)</f>
        <v>390000</v>
      </c>
      <c r="E45" s="1298">
        <f>SUM(E32:E44)</f>
        <v>50000</v>
      </c>
      <c r="F45" s="1299">
        <f>SUM(F32:F44)</f>
        <v>16666.666666666672</v>
      </c>
      <c r="G45" s="1323"/>
      <c r="H45" s="1316">
        <f>SUM(H32:H44)</f>
        <v>150000</v>
      </c>
      <c r="I45" s="1324">
        <f>SUM(I32:I44)</f>
        <v>100000</v>
      </c>
      <c r="J45" s="1323"/>
      <c r="K45" s="1324">
        <f>SUM(K32:K44)</f>
        <v>556666.66666666674</v>
      </c>
      <c r="L45" s="1303">
        <f t="shared" si="4"/>
        <v>4.2724165445467616E-2</v>
      </c>
    </row>
    <row r="46" spans="2:12">
      <c r="C46" s="1325"/>
      <c r="D46" s="1326"/>
      <c r="E46" s="1327"/>
      <c r="F46" s="1327"/>
      <c r="H46" s="1328"/>
      <c r="I46" s="1326"/>
      <c r="J46" s="1293"/>
      <c r="K46" s="1327"/>
      <c r="L46" s="1329"/>
    </row>
    <row r="47" spans="2:12">
      <c r="B47" s="1285" t="s">
        <v>2053</v>
      </c>
      <c r="C47" s="1321">
        <v>0</v>
      </c>
      <c r="D47" s="1322">
        <v>0</v>
      </c>
      <c r="E47" s="1322">
        <v>200000</v>
      </c>
      <c r="F47" s="1288">
        <f t="shared" ref="F47:F52" si="5">IF($C$8&lt;$C$9,(E47*2*$C$10/$C$8)-E47,0)</f>
        <v>66666.666666666686</v>
      </c>
      <c r="G47" s="1290"/>
      <c r="H47" s="1312">
        <v>0</v>
      </c>
      <c r="I47" s="1292">
        <f t="shared" ref="I47:I52" si="6">H47/$C$8</f>
        <v>0</v>
      </c>
      <c r="J47" s="1293"/>
      <c r="K47" s="1292">
        <f t="shared" ref="K47:K52" si="7">SUM(C47, D47, E47,F47, I47)</f>
        <v>266666.66666666669</v>
      </c>
      <c r="L47" s="1294">
        <f t="shared" ref="L47:L53" si="8">K47/$K$66</f>
        <v>2.0466666081661131E-2</v>
      </c>
    </row>
    <row r="48" spans="2:12">
      <c r="B48" s="1285" t="s">
        <v>2054</v>
      </c>
      <c r="C48" s="1321">
        <v>0</v>
      </c>
      <c r="D48" s="1322">
        <v>0</v>
      </c>
      <c r="E48" s="1322">
        <v>200000</v>
      </c>
      <c r="F48" s="1289">
        <f t="shared" si="5"/>
        <v>66666.666666666686</v>
      </c>
      <c r="G48" s="1290"/>
      <c r="H48" s="1312">
        <v>100000</v>
      </c>
      <c r="I48" s="1292">
        <f t="shared" si="6"/>
        <v>66666.666666666672</v>
      </c>
      <c r="J48" s="1293"/>
      <c r="K48" s="1292">
        <f t="shared" si="7"/>
        <v>333333.33333333337</v>
      </c>
      <c r="L48" s="1294">
        <f t="shared" si="8"/>
        <v>2.5583332602076417E-2</v>
      </c>
    </row>
    <row r="49" spans="2:12">
      <c r="B49" s="1285" t="s">
        <v>2055</v>
      </c>
      <c r="C49" s="1321">
        <v>0</v>
      </c>
      <c r="D49" s="1322">
        <v>0</v>
      </c>
      <c r="E49" s="1322">
        <v>50000</v>
      </c>
      <c r="F49" s="1289">
        <f t="shared" si="5"/>
        <v>16666.666666666672</v>
      </c>
      <c r="G49" s="1290"/>
      <c r="H49" s="1312">
        <v>0</v>
      </c>
      <c r="I49" s="1292">
        <f t="shared" si="6"/>
        <v>0</v>
      </c>
      <c r="J49" s="1293"/>
      <c r="K49" s="1292">
        <f t="shared" si="7"/>
        <v>66666.666666666672</v>
      </c>
      <c r="L49" s="1294">
        <f t="shared" si="8"/>
        <v>5.1166665204152827E-3</v>
      </c>
    </row>
    <row r="50" spans="2:12">
      <c r="B50" s="1285" t="s">
        <v>2056</v>
      </c>
      <c r="C50" s="1321">
        <v>0</v>
      </c>
      <c r="D50" s="1322">
        <v>0</v>
      </c>
      <c r="E50" s="1322">
        <v>200000</v>
      </c>
      <c r="F50" s="1289">
        <f t="shared" si="5"/>
        <v>66666.666666666686</v>
      </c>
      <c r="G50" s="1290"/>
      <c r="H50" s="1312">
        <v>200000</v>
      </c>
      <c r="I50" s="1292">
        <f t="shared" si="6"/>
        <v>133333.33333333334</v>
      </c>
      <c r="J50" s="1293"/>
      <c r="K50" s="1292">
        <f t="shared" si="7"/>
        <v>400000</v>
      </c>
      <c r="L50" s="1294">
        <f t="shared" si="8"/>
        <v>3.0699999122491696E-2</v>
      </c>
    </row>
    <row r="51" spans="2:12">
      <c r="B51" s="1285" t="s">
        <v>2057</v>
      </c>
      <c r="C51" s="1321">
        <v>0</v>
      </c>
      <c r="D51" s="1322">
        <v>0</v>
      </c>
      <c r="E51" s="1322">
        <v>50000</v>
      </c>
      <c r="F51" s="1289">
        <f t="shared" si="5"/>
        <v>16666.666666666672</v>
      </c>
      <c r="G51" s="1290"/>
      <c r="H51" s="1312">
        <v>0</v>
      </c>
      <c r="I51" s="1292">
        <f t="shared" si="6"/>
        <v>0</v>
      </c>
      <c r="J51" s="1293"/>
      <c r="K51" s="1292">
        <f t="shared" si="7"/>
        <v>66666.666666666672</v>
      </c>
      <c r="L51" s="1294">
        <f t="shared" si="8"/>
        <v>5.1166665204152827E-3</v>
      </c>
    </row>
    <row r="52" spans="2:12">
      <c r="B52" s="1285" t="s">
        <v>2058</v>
      </c>
      <c r="C52" s="1321">
        <v>0</v>
      </c>
      <c r="D52" s="1322">
        <v>0</v>
      </c>
      <c r="E52" s="1322">
        <v>75000</v>
      </c>
      <c r="F52" s="1289">
        <f t="shared" si="5"/>
        <v>25000</v>
      </c>
      <c r="G52" s="1290"/>
      <c r="H52" s="1312">
        <v>50000</v>
      </c>
      <c r="I52" s="1292">
        <f t="shared" si="6"/>
        <v>33333.333333333336</v>
      </c>
      <c r="J52" s="1293"/>
      <c r="K52" s="1292">
        <f t="shared" si="7"/>
        <v>133333.33333333334</v>
      </c>
      <c r="L52" s="1294">
        <f t="shared" si="8"/>
        <v>1.0233333040830565E-2</v>
      </c>
    </row>
    <row r="53" spans="2:12">
      <c r="B53" s="1295" t="s">
        <v>2059</v>
      </c>
      <c r="C53" s="1330">
        <f>SUM(C47:C52)</f>
        <v>0</v>
      </c>
      <c r="D53" s="1331">
        <f>SUM(D47:D52)</f>
        <v>0</v>
      </c>
      <c r="E53" s="1331">
        <f>SUM(E47:E52)</f>
        <v>775000</v>
      </c>
      <c r="F53" s="1299">
        <f>SUM(F47:F52)</f>
        <v>258333.33333333343</v>
      </c>
      <c r="G53" s="1323"/>
      <c r="H53" s="1316">
        <f>SUM(H47:H52)</f>
        <v>350000</v>
      </c>
      <c r="I53" s="1324">
        <f>SUM(I47:I52)</f>
        <v>233333.33333333334</v>
      </c>
      <c r="J53" s="1323"/>
      <c r="K53" s="1324">
        <f>SUM(K47:K52)</f>
        <v>1266666.6666666665</v>
      </c>
      <c r="L53" s="1303">
        <f t="shared" si="8"/>
        <v>9.7216663887890353E-2</v>
      </c>
    </row>
    <row r="54" spans="2:12">
      <c r="B54" s="1332"/>
      <c r="C54" s="1333"/>
      <c r="D54" s="1334"/>
      <c r="E54" s="1334"/>
      <c r="F54" s="1335"/>
      <c r="G54" s="1336"/>
      <c r="H54" s="1337"/>
      <c r="I54" s="1338"/>
      <c r="J54" s="1323"/>
      <c r="K54" s="1327"/>
      <c r="L54" s="1329"/>
    </row>
    <row r="55" spans="2:12">
      <c r="B55" s="1332" t="s">
        <v>2060</v>
      </c>
      <c r="C55" s="1339">
        <v>0</v>
      </c>
      <c r="D55" s="1322">
        <v>0</v>
      </c>
      <c r="E55" s="1322">
        <v>0</v>
      </c>
      <c r="F55" s="1288">
        <f t="shared" ref="F55:F60" si="9">IF($C$8&lt;$C$9,(E55*2*$C$10/$C$8)-E55,0)</f>
        <v>0</v>
      </c>
      <c r="G55" s="1336"/>
      <c r="H55" s="1340">
        <v>450000</v>
      </c>
      <c r="I55" s="1292">
        <f t="shared" ref="I55:I60" si="10">H55/$C$8</f>
        <v>300000</v>
      </c>
      <c r="J55" s="1323"/>
      <c r="K55" s="1292">
        <f t="shared" ref="K55:K60" si="11">SUM(C55, D55, E55,F55, I55)</f>
        <v>300000</v>
      </c>
      <c r="L55" s="1294">
        <f t="shared" ref="L55:L61" si="12">K55/$K$66</f>
        <v>2.302499934186877E-2</v>
      </c>
    </row>
    <row r="56" spans="2:12">
      <c r="B56" s="1332" t="s">
        <v>2061</v>
      </c>
      <c r="C56" s="1339">
        <v>0</v>
      </c>
      <c r="D56" s="1322">
        <v>0</v>
      </c>
      <c r="E56" s="1322">
        <v>0</v>
      </c>
      <c r="F56" s="1288">
        <f t="shared" si="9"/>
        <v>0</v>
      </c>
      <c r="G56" s="1336"/>
      <c r="H56" s="1340">
        <v>200000</v>
      </c>
      <c r="I56" s="1292">
        <f t="shared" si="10"/>
        <v>133333.33333333334</v>
      </c>
      <c r="J56" s="1323"/>
      <c r="K56" s="1292">
        <f t="shared" si="11"/>
        <v>133333.33333333334</v>
      </c>
      <c r="L56" s="1294">
        <f t="shared" si="12"/>
        <v>1.0233333040830565E-2</v>
      </c>
    </row>
    <row r="57" spans="2:12">
      <c r="B57" s="1332" t="s">
        <v>2062</v>
      </c>
      <c r="C57" s="1339">
        <v>0</v>
      </c>
      <c r="D57" s="1322">
        <v>0</v>
      </c>
      <c r="E57" s="1322">
        <v>0</v>
      </c>
      <c r="F57" s="1288">
        <f t="shared" si="9"/>
        <v>0</v>
      </c>
      <c r="G57" s="1336"/>
      <c r="H57" s="1340">
        <v>200000</v>
      </c>
      <c r="I57" s="1292">
        <f t="shared" si="10"/>
        <v>133333.33333333334</v>
      </c>
      <c r="J57" s="1323"/>
      <c r="K57" s="1292">
        <f t="shared" si="11"/>
        <v>133333.33333333334</v>
      </c>
      <c r="L57" s="1294">
        <f t="shared" si="12"/>
        <v>1.0233333040830565E-2</v>
      </c>
    </row>
    <row r="58" spans="2:12">
      <c r="B58" s="1332" t="s">
        <v>2063</v>
      </c>
      <c r="C58" s="1339">
        <v>0</v>
      </c>
      <c r="D58" s="1322">
        <v>0</v>
      </c>
      <c r="E58" s="1322">
        <v>0</v>
      </c>
      <c r="F58" s="1288">
        <f t="shared" si="9"/>
        <v>0</v>
      </c>
      <c r="G58" s="1336"/>
      <c r="H58" s="1340">
        <v>150000</v>
      </c>
      <c r="I58" s="1292">
        <f t="shared" si="10"/>
        <v>100000</v>
      </c>
      <c r="J58" s="1323"/>
      <c r="K58" s="1292">
        <f t="shared" si="11"/>
        <v>100000</v>
      </c>
      <c r="L58" s="1294">
        <f t="shared" si="12"/>
        <v>7.674999780622924E-3</v>
      </c>
    </row>
    <row r="59" spans="2:12">
      <c r="B59" s="1332" t="s">
        <v>2064</v>
      </c>
      <c r="C59" s="1339">
        <v>0</v>
      </c>
      <c r="D59" s="1322">
        <v>0</v>
      </c>
      <c r="E59" s="1322">
        <v>0</v>
      </c>
      <c r="F59" s="1288">
        <f t="shared" si="9"/>
        <v>0</v>
      </c>
      <c r="G59" s="1336"/>
      <c r="H59" s="1340">
        <v>200000</v>
      </c>
      <c r="I59" s="1292">
        <f t="shared" si="10"/>
        <v>133333.33333333334</v>
      </c>
      <c r="J59" s="1323"/>
      <c r="K59" s="1292">
        <f t="shared" si="11"/>
        <v>133333.33333333334</v>
      </c>
      <c r="L59" s="1294">
        <f t="shared" si="12"/>
        <v>1.0233333040830565E-2</v>
      </c>
    </row>
    <row r="60" spans="2:12">
      <c r="B60" s="1332" t="s">
        <v>2065</v>
      </c>
      <c r="C60" s="1339">
        <v>0</v>
      </c>
      <c r="D60" s="1322">
        <v>0</v>
      </c>
      <c r="E60" s="1322">
        <v>0</v>
      </c>
      <c r="F60" s="1288">
        <f t="shared" si="9"/>
        <v>0</v>
      </c>
      <c r="G60" s="1336"/>
      <c r="H60" s="1340">
        <v>2000000</v>
      </c>
      <c r="I60" s="1292">
        <f t="shared" si="10"/>
        <v>1333333.3333333333</v>
      </c>
      <c r="J60" s="1323"/>
      <c r="K60" s="1292">
        <f t="shared" si="11"/>
        <v>1333333.3333333333</v>
      </c>
      <c r="L60" s="1294">
        <f t="shared" si="12"/>
        <v>0.10233333040830564</v>
      </c>
    </row>
    <row r="61" spans="2:12">
      <c r="B61" s="1295" t="s">
        <v>2066</v>
      </c>
      <c r="C61" s="1330">
        <f>SUM(C55:C60)</f>
        <v>0</v>
      </c>
      <c r="D61" s="1331">
        <f>SUM(D55:D60)</f>
        <v>0</v>
      </c>
      <c r="E61" s="1331">
        <f>SUM(E55:E60)</f>
        <v>0</v>
      </c>
      <c r="F61" s="1331">
        <f>SUM(F55:F60)</f>
        <v>0</v>
      </c>
      <c r="G61" s="1341"/>
      <c r="H61" s="1316">
        <f>SUM(H55:H60)</f>
        <v>3200000</v>
      </c>
      <c r="I61" s="1301">
        <f>SUM(I55:I60)</f>
        <v>2133333.3333333335</v>
      </c>
      <c r="J61" s="1293"/>
      <c r="K61" s="1301">
        <f>SUM(K55:K60)</f>
        <v>2133333.3333333335</v>
      </c>
      <c r="L61" s="1303">
        <f t="shared" si="12"/>
        <v>0.16373332865328905</v>
      </c>
    </row>
    <row r="62" spans="2:12" s="1262" customFormat="1">
      <c r="B62" s="1305"/>
      <c r="C62" s="1342"/>
      <c r="D62" s="1343"/>
      <c r="E62" s="1343"/>
      <c r="F62" s="1309"/>
      <c r="G62" s="1336"/>
      <c r="H62" s="1309"/>
      <c r="I62" s="1344"/>
      <c r="J62" s="1345"/>
      <c r="K62" s="1261"/>
      <c r="L62" s="1311"/>
    </row>
    <row r="63" spans="2:12" s="1304" customFormat="1">
      <c r="B63" s="1295" t="s">
        <v>2067</v>
      </c>
      <c r="C63" s="1330">
        <v>0</v>
      </c>
      <c r="D63" s="1331">
        <v>394000</v>
      </c>
      <c r="E63" s="1331">
        <v>0</v>
      </c>
      <c r="F63" s="1346">
        <v>0</v>
      </c>
      <c r="G63" s="1341"/>
      <c r="H63" s="1316">
        <v>0</v>
      </c>
      <c r="I63" s="1347">
        <v>0</v>
      </c>
      <c r="J63" s="1345"/>
      <c r="K63" s="1301">
        <f>SUM(C63, D63, I63, F63)</f>
        <v>394000</v>
      </c>
      <c r="L63" s="1303">
        <f>K63/$K$66</f>
        <v>3.0239499135654321E-2</v>
      </c>
    </row>
    <row r="64" spans="2:12">
      <c r="C64" s="1325"/>
      <c r="D64" s="1327"/>
      <c r="E64" s="1327"/>
      <c r="F64" s="1327"/>
      <c r="G64" s="1261"/>
      <c r="H64" s="1327"/>
      <c r="I64" s="1348"/>
      <c r="J64" s="1344"/>
      <c r="K64" s="1327"/>
      <c r="L64" s="1329"/>
    </row>
    <row r="65" spans="2:12" ht="13.5" thickBot="1">
      <c r="C65" s="1325"/>
      <c r="D65" s="1327"/>
      <c r="E65" s="1327"/>
      <c r="F65" s="1327"/>
      <c r="G65" s="1261"/>
      <c r="H65" s="1349"/>
      <c r="I65" s="1349"/>
      <c r="J65" s="1350"/>
      <c r="K65" s="1349"/>
      <c r="L65" s="1351"/>
    </row>
    <row r="66" spans="2:12" ht="13.5" thickBot="1">
      <c r="B66" s="1352" t="s">
        <v>159</v>
      </c>
      <c r="C66" s="1353">
        <f>C19+C23+C30+C45+C53+C61+C63</f>
        <v>6615983</v>
      </c>
      <c r="D66" s="1354">
        <f>D19+D23+D30+D45+D53+D61+D63</f>
        <v>2100000</v>
      </c>
      <c r="E66" s="1354">
        <f>E19+E23+E30+E45+E53+E61+E63</f>
        <v>1235000</v>
      </c>
      <c r="F66" s="1355">
        <f>F19+F23+F30+F45+F53+F61+F63</f>
        <v>411666.6666666668</v>
      </c>
      <c r="G66" s="1356"/>
      <c r="H66" s="1357">
        <f>H19+H23+H30+H45+H53+H61+H63</f>
        <v>4000000</v>
      </c>
      <c r="I66" s="1354">
        <f>I19+I23+I30+I45+I53+I61+I63</f>
        <v>2666666.666666667</v>
      </c>
      <c r="J66" s="1358"/>
      <c r="K66" s="1354">
        <f>K19+K23+K30+K45+K53+K61+K63</f>
        <v>13029316.333333332</v>
      </c>
      <c r="L66" s="1359">
        <f>K66/$K$66</f>
        <v>1</v>
      </c>
    </row>
    <row r="67" spans="2:12" s="1304" customFormat="1">
      <c r="B67" s="1360"/>
      <c r="C67" s="1361"/>
      <c r="D67" s="1361"/>
      <c r="E67" s="1361"/>
      <c r="F67" s="1853">
        <f>SUM(E66:F66)/1000</f>
        <v>1646.6666666666667</v>
      </c>
      <c r="G67" s="1363"/>
      <c r="H67" s="1362"/>
      <c r="I67" s="1364"/>
      <c r="J67" s="1365"/>
    </row>
    <row r="68" spans="2:12" s="1304" customFormat="1">
      <c r="B68" s="1360"/>
      <c r="C68" s="1922" t="s">
        <v>2068</v>
      </c>
      <c r="D68" s="1922"/>
      <c r="E68" s="1922"/>
      <c r="F68" s="1366">
        <f>SUM(C66:F66)</f>
        <v>10362649.666666666</v>
      </c>
      <c r="G68" s="1363"/>
      <c r="H68" s="1362">
        <f>C66/$K$66</f>
        <v>0.50777668073604998</v>
      </c>
      <c r="I68" s="1413"/>
      <c r="J68" s="1365"/>
    </row>
    <row r="69" spans="2:12">
      <c r="B69" s="1367"/>
      <c r="C69" s="1368"/>
      <c r="D69" s="1368"/>
      <c r="E69" s="1368"/>
      <c r="F69" s="1369"/>
      <c r="G69" s="1370"/>
      <c r="H69" s="1369"/>
    </row>
    <row r="70" spans="2:12">
      <c r="B70" s="1915"/>
      <c r="C70" s="1916"/>
      <c r="D70" s="1371"/>
      <c r="E70" s="1368"/>
      <c r="F70" s="1369"/>
      <c r="G70" s="1370"/>
      <c r="H70" s="1369"/>
    </row>
    <row r="71" spans="2:12">
      <c r="B71" s="1372"/>
      <c r="C71" s="1373"/>
      <c r="D71" s="1373"/>
      <c r="E71" s="1367"/>
      <c r="G71" s="1261"/>
    </row>
    <row r="72" spans="2:12">
      <c r="B72" s="1372"/>
      <c r="C72" s="1373"/>
      <c r="D72" s="1373"/>
      <c r="E72" s="1367"/>
      <c r="G72" s="1261"/>
      <c r="I72" s="1374"/>
      <c r="J72" s="1375"/>
    </row>
    <row r="73" spans="2:12">
      <c r="B73" s="1372"/>
      <c r="C73" s="1373"/>
      <c r="D73" s="1373"/>
      <c r="E73" s="1367"/>
      <c r="F73" s="1402"/>
      <c r="G73" s="1261"/>
    </row>
    <row r="74" spans="2:12">
      <c r="B74" s="1372"/>
      <c r="C74" s="1373"/>
      <c r="D74" s="1373"/>
      <c r="E74" s="1367"/>
      <c r="G74" s="1261"/>
      <c r="I74" s="1263"/>
      <c r="J74" s="1365"/>
    </row>
    <row r="75" spans="2:12">
      <c r="B75" s="1367"/>
      <c r="C75" s="1367"/>
      <c r="D75" s="1367"/>
      <c r="E75" s="1367"/>
      <c r="G75" s="1261"/>
    </row>
    <row r="76" spans="2:12">
      <c r="B76" s="1376"/>
      <c r="C76" s="1367"/>
      <c r="D76" s="1367"/>
      <c r="E76" s="1367"/>
      <c r="G76" s="1261"/>
      <c r="I76" s="1263"/>
      <c r="J76" s="1365"/>
    </row>
    <row r="77" spans="2:12">
      <c r="B77" s="1376"/>
      <c r="C77" s="1367"/>
      <c r="D77" s="1367"/>
      <c r="E77" s="1367"/>
      <c r="G77" s="1261"/>
    </row>
    <row r="78" spans="2:12">
      <c r="B78" s="1377"/>
      <c r="C78" s="1367"/>
      <c r="D78" s="1367"/>
      <c r="E78" s="1367"/>
      <c r="G78" s="1261"/>
    </row>
    <row r="79" spans="2:12">
      <c r="B79" s="1378"/>
      <c r="G79" s="1261"/>
    </row>
    <row r="80" spans="2:12">
      <c r="G80" s="1261"/>
    </row>
    <row r="81" spans="7:7">
      <c r="G81" s="1261"/>
    </row>
    <row r="82" spans="7:7">
      <c r="G82" s="1261"/>
    </row>
    <row r="83" spans="7:7">
      <c r="G83" s="1261"/>
    </row>
    <row r="84" spans="7:7">
      <c r="G84" s="1261"/>
    </row>
    <row r="85" spans="7:7">
      <c r="G85" s="1261"/>
    </row>
    <row r="86" spans="7:7">
      <c r="G86" s="1261"/>
    </row>
    <row r="87" spans="7:7">
      <c r="G87" s="1261"/>
    </row>
    <row r="88" spans="7:7">
      <c r="G88" s="1261"/>
    </row>
    <row r="89" spans="7:7">
      <c r="G89" s="1261"/>
    </row>
    <row r="90" spans="7:7">
      <c r="G90" s="1261"/>
    </row>
    <row r="91" spans="7:7">
      <c r="G91" s="1261"/>
    </row>
    <row r="92" spans="7:7">
      <c r="G92" s="1261"/>
    </row>
    <row r="93" spans="7:7">
      <c r="G93" s="1261"/>
    </row>
    <row r="94" spans="7:7">
      <c r="G94" s="1261"/>
    </row>
    <row r="95" spans="7:7">
      <c r="G95" s="1261"/>
    </row>
    <row r="96" spans="7:7">
      <c r="G96" s="1261"/>
    </row>
    <row r="97" spans="7:7">
      <c r="G97" s="1261"/>
    </row>
    <row r="98" spans="7:7">
      <c r="G98" s="1261"/>
    </row>
    <row r="99" spans="7:7">
      <c r="G99" s="1261"/>
    </row>
    <row r="100" spans="7:7">
      <c r="G100" s="1261"/>
    </row>
    <row r="101" spans="7:7">
      <c r="G101" s="1261"/>
    </row>
    <row r="102" spans="7:7">
      <c r="G102" s="1261"/>
    </row>
    <row r="103" spans="7:7">
      <c r="G103" s="1261"/>
    </row>
    <row r="104" spans="7:7">
      <c r="G104" s="1261"/>
    </row>
    <row r="105" spans="7:7">
      <c r="G105" s="1261"/>
    </row>
    <row r="106" spans="7:7">
      <c r="G106" s="1261"/>
    </row>
    <row r="107" spans="7:7">
      <c r="G107" s="1261"/>
    </row>
  </sheetData>
  <mergeCells count="6">
    <mergeCell ref="B70:C70"/>
    <mergeCell ref="C13:F13"/>
    <mergeCell ref="H13:I13"/>
    <mergeCell ref="K13:L13"/>
    <mergeCell ref="C14:L14"/>
    <mergeCell ref="C68:E68"/>
  </mergeCells>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tabColor theme="9" tint="0.39997558519241921"/>
  </sheetPr>
  <dimension ref="A1:I32"/>
  <sheetViews>
    <sheetView topLeftCell="A13" workbookViewId="0">
      <selection activeCell="A32" sqref="A32"/>
    </sheetView>
  </sheetViews>
  <sheetFormatPr defaultRowHeight="12.75"/>
  <cols>
    <col min="1" max="1" width="14.83203125" customWidth="1"/>
    <col min="2" max="2" width="12.6640625" bestFit="1" customWidth="1"/>
    <col min="4" max="4" width="12.5" bestFit="1" customWidth="1"/>
    <col min="5" max="5" width="11.5" bestFit="1" customWidth="1"/>
    <col min="7" max="7" width="12.5" bestFit="1" customWidth="1"/>
    <col min="8" max="8" width="10.83203125" bestFit="1" customWidth="1"/>
  </cols>
  <sheetData>
    <row r="1" spans="1:9" ht="15">
      <c r="A1" s="1381" t="s">
        <v>2069</v>
      </c>
    </row>
    <row r="2" spans="1:9">
      <c r="A2" t="s">
        <v>2070</v>
      </c>
    </row>
    <row r="3" spans="1:9" ht="13.5" thickBot="1"/>
    <row r="4" spans="1:9" ht="15.75" thickBot="1">
      <c r="A4" s="1327"/>
      <c r="B4" s="1327"/>
      <c r="C4" s="1923" t="s">
        <v>2071</v>
      </c>
      <c r="D4" s="1924"/>
      <c r="E4" s="1925"/>
      <c r="F4" s="1926" t="s">
        <v>2072</v>
      </c>
      <c r="G4" s="1927"/>
      <c r="H4" s="1928"/>
      <c r="I4" s="1349"/>
    </row>
    <row r="5" spans="1:9" ht="13.5" thickBot="1">
      <c r="A5" s="1382" t="s">
        <v>2073</v>
      </c>
      <c r="B5" s="1383" t="s">
        <v>2074</v>
      </c>
      <c r="C5" s="1383" t="s">
        <v>2075</v>
      </c>
      <c r="D5" s="1383" t="s">
        <v>2076</v>
      </c>
      <c r="E5" s="1383" t="s">
        <v>2077</v>
      </c>
      <c r="F5" s="1383" t="s">
        <v>2075</v>
      </c>
      <c r="G5" s="1383" t="s">
        <v>2076</v>
      </c>
      <c r="H5" s="1384" t="s">
        <v>2077</v>
      </c>
      <c r="I5" s="1349" t="s">
        <v>2078</v>
      </c>
    </row>
    <row r="6" spans="1:9">
      <c r="A6" s="1385" t="s">
        <v>2079</v>
      </c>
      <c r="B6" s="1386" t="s">
        <v>2080</v>
      </c>
      <c r="C6" s="1386">
        <v>775000</v>
      </c>
      <c r="D6" s="1387">
        <v>7.0000000000000007E-2</v>
      </c>
      <c r="E6" s="1388">
        <v>42905</v>
      </c>
      <c r="F6" s="1388"/>
      <c r="G6" s="1387"/>
      <c r="H6" s="1389"/>
    </row>
    <row r="7" spans="1:9">
      <c r="A7" s="1390" t="s">
        <v>2081</v>
      </c>
      <c r="B7" s="1391" t="s">
        <v>2082</v>
      </c>
      <c r="C7" s="1391">
        <v>250000</v>
      </c>
      <c r="D7" s="1392">
        <v>0.05</v>
      </c>
      <c r="E7" s="1393">
        <v>42571</v>
      </c>
      <c r="F7" s="1394">
        <v>25000</v>
      </c>
      <c r="G7" s="1392">
        <v>7.0000000000000007E-2</v>
      </c>
      <c r="H7" s="1395">
        <v>43111</v>
      </c>
    </row>
    <row r="8" spans="1:9">
      <c r="A8" s="1390" t="s">
        <v>2083</v>
      </c>
      <c r="B8" s="1391" t="s">
        <v>2082</v>
      </c>
      <c r="C8" s="1391">
        <v>50000</v>
      </c>
      <c r="D8" s="1392">
        <v>0.05</v>
      </c>
      <c r="E8" s="1393">
        <v>42571</v>
      </c>
      <c r="F8" s="1391">
        <v>5000</v>
      </c>
      <c r="G8" s="1392">
        <v>7.0000000000000007E-2</v>
      </c>
      <c r="H8" s="1395">
        <v>43111</v>
      </c>
    </row>
    <row r="9" spans="1:9">
      <c r="A9" s="1390" t="s">
        <v>2084</v>
      </c>
      <c r="B9" s="1391" t="s">
        <v>2082</v>
      </c>
      <c r="C9" s="1391">
        <v>50000</v>
      </c>
      <c r="D9" s="1392">
        <v>0.05</v>
      </c>
      <c r="E9" s="1393">
        <v>42571</v>
      </c>
      <c r="F9" s="1391">
        <v>5000</v>
      </c>
      <c r="G9" s="1392">
        <v>7.0000000000000007E-2</v>
      </c>
      <c r="H9" s="1395">
        <v>43111</v>
      </c>
    </row>
    <row r="10" spans="1:9">
      <c r="A10" s="1390" t="s">
        <v>2085</v>
      </c>
      <c r="B10" s="1391" t="s">
        <v>2082</v>
      </c>
      <c r="C10" s="1391">
        <v>6000</v>
      </c>
      <c r="D10" s="1392">
        <v>7.0000000000000007E-2</v>
      </c>
      <c r="E10" s="1393">
        <v>43187</v>
      </c>
      <c r="F10" s="1391">
        <v>100000</v>
      </c>
      <c r="G10" s="1392">
        <v>7.0000000000000007E-2</v>
      </c>
      <c r="H10" s="1395">
        <v>43293</v>
      </c>
    </row>
    <row r="11" spans="1:9">
      <c r="A11" s="1390" t="s">
        <v>2086</v>
      </c>
      <c r="B11" s="1391" t="s">
        <v>2082</v>
      </c>
      <c r="C11" s="1391">
        <v>50000</v>
      </c>
      <c r="D11" s="1392">
        <v>7.0000000000000007E-2</v>
      </c>
      <c r="E11" s="1393">
        <v>43293</v>
      </c>
      <c r="F11" s="1391"/>
      <c r="G11" s="1392"/>
      <c r="H11" s="1396"/>
    </row>
    <row r="12" spans="1:9">
      <c r="A12" s="1390" t="s">
        <v>2087</v>
      </c>
      <c r="B12" s="1391" t="s">
        <v>2088</v>
      </c>
      <c r="C12" s="1391">
        <v>50000</v>
      </c>
      <c r="D12" s="1392">
        <v>0.05</v>
      </c>
      <c r="E12" s="1393">
        <v>42571</v>
      </c>
      <c r="F12" s="1391">
        <v>5000</v>
      </c>
      <c r="G12" s="1392">
        <v>7.0000000000000007E-2</v>
      </c>
      <c r="H12" s="1395">
        <v>43111</v>
      </c>
    </row>
    <row r="13" spans="1:9">
      <c r="A13" s="1390" t="s">
        <v>2089</v>
      </c>
      <c r="B13" s="1391" t="s">
        <v>2088</v>
      </c>
      <c r="C13" s="1391">
        <v>10000</v>
      </c>
      <c r="D13" s="1392">
        <v>7.0000000000000007E-2</v>
      </c>
      <c r="E13" s="1393">
        <v>43376</v>
      </c>
      <c r="F13" s="1391"/>
      <c r="G13" s="1392"/>
      <c r="H13" s="1396"/>
    </row>
    <row r="14" spans="1:9">
      <c r="A14" s="1390" t="s">
        <v>2090</v>
      </c>
      <c r="B14" s="1391" t="s">
        <v>2088</v>
      </c>
      <c r="C14" s="1391">
        <v>30000</v>
      </c>
      <c r="D14" s="1392">
        <v>7.0000000000000007E-2</v>
      </c>
      <c r="E14" s="1393">
        <v>42724</v>
      </c>
      <c r="F14" s="1391"/>
      <c r="G14" s="1392"/>
      <c r="H14" s="1396"/>
    </row>
    <row r="15" spans="1:9">
      <c r="A15" s="1390" t="s">
        <v>2091</v>
      </c>
      <c r="B15" s="1391" t="s">
        <v>2088</v>
      </c>
      <c r="C15" s="1391">
        <v>30000</v>
      </c>
      <c r="D15" s="1392">
        <v>7.0000000000000007E-2</v>
      </c>
      <c r="E15" s="1393">
        <v>42865</v>
      </c>
      <c r="F15" s="1391"/>
      <c r="G15" s="1392"/>
      <c r="H15" s="1396"/>
      <c r="I15" t="s">
        <v>2092</v>
      </c>
    </row>
    <row r="16" spans="1:9">
      <c r="A16" s="1390" t="s">
        <v>2093</v>
      </c>
      <c r="B16" s="1391" t="s">
        <v>2088</v>
      </c>
      <c r="C16" s="1391">
        <v>30000</v>
      </c>
      <c r="D16" s="1392">
        <v>7.0000000000000007E-2</v>
      </c>
      <c r="E16" s="1393">
        <v>42865</v>
      </c>
      <c r="F16" s="1391"/>
      <c r="G16" s="1392"/>
      <c r="H16" s="1396"/>
      <c r="I16" t="s">
        <v>2092</v>
      </c>
    </row>
    <row r="17" spans="1:9">
      <c r="A17" s="1390" t="s">
        <v>2094</v>
      </c>
      <c r="B17" s="1391" t="s">
        <v>2088</v>
      </c>
      <c r="C17" s="1391">
        <v>10000</v>
      </c>
      <c r="D17" s="1392">
        <v>7.0000000000000007E-2</v>
      </c>
      <c r="E17" s="1393">
        <v>42865</v>
      </c>
      <c r="F17" s="1391"/>
      <c r="G17" s="1392"/>
      <c r="H17" s="1396"/>
    </row>
    <row r="18" spans="1:9">
      <c r="A18" s="1390" t="s">
        <v>2095</v>
      </c>
      <c r="B18" s="1391" t="s">
        <v>2088</v>
      </c>
      <c r="C18" s="1391">
        <v>40000</v>
      </c>
      <c r="D18" s="1392">
        <v>7.0000000000000007E-2</v>
      </c>
      <c r="E18" s="1393">
        <v>42724</v>
      </c>
      <c r="F18" s="1391"/>
      <c r="G18" s="1392"/>
      <c r="H18" s="1396"/>
      <c r="I18" t="s">
        <v>2096</v>
      </c>
    </row>
    <row r="19" spans="1:9">
      <c r="A19" s="1390" t="s">
        <v>2097</v>
      </c>
      <c r="B19" s="1391" t="s">
        <v>2088</v>
      </c>
      <c r="C19" s="1391">
        <v>5000</v>
      </c>
      <c r="D19" s="1392">
        <v>7.0000000000000007E-2</v>
      </c>
      <c r="E19" s="1393">
        <v>42724</v>
      </c>
      <c r="F19" s="1391"/>
      <c r="G19" s="1392"/>
      <c r="H19" s="1396"/>
    </row>
    <row r="20" spans="1:9">
      <c r="A20" s="1390" t="s">
        <v>2098</v>
      </c>
      <c r="B20" s="1391" t="s">
        <v>2088</v>
      </c>
      <c r="C20" s="1391">
        <v>30000</v>
      </c>
      <c r="D20" s="1392">
        <v>7.0000000000000007E-2</v>
      </c>
      <c r="E20" s="1393">
        <v>42724</v>
      </c>
      <c r="F20" s="1391"/>
      <c r="G20" s="1392"/>
      <c r="H20" s="1396"/>
    </row>
    <row r="21" spans="1:9">
      <c r="A21" s="1390" t="s">
        <v>2099</v>
      </c>
      <c r="B21" s="1391" t="s">
        <v>2088</v>
      </c>
      <c r="C21" s="1391">
        <v>40000</v>
      </c>
      <c r="D21" s="1392">
        <v>7.0000000000000007E-2</v>
      </c>
      <c r="E21" s="1393">
        <v>43111</v>
      </c>
      <c r="F21" s="1391"/>
      <c r="G21" s="1392"/>
      <c r="H21" s="1396"/>
    </row>
    <row r="22" spans="1:9">
      <c r="A22" s="1390" t="s">
        <v>2100</v>
      </c>
      <c r="B22" s="1391" t="s">
        <v>2088</v>
      </c>
      <c r="C22" s="1391">
        <v>30000</v>
      </c>
      <c r="D22" s="1392">
        <v>7.0000000000000007E-2</v>
      </c>
      <c r="E22" s="1393">
        <v>43111</v>
      </c>
      <c r="F22" s="1391"/>
      <c r="G22" s="1392"/>
      <c r="H22" s="1396"/>
    </row>
    <row r="23" spans="1:9">
      <c r="A23" s="1390" t="s">
        <v>2101</v>
      </c>
      <c r="B23" s="1391" t="s">
        <v>2088</v>
      </c>
      <c r="C23" s="1391">
        <v>40000</v>
      </c>
      <c r="D23" s="1392">
        <v>7.0000000000000007E-2</v>
      </c>
      <c r="E23" s="1393">
        <v>43111</v>
      </c>
      <c r="F23" s="1391"/>
      <c r="G23" s="1392"/>
      <c r="H23" s="1396"/>
    </row>
    <row r="24" spans="1:9" ht="13.5" thickBot="1">
      <c r="A24" s="1397" t="s">
        <v>2102</v>
      </c>
      <c r="B24" s="1398" t="s">
        <v>2088</v>
      </c>
      <c r="C24" s="1398">
        <v>40000</v>
      </c>
      <c r="D24" s="1399">
        <v>7.0000000000000007E-2</v>
      </c>
      <c r="E24" s="1400">
        <v>43187</v>
      </c>
      <c r="F24" s="1398"/>
      <c r="G24" s="1399"/>
      <c r="H24" s="1401"/>
    </row>
    <row r="27" spans="1:9">
      <c r="A27" s="1405" t="s">
        <v>2106</v>
      </c>
      <c r="B27" s="1406"/>
      <c r="C27" s="1406"/>
      <c r="D27" s="1406"/>
      <c r="E27" s="1406"/>
      <c r="F27" s="1406"/>
      <c r="G27" s="1406"/>
      <c r="H27" s="1407"/>
    </row>
    <row r="29" spans="1:9">
      <c r="A29" s="1408" t="s">
        <v>82</v>
      </c>
      <c r="B29" s="1408" t="s">
        <v>2107</v>
      </c>
    </row>
    <row r="31" spans="1:9">
      <c r="A31" s="1409">
        <v>7.0000000000000007E-2</v>
      </c>
      <c r="B31" s="1410">
        <f>SUMIF($G$6:$G$24,$A31,$F$6:$F$24)+SUMIF($D$6:$D$24,$A31,$C$6:$C$24)</f>
        <v>1306000</v>
      </c>
    </row>
    <row r="32" spans="1:9">
      <c r="A32" s="1409">
        <v>0.05</v>
      </c>
      <c r="B32" s="1410">
        <f>SUMIF($G$6:$G$24,$A32,$F$6:$F$24)+SUMIF($D$6:$D$24,$A32,$C$6:$C$24)</f>
        <v>400000</v>
      </c>
    </row>
  </sheetData>
  <mergeCells count="2">
    <mergeCell ref="C4:E4"/>
    <mergeCell ref="F4:H4"/>
  </mergeCells>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tabColor theme="1"/>
  </sheetPr>
  <dimension ref="A1"/>
  <sheetViews>
    <sheetView workbookViewId="0"/>
  </sheetViews>
  <sheetFormatPr defaultRowHeight="12.75"/>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3">
    <tabColor rgb="FFFF0000"/>
  </sheetPr>
  <dimension ref="A1:CH74"/>
  <sheetViews>
    <sheetView topLeftCell="P13" workbookViewId="0">
      <selection activeCell="AC13" sqref="AC13:AC42"/>
    </sheetView>
  </sheetViews>
  <sheetFormatPr defaultRowHeight="11.25" outlineLevelCol="1"/>
  <cols>
    <col min="1" max="1" width="40.1640625" style="47" bestFit="1" customWidth="1"/>
    <col min="2" max="2" width="14.83203125" style="47" bestFit="1" customWidth="1"/>
    <col min="3" max="3" width="25.1640625" style="45" bestFit="1" customWidth="1"/>
    <col min="4" max="4" width="19" style="45" bestFit="1" customWidth="1"/>
    <col min="5" max="9" width="17.83203125" style="45" customWidth="1"/>
    <col min="10" max="10" width="15.33203125" style="45" customWidth="1"/>
    <col min="11" max="11" width="14" style="45" customWidth="1"/>
    <col min="12" max="12" width="15.6640625" style="45" bestFit="1" customWidth="1"/>
    <col min="13" max="13" width="16.1640625" style="45" customWidth="1"/>
    <col min="14" max="16" width="14.83203125" style="45" bestFit="1" customWidth="1"/>
    <col min="17" max="18" width="14.83203125" style="45" customWidth="1"/>
    <col min="19" max="23" width="14.83203125" style="45" bestFit="1" customWidth="1"/>
    <col min="24" max="24" width="14.83203125" style="45" customWidth="1"/>
    <col min="25" max="29" width="14.83203125" style="45" bestFit="1" customWidth="1"/>
    <col min="30" max="30" width="17" style="45" bestFit="1" customWidth="1"/>
    <col min="31" max="31" width="14.83203125" style="45" bestFit="1" customWidth="1"/>
    <col min="32" max="32" width="19.1640625" style="45" customWidth="1"/>
    <col min="33" max="33" width="19.5" style="45" customWidth="1"/>
    <col min="34" max="34" width="21.1640625" style="45" customWidth="1"/>
    <col min="35" max="35" width="19" style="45" bestFit="1" customWidth="1"/>
    <col min="36" max="36" width="12.83203125" style="45" customWidth="1"/>
    <col min="37" max="37" width="15.33203125" style="45" customWidth="1"/>
    <col min="38" max="38" width="13.1640625" style="45" customWidth="1"/>
    <col min="39" max="39" width="18.5" style="45" bestFit="1" customWidth="1"/>
    <col min="40" max="40" width="14.83203125" style="45" bestFit="1" customWidth="1"/>
    <col min="41" max="42" width="14.83203125" style="45" customWidth="1"/>
    <col min="43" max="43" width="14.83203125" style="44" customWidth="1"/>
    <col min="44" max="44" width="14.83203125" style="45" customWidth="1"/>
    <col min="45" max="45" width="11.1640625" style="44" customWidth="1"/>
    <col min="46" max="46" width="14.83203125" style="45" bestFit="1" customWidth="1"/>
    <col min="47" max="50" width="14.83203125" style="44" customWidth="1"/>
    <col min="51" max="51" width="16" style="44" customWidth="1"/>
    <col min="52" max="54" width="14.83203125" style="44" customWidth="1"/>
    <col min="55" max="55" width="14.83203125" style="45" customWidth="1"/>
    <col min="56" max="69" width="14.83203125" style="44" customWidth="1"/>
    <col min="70" max="70" width="17" style="44" customWidth="1" outlineLevel="1"/>
    <col min="71" max="78" width="9.33203125" style="44"/>
    <col min="79" max="82" width="9.33203125" style="43"/>
    <col min="83" max="83" width="9.33203125" style="73"/>
    <col min="84" max="16384" width="9.33203125" style="43"/>
  </cols>
  <sheetData>
    <row r="1" spans="1:86" s="40" customFormat="1">
      <c r="A1" s="47" t="s">
        <v>608</v>
      </c>
      <c r="B1" s="55">
        <v>43496</v>
      </c>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1"/>
      <c r="AR1" s="45"/>
      <c r="AS1" s="42"/>
      <c r="AT1" s="45"/>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row>
    <row r="2" spans="1:86" s="40" customFormat="1">
      <c r="A2" s="47" t="s">
        <v>609</v>
      </c>
      <c r="B2" s="56" t="s">
        <v>638</v>
      </c>
      <c r="C2" s="45"/>
      <c r="D2" s="45"/>
      <c r="E2" s="45"/>
      <c r="F2" s="45"/>
      <c r="G2" s="45"/>
      <c r="H2" s="45"/>
      <c r="I2" s="45"/>
      <c r="J2" s="45"/>
      <c r="K2" s="57" t="s">
        <v>87</v>
      </c>
      <c r="L2" s="58">
        <v>43496</v>
      </c>
      <c r="M2" s="45"/>
      <c r="N2" s="45"/>
      <c r="O2" s="45"/>
      <c r="P2" s="45"/>
      <c r="Q2" s="45"/>
      <c r="R2" s="45"/>
      <c r="S2" s="45"/>
      <c r="T2" s="45"/>
      <c r="U2" s="45"/>
      <c r="V2" s="45"/>
      <c r="W2" s="45"/>
      <c r="X2" s="45"/>
      <c r="Y2" s="45"/>
      <c r="Z2" s="45"/>
      <c r="AA2" s="45"/>
      <c r="AB2" s="45"/>
      <c r="AC2" s="45"/>
      <c r="AD2" s="45"/>
      <c r="AE2" s="45"/>
      <c r="AF2" s="45"/>
      <c r="AG2" s="45"/>
      <c r="AH2" s="45"/>
      <c r="AI2" s="45"/>
      <c r="AJ2" s="45"/>
      <c r="AK2" s="45"/>
      <c r="AL2" s="45"/>
      <c r="AM2" s="45"/>
      <c r="AN2" s="45"/>
      <c r="AO2" s="45"/>
      <c r="AP2" s="45"/>
      <c r="AQ2" s="41"/>
      <c r="AR2" s="45"/>
      <c r="AS2" s="42"/>
      <c r="AT2" s="45"/>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row>
    <row r="3" spans="1:86" s="40" customFormat="1">
      <c r="A3" s="47" t="s">
        <v>610</v>
      </c>
      <c r="B3" s="56" t="s">
        <v>639</v>
      </c>
      <c r="C3" s="45"/>
      <c r="D3" s="45"/>
      <c r="E3" s="45"/>
      <c r="F3" s="45"/>
      <c r="G3" s="45"/>
      <c r="H3" s="45"/>
      <c r="I3" s="45"/>
      <c r="J3" s="45"/>
      <c r="K3" s="59" t="s">
        <v>378</v>
      </c>
      <c r="L3" s="60" t="s">
        <v>380</v>
      </c>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5"/>
      <c r="AO3" s="45"/>
      <c r="AP3" s="45"/>
      <c r="AQ3" s="41"/>
      <c r="AR3" s="45"/>
      <c r="AS3" s="42"/>
      <c r="AT3" s="45"/>
      <c r="AU3" s="41"/>
      <c r="AV3" s="41"/>
      <c r="AW3" s="41"/>
      <c r="AX3" s="41"/>
      <c r="AY3" s="41"/>
      <c r="AZ3" s="41"/>
      <c r="BA3" s="41"/>
      <c r="BB3" s="41"/>
      <c r="BC3" s="41"/>
      <c r="BD3" s="41"/>
      <c r="BE3" s="41"/>
      <c r="BF3" s="41"/>
      <c r="BG3" s="41"/>
      <c r="BH3" s="41"/>
      <c r="BI3" s="41"/>
      <c r="BJ3" s="41"/>
      <c r="BK3" s="41"/>
      <c r="BL3" s="41"/>
      <c r="BM3" s="41"/>
      <c r="BN3" s="41"/>
      <c r="BO3" s="41"/>
      <c r="BP3" s="41"/>
      <c r="BQ3" s="41"/>
      <c r="BR3" s="41"/>
      <c r="BS3" s="41"/>
      <c r="BT3" s="41"/>
      <c r="BU3" s="41"/>
      <c r="BV3" s="41"/>
      <c r="BW3" s="41"/>
      <c r="BX3" s="41"/>
      <c r="BY3" s="41"/>
      <c r="BZ3" s="41"/>
    </row>
    <row r="4" spans="1:86" s="40" customFormat="1">
      <c r="A4" s="47" t="s">
        <v>611</v>
      </c>
      <c r="B4" s="56" t="s">
        <v>705</v>
      </c>
      <c r="C4" s="45"/>
      <c r="D4" s="45"/>
      <c r="E4" s="45"/>
      <c r="F4" s="45"/>
      <c r="G4" s="45"/>
      <c r="H4" s="45"/>
      <c r="I4" s="45"/>
      <c r="J4" s="45"/>
      <c r="K4" s="59" t="s">
        <v>702</v>
      </c>
      <c r="L4" s="60" t="s">
        <v>703</v>
      </c>
      <c r="M4" s="45"/>
      <c r="N4" s="45"/>
      <c r="O4" s="45"/>
      <c r="P4" s="45"/>
      <c r="Q4" s="45"/>
      <c r="R4" s="45"/>
      <c r="S4" s="45"/>
      <c r="T4" s="45"/>
      <c r="U4" s="45"/>
      <c r="V4" s="45"/>
      <c r="W4" s="45"/>
      <c r="X4" s="45"/>
      <c r="Y4" s="45"/>
      <c r="Z4" s="45"/>
      <c r="AA4" s="45"/>
      <c r="AB4" s="45"/>
      <c r="AC4" s="45"/>
      <c r="AD4" s="45"/>
      <c r="AE4" s="45"/>
      <c r="AF4" s="45"/>
      <c r="AG4" s="45"/>
      <c r="AH4" s="45"/>
      <c r="AI4" s="45"/>
      <c r="AJ4" s="45"/>
      <c r="AK4" s="45"/>
      <c r="AL4" s="45"/>
      <c r="AM4" s="45"/>
      <c r="AN4" s="45"/>
      <c r="AO4" s="45"/>
      <c r="AP4" s="45"/>
      <c r="AQ4" s="41"/>
      <c r="AR4" s="45"/>
      <c r="AS4" s="41"/>
      <c r="AT4" s="45"/>
      <c r="AU4" s="41"/>
      <c r="AV4" s="41"/>
      <c r="AW4" s="41"/>
      <c r="AX4" s="41"/>
      <c r="AY4" s="41"/>
      <c r="AZ4" s="41"/>
      <c r="BA4" s="41"/>
      <c r="BB4" s="41"/>
      <c r="BC4" s="41"/>
      <c r="BD4" s="41"/>
      <c r="BE4" s="41"/>
      <c r="BF4" s="41"/>
      <c r="BG4" s="41"/>
      <c r="BH4" s="41"/>
      <c r="BI4" s="41"/>
      <c r="BJ4" s="41"/>
      <c r="BK4" s="41"/>
      <c r="BL4" s="41"/>
      <c r="BM4" s="41"/>
      <c r="BN4" s="41"/>
      <c r="BO4" s="41"/>
      <c r="BP4" s="41"/>
      <c r="BQ4" s="41"/>
      <c r="BR4" s="41"/>
      <c r="BS4" s="41"/>
      <c r="BT4" s="41"/>
      <c r="BU4" s="41"/>
      <c r="BV4" s="41"/>
      <c r="BW4" s="41"/>
      <c r="BX4" s="41"/>
      <c r="BY4" s="41"/>
      <c r="BZ4" s="41"/>
    </row>
    <row r="5" spans="1:86" s="40" customFormat="1">
      <c r="A5" s="47" t="s">
        <v>612</v>
      </c>
      <c r="B5" s="56" t="s">
        <v>2340</v>
      </c>
      <c r="C5" s="45"/>
      <c r="D5" s="45"/>
      <c r="E5" s="45"/>
      <c r="F5" s="45"/>
      <c r="G5" s="45"/>
      <c r="H5" s="45"/>
      <c r="I5" s="45"/>
      <c r="J5" s="45"/>
      <c r="K5" s="59" t="s">
        <v>379</v>
      </c>
      <c r="L5" s="60" t="s">
        <v>381</v>
      </c>
      <c r="M5" s="45"/>
      <c r="N5" s="45"/>
      <c r="O5" s="45"/>
      <c r="P5" s="45"/>
      <c r="Q5" s="45"/>
      <c r="R5" s="45"/>
      <c r="S5" s="45"/>
      <c r="T5" s="45"/>
      <c r="U5" s="45"/>
      <c r="V5" s="45"/>
      <c r="W5" s="45"/>
      <c r="X5" s="45"/>
      <c r="Y5" s="45"/>
      <c r="Z5" s="45"/>
      <c r="AA5" s="45"/>
      <c r="AB5" s="45"/>
      <c r="AC5" s="45"/>
      <c r="AD5" s="45"/>
      <c r="AE5" s="45"/>
      <c r="AF5" s="45"/>
      <c r="AG5" s="45"/>
      <c r="AH5" s="45"/>
      <c r="AI5" s="45"/>
      <c r="AJ5" s="45"/>
      <c r="AK5" s="45"/>
      <c r="AL5" s="45"/>
      <c r="AM5" s="45"/>
      <c r="AN5" s="45"/>
      <c r="AO5" s="45"/>
      <c r="AP5" s="45"/>
      <c r="AQ5" s="41"/>
      <c r="AR5" s="45"/>
      <c r="AS5" s="41"/>
      <c r="AT5" s="45"/>
      <c r="AU5" s="41"/>
      <c r="AV5" s="41"/>
      <c r="AW5" s="41"/>
      <c r="AX5" s="41"/>
      <c r="AY5" s="41"/>
      <c r="AZ5" s="41"/>
      <c r="BA5" s="41"/>
      <c r="BB5" s="41"/>
      <c r="BC5" s="41"/>
      <c r="BD5" s="41"/>
      <c r="BE5" s="41"/>
      <c r="BF5" s="41"/>
      <c r="BG5" s="41"/>
      <c r="BH5" s="41"/>
      <c r="BI5" s="41"/>
      <c r="BJ5" s="41"/>
      <c r="BK5" s="41"/>
      <c r="BL5" s="41"/>
      <c r="BM5" s="41"/>
      <c r="BN5" s="41"/>
      <c r="BO5" s="41"/>
      <c r="BP5" s="41"/>
      <c r="BQ5" s="41"/>
      <c r="BR5" s="41"/>
      <c r="BS5" s="41"/>
      <c r="BT5" s="41"/>
      <c r="BU5" s="41"/>
      <c r="BV5" s="41"/>
      <c r="BW5" s="41"/>
      <c r="BX5" s="41"/>
      <c r="BY5" s="41"/>
      <c r="BZ5" s="41"/>
    </row>
    <row r="6" spans="1:86" s="40" customFormat="1">
      <c r="A6" s="47" t="s">
        <v>613</v>
      </c>
      <c r="B6" s="56" t="s">
        <v>2341</v>
      </c>
      <c r="C6" s="45"/>
      <c r="D6" s="45"/>
      <c r="E6" s="45"/>
      <c r="F6" s="45"/>
      <c r="G6" s="45"/>
      <c r="H6" s="45"/>
      <c r="I6" s="45"/>
      <c r="J6" s="45"/>
      <c r="K6" s="61" t="s">
        <v>89</v>
      </c>
      <c r="L6" s="62" t="s">
        <v>90</v>
      </c>
      <c r="M6" s="45"/>
      <c r="N6" s="45"/>
      <c r="O6" s="45"/>
      <c r="P6" s="45"/>
      <c r="Q6" s="45"/>
      <c r="R6" s="45"/>
      <c r="S6" s="45"/>
      <c r="T6" s="45"/>
      <c r="U6" s="45"/>
      <c r="V6" s="45"/>
      <c r="W6" s="45"/>
      <c r="X6" s="45"/>
      <c r="Y6" s="45"/>
      <c r="Z6" s="45"/>
      <c r="AA6" s="45"/>
      <c r="AB6" s="45"/>
      <c r="AC6" s="45"/>
      <c r="AD6" s="45"/>
      <c r="AE6" s="63"/>
      <c r="AF6" s="45"/>
      <c r="AG6" s="45"/>
      <c r="AH6" s="45"/>
      <c r="AI6" s="45"/>
      <c r="AJ6" s="45"/>
      <c r="AK6" s="45"/>
      <c r="AL6" s="45"/>
      <c r="AM6" s="45"/>
      <c r="AN6" s="45"/>
      <c r="AO6" s="45"/>
      <c r="AP6" s="45"/>
      <c r="AQ6" s="41"/>
      <c r="AR6" s="45"/>
      <c r="AS6" s="41"/>
      <c r="AT6" s="45"/>
      <c r="AU6" s="41"/>
      <c r="AV6" s="41"/>
      <c r="AW6" s="41"/>
      <c r="AX6" s="41"/>
      <c r="AY6" s="41"/>
      <c r="AZ6" s="41"/>
      <c r="BA6" s="41"/>
      <c r="BB6" s="41"/>
      <c r="BC6" s="41"/>
      <c r="BD6" s="41"/>
      <c r="BE6" s="41"/>
      <c r="BF6" s="41"/>
      <c r="BG6" s="41"/>
      <c r="BH6" s="41"/>
      <c r="BI6" s="41"/>
      <c r="BJ6" s="41"/>
      <c r="BK6" s="41"/>
      <c r="BL6" s="41"/>
      <c r="BM6" s="41"/>
      <c r="BN6" s="41"/>
      <c r="BO6" s="41"/>
      <c r="BP6" s="41"/>
      <c r="BQ6" s="41"/>
      <c r="BR6" s="41"/>
      <c r="BS6" s="41"/>
      <c r="BT6" s="41"/>
      <c r="BU6" s="41"/>
      <c r="BV6" s="41"/>
      <c r="BW6" s="41"/>
      <c r="BX6" s="41"/>
      <c r="BY6" s="41"/>
      <c r="BZ6" s="41"/>
    </row>
    <row r="7" spans="1:86" s="40" customFormat="1">
      <c r="A7" s="47" t="s">
        <v>704</v>
      </c>
      <c r="B7" s="56" t="s">
        <v>2342</v>
      </c>
      <c r="C7" s="45"/>
      <c r="D7" s="45"/>
      <c r="E7" s="45"/>
      <c r="F7" s="45"/>
      <c r="G7" s="45"/>
      <c r="H7" s="45"/>
      <c r="I7" s="45"/>
      <c r="J7" s="45"/>
      <c r="K7" s="63"/>
      <c r="L7" s="63"/>
      <c r="M7" s="45"/>
      <c r="N7" s="45"/>
      <c r="O7" s="45"/>
      <c r="P7" s="45"/>
      <c r="Q7" s="45"/>
      <c r="R7" s="45"/>
      <c r="S7" s="45"/>
      <c r="T7" s="45"/>
      <c r="U7" s="45"/>
      <c r="V7" s="45"/>
      <c r="W7" s="45"/>
      <c r="X7" s="45"/>
      <c r="Y7" s="45"/>
      <c r="Z7" s="45"/>
      <c r="AA7" s="45"/>
      <c r="AB7" s="45"/>
      <c r="AC7" s="45"/>
      <c r="AD7" s="45"/>
      <c r="AE7" s="63"/>
      <c r="AF7" s="64"/>
      <c r="AG7" s="64"/>
      <c r="AH7" s="45"/>
      <c r="AI7" s="45"/>
      <c r="AJ7" s="45"/>
      <c r="AK7" s="45"/>
      <c r="AL7" s="45"/>
      <c r="AM7" s="45"/>
      <c r="AN7" s="45"/>
      <c r="AO7" s="45"/>
      <c r="AP7" s="45"/>
      <c r="AQ7" s="41"/>
      <c r="AR7" s="45"/>
      <c r="AS7" s="41"/>
      <c r="AT7" s="45"/>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row>
    <row r="8" spans="1:86" s="40" customFormat="1">
      <c r="A8" s="47" t="s">
        <v>614</v>
      </c>
      <c r="B8" s="55">
        <v>42643</v>
      </c>
      <c r="C8" s="45"/>
      <c r="D8" s="45"/>
      <c r="E8" s="45"/>
      <c r="F8" s="45"/>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1"/>
      <c r="AR8" s="45"/>
      <c r="AS8" s="41"/>
      <c r="AT8" s="45"/>
      <c r="AU8" s="41"/>
      <c r="AV8" s="41"/>
      <c r="AW8" s="41"/>
      <c r="AX8" s="41"/>
      <c r="AY8" s="41"/>
      <c r="AZ8" s="41"/>
      <c r="BA8" s="41"/>
      <c r="BB8" s="41"/>
      <c r="BC8" s="41"/>
      <c r="BD8" s="41"/>
      <c r="BE8" s="41"/>
      <c r="BF8" s="41"/>
      <c r="BG8" s="41"/>
      <c r="BH8" s="41"/>
      <c r="BI8" s="41"/>
      <c r="BJ8" s="41"/>
      <c r="BK8" s="41"/>
      <c r="BL8" s="41"/>
      <c r="BM8" s="41"/>
      <c r="BN8" s="41"/>
      <c r="BO8" s="41"/>
      <c r="BP8" s="41"/>
      <c r="BQ8" s="41"/>
      <c r="BR8" s="41"/>
      <c r="BS8" s="41"/>
      <c r="BT8" s="41"/>
      <c r="BU8" s="41"/>
      <c r="BV8" s="41"/>
      <c r="BW8" s="41"/>
      <c r="BX8" s="41"/>
      <c r="BY8" s="41"/>
      <c r="BZ8" s="41"/>
    </row>
    <row r="9" spans="1:86" s="51" customFormat="1" ht="12.75">
      <c r="A9" s="9"/>
      <c r="B9" s="9"/>
      <c r="C9" s="32"/>
      <c r="D9" s="32"/>
      <c r="E9" s="32"/>
      <c r="F9" s="32"/>
      <c r="G9" s="32"/>
      <c r="H9" s="32"/>
      <c r="I9" s="32"/>
      <c r="J9" s="32"/>
      <c r="K9" s="32"/>
      <c r="L9" s="32"/>
      <c r="M9" s="32"/>
      <c r="N9" s="32"/>
      <c r="O9" s="32"/>
      <c r="P9" s="32"/>
      <c r="Q9" s="32"/>
      <c r="R9" s="32"/>
      <c r="S9" s="32"/>
      <c r="T9" s="32"/>
      <c r="U9" s="32"/>
      <c r="V9" s="32"/>
      <c r="W9" s="32"/>
      <c r="X9" s="32"/>
      <c r="Y9" s="32"/>
      <c r="Z9" s="32"/>
      <c r="AA9" s="32"/>
      <c r="AB9" s="32"/>
      <c r="AC9" s="32"/>
      <c r="AD9" s="32"/>
      <c r="AE9" s="32"/>
      <c r="AF9" s="32"/>
      <c r="AG9" s="32"/>
      <c r="AH9" s="32"/>
      <c r="AI9" s="32"/>
      <c r="AJ9" s="32"/>
      <c r="AK9" s="32"/>
      <c r="AL9" s="32"/>
      <c r="AM9" s="32"/>
      <c r="AN9" s="32"/>
      <c r="AO9" s="32"/>
      <c r="AP9" s="32"/>
      <c r="AQ9" s="52"/>
      <c r="AR9" s="32"/>
      <c r="AS9" s="52"/>
      <c r="AT9" s="32"/>
      <c r="AU9" s="52"/>
      <c r="AV9" s="52"/>
      <c r="AW9" s="52"/>
      <c r="AX9" s="52"/>
      <c r="AY9" s="52"/>
      <c r="AZ9" s="52"/>
      <c r="BA9" s="52"/>
      <c r="BB9" s="52"/>
      <c r="BC9" s="32"/>
      <c r="BD9" s="52"/>
      <c r="BE9" s="52"/>
      <c r="BF9" s="52"/>
      <c r="BG9" s="52"/>
      <c r="BH9" s="52"/>
      <c r="BI9" s="52"/>
      <c r="BJ9" s="52"/>
      <c r="BK9" s="52"/>
      <c r="BL9" s="52"/>
      <c r="BM9" s="52"/>
      <c r="BN9" s="52"/>
      <c r="BO9" s="52"/>
      <c r="BP9" s="52"/>
      <c r="BQ9" s="52"/>
      <c r="BR9" s="52"/>
      <c r="BS9" s="52"/>
      <c r="BT9" s="52"/>
      <c r="BU9" s="52"/>
      <c r="BV9" s="52"/>
      <c r="BW9" s="52"/>
      <c r="BX9" s="52"/>
      <c r="BY9" s="52"/>
      <c r="BZ9" s="52"/>
    </row>
    <row r="10" spans="1:86">
      <c r="A10" s="65" t="s">
        <v>640</v>
      </c>
      <c r="W10" s="66"/>
      <c r="AF10" s="45" t="s">
        <v>285</v>
      </c>
      <c r="AJ10" s="45" t="s">
        <v>297</v>
      </c>
      <c r="AK10" s="45" t="s">
        <v>284</v>
      </c>
      <c r="AL10" s="45" t="s">
        <v>285</v>
      </c>
      <c r="AM10" s="45" t="s">
        <v>297</v>
      </c>
      <c r="AN10" s="45" t="s">
        <v>284</v>
      </c>
      <c r="AO10" s="45" t="s">
        <v>285</v>
      </c>
      <c r="AQ10" s="41">
        <v>1</v>
      </c>
      <c r="AR10" s="45">
        <v>2</v>
      </c>
      <c r="AS10" s="41">
        <v>5</v>
      </c>
      <c r="AU10" s="45" t="s">
        <v>297</v>
      </c>
      <c r="AV10" s="45" t="s">
        <v>284</v>
      </c>
      <c r="AW10" s="45" t="s">
        <v>285</v>
      </c>
      <c r="AX10" s="66" t="s">
        <v>638</v>
      </c>
      <c r="AY10" s="66" t="s">
        <v>639</v>
      </c>
      <c r="AZ10" s="45" t="s">
        <v>297</v>
      </c>
      <c r="BA10" s="45" t="s">
        <v>284</v>
      </c>
      <c r="BB10" s="45" t="s">
        <v>285</v>
      </c>
      <c r="BC10" s="45" t="s">
        <v>638</v>
      </c>
      <c r="BD10" s="45" t="s">
        <v>639</v>
      </c>
      <c r="BE10" s="45"/>
      <c r="BF10" s="45"/>
      <c r="BG10" s="45"/>
      <c r="BH10" s="41"/>
      <c r="BI10" s="41"/>
      <c r="BJ10" s="41"/>
      <c r="BK10" s="41"/>
      <c r="BL10" s="41"/>
      <c r="BM10" s="41"/>
      <c r="BN10" s="41"/>
      <c r="BO10" s="41"/>
      <c r="BP10" s="41"/>
      <c r="BQ10" s="41"/>
      <c r="BR10" s="41"/>
      <c r="BS10" s="41" t="s">
        <v>117</v>
      </c>
      <c r="BT10" s="41"/>
      <c r="BU10" s="41"/>
      <c r="BV10" s="41"/>
      <c r="BW10" s="41"/>
      <c r="BX10" s="41"/>
      <c r="BY10" s="41"/>
      <c r="BZ10" s="41"/>
      <c r="CA10" s="40"/>
      <c r="CB10" s="40"/>
      <c r="CC10" s="40"/>
      <c r="CD10" s="40"/>
      <c r="CE10" s="40"/>
      <c r="CF10" s="40"/>
      <c r="CG10" s="40"/>
      <c r="CH10" s="40"/>
    </row>
    <row r="11" spans="1:86" ht="12.75">
      <c r="A11" s="47" t="s">
        <v>108</v>
      </c>
      <c r="B11" s="47" t="s">
        <v>615</v>
      </c>
      <c r="C11" s="45" t="s">
        <v>616</v>
      </c>
      <c r="D11" s="45" t="s">
        <v>617</v>
      </c>
      <c r="E11" s="45" t="s">
        <v>618</v>
      </c>
      <c r="F11" s="45" t="s">
        <v>706</v>
      </c>
      <c r="G11" s="44" t="s">
        <v>619</v>
      </c>
      <c r="H11" s="44" t="s">
        <v>146</v>
      </c>
      <c r="I11" s="44" t="s">
        <v>583</v>
      </c>
      <c r="J11" s="45" t="s">
        <v>94</v>
      </c>
      <c r="K11" s="45" t="s">
        <v>95</v>
      </c>
      <c r="L11" s="45" t="s">
        <v>96</v>
      </c>
      <c r="M11" s="45" t="s">
        <v>97</v>
      </c>
      <c r="N11" s="45" t="s">
        <v>100</v>
      </c>
      <c r="O11" s="32" t="s">
        <v>661</v>
      </c>
      <c r="P11" s="45" t="s">
        <v>662</v>
      </c>
      <c r="Q11" s="45" t="s">
        <v>663</v>
      </c>
      <c r="R11" s="45" t="s">
        <v>707</v>
      </c>
      <c r="S11" s="45" t="s">
        <v>708</v>
      </c>
      <c r="T11" s="45" t="s">
        <v>709</v>
      </c>
      <c r="U11" s="45" t="s">
        <v>2343</v>
      </c>
      <c r="V11" s="45" t="s">
        <v>2344</v>
      </c>
      <c r="W11" s="45" t="s">
        <v>2345</v>
      </c>
      <c r="X11" s="32" t="s">
        <v>664</v>
      </c>
      <c r="Y11" s="45" t="s">
        <v>665</v>
      </c>
      <c r="Z11" s="45" t="s">
        <v>620</v>
      </c>
      <c r="AA11" s="45" t="s">
        <v>669</v>
      </c>
      <c r="AB11" s="45" t="s">
        <v>670</v>
      </c>
      <c r="AC11" s="45" t="s">
        <v>2346</v>
      </c>
      <c r="AD11" s="45" t="s">
        <v>2347</v>
      </c>
      <c r="AE11" s="45" t="s">
        <v>2348</v>
      </c>
      <c r="AF11" s="45" t="s">
        <v>673</v>
      </c>
      <c r="AG11" s="45" t="s">
        <v>720</v>
      </c>
      <c r="AH11" s="45" t="s">
        <v>721</v>
      </c>
      <c r="AI11" s="45" t="s">
        <v>722</v>
      </c>
      <c r="AJ11" s="45" t="s">
        <v>674</v>
      </c>
      <c r="AK11" s="45" t="s">
        <v>674</v>
      </c>
      <c r="AL11" s="45" t="s">
        <v>674</v>
      </c>
      <c r="AM11" s="45" t="s">
        <v>580</v>
      </c>
      <c r="AN11" s="45" t="s">
        <v>580</v>
      </c>
      <c r="AO11" s="45" t="s">
        <v>580</v>
      </c>
      <c r="AP11" s="45" t="s">
        <v>723</v>
      </c>
      <c r="AQ11" s="45" t="s">
        <v>623</v>
      </c>
      <c r="AR11" s="45" t="s">
        <v>622</v>
      </c>
      <c r="AS11" s="45" t="s">
        <v>621</v>
      </c>
      <c r="AT11" s="45" t="s">
        <v>73</v>
      </c>
      <c r="AU11" s="44" t="s">
        <v>505</v>
      </c>
      <c r="AV11" s="44" t="s">
        <v>505</v>
      </c>
      <c r="AW11" s="44" t="s">
        <v>505</v>
      </c>
      <c r="AX11" s="44" t="s">
        <v>505</v>
      </c>
      <c r="AY11" s="45" t="s">
        <v>505</v>
      </c>
      <c r="AZ11" s="44" t="s">
        <v>506</v>
      </c>
      <c r="BA11" s="44" t="s">
        <v>506</v>
      </c>
      <c r="BB11" s="44" t="s">
        <v>506</v>
      </c>
      <c r="BC11" s="45" t="s">
        <v>506</v>
      </c>
      <c r="BD11" s="44" t="s">
        <v>506</v>
      </c>
      <c r="BE11" s="44" t="s">
        <v>711</v>
      </c>
      <c r="BF11" s="44" t="s">
        <v>712</v>
      </c>
      <c r="BG11" s="44" t="s">
        <v>713</v>
      </c>
      <c r="BH11" s="44" t="s">
        <v>714</v>
      </c>
      <c r="BI11" s="44" t="s">
        <v>715</v>
      </c>
      <c r="BJ11" s="44" t="s">
        <v>716</v>
      </c>
      <c r="BK11" s="44" t="s">
        <v>624</v>
      </c>
      <c r="BL11" s="44" t="s">
        <v>625</v>
      </c>
      <c r="BM11" s="44" t="s">
        <v>626</v>
      </c>
      <c r="BN11" s="44" t="s">
        <v>627</v>
      </c>
      <c r="BO11" s="44" t="s">
        <v>628</v>
      </c>
      <c r="BP11" s="44" t="s">
        <v>629</v>
      </c>
      <c r="BQ11" s="44" t="s">
        <v>630</v>
      </c>
      <c r="BR11" s="44" t="s">
        <v>631</v>
      </c>
      <c r="BS11" s="46" t="s">
        <v>641</v>
      </c>
      <c r="BT11" s="46" t="s">
        <v>642</v>
      </c>
      <c r="BU11" s="46" t="s">
        <v>643</v>
      </c>
      <c r="BV11" s="46" t="s">
        <v>644</v>
      </c>
      <c r="BW11" s="46" t="s">
        <v>645</v>
      </c>
      <c r="BX11" s="46" t="s">
        <v>1481</v>
      </c>
      <c r="BY11" s="46" t="s">
        <v>1482</v>
      </c>
      <c r="BZ11" s="46" t="s">
        <v>1483</v>
      </c>
      <c r="CB11" s="43" t="s">
        <v>724</v>
      </c>
      <c r="CC11" s="43" t="s">
        <v>265</v>
      </c>
      <c r="CD11" s="43" t="s">
        <v>266</v>
      </c>
      <c r="CE11" s="44" t="s">
        <v>677</v>
      </c>
    </row>
    <row r="12" spans="1:86">
      <c r="CE12" s="43"/>
    </row>
    <row r="13" spans="1:86" s="44" customFormat="1" ht="12.75">
      <c r="A13" s="45" t="s">
        <v>2349</v>
      </c>
      <c r="B13" s="67" t="s">
        <v>2350</v>
      </c>
      <c r="C13" s="45" t="s">
        <v>955</v>
      </c>
      <c r="D13" s="45" t="s">
        <v>648</v>
      </c>
      <c r="E13" s="66">
        <v>43100</v>
      </c>
      <c r="F13" s="66">
        <v>43373</v>
      </c>
      <c r="G13" s="66">
        <v>34457</v>
      </c>
      <c r="H13" s="68">
        <v>6154.5326800000003</v>
      </c>
      <c r="I13" s="68">
        <v>42.3</v>
      </c>
      <c r="J13" s="68">
        <v>7328.4</v>
      </c>
      <c r="K13" s="68">
        <v>246.5</v>
      </c>
      <c r="L13" s="68" t="s">
        <v>2579</v>
      </c>
      <c r="M13" s="68" t="s">
        <v>2579</v>
      </c>
      <c r="N13" s="68">
        <v>1420.4</v>
      </c>
      <c r="O13" s="68">
        <v>167.4</v>
      </c>
      <c r="P13" s="68">
        <v>249.7</v>
      </c>
      <c r="Q13" s="68">
        <v>1248.963</v>
      </c>
      <c r="R13" s="68">
        <v>307.7</v>
      </c>
      <c r="S13" s="68" t="s">
        <v>2579</v>
      </c>
      <c r="T13" s="68">
        <v>329.55178000000001</v>
      </c>
      <c r="U13" s="68">
        <v>245.3</v>
      </c>
      <c r="V13" s="68">
        <v>492.6</v>
      </c>
      <c r="W13" s="68">
        <v>728</v>
      </c>
      <c r="X13" s="68">
        <v>-91.8</v>
      </c>
      <c r="Y13" s="68">
        <v>-51.8</v>
      </c>
      <c r="Z13" s="68">
        <v>795.33299999999997</v>
      </c>
      <c r="AA13" s="68">
        <v>-24.2</v>
      </c>
      <c r="AB13" s="68" t="s">
        <v>2579</v>
      </c>
      <c r="AC13" s="68">
        <v>626.79100000000005</v>
      </c>
      <c r="AD13" s="68">
        <v>-226.1</v>
      </c>
      <c r="AE13" s="68">
        <v>-120.3</v>
      </c>
      <c r="AF13" s="69">
        <v>0.98</v>
      </c>
      <c r="AG13" s="69">
        <v>0.63700000000000001</v>
      </c>
      <c r="AH13" s="69">
        <v>0.628</v>
      </c>
      <c r="AI13" s="69">
        <v>0.59699999999999998</v>
      </c>
      <c r="AJ13" s="68">
        <v>-44.9</v>
      </c>
      <c r="AK13" s="68">
        <v>-59.8</v>
      </c>
      <c r="AL13" s="68">
        <v>-23.3</v>
      </c>
      <c r="AM13" s="68">
        <v>-6.2</v>
      </c>
      <c r="AN13" s="68">
        <v>-9.9</v>
      </c>
      <c r="AO13" s="68">
        <v>-7.9</v>
      </c>
      <c r="AP13" s="70" t="s">
        <v>2351</v>
      </c>
      <c r="AQ13" s="71" t="s">
        <v>2580</v>
      </c>
      <c r="AR13" s="71" t="s">
        <v>2581</v>
      </c>
      <c r="AS13" s="71" t="s">
        <v>2582</v>
      </c>
      <c r="AT13" s="69">
        <v>0</v>
      </c>
      <c r="AU13" s="68">
        <v>-165.5</v>
      </c>
      <c r="AV13" s="68">
        <v>-105.1</v>
      </c>
      <c r="AW13" s="68">
        <v>745.7</v>
      </c>
      <c r="AX13" s="68">
        <v>-96.7</v>
      </c>
      <c r="AY13" s="68" t="s">
        <v>2579</v>
      </c>
      <c r="AZ13" s="68">
        <v>-67.900000000000006</v>
      </c>
      <c r="BA13" s="68">
        <v>84.2</v>
      </c>
      <c r="BB13" s="68">
        <v>1790.1</v>
      </c>
      <c r="BC13" s="68">
        <v>87.8</v>
      </c>
      <c r="BD13" s="68" t="s">
        <v>2579</v>
      </c>
      <c r="BE13" s="68">
        <v>17.2</v>
      </c>
      <c r="BF13" s="68">
        <v>2349.1</v>
      </c>
      <c r="BG13" s="68">
        <v>248.9</v>
      </c>
      <c r="BH13" s="44" t="s">
        <v>13</v>
      </c>
      <c r="BI13" s="44" t="s">
        <v>13</v>
      </c>
      <c r="BJ13" s="68">
        <v>274.89999999999998</v>
      </c>
      <c r="BK13" s="44">
        <v>0.45810000000000001</v>
      </c>
      <c r="BL13" s="44">
        <v>1.731849</v>
      </c>
      <c r="BM13" s="44">
        <v>0.80903000000000003</v>
      </c>
      <c r="BN13" s="44">
        <v>0.55151600000000001</v>
      </c>
      <c r="BO13" s="44" t="s">
        <v>13</v>
      </c>
      <c r="BP13" s="44" t="s">
        <v>13</v>
      </c>
      <c r="BQ13" s="44" t="s">
        <v>13</v>
      </c>
      <c r="BR13" s="48">
        <v>8.0000000000000002E-3</v>
      </c>
      <c r="BS13" s="72">
        <v>0.83499999999999996</v>
      </c>
      <c r="BT13" s="72">
        <v>0.749</v>
      </c>
      <c r="BU13" s="72">
        <v>0.66700000000000004</v>
      </c>
      <c r="BV13" s="72">
        <v>0.64100000000000001</v>
      </c>
      <c r="BW13" s="72">
        <v>0.61199999999999999</v>
      </c>
      <c r="BX13" s="72">
        <v>0.60599999999999998</v>
      </c>
      <c r="BY13" s="72">
        <v>0.58699999999999997</v>
      </c>
      <c r="BZ13" s="72">
        <v>0.57799999999999996</v>
      </c>
      <c r="CB13" s="44">
        <v>2</v>
      </c>
      <c r="CC13" s="10" t="s">
        <v>269</v>
      </c>
      <c r="CD13" s="10" t="s">
        <v>268</v>
      </c>
      <c r="CE13" s="46">
        <v>42766</v>
      </c>
    </row>
    <row r="14" spans="1:86" s="44" customFormat="1" ht="12.75">
      <c r="A14" s="45" t="s">
        <v>2352</v>
      </c>
      <c r="B14" s="67" t="s">
        <v>2353</v>
      </c>
      <c r="C14" s="45" t="s">
        <v>770</v>
      </c>
      <c r="D14" s="45" t="s">
        <v>646</v>
      </c>
      <c r="E14" s="66">
        <v>43100</v>
      </c>
      <c r="F14" s="66">
        <v>43373</v>
      </c>
      <c r="G14" s="66">
        <v>41548</v>
      </c>
      <c r="H14" s="68">
        <v>781.76391000000001</v>
      </c>
      <c r="I14" s="68">
        <v>15.1</v>
      </c>
      <c r="J14" s="68">
        <v>978.1</v>
      </c>
      <c r="K14" s="68">
        <v>14.9</v>
      </c>
      <c r="L14" s="68">
        <v>0</v>
      </c>
      <c r="M14" s="68" t="s">
        <v>2579</v>
      </c>
      <c r="N14" s="68">
        <v>211.2</v>
      </c>
      <c r="O14" s="68">
        <v>4.5</v>
      </c>
      <c r="P14" s="68">
        <v>4.0999999999999996</v>
      </c>
      <c r="Q14" s="68">
        <v>4.1059999999999999</v>
      </c>
      <c r="R14" s="68">
        <v>4.0999999999999996</v>
      </c>
      <c r="S14" s="68" t="s">
        <v>2579</v>
      </c>
      <c r="T14" s="68">
        <v>2.9464000000000001</v>
      </c>
      <c r="U14" s="68">
        <v>13.4</v>
      </c>
      <c r="V14" s="68">
        <v>208.8</v>
      </c>
      <c r="W14" s="68">
        <v>246.8</v>
      </c>
      <c r="X14" s="68">
        <v>-30.3</v>
      </c>
      <c r="Y14" s="68">
        <v>-36.700000000000003</v>
      </c>
      <c r="Z14" s="68">
        <v>-61.427999999999997</v>
      </c>
      <c r="AA14" s="68">
        <v>-41.2</v>
      </c>
      <c r="AB14" s="68" t="s">
        <v>2579</v>
      </c>
      <c r="AC14" s="68" t="s">
        <v>13</v>
      </c>
      <c r="AD14" s="68" t="s">
        <v>2579</v>
      </c>
      <c r="AE14" s="68" t="s">
        <v>2579</v>
      </c>
      <c r="AF14" s="69" t="s">
        <v>13</v>
      </c>
      <c r="AG14" s="69" t="s">
        <v>13</v>
      </c>
      <c r="AH14" s="69" t="s">
        <v>13</v>
      </c>
      <c r="AI14" s="69" t="s">
        <v>13</v>
      </c>
      <c r="AJ14" s="68">
        <v>-5.9</v>
      </c>
      <c r="AK14" s="68">
        <v>-8.9</v>
      </c>
      <c r="AL14" s="68">
        <v>-16.7</v>
      </c>
      <c r="AM14" s="68">
        <v>-0.6</v>
      </c>
      <c r="AN14" s="68">
        <v>-1</v>
      </c>
      <c r="AO14" s="68">
        <v>-2</v>
      </c>
      <c r="AP14" s="70" t="s">
        <v>2354</v>
      </c>
      <c r="AQ14" s="71" t="s">
        <v>2583</v>
      </c>
      <c r="AR14" s="71" t="s">
        <v>2584</v>
      </c>
      <c r="AS14" s="71" t="s">
        <v>2585</v>
      </c>
      <c r="AT14" s="69">
        <v>0</v>
      </c>
      <c r="AU14" s="68">
        <v>-33</v>
      </c>
      <c r="AV14" s="68">
        <v>-38.4</v>
      </c>
      <c r="AW14" s="68">
        <v>-63.1</v>
      </c>
      <c r="AX14" s="68">
        <v>-43</v>
      </c>
      <c r="AY14" s="68" t="s">
        <v>2579</v>
      </c>
      <c r="AZ14" s="68">
        <v>25.4</v>
      </c>
      <c r="BA14" s="68">
        <v>45.7</v>
      </c>
      <c r="BB14" s="68">
        <v>173.9</v>
      </c>
      <c r="BC14" s="68">
        <v>77.2</v>
      </c>
      <c r="BD14" s="68" t="s">
        <v>2579</v>
      </c>
      <c r="BE14" s="68">
        <v>3.1</v>
      </c>
      <c r="BF14" s="68">
        <v>106.5</v>
      </c>
      <c r="BG14" s="68">
        <v>14.5</v>
      </c>
      <c r="BH14" s="44" t="s">
        <v>13</v>
      </c>
      <c r="BI14" s="44" t="s">
        <v>13</v>
      </c>
      <c r="BJ14" s="68">
        <v>45.9</v>
      </c>
      <c r="BK14" s="44" t="s">
        <v>13</v>
      </c>
      <c r="BL14" s="44">
        <v>-3.9537000000000003E-2</v>
      </c>
      <c r="BM14" s="44">
        <v>0.44708199999999998</v>
      </c>
      <c r="BN14" s="44">
        <v>0.205322</v>
      </c>
      <c r="BO14" s="44" t="s">
        <v>13</v>
      </c>
      <c r="BP14" s="44" t="s">
        <v>13</v>
      </c>
      <c r="BQ14" s="44" t="s">
        <v>13</v>
      </c>
      <c r="BR14" s="48">
        <v>0.28399999999999997</v>
      </c>
      <c r="BS14" s="72">
        <v>0.80200000000000005</v>
      </c>
      <c r="BT14" s="72">
        <v>0.73</v>
      </c>
      <c r="BU14" s="72">
        <v>0.755</v>
      </c>
      <c r="BV14" s="72">
        <v>0.78400000000000003</v>
      </c>
      <c r="BW14" s="72">
        <v>0.78400000000000003</v>
      </c>
      <c r="BX14" s="72">
        <v>0.78300000000000003</v>
      </c>
      <c r="BY14" s="72" t="s">
        <v>13</v>
      </c>
      <c r="BZ14" s="72" t="s">
        <v>13</v>
      </c>
      <c r="CB14" s="44">
        <v>2</v>
      </c>
      <c r="CC14" s="10" t="s">
        <v>269</v>
      </c>
      <c r="CD14" s="10" t="s">
        <v>268</v>
      </c>
      <c r="CE14" s="46">
        <v>42766</v>
      </c>
    </row>
    <row r="15" spans="1:86" s="44" customFormat="1" ht="12.75">
      <c r="A15" s="45" t="s">
        <v>2355</v>
      </c>
      <c r="B15" s="67" t="s">
        <v>2356</v>
      </c>
      <c r="C15" s="45" t="s">
        <v>2357</v>
      </c>
      <c r="D15" s="45" t="s">
        <v>648</v>
      </c>
      <c r="E15" s="66">
        <v>43100</v>
      </c>
      <c r="F15" s="66">
        <v>43373</v>
      </c>
      <c r="G15" s="66">
        <v>43441</v>
      </c>
      <c r="H15" s="68">
        <v>458.77701999999999</v>
      </c>
      <c r="I15" s="68">
        <v>14.1</v>
      </c>
      <c r="J15" s="68">
        <v>441.9</v>
      </c>
      <c r="K15" s="68" t="s">
        <v>1793</v>
      </c>
      <c r="L15" s="68">
        <v>37.5</v>
      </c>
      <c r="M15" s="68" t="s">
        <v>2579</v>
      </c>
      <c r="N15" s="68">
        <v>20.6</v>
      </c>
      <c r="O15" s="68" t="s">
        <v>2579</v>
      </c>
      <c r="P15" s="68" t="s">
        <v>2579</v>
      </c>
      <c r="Q15" s="68">
        <v>0</v>
      </c>
      <c r="R15" s="68" t="s">
        <v>2579</v>
      </c>
      <c r="S15" s="68" t="s">
        <v>2579</v>
      </c>
      <c r="T15" s="68" t="s">
        <v>13</v>
      </c>
      <c r="U15" s="68" t="s">
        <v>2579</v>
      </c>
      <c r="V15" s="68" t="s">
        <v>2579</v>
      </c>
      <c r="W15" s="68" t="s">
        <v>2579</v>
      </c>
      <c r="X15" s="68" t="s">
        <v>2579</v>
      </c>
      <c r="Y15" s="68">
        <v>-3.1</v>
      </c>
      <c r="Z15" s="68">
        <v>-14.103999999999999</v>
      </c>
      <c r="AA15" s="68">
        <v>-5.7</v>
      </c>
      <c r="AB15" s="68" t="s">
        <v>2579</v>
      </c>
      <c r="AC15" s="68">
        <v>-39.799999999999997</v>
      </c>
      <c r="AD15" s="68">
        <v>-56.3</v>
      </c>
      <c r="AE15" s="68">
        <v>-80.400000000000006</v>
      </c>
      <c r="AF15" s="69" t="s">
        <v>13</v>
      </c>
      <c r="AG15" s="69" t="s">
        <v>13</v>
      </c>
      <c r="AH15" s="69" t="s">
        <v>13</v>
      </c>
      <c r="AI15" s="69" t="s">
        <v>13</v>
      </c>
      <c r="AJ15" s="68" t="s">
        <v>2579</v>
      </c>
      <c r="AK15" s="68">
        <v>-0.2</v>
      </c>
      <c r="AL15" s="68">
        <v>-26.2</v>
      </c>
      <c r="AM15" s="68" t="s">
        <v>2579</v>
      </c>
      <c r="AN15" s="68">
        <v>-0.4</v>
      </c>
      <c r="AO15" s="68">
        <v>-0.9</v>
      </c>
      <c r="AP15" s="70" t="s">
        <v>2586</v>
      </c>
      <c r="AQ15" s="71" t="s">
        <v>2587</v>
      </c>
      <c r="AR15" s="71" t="s">
        <v>13</v>
      </c>
      <c r="AS15" s="71" t="s">
        <v>13</v>
      </c>
      <c r="AT15" s="69">
        <v>0</v>
      </c>
      <c r="AU15" s="68" t="s">
        <v>2579</v>
      </c>
      <c r="AV15" s="68">
        <v>-3.1</v>
      </c>
      <c r="AW15" s="68">
        <v>-30.6</v>
      </c>
      <c r="AX15" s="68">
        <v>-5.9</v>
      </c>
      <c r="AY15" s="68" t="s">
        <v>2579</v>
      </c>
      <c r="AZ15" s="68" t="s">
        <v>2579</v>
      </c>
      <c r="BA15" s="68">
        <v>4.3</v>
      </c>
      <c r="BB15" s="68">
        <v>-3.3</v>
      </c>
      <c r="BC15" s="68">
        <v>3.6</v>
      </c>
      <c r="BD15" s="68" t="s">
        <v>2579</v>
      </c>
      <c r="BE15" s="68" t="s">
        <v>2579</v>
      </c>
      <c r="BF15" s="68" t="s">
        <v>2579</v>
      </c>
      <c r="BG15" s="68" t="s">
        <v>2579</v>
      </c>
      <c r="BH15" s="44" t="s">
        <v>13</v>
      </c>
      <c r="BI15" s="44" t="s">
        <v>13</v>
      </c>
      <c r="BJ15" s="68" t="s">
        <v>2579</v>
      </c>
      <c r="BK15" s="44" t="s">
        <v>13</v>
      </c>
      <c r="BL15" s="44">
        <v>0</v>
      </c>
      <c r="BM15" s="44">
        <v>0</v>
      </c>
      <c r="BN15" s="44">
        <v>0</v>
      </c>
      <c r="BO15" s="44">
        <v>0</v>
      </c>
      <c r="BP15" s="44">
        <v>0</v>
      </c>
      <c r="BQ15" s="44">
        <v>0</v>
      </c>
      <c r="BR15" s="48" t="s">
        <v>647</v>
      </c>
      <c r="BS15" s="72">
        <v>0.97299999999999998</v>
      </c>
      <c r="BT15" s="72" t="s">
        <v>13</v>
      </c>
      <c r="BU15" s="72" t="s">
        <v>13</v>
      </c>
      <c r="BV15" s="72" t="s">
        <v>13</v>
      </c>
      <c r="BW15" s="72" t="s">
        <v>13</v>
      </c>
      <c r="BX15" s="72" t="s">
        <v>13</v>
      </c>
      <c r="BY15" s="72" t="s">
        <v>13</v>
      </c>
      <c r="BZ15" s="72" t="s">
        <v>13</v>
      </c>
      <c r="CB15" s="44">
        <v>2</v>
      </c>
      <c r="CC15" s="10" t="s">
        <v>269</v>
      </c>
      <c r="CD15" s="10" t="s">
        <v>268</v>
      </c>
      <c r="CE15" s="46">
        <v>42766</v>
      </c>
    </row>
    <row r="16" spans="1:86" s="44" customFormat="1" ht="12.75">
      <c r="A16" s="45" t="s">
        <v>2358</v>
      </c>
      <c r="B16" s="67" t="s">
        <v>2359</v>
      </c>
      <c r="C16" s="45" t="s">
        <v>948</v>
      </c>
      <c r="D16" s="45" t="s">
        <v>675</v>
      </c>
      <c r="E16" s="66">
        <v>43100</v>
      </c>
      <c r="F16" s="66">
        <v>43373</v>
      </c>
      <c r="G16" s="66">
        <v>38611</v>
      </c>
      <c r="H16" s="68">
        <v>445.02354000000003</v>
      </c>
      <c r="I16" s="68">
        <v>2.2000000000000002</v>
      </c>
      <c r="J16" s="68">
        <v>316.3</v>
      </c>
      <c r="K16" s="68" t="s">
        <v>1793</v>
      </c>
      <c r="L16" s="68">
        <v>160.4</v>
      </c>
      <c r="M16" s="68" t="s">
        <v>2579</v>
      </c>
      <c r="N16" s="68">
        <v>31.7</v>
      </c>
      <c r="O16" s="68">
        <v>7.2</v>
      </c>
      <c r="P16" s="68">
        <v>6.4</v>
      </c>
      <c r="Q16" s="68">
        <v>1.7430000000000001</v>
      </c>
      <c r="R16" s="68">
        <v>6.4</v>
      </c>
      <c r="S16" s="68" t="s">
        <v>2579</v>
      </c>
      <c r="T16" s="68">
        <v>5.7240000000000002</v>
      </c>
      <c r="U16" s="68">
        <v>6.4</v>
      </c>
      <c r="V16" s="68">
        <v>6.4</v>
      </c>
      <c r="W16" s="68">
        <v>8.6999999999999993</v>
      </c>
      <c r="X16" s="68">
        <v>-240.7</v>
      </c>
      <c r="Y16" s="68">
        <v>-50.8</v>
      </c>
      <c r="Z16" s="68">
        <v>-54.058</v>
      </c>
      <c r="AA16" s="68">
        <v>-53.1</v>
      </c>
      <c r="AB16" s="68" t="s">
        <v>2579</v>
      </c>
      <c r="AC16" s="68" t="s">
        <v>13</v>
      </c>
      <c r="AD16" s="68" t="s">
        <v>2579</v>
      </c>
      <c r="AE16" s="68" t="s">
        <v>2579</v>
      </c>
      <c r="AF16" s="69" t="s">
        <v>13</v>
      </c>
      <c r="AG16" s="69" t="s">
        <v>13</v>
      </c>
      <c r="AH16" s="69" t="s">
        <v>13</v>
      </c>
      <c r="AI16" s="69" t="s">
        <v>13</v>
      </c>
      <c r="AJ16" s="68">
        <v>5.3</v>
      </c>
      <c r="AK16" s="68">
        <v>12.3</v>
      </c>
      <c r="AL16" s="68">
        <v>-44.8</v>
      </c>
      <c r="AM16" s="68">
        <v>-0.9</v>
      </c>
      <c r="AN16" s="68">
        <v>-0.5</v>
      </c>
      <c r="AO16" s="68">
        <v>-0.8</v>
      </c>
      <c r="AP16" s="70" t="s">
        <v>2360</v>
      </c>
      <c r="AQ16" s="71" t="s">
        <v>2588</v>
      </c>
      <c r="AR16" s="71" t="s">
        <v>2589</v>
      </c>
      <c r="AS16" s="71" t="s">
        <v>2590</v>
      </c>
      <c r="AT16" s="69">
        <v>0</v>
      </c>
      <c r="AU16" s="68">
        <v>-163.5</v>
      </c>
      <c r="AV16" s="68">
        <v>-52.3</v>
      </c>
      <c r="AW16" s="68">
        <v>-53.9</v>
      </c>
      <c r="AX16" s="68">
        <v>-54.3</v>
      </c>
      <c r="AY16" s="68" t="s">
        <v>2579</v>
      </c>
      <c r="AZ16" s="68">
        <v>57.4</v>
      </c>
      <c r="BA16" s="68">
        <v>59.3</v>
      </c>
      <c r="BB16" s="68">
        <v>4</v>
      </c>
      <c r="BC16" s="68">
        <v>47.2</v>
      </c>
      <c r="BD16" s="68" t="s">
        <v>2579</v>
      </c>
      <c r="BE16" s="68">
        <v>5.6</v>
      </c>
      <c r="BF16" s="68">
        <v>734.7</v>
      </c>
      <c r="BG16" s="68" t="s">
        <v>1793</v>
      </c>
      <c r="BH16" s="44">
        <v>119.045</v>
      </c>
      <c r="BI16" s="44" t="s">
        <v>13</v>
      </c>
      <c r="BJ16" s="68">
        <v>109</v>
      </c>
      <c r="BK16" s="44" t="s">
        <v>13</v>
      </c>
      <c r="BL16" s="44">
        <v>-0.50739900000000004</v>
      </c>
      <c r="BM16" s="44">
        <v>-0.141322</v>
      </c>
      <c r="BN16" s="44">
        <v>0.16853399999999999</v>
      </c>
      <c r="BO16" s="44" t="s">
        <v>13</v>
      </c>
      <c r="BP16" s="44" t="s">
        <v>13</v>
      </c>
      <c r="BQ16" s="44" t="s">
        <v>13</v>
      </c>
      <c r="BR16" s="48">
        <v>0.29899999999999999</v>
      </c>
      <c r="BS16" s="72">
        <v>0.80300000000000005</v>
      </c>
      <c r="BT16" s="72">
        <v>0.69699999999999995</v>
      </c>
      <c r="BU16" s="72">
        <v>0.69399999999999995</v>
      </c>
      <c r="BV16" s="72">
        <v>0.70599999999999996</v>
      </c>
      <c r="BW16" s="72">
        <v>0.73</v>
      </c>
      <c r="BX16" s="72">
        <v>0.85399999999999998</v>
      </c>
      <c r="BY16" s="72">
        <v>0.80800000000000005</v>
      </c>
      <c r="BZ16" s="72">
        <v>0.78</v>
      </c>
      <c r="CB16" s="44">
        <v>2</v>
      </c>
      <c r="CC16" s="10" t="s">
        <v>269</v>
      </c>
      <c r="CD16" s="10" t="s">
        <v>268</v>
      </c>
      <c r="CE16" s="46">
        <v>42766</v>
      </c>
    </row>
    <row r="17" spans="1:83" s="44" customFormat="1" ht="12.75">
      <c r="A17" s="45" t="s">
        <v>2361</v>
      </c>
      <c r="B17" s="67" t="s">
        <v>2362</v>
      </c>
      <c r="C17" s="45" t="s">
        <v>2363</v>
      </c>
      <c r="D17" s="45" t="s">
        <v>675</v>
      </c>
      <c r="E17" s="66">
        <v>43100</v>
      </c>
      <c r="F17" s="66">
        <v>43373</v>
      </c>
      <c r="G17" s="66">
        <v>41304</v>
      </c>
      <c r="H17" s="68">
        <v>355.63204999999999</v>
      </c>
      <c r="I17" s="68">
        <v>11.1</v>
      </c>
      <c r="J17" s="68">
        <v>434.2</v>
      </c>
      <c r="K17" s="68" t="s">
        <v>1793</v>
      </c>
      <c r="L17" s="68" t="s">
        <v>2579</v>
      </c>
      <c r="M17" s="68" t="s">
        <v>2579</v>
      </c>
      <c r="N17" s="68">
        <v>78.599999999999994</v>
      </c>
      <c r="O17" s="68">
        <v>0.9</v>
      </c>
      <c r="P17" s="68">
        <v>1.2</v>
      </c>
      <c r="Q17" s="68">
        <v>0.5</v>
      </c>
      <c r="R17" s="68">
        <v>0.9</v>
      </c>
      <c r="S17" s="68" t="s">
        <v>2579</v>
      </c>
      <c r="T17" s="68">
        <v>29.422440000000002</v>
      </c>
      <c r="U17" s="68">
        <v>156.80000000000001</v>
      </c>
      <c r="V17" s="68">
        <v>230.4</v>
      </c>
      <c r="W17" s="68">
        <v>293.89999999999998</v>
      </c>
      <c r="X17" s="68">
        <v>-38.9</v>
      </c>
      <c r="Y17" s="68">
        <v>-56.7</v>
      </c>
      <c r="Z17" s="68">
        <v>-81.247010000000003</v>
      </c>
      <c r="AA17" s="68">
        <v>-68.5</v>
      </c>
      <c r="AB17" s="68" t="s">
        <v>2579</v>
      </c>
      <c r="AC17" s="68">
        <v>-84.855239999999995</v>
      </c>
      <c r="AD17" s="68" t="s">
        <v>2579</v>
      </c>
      <c r="AE17" s="68" t="s">
        <v>2579</v>
      </c>
      <c r="AF17" s="69" t="s">
        <v>13</v>
      </c>
      <c r="AG17" s="69" t="s">
        <v>13</v>
      </c>
      <c r="AH17" s="69" t="s">
        <v>13</v>
      </c>
      <c r="AI17" s="69" t="s">
        <v>13</v>
      </c>
      <c r="AJ17" s="68">
        <v>-8.6</v>
      </c>
      <c r="AK17" s="68">
        <v>-13.9</v>
      </c>
      <c r="AL17" s="68">
        <v>-15.4</v>
      </c>
      <c r="AM17" s="68">
        <v>0</v>
      </c>
      <c r="AN17" s="68">
        <v>-0.1</v>
      </c>
      <c r="AO17" s="68">
        <v>-0.1</v>
      </c>
      <c r="AP17" s="70" t="s">
        <v>2364</v>
      </c>
      <c r="AQ17" s="71" t="s">
        <v>2591</v>
      </c>
      <c r="AR17" s="71" t="s">
        <v>2592</v>
      </c>
      <c r="AS17" s="71" t="s">
        <v>2593</v>
      </c>
      <c r="AT17" s="69">
        <v>0</v>
      </c>
      <c r="AU17" s="68">
        <v>-38.5</v>
      </c>
      <c r="AV17" s="68">
        <v>-56.1</v>
      </c>
      <c r="AW17" s="68">
        <v>-80.099999999999994</v>
      </c>
      <c r="AX17" s="68">
        <v>-67.8</v>
      </c>
      <c r="AY17" s="68" t="s">
        <v>2579</v>
      </c>
      <c r="AZ17" s="68">
        <v>65.8</v>
      </c>
      <c r="BA17" s="68">
        <v>66.2</v>
      </c>
      <c r="BB17" s="68">
        <v>63.5</v>
      </c>
      <c r="BC17" s="68">
        <v>47.1</v>
      </c>
      <c r="BD17" s="68" t="s">
        <v>2579</v>
      </c>
      <c r="BE17" s="68">
        <v>10.8</v>
      </c>
      <c r="BF17" s="68">
        <v>193</v>
      </c>
      <c r="BG17" s="68" t="s">
        <v>1793</v>
      </c>
      <c r="BH17" s="44" t="s">
        <v>13</v>
      </c>
      <c r="BI17" s="44" t="s">
        <v>13</v>
      </c>
      <c r="BJ17" s="68">
        <v>58.2</v>
      </c>
      <c r="BK17" s="44" t="s">
        <v>13</v>
      </c>
      <c r="BL17" s="44">
        <v>-0.27360800000000002</v>
      </c>
      <c r="BM17" s="44">
        <v>-4.2701000000000003E-2</v>
      </c>
      <c r="BN17" s="44">
        <v>0</v>
      </c>
      <c r="BO17" s="44" t="s">
        <v>13</v>
      </c>
      <c r="BP17" s="44" t="s">
        <v>13</v>
      </c>
      <c r="BQ17" s="44">
        <v>0</v>
      </c>
      <c r="BR17" s="48">
        <v>0.10100000000000001</v>
      </c>
      <c r="BS17" s="72">
        <v>0.54700000000000004</v>
      </c>
      <c r="BT17" s="72">
        <v>0.69699999999999995</v>
      </c>
      <c r="BU17" s="72">
        <v>0.68500000000000005</v>
      </c>
      <c r="BV17" s="72">
        <v>0.66600000000000004</v>
      </c>
      <c r="BW17" s="72">
        <v>0.67200000000000004</v>
      </c>
      <c r="BX17" s="72">
        <v>0.70299999999999996</v>
      </c>
      <c r="BY17" s="72" t="s">
        <v>13</v>
      </c>
      <c r="BZ17" s="72" t="s">
        <v>13</v>
      </c>
      <c r="CB17" s="44">
        <v>2</v>
      </c>
      <c r="CC17" s="10" t="s">
        <v>269</v>
      </c>
      <c r="CD17" s="10" t="s">
        <v>268</v>
      </c>
      <c r="CE17" s="46">
        <v>42766</v>
      </c>
    </row>
    <row r="18" spans="1:83" s="44" customFormat="1" ht="12.75">
      <c r="A18" s="45" t="s">
        <v>2594</v>
      </c>
      <c r="B18" s="67" t="s">
        <v>2595</v>
      </c>
      <c r="C18" s="45" t="s">
        <v>883</v>
      </c>
      <c r="D18" s="45" t="s">
        <v>675</v>
      </c>
      <c r="E18" s="66">
        <v>43100</v>
      </c>
      <c r="F18" s="66">
        <v>43373</v>
      </c>
      <c r="G18" s="66">
        <v>40907</v>
      </c>
      <c r="H18" s="68">
        <v>217.34072</v>
      </c>
      <c r="I18" s="68">
        <v>4.0999999999999996</v>
      </c>
      <c r="J18" s="68">
        <v>315</v>
      </c>
      <c r="K18" s="68">
        <v>0.1</v>
      </c>
      <c r="L18" s="68" t="s">
        <v>2579</v>
      </c>
      <c r="M18" s="68" t="s">
        <v>2579</v>
      </c>
      <c r="N18" s="68">
        <v>97.7</v>
      </c>
      <c r="O18" s="68">
        <v>0.2</v>
      </c>
      <c r="P18" s="68">
        <v>0.2</v>
      </c>
      <c r="Q18" s="68">
        <v>0.15237999999999999</v>
      </c>
      <c r="R18" s="68">
        <v>0.2</v>
      </c>
      <c r="S18" s="68" t="s">
        <v>2579</v>
      </c>
      <c r="T18" s="68">
        <v>0.1636</v>
      </c>
      <c r="U18" s="68">
        <v>17.600000000000001</v>
      </c>
      <c r="V18" s="68">
        <v>106</v>
      </c>
      <c r="W18" s="68">
        <v>253.2</v>
      </c>
      <c r="X18" s="68">
        <v>-72.5</v>
      </c>
      <c r="Y18" s="68">
        <v>-111.6</v>
      </c>
      <c r="Z18" s="68">
        <v>-151.2004</v>
      </c>
      <c r="AA18" s="68">
        <v>-118.6</v>
      </c>
      <c r="AB18" s="68" t="s">
        <v>2579</v>
      </c>
      <c r="AC18" s="68" t="s">
        <v>13</v>
      </c>
      <c r="AD18" s="68" t="s">
        <v>2579</v>
      </c>
      <c r="AE18" s="68" t="s">
        <v>2579</v>
      </c>
      <c r="AF18" s="69">
        <v>1</v>
      </c>
      <c r="AG18" s="69" t="s">
        <v>13</v>
      </c>
      <c r="AH18" s="69" t="s">
        <v>13</v>
      </c>
      <c r="AI18" s="69" t="s">
        <v>13</v>
      </c>
      <c r="AJ18" s="68">
        <v>-6</v>
      </c>
      <c r="AK18" s="68">
        <v>-13.8</v>
      </c>
      <c r="AL18" s="68">
        <v>-28.2</v>
      </c>
      <c r="AM18" s="68">
        <v>-0.3</v>
      </c>
      <c r="AN18" s="68">
        <v>0</v>
      </c>
      <c r="AO18" s="68">
        <v>-0.1</v>
      </c>
      <c r="AP18" s="70" t="s">
        <v>2596</v>
      </c>
      <c r="AQ18" s="71" t="s">
        <v>2581</v>
      </c>
      <c r="AR18" s="71" t="s">
        <v>2597</v>
      </c>
      <c r="AS18" s="71" t="s">
        <v>2598</v>
      </c>
      <c r="AT18" s="69">
        <v>0</v>
      </c>
      <c r="AU18" s="68">
        <v>-72.2</v>
      </c>
      <c r="AV18" s="68">
        <v>-111.3</v>
      </c>
      <c r="AW18" s="68">
        <v>-150.5</v>
      </c>
      <c r="AX18" s="68">
        <v>-118.5</v>
      </c>
      <c r="AY18" s="68" t="s">
        <v>2579</v>
      </c>
      <c r="AZ18" s="68">
        <v>56.8</v>
      </c>
      <c r="BA18" s="68">
        <v>79.5</v>
      </c>
      <c r="BB18" s="68">
        <v>71.7</v>
      </c>
      <c r="BC18" s="68">
        <v>67</v>
      </c>
      <c r="BD18" s="68" t="s">
        <v>2579</v>
      </c>
      <c r="BE18" s="68">
        <v>7.7</v>
      </c>
      <c r="BF18" s="68">
        <v>421.5</v>
      </c>
      <c r="BG18" s="68">
        <v>0.1</v>
      </c>
      <c r="BH18" s="44" t="s">
        <v>13</v>
      </c>
      <c r="BI18" s="44" t="s">
        <v>13</v>
      </c>
      <c r="BJ18" s="68">
        <v>54.3</v>
      </c>
      <c r="BK18" s="44" t="s">
        <v>13</v>
      </c>
      <c r="BL18" s="44">
        <v>0</v>
      </c>
      <c r="BM18" s="44">
        <v>0</v>
      </c>
      <c r="BN18" s="44">
        <v>2.7064999999999999E-2</v>
      </c>
      <c r="BO18" s="44" t="s">
        <v>13</v>
      </c>
      <c r="BP18" s="44" t="s">
        <v>13</v>
      </c>
      <c r="BQ18" s="44" t="s">
        <v>13</v>
      </c>
      <c r="BR18" s="48">
        <v>0.55400000000000005</v>
      </c>
      <c r="BS18" s="72">
        <v>0.83</v>
      </c>
      <c r="BT18" s="72">
        <v>0.89700000000000002</v>
      </c>
      <c r="BU18" s="72">
        <v>0.82799999999999996</v>
      </c>
      <c r="BV18" s="72">
        <v>0.79400000000000004</v>
      </c>
      <c r="BW18" s="72">
        <v>0.79200000000000004</v>
      </c>
      <c r="BX18" s="72">
        <v>0.77200000000000002</v>
      </c>
      <c r="BY18" s="72">
        <v>0.94099999999999995</v>
      </c>
      <c r="BZ18" s="72">
        <v>0.94099999999999995</v>
      </c>
      <c r="CB18" s="44">
        <v>2</v>
      </c>
      <c r="CC18" s="10" t="s">
        <v>269</v>
      </c>
      <c r="CD18" s="10" t="s">
        <v>268</v>
      </c>
      <c r="CE18" s="46">
        <v>42766</v>
      </c>
    </row>
    <row r="19" spans="1:83" s="44" customFormat="1" ht="12.75">
      <c r="A19" s="45" t="s">
        <v>2365</v>
      </c>
      <c r="B19" s="67" t="s">
        <v>2366</v>
      </c>
      <c r="C19" s="45" t="s">
        <v>2367</v>
      </c>
      <c r="D19" s="45" t="s">
        <v>646</v>
      </c>
      <c r="E19" s="66">
        <v>43100</v>
      </c>
      <c r="F19" s="66">
        <v>43373</v>
      </c>
      <c r="G19" s="66">
        <v>31569</v>
      </c>
      <c r="H19" s="68">
        <v>98.380399999999995</v>
      </c>
      <c r="I19" s="68">
        <v>12.1</v>
      </c>
      <c r="J19" s="68">
        <v>104.8</v>
      </c>
      <c r="K19" s="68">
        <v>22</v>
      </c>
      <c r="L19" s="68" t="s">
        <v>2579</v>
      </c>
      <c r="M19" s="68" t="s">
        <v>2579</v>
      </c>
      <c r="N19" s="68">
        <v>28.4</v>
      </c>
      <c r="O19" s="68">
        <v>53.2</v>
      </c>
      <c r="P19" s="68">
        <v>47.9</v>
      </c>
      <c r="Q19" s="68">
        <v>8.9710000000000001</v>
      </c>
      <c r="R19" s="68">
        <v>52.7</v>
      </c>
      <c r="S19" s="68" t="s">
        <v>2579</v>
      </c>
      <c r="T19" s="68">
        <v>9.5020000000000007</v>
      </c>
      <c r="U19" s="68">
        <v>11.6</v>
      </c>
      <c r="V19" s="68">
        <v>23.5</v>
      </c>
      <c r="W19" s="68">
        <v>21.1</v>
      </c>
      <c r="X19" s="68">
        <v>-14.9</v>
      </c>
      <c r="Y19" s="68">
        <v>10</v>
      </c>
      <c r="Z19" s="68">
        <v>-14.044</v>
      </c>
      <c r="AA19" s="68">
        <v>20.8</v>
      </c>
      <c r="AB19" s="68" t="s">
        <v>2579</v>
      </c>
      <c r="AC19" s="68">
        <v>-7.1</v>
      </c>
      <c r="AD19" s="68">
        <v>-1.1000000000000001</v>
      </c>
      <c r="AE19" s="68">
        <v>32.700000000000003</v>
      </c>
      <c r="AF19" s="69">
        <v>0.76500000000000001</v>
      </c>
      <c r="AG19" s="69">
        <v>-1.5649999999999999</v>
      </c>
      <c r="AH19" s="69">
        <v>-1.57</v>
      </c>
      <c r="AI19" s="69">
        <v>-1.2989999999999999</v>
      </c>
      <c r="AJ19" s="68">
        <v>-8.5</v>
      </c>
      <c r="AK19" s="68">
        <v>-12.9</v>
      </c>
      <c r="AL19" s="68">
        <v>-3.9</v>
      </c>
      <c r="AM19" s="68">
        <v>0</v>
      </c>
      <c r="AN19" s="68">
        <v>-0.1</v>
      </c>
      <c r="AO19" s="68">
        <v>0</v>
      </c>
      <c r="AP19" s="70" t="s">
        <v>2368</v>
      </c>
      <c r="AQ19" s="71" t="s">
        <v>2599</v>
      </c>
      <c r="AR19" s="71" t="s">
        <v>2600</v>
      </c>
      <c r="AS19" s="71" t="s">
        <v>2590</v>
      </c>
      <c r="AT19" s="69">
        <v>0</v>
      </c>
      <c r="AU19" s="68">
        <v>-10.7</v>
      </c>
      <c r="AV19" s="68">
        <v>-1.6</v>
      </c>
      <c r="AW19" s="68">
        <v>-11.7</v>
      </c>
      <c r="AX19" s="68">
        <v>14.6</v>
      </c>
      <c r="AY19" s="68" t="s">
        <v>2579</v>
      </c>
      <c r="AZ19" s="68">
        <v>-31.2</v>
      </c>
      <c r="BA19" s="68">
        <v>4.0999999999999996</v>
      </c>
      <c r="BB19" s="68">
        <v>1.2</v>
      </c>
      <c r="BC19" s="68">
        <v>5.8</v>
      </c>
      <c r="BD19" s="68" t="s">
        <v>2579</v>
      </c>
      <c r="BE19" s="68">
        <v>9.1999999999999993</v>
      </c>
      <c r="BF19" s="68">
        <v>55.4</v>
      </c>
      <c r="BG19" s="68">
        <v>46.5</v>
      </c>
      <c r="BH19" s="44" t="s">
        <v>13</v>
      </c>
      <c r="BI19" s="44" t="s">
        <v>13</v>
      </c>
      <c r="BJ19" s="68">
        <v>34.299999999999997</v>
      </c>
      <c r="BK19" s="44" t="s">
        <v>647</v>
      </c>
      <c r="BL19" s="44">
        <v>-0.58944700000000005</v>
      </c>
      <c r="BM19" s="44">
        <v>-8.2419000000000006E-2</v>
      </c>
      <c r="BN19" s="44">
        <v>-0.216113</v>
      </c>
      <c r="BO19" s="44" t="s">
        <v>13</v>
      </c>
      <c r="BP19" s="44" t="s">
        <v>13</v>
      </c>
      <c r="BQ19" s="44" t="s">
        <v>13</v>
      </c>
      <c r="BR19" s="48">
        <v>4.0000000000000001E-3</v>
      </c>
      <c r="BS19" s="72">
        <v>0.75800000000000001</v>
      </c>
      <c r="BT19" s="72">
        <v>0.78100000000000003</v>
      </c>
      <c r="BU19" s="72">
        <v>0.76700000000000002</v>
      </c>
      <c r="BV19" s="72">
        <v>1.117</v>
      </c>
      <c r="BW19" s="72">
        <v>1.054</v>
      </c>
      <c r="BX19" s="72">
        <v>1.004</v>
      </c>
      <c r="BY19" s="72">
        <v>0.96199999999999997</v>
      </c>
      <c r="BZ19" s="72">
        <v>0.94699999999999995</v>
      </c>
      <c r="CB19" s="44">
        <v>2</v>
      </c>
      <c r="CC19" s="10" t="s">
        <v>269</v>
      </c>
      <c r="CD19" s="10" t="s">
        <v>268</v>
      </c>
      <c r="CE19" s="46">
        <v>42766</v>
      </c>
    </row>
    <row r="20" spans="1:83" s="44" customFormat="1" ht="12.75">
      <c r="A20" s="45" t="s">
        <v>2601</v>
      </c>
      <c r="B20" s="67" t="s">
        <v>2602</v>
      </c>
      <c r="C20" s="45" t="s">
        <v>2603</v>
      </c>
      <c r="D20" s="45" t="s">
        <v>648</v>
      </c>
      <c r="E20" s="66">
        <v>43100</v>
      </c>
      <c r="F20" s="66">
        <v>43373</v>
      </c>
      <c r="G20" s="66">
        <v>41535</v>
      </c>
      <c r="H20" s="68">
        <v>77.393370000000004</v>
      </c>
      <c r="I20" s="68">
        <v>11.3</v>
      </c>
      <c r="J20" s="68">
        <v>399</v>
      </c>
      <c r="K20" s="68" t="s">
        <v>1793</v>
      </c>
      <c r="L20" s="68" t="s">
        <v>2579</v>
      </c>
      <c r="M20" s="68" t="s">
        <v>2579</v>
      </c>
      <c r="N20" s="68">
        <v>321.60000000000002</v>
      </c>
      <c r="O20" s="68">
        <v>385.8</v>
      </c>
      <c r="P20" s="68">
        <v>34.6</v>
      </c>
      <c r="Q20" s="68">
        <v>59.055</v>
      </c>
      <c r="R20" s="68">
        <v>39.5</v>
      </c>
      <c r="S20" s="68" t="s">
        <v>2579</v>
      </c>
      <c r="T20" s="68">
        <v>54.212890000000002</v>
      </c>
      <c r="U20" s="68">
        <v>58.2</v>
      </c>
      <c r="V20" s="68">
        <v>101.4</v>
      </c>
      <c r="W20" s="68">
        <v>141.5</v>
      </c>
      <c r="X20" s="68">
        <v>267.60000000000002</v>
      </c>
      <c r="Y20" s="68">
        <v>-150.6</v>
      </c>
      <c r="Z20" s="68">
        <v>-131.29499999999999</v>
      </c>
      <c r="AA20" s="68">
        <v>-148.9</v>
      </c>
      <c r="AB20" s="68" t="s">
        <v>2579</v>
      </c>
      <c r="AC20" s="68">
        <v>-202.77099999999999</v>
      </c>
      <c r="AD20" s="68">
        <v>-338.5</v>
      </c>
      <c r="AE20" s="68" t="s">
        <v>2579</v>
      </c>
      <c r="AF20" s="69">
        <v>-1.613</v>
      </c>
      <c r="AG20" s="69">
        <v>-2.2229999999999999</v>
      </c>
      <c r="AH20" s="69">
        <v>-2.2999999999999998</v>
      </c>
      <c r="AI20" s="69">
        <v>-2.2170000000000001</v>
      </c>
      <c r="AJ20" s="68">
        <v>-25.9</v>
      </c>
      <c r="AK20" s="68">
        <v>-33.1</v>
      </c>
      <c r="AL20" s="68">
        <v>-28.3</v>
      </c>
      <c r="AM20" s="68">
        <v>-3</v>
      </c>
      <c r="AN20" s="68">
        <v>-4.5</v>
      </c>
      <c r="AO20" s="68">
        <v>-12.5</v>
      </c>
      <c r="AP20" s="70" t="s">
        <v>2604</v>
      </c>
      <c r="AQ20" s="71" t="s">
        <v>2591</v>
      </c>
      <c r="AR20" s="71" t="s">
        <v>2589</v>
      </c>
      <c r="AS20" s="71" t="s">
        <v>2605</v>
      </c>
      <c r="AT20" s="69">
        <v>0</v>
      </c>
      <c r="AU20" s="68">
        <v>250.5</v>
      </c>
      <c r="AV20" s="68">
        <v>-141.1</v>
      </c>
      <c r="AW20" s="68">
        <v>-130.9</v>
      </c>
      <c r="AX20" s="68">
        <v>-150.19999999999999</v>
      </c>
      <c r="AY20" s="68" t="s">
        <v>2579</v>
      </c>
      <c r="AZ20" s="68">
        <v>404</v>
      </c>
      <c r="BA20" s="68">
        <v>286.10000000000002</v>
      </c>
      <c r="BB20" s="68">
        <v>296.8</v>
      </c>
      <c r="BC20" s="68">
        <v>265.2</v>
      </c>
      <c r="BD20" s="68" t="s">
        <v>2579</v>
      </c>
      <c r="BE20" s="68">
        <v>52.5</v>
      </c>
      <c r="BF20" s="68">
        <v>1487.8</v>
      </c>
      <c r="BG20" s="68" t="s">
        <v>1793</v>
      </c>
      <c r="BH20" s="44" t="s">
        <v>13</v>
      </c>
      <c r="BI20" s="44" t="s">
        <v>13</v>
      </c>
      <c r="BJ20" s="68">
        <v>469.2</v>
      </c>
      <c r="BK20" s="44" t="s">
        <v>647</v>
      </c>
      <c r="BL20" s="44">
        <v>-0.60874200000000001</v>
      </c>
      <c r="BM20" s="44">
        <v>0.40915000000000001</v>
      </c>
      <c r="BN20" s="44">
        <v>0.35497600000000001</v>
      </c>
      <c r="BO20" s="49" t="s">
        <v>13</v>
      </c>
      <c r="BP20" s="44" t="s">
        <v>13</v>
      </c>
      <c r="BQ20" s="44" t="s">
        <v>13</v>
      </c>
      <c r="BR20" s="48">
        <v>7.5999999999999998E-2</v>
      </c>
      <c r="BS20" s="72">
        <v>0.59599999999999997</v>
      </c>
      <c r="BT20" s="72">
        <v>0.67</v>
      </c>
      <c r="BU20" s="72">
        <v>0.625</v>
      </c>
      <c r="BV20" s="72">
        <v>0.67</v>
      </c>
      <c r="BW20" s="72">
        <v>0.67600000000000005</v>
      </c>
      <c r="BX20" s="72">
        <v>0.68200000000000005</v>
      </c>
      <c r="BY20" s="72" t="s">
        <v>13</v>
      </c>
      <c r="BZ20" s="72" t="s">
        <v>13</v>
      </c>
      <c r="CB20" s="44">
        <v>2</v>
      </c>
      <c r="CC20" s="10" t="s">
        <v>269</v>
      </c>
      <c r="CD20" s="10" t="s">
        <v>268</v>
      </c>
      <c r="CE20" s="46">
        <v>42766</v>
      </c>
    </row>
    <row r="21" spans="1:83" s="44" customFormat="1" ht="12.75">
      <c r="A21" s="45" t="s">
        <v>2369</v>
      </c>
      <c r="B21" s="67" t="s">
        <v>2370</v>
      </c>
      <c r="C21" s="45" t="s">
        <v>2371</v>
      </c>
      <c r="D21" s="45" t="s">
        <v>675</v>
      </c>
      <c r="E21" s="66">
        <v>43100</v>
      </c>
      <c r="F21" s="66">
        <v>43373</v>
      </c>
      <c r="G21" s="66">
        <v>43102</v>
      </c>
      <c r="H21" s="68">
        <v>66.582980000000006</v>
      </c>
      <c r="I21" s="68">
        <v>5.0999999999999996</v>
      </c>
      <c r="J21" s="68">
        <v>105.8</v>
      </c>
      <c r="K21" s="68" t="s">
        <v>1793</v>
      </c>
      <c r="L21" s="68" t="s">
        <v>2579</v>
      </c>
      <c r="M21" s="68" t="s">
        <v>2579</v>
      </c>
      <c r="N21" s="68">
        <v>39.200000000000003</v>
      </c>
      <c r="O21" s="68" t="s">
        <v>2579</v>
      </c>
      <c r="P21" s="68" t="s">
        <v>2579</v>
      </c>
      <c r="Q21" s="68">
        <v>0.81200000000000006</v>
      </c>
      <c r="R21" s="68" t="s">
        <v>2579</v>
      </c>
      <c r="S21" s="68" t="s">
        <v>2579</v>
      </c>
      <c r="T21" s="68">
        <v>0.9</v>
      </c>
      <c r="U21" s="68">
        <v>0.1</v>
      </c>
      <c r="V21" s="68" t="s">
        <v>2579</v>
      </c>
      <c r="W21" s="68" t="s">
        <v>2579</v>
      </c>
      <c r="X21" s="68">
        <v>-1.9</v>
      </c>
      <c r="Y21" s="68">
        <v>-15.3</v>
      </c>
      <c r="Z21" s="68">
        <v>-37.4863</v>
      </c>
      <c r="AA21" s="68">
        <v>-22.8</v>
      </c>
      <c r="AB21" s="68" t="s">
        <v>2579</v>
      </c>
      <c r="AC21" s="68" t="s">
        <v>13</v>
      </c>
      <c r="AD21" s="68" t="s">
        <v>2579</v>
      </c>
      <c r="AE21" s="68" t="s">
        <v>2579</v>
      </c>
      <c r="AF21" s="69" t="s">
        <v>13</v>
      </c>
      <c r="AG21" s="69" t="s">
        <v>13</v>
      </c>
      <c r="AH21" s="69" t="s">
        <v>13</v>
      </c>
      <c r="AI21" s="69" t="s">
        <v>13</v>
      </c>
      <c r="AJ21" s="68">
        <v>-0.3</v>
      </c>
      <c r="AK21" s="68">
        <v>-1.2</v>
      </c>
      <c r="AL21" s="68">
        <v>-3.2</v>
      </c>
      <c r="AM21" s="68">
        <v>-0.8</v>
      </c>
      <c r="AN21" s="68">
        <v>-1.1000000000000001</v>
      </c>
      <c r="AO21" s="68">
        <v>-1.8</v>
      </c>
      <c r="AP21" s="70" t="s">
        <v>2372</v>
      </c>
      <c r="AQ21" s="71" t="s">
        <v>2606</v>
      </c>
      <c r="AR21" s="71" t="s">
        <v>2592</v>
      </c>
      <c r="AS21" s="71" t="s">
        <v>13</v>
      </c>
      <c r="AT21" s="69">
        <v>0</v>
      </c>
      <c r="AU21" s="68">
        <v>-1.9</v>
      </c>
      <c r="AV21" s="68">
        <v>-15.6</v>
      </c>
      <c r="AW21" s="68">
        <v>-37.799999999999997</v>
      </c>
      <c r="AX21" s="68">
        <v>-23.2</v>
      </c>
      <c r="AY21" s="68" t="s">
        <v>2579</v>
      </c>
      <c r="AZ21" s="68">
        <v>6.9</v>
      </c>
      <c r="BA21" s="68">
        <v>4.4000000000000004</v>
      </c>
      <c r="BB21" s="68">
        <v>39.4</v>
      </c>
      <c r="BC21" s="68">
        <v>61.6</v>
      </c>
      <c r="BD21" s="68" t="s">
        <v>2579</v>
      </c>
      <c r="BE21" s="68" t="s">
        <v>2579</v>
      </c>
      <c r="BF21" s="68" t="s">
        <v>2579</v>
      </c>
      <c r="BG21" s="68" t="s">
        <v>2579</v>
      </c>
      <c r="BH21" s="44" t="s">
        <v>13</v>
      </c>
      <c r="BI21" s="44" t="s">
        <v>13</v>
      </c>
      <c r="BJ21" s="68" t="s">
        <v>2579</v>
      </c>
      <c r="BK21" s="44" t="s">
        <v>13</v>
      </c>
      <c r="BL21" s="44">
        <v>0</v>
      </c>
      <c r="BM21" s="44">
        <v>0</v>
      </c>
      <c r="BN21" s="44">
        <v>0</v>
      </c>
      <c r="BO21" s="44">
        <v>0</v>
      </c>
      <c r="BP21" s="44">
        <v>0</v>
      </c>
      <c r="BQ21" s="44">
        <v>0</v>
      </c>
      <c r="BR21" s="48">
        <v>0.84099999999999997</v>
      </c>
      <c r="BS21" s="72">
        <v>0.64700000000000002</v>
      </c>
      <c r="BT21" s="72">
        <v>0.65</v>
      </c>
      <c r="BU21" s="72" t="s">
        <v>13</v>
      </c>
      <c r="BV21" s="72" t="s">
        <v>13</v>
      </c>
      <c r="BW21" s="72" t="s">
        <v>13</v>
      </c>
      <c r="BX21" s="72" t="s">
        <v>13</v>
      </c>
      <c r="BY21" s="72" t="s">
        <v>13</v>
      </c>
      <c r="BZ21" s="72" t="s">
        <v>13</v>
      </c>
      <c r="CB21" s="44">
        <v>2</v>
      </c>
      <c r="CC21" s="10" t="s">
        <v>269</v>
      </c>
      <c r="CD21" s="10" t="s">
        <v>268</v>
      </c>
      <c r="CE21" s="46">
        <v>42766</v>
      </c>
    </row>
    <row r="22" spans="1:83" s="44" customFormat="1" ht="12.75">
      <c r="A22" s="45" t="s">
        <v>2607</v>
      </c>
      <c r="B22" s="67" t="s">
        <v>2608</v>
      </c>
      <c r="C22" s="45" t="s">
        <v>2609</v>
      </c>
      <c r="D22" s="45" t="s">
        <v>675</v>
      </c>
      <c r="E22" s="66">
        <v>43312</v>
      </c>
      <c r="F22" s="66">
        <v>43404</v>
      </c>
      <c r="G22" s="66">
        <v>39792</v>
      </c>
      <c r="H22" s="68">
        <v>28.29128</v>
      </c>
      <c r="I22" s="68">
        <v>0.9</v>
      </c>
      <c r="J22" s="68">
        <v>56.8</v>
      </c>
      <c r="K22" s="68" t="s">
        <v>1793</v>
      </c>
      <c r="L22" s="68" t="s">
        <v>2579</v>
      </c>
      <c r="M22" s="68" t="s">
        <v>2579</v>
      </c>
      <c r="N22" s="68">
        <v>28.5</v>
      </c>
      <c r="O22" s="68" t="s">
        <v>2579</v>
      </c>
      <c r="P22" s="68" t="s">
        <v>2579</v>
      </c>
      <c r="Q22" s="68">
        <v>0</v>
      </c>
      <c r="R22" s="68" t="s">
        <v>2579</v>
      </c>
      <c r="S22" s="68" t="s">
        <v>2579</v>
      </c>
      <c r="T22" s="68" t="s">
        <v>13</v>
      </c>
      <c r="U22" s="68">
        <v>22.8</v>
      </c>
      <c r="V22" s="68">
        <v>69</v>
      </c>
      <c r="W22" s="68">
        <v>118.1</v>
      </c>
      <c r="X22" s="68">
        <v>-25.1</v>
      </c>
      <c r="Y22" s="68">
        <v>-21.5</v>
      </c>
      <c r="Z22" s="68">
        <v>-37.382339999999999</v>
      </c>
      <c r="AA22" s="68">
        <v>-24.2</v>
      </c>
      <c r="AB22" s="68" t="s">
        <v>2579</v>
      </c>
      <c r="AC22" s="68" t="s">
        <v>13</v>
      </c>
      <c r="AD22" s="68" t="s">
        <v>2579</v>
      </c>
      <c r="AE22" s="68" t="s">
        <v>2579</v>
      </c>
      <c r="AF22" s="69" t="s">
        <v>13</v>
      </c>
      <c r="AG22" s="69" t="s">
        <v>13</v>
      </c>
      <c r="AH22" s="69" t="s">
        <v>13</v>
      </c>
      <c r="AI22" s="69" t="s">
        <v>13</v>
      </c>
      <c r="AJ22" s="68">
        <v>-2.5</v>
      </c>
      <c r="AK22" s="68">
        <v>-2.6</v>
      </c>
      <c r="AL22" s="68">
        <v>-3.5</v>
      </c>
      <c r="AM22" s="68">
        <v>-1.1000000000000001</v>
      </c>
      <c r="AN22" s="68">
        <v>0</v>
      </c>
      <c r="AO22" s="68">
        <v>-0.1</v>
      </c>
      <c r="AP22" s="70" t="s">
        <v>2610</v>
      </c>
      <c r="AQ22" s="71" t="s">
        <v>2611</v>
      </c>
      <c r="AR22" s="71" t="s">
        <v>2612</v>
      </c>
      <c r="AS22" s="71" t="s">
        <v>2590</v>
      </c>
      <c r="AT22" s="69">
        <v>0</v>
      </c>
      <c r="AU22" s="68">
        <v>-25.5</v>
      </c>
      <c r="AV22" s="68">
        <v>-21.7</v>
      </c>
      <c r="AW22" s="68">
        <v>-40.799999999999997</v>
      </c>
      <c r="AX22" s="68">
        <v>-27.1</v>
      </c>
      <c r="AY22" s="68" t="s">
        <v>2579</v>
      </c>
      <c r="AZ22" s="68">
        <v>23.6</v>
      </c>
      <c r="BA22" s="68">
        <v>13.5</v>
      </c>
      <c r="BB22" s="68">
        <v>25.2</v>
      </c>
      <c r="BC22" s="68">
        <v>18</v>
      </c>
      <c r="BD22" s="68" t="s">
        <v>2579</v>
      </c>
      <c r="BE22" s="68">
        <v>1.7</v>
      </c>
      <c r="BF22" s="68">
        <v>32</v>
      </c>
      <c r="BG22" s="68" t="s">
        <v>1793</v>
      </c>
      <c r="BH22" s="44" t="s">
        <v>13</v>
      </c>
      <c r="BI22" s="44" t="s">
        <v>13</v>
      </c>
      <c r="BJ22" s="68">
        <v>24</v>
      </c>
      <c r="BK22" s="44" t="s">
        <v>647</v>
      </c>
      <c r="BL22" s="44">
        <v>0</v>
      </c>
      <c r="BM22" s="44">
        <v>0</v>
      </c>
      <c r="BN22" s="44">
        <v>0</v>
      </c>
      <c r="BO22" s="44" t="s">
        <v>13</v>
      </c>
      <c r="BP22" s="44" t="s">
        <v>13</v>
      </c>
      <c r="BQ22" s="44" t="s">
        <v>13</v>
      </c>
      <c r="BR22" s="48" t="s">
        <v>647</v>
      </c>
      <c r="BS22" s="72">
        <v>1</v>
      </c>
      <c r="BT22" s="72">
        <v>0.91400000000000003</v>
      </c>
      <c r="BU22" s="72">
        <v>0.82799999999999996</v>
      </c>
      <c r="BV22" s="72">
        <v>0.81899999999999995</v>
      </c>
      <c r="BW22" s="72">
        <v>0.81499999999999995</v>
      </c>
      <c r="BX22" s="72">
        <v>0.79200000000000004</v>
      </c>
      <c r="BY22" s="72">
        <v>0.85499999999999998</v>
      </c>
      <c r="BZ22" s="72">
        <v>0.93300000000000005</v>
      </c>
      <c r="CB22" s="44">
        <v>2</v>
      </c>
      <c r="CC22" s="10" t="s">
        <v>269</v>
      </c>
      <c r="CD22" s="10" t="s">
        <v>268</v>
      </c>
      <c r="CE22" s="46">
        <v>42766</v>
      </c>
    </row>
    <row r="23" spans="1:83" s="44" customFormat="1" ht="12.75">
      <c r="A23" s="45" t="s">
        <v>753</v>
      </c>
      <c r="B23" s="67" t="s">
        <v>754</v>
      </c>
      <c r="C23" s="45" t="s">
        <v>755</v>
      </c>
      <c r="D23" s="45" t="s">
        <v>648</v>
      </c>
      <c r="E23" s="66">
        <v>43100</v>
      </c>
      <c r="F23" s="66">
        <v>43373</v>
      </c>
      <c r="G23" s="66">
        <v>42213</v>
      </c>
      <c r="H23" s="68">
        <v>8.9691700000000001</v>
      </c>
      <c r="I23" s="68">
        <v>1.1000000000000001</v>
      </c>
      <c r="J23" s="68">
        <v>85.6</v>
      </c>
      <c r="K23" s="68">
        <v>7.3</v>
      </c>
      <c r="L23" s="68" t="s">
        <v>2579</v>
      </c>
      <c r="M23" s="68" t="s">
        <v>2579</v>
      </c>
      <c r="N23" s="68">
        <v>83.9</v>
      </c>
      <c r="O23" s="68">
        <v>0</v>
      </c>
      <c r="P23" s="68">
        <v>0</v>
      </c>
      <c r="Q23" s="68">
        <v>5.1999999999999998E-2</v>
      </c>
      <c r="R23" s="68">
        <v>0</v>
      </c>
      <c r="S23" s="68" t="s">
        <v>2579</v>
      </c>
      <c r="T23" s="68">
        <v>1.6E-2</v>
      </c>
      <c r="U23" s="68" t="s">
        <v>2579</v>
      </c>
      <c r="V23" s="68" t="s">
        <v>2579</v>
      </c>
      <c r="W23" s="68" t="s">
        <v>2579</v>
      </c>
      <c r="X23" s="68">
        <v>-149.69999999999999</v>
      </c>
      <c r="Y23" s="68">
        <v>-93</v>
      </c>
      <c r="Z23" s="68">
        <v>-96.527000000000001</v>
      </c>
      <c r="AA23" s="68">
        <v>-93.6</v>
      </c>
      <c r="AB23" s="68" t="s">
        <v>2579</v>
      </c>
      <c r="AC23" s="68" t="s">
        <v>13</v>
      </c>
      <c r="AD23" s="68" t="s">
        <v>2579</v>
      </c>
      <c r="AE23" s="68" t="s">
        <v>2579</v>
      </c>
      <c r="AF23" s="69">
        <v>1</v>
      </c>
      <c r="AG23" s="69" t="s">
        <v>13</v>
      </c>
      <c r="AH23" s="69" t="s">
        <v>13</v>
      </c>
      <c r="AI23" s="69" t="s">
        <v>13</v>
      </c>
      <c r="AJ23" s="68">
        <v>-5</v>
      </c>
      <c r="AK23" s="68">
        <v>-23.5</v>
      </c>
      <c r="AL23" s="68">
        <v>-12.5</v>
      </c>
      <c r="AM23" s="68">
        <v>-6.2</v>
      </c>
      <c r="AN23" s="68">
        <v>-24.7</v>
      </c>
      <c r="AO23" s="68">
        <v>-22.5</v>
      </c>
      <c r="AP23" s="70" t="s">
        <v>2373</v>
      </c>
      <c r="AQ23" s="71" t="s">
        <v>2613</v>
      </c>
      <c r="AR23" s="71" t="s">
        <v>2614</v>
      </c>
      <c r="AS23" s="71" t="s">
        <v>2615</v>
      </c>
      <c r="AT23" s="69">
        <v>0</v>
      </c>
      <c r="AU23" s="68">
        <v>-123.4</v>
      </c>
      <c r="AV23" s="68">
        <v>-96.2</v>
      </c>
      <c r="AW23" s="68">
        <v>-103.4</v>
      </c>
      <c r="AX23" s="68">
        <v>-96.4</v>
      </c>
      <c r="AY23" s="68" t="s">
        <v>2579</v>
      </c>
      <c r="AZ23" s="68">
        <v>310.89999999999998</v>
      </c>
      <c r="BA23" s="68">
        <v>237.7</v>
      </c>
      <c r="BB23" s="68">
        <v>162.1</v>
      </c>
      <c r="BC23" s="68">
        <v>218.8</v>
      </c>
      <c r="BD23" s="68" t="s">
        <v>2579</v>
      </c>
      <c r="BE23" s="68">
        <v>7.8</v>
      </c>
      <c r="BF23" s="68">
        <v>640.4</v>
      </c>
      <c r="BG23" s="68">
        <v>2.4</v>
      </c>
      <c r="BH23" s="44" t="s">
        <v>13</v>
      </c>
      <c r="BI23" s="44" t="s">
        <v>13</v>
      </c>
      <c r="BJ23" s="68">
        <v>213.9</v>
      </c>
      <c r="BK23" s="44" t="s">
        <v>647</v>
      </c>
      <c r="BL23" s="44">
        <v>8.7114999999999998E-2</v>
      </c>
      <c r="BM23" s="44">
        <v>-0.45430399999999999</v>
      </c>
      <c r="BN23" s="44">
        <v>0</v>
      </c>
      <c r="BO23" s="44" t="s">
        <v>13</v>
      </c>
      <c r="BP23" s="44" t="s">
        <v>13</v>
      </c>
      <c r="BQ23" s="44">
        <v>0</v>
      </c>
      <c r="BR23" s="48">
        <v>160.327</v>
      </c>
      <c r="BS23" s="72">
        <v>0.85099999999999998</v>
      </c>
      <c r="BT23" s="72">
        <v>0.80700000000000005</v>
      </c>
      <c r="BU23" s="72">
        <v>0.79300000000000004</v>
      </c>
      <c r="BV23" s="72">
        <v>0.82299999999999995</v>
      </c>
      <c r="BW23" s="72" t="s">
        <v>13</v>
      </c>
      <c r="BX23" s="72" t="s">
        <v>13</v>
      </c>
      <c r="BY23" s="72" t="s">
        <v>13</v>
      </c>
      <c r="BZ23" s="72" t="s">
        <v>13</v>
      </c>
      <c r="CB23" s="44">
        <v>2</v>
      </c>
      <c r="CC23" s="10" t="s">
        <v>269</v>
      </c>
      <c r="CD23" s="10" t="s">
        <v>268</v>
      </c>
      <c r="CE23" s="46">
        <v>42766</v>
      </c>
    </row>
    <row r="24" spans="1:83" s="44" customFormat="1" ht="12.75">
      <c r="A24" s="45" t="s">
        <v>1110</v>
      </c>
      <c r="B24" s="67" t="s">
        <v>1113</v>
      </c>
      <c r="C24" s="45" t="s">
        <v>936</v>
      </c>
      <c r="D24" s="45" t="s">
        <v>646</v>
      </c>
      <c r="E24" s="66">
        <v>43100</v>
      </c>
      <c r="F24" s="66">
        <v>43373</v>
      </c>
      <c r="G24" s="66">
        <v>42452</v>
      </c>
      <c r="H24" s="68">
        <v>-5.8034800000000004</v>
      </c>
      <c r="I24" s="68">
        <v>4</v>
      </c>
      <c r="J24" s="68">
        <v>116.8</v>
      </c>
      <c r="K24" s="68" t="s">
        <v>1793</v>
      </c>
      <c r="L24" s="68" t="s">
        <v>2579</v>
      </c>
      <c r="M24" s="68" t="s">
        <v>2579</v>
      </c>
      <c r="N24" s="68">
        <v>122.6</v>
      </c>
      <c r="O24" s="68" t="s">
        <v>2579</v>
      </c>
      <c r="P24" s="68" t="s">
        <v>2579</v>
      </c>
      <c r="Q24" s="68">
        <v>0</v>
      </c>
      <c r="R24" s="68" t="s">
        <v>2579</v>
      </c>
      <c r="S24" s="68" t="s">
        <v>2579</v>
      </c>
      <c r="T24" s="68" t="s">
        <v>13</v>
      </c>
      <c r="U24" s="68" t="s">
        <v>2579</v>
      </c>
      <c r="V24" s="68" t="s">
        <v>2579</v>
      </c>
      <c r="W24" s="68">
        <v>31.6</v>
      </c>
      <c r="X24" s="68">
        <v>-31.4</v>
      </c>
      <c r="Y24" s="68">
        <v>-54.8</v>
      </c>
      <c r="Z24" s="68">
        <v>-49.353999999999999</v>
      </c>
      <c r="AA24" s="68">
        <v>-55.7</v>
      </c>
      <c r="AB24" s="68" t="s">
        <v>2579</v>
      </c>
      <c r="AC24" s="68">
        <v>-77</v>
      </c>
      <c r="AD24" s="68">
        <v>-99</v>
      </c>
      <c r="AE24" s="68">
        <v>-63.2</v>
      </c>
      <c r="AF24" s="69" t="s">
        <v>13</v>
      </c>
      <c r="AG24" s="69" t="s">
        <v>13</v>
      </c>
      <c r="AH24" s="69" t="s">
        <v>13</v>
      </c>
      <c r="AI24" s="69" t="s">
        <v>13</v>
      </c>
      <c r="AJ24" s="68">
        <v>-4.7</v>
      </c>
      <c r="AK24" s="68">
        <v>-8.8000000000000007</v>
      </c>
      <c r="AL24" s="68">
        <v>-5.9</v>
      </c>
      <c r="AM24" s="68">
        <v>-2.5</v>
      </c>
      <c r="AN24" s="68">
        <v>-0.9</v>
      </c>
      <c r="AO24" s="68">
        <v>-0.2</v>
      </c>
      <c r="AP24" s="70" t="s">
        <v>2374</v>
      </c>
      <c r="AQ24" s="71" t="s">
        <v>2616</v>
      </c>
      <c r="AR24" s="71" t="s">
        <v>2617</v>
      </c>
      <c r="AS24" s="71" t="s">
        <v>2618</v>
      </c>
      <c r="AT24" s="69">
        <v>0</v>
      </c>
      <c r="AU24" s="68">
        <v>-31.3</v>
      </c>
      <c r="AV24" s="68">
        <v>-54.8</v>
      </c>
      <c r="AW24" s="68">
        <v>-48.4</v>
      </c>
      <c r="AX24" s="68">
        <v>-55.7</v>
      </c>
      <c r="AY24" s="68" t="s">
        <v>2579</v>
      </c>
      <c r="AZ24" s="68">
        <v>142.9</v>
      </c>
      <c r="BA24" s="68">
        <v>93.7</v>
      </c>
      <c r="BB24" s="68">
        <v>118.8</v>
      </c>
      <c r="BC24" s="68">
        <v>84.8</v>
      </c>
      <c r="BD24" s="68" t="s">
        <v>2579</v>
      </c>
      <c r="BE24" s="68">
        <v>16.5</v>
      </c>
      <c r="BF24" s="68">
        <v>344</v>
      </c>
      <c r="BG24" s="68" t="s">
        <v>1793</v>
      </c>
      <c r="BH24" s="44" t="s">
        <v>13</v>
      </c>
      <c r="BI24" s="44" t="s">
        <v>13</v>
      </c>
      <c r="BJ24" s="68">
        <v>152.19999999999999</v>
      </c>
      <c r="BK24" s="44" t="s">
        <v>13</v>
      </c>
      <c r="BL24" s="44">
        <v>0</v>
      </c>
      <c r="BM24" s="44">
        <v>0</v>
      </c>
      <c r="BN24" s="44">
        <v>0</v>
      </c>
      <c r="BO24" s="44" t="s">
        <v>13</v>
      </c>
      <c r="BP24" s="44">
        <v>0</v>
      </c>
      <c r="BQ24" s="44">
        <v>0</v>
      </c>
      <c r="BR24" s="48" t="s">
        <v>647</v>
      </c>
      <c r="BS24" s="72">
        <v>0.65300000000000002</v>
      </c>
      <c r="BT24" s="72">
        <v>0.76900000000000002</v>
      </c>
      <c r="BU24" s="72">
        <v>0.69</v>
      </c>
      <c r="BV24" s="72" t="s">
        <v>13</v>
      </c>
      <c r="BW24" s="72" t="s">
        <v>13</v>
      </c>
      <c r="BX24" s="72" t="s">
        <v>13</v>
      </c>
      <c r="BY24" s="72" t="s">
        <v>13</v>
      </c>
      <c r="BZ24" s="72" t="s">
        <v>13</v>
      </c>
      <c r="CB24" s="44">
        <v>2</v>
      </c>
      <c r="CC24" s="10" t="s">
        <v>269</v>
      </c>
      <c r="CD24" s="10" t="s">
        <v>268</v>
      </c>
      <c r="CE24" s="46">
        <v>42766</v>
      </c>
    </row>
    <row r="25" spans="1:83" s="44" customFormat="1" ht="12.75">
      <c r="A25" s="45" t="s">
        <v>2619</v>
      </c>
      <c r="B25" s="67" t="s">
        <v>2620</v>
      </c>
      <c r="C25" s="45" t="s">
        <v>2621</v>
      </c>
      <c r="D25" s="45" t="s">
        <v>646</v>
      </c>
      <c r="E25" s="66">
        <v>43100</v>
      </c>
      <c r="F25" s="66">
        <v>43373</v>
      </c>
      <c r="G25" s="66">
        <v>43209</v>
      </c>
      <c r="H25" s="68">
        <v>-14.20509</v>
      </c>
      <c r="I25" s="68">
        <v>5.8</v>
      </c>
      <c r="J25" s="68">
        <v>159.19999999999999</v>
      </c>
      <c r="K25" s="68" t="s">
        <v>1793</v>
      </c>
      <c r="L25" s="68" t="s">
        <v>2579</v>
      </c>
      <c r="M25" s="68" t="s">
        <v>2579</v>
      </c>
      <c r="N25" s="68">
        <v>173.4</v>
      </c>
      <c r="O25" s="68" t="s">
        <v>2579</v>
      </c>
      <c r="P25" s="68">
        <v>12.1</v>
      </c>
      <c r="Q25" s="68">
        <v>52.131999999999998</v>
      </c>
      <c r="R25" s="68">
        <v>12.8</v>
      </c>
      <c r="S25" s="68" t="s">
        <v>2579</v>
      </c>
      <c r="T25" s="68">
        <v>9.6666699999999999</v>
      </c>
      <c r="U25" s="68">
        <v>16.5</v>
      </c>
      <c r="V25" s="68">
        <v>16.5</v>
      </c>
      <c r="W25" s="68">
        <v>15</v>
      </c>
      <c r="X25" s="68" t="s">
        <v>2579</v>
      </c>
      <c r="Y25" s="68">
        <v>-35.6</v>
      </c>
      <c r="Z25" s="68">
        <v>-16.616</v>
      </c>
      <c r="AA25" s="68">
        <v>-42.7</v>
      </c>
      <c r="AB25" s="68" t="s">
        <v>2579</v>
      </c>
      <c r="AC25" s="68">
        <v>-77.956000000000003</v>
      </c>
      <c r="AD25" s="68">
        <v>-97.7</v>
      </c>
      <c r="AE25" s="68" t="s">
        <v>2579</v>
      </c>
      <c r="AF25" s="69">
        <v>-0.11700000000000001</v>
      </c>
      <c r="AG25" s="69">
        <v>-0.31900000000000001</v>
      </c>
      <c r="AH25" s="69">
        <v>-0.34300000000000003</v>
      </c>
      <c r="AI25" s="69">
        <v>-0.33800000000000002</v>
      </c>
      <c r="AJ25" s="68" t="s">
        <v>2579</v>
      </c>
      <c r="AK25" s="68">
        <v>-15.1</v>
      </c>
      <c r="AL25" s="68">
        <v>-23.1</v>
      </c>
      <c r="AM25" s="68" t="s">
        <v>2579</v>
      </c>
      <c r="AN25" s="68">
        <v>-1.8</v>
      </c>
      <c r="AO25" s="68">
        <v>-1.5</v>
      </c>
      <c r="AP25" s="70" t="s">
        <v>2622</v>
      </c>
      <c r="AQ25" s="71" t="s">
        <v>2623</v>
      </c>
      <c r="AR25" s="71" t="s">
        <v>13</v>
      </c>
      <c r="AS25" s="71" t="s">
        <v>13</v>
      </c>
      <c r="AT25" s="69">
        <v>0</v>
      </c>
      <c r="AU25" s="68" t="s">
        <v>2579</v>
      </c>
      <c r="AV25" s="68">
        <v>-36.4</v>
      </c>
      <c r="AW25" s="68">
        <v>-17.600000000000001</v>
      </c>
      <c r="AX25" s="68">
        <v>-45.4</v>
      </c>
      <c r="AY25" s="68" t="s">
        <v>2579</v>
      </c>
      <c r="AZ25" s="68" t="s">
        <v>2579</v>
      </c>
      <c r="BA25" s="68">
        <v>-3.8</v>
      </c>
      <c r="BB25" s="68">
        <v>106</v>
      </c>
      <c r="BC25" s="68">
        <v>-18.8</v>
      </c>
      <c r="BD25" s="68" t="s">
        <v>2579</v>
      </c>
      <c r="BE25" s="68" t="s">
        <v>2579</v>
      </c>
      <c r="BF25" s="68" t="s">
        <v>2579</v>
      </c>
      <c r="BG25" s="68" t="s">
        <v>2579</v>
      </c>
      <c r="BH25" s="44" t="s">
        <v>13</v>
      </c>
      <c r="BI25" s="44" t="s">
        <v>13</v>
      </c>
      <c r="BJ25" s="68" t="s">
        <v>2579</v>
      </c>
      <c r="BK25" s="44" t="s">
        <v>647</v>
      </c>
      <c r="BL25" s="44">
        <v>0</v>
      </c>
      <c r="BM25" s="44">
        <v>0</v>
      </c>
      <c r="BN25" s="44">
        <v>0</v>
      </c>
      <c r="BO25" s="44">
        <v>0</v>
      </c>
      <c r="BP25" s="44">
        <v>0</v>
      </c>
      <c r="BQ25" s="44">
        <v>0</v>
      </c>
      <c r="BR25" s="48">
        <v>2.5000000000000001E-2</v>
      </c>
      <c r="BS25" s="72">
        <v>1.026</v>
      </c>
      <c r="BT25" s="72" t="s">
        <v>13</v>
      </c>
      <c r="BU25" s="72" t="s">
        <v>13</v>
      </c>
      <c r="BV25" s="72" t="s">
        <v>13</v>
      </c>
      <c r="BW25" s="72" t="s">
        <v>13</v>
      </c>
      <c r="BX25" s="72" t="s">
        <v>13</v>
      </c>
      <c r="BY25" s="72" t="s">
        <v>13</v>
      </c>
      <c r="BZ25" s="72" t="s">
        <v>13</v>
      </c>
      <c r="CB25" s="44">
        <v>2</v>
      </c>
      <c r="CC25" s="10" t="s">
        <v>269</v>
      </c>
      <c r="CD25" s="10" t="s">
        <v>268</v>
      </c>
      <c r="CE25" s="46">
        <v>42766</v>
      </c>
    </row>
    <row r="26" spans="1:83" s="44" customFormat="1" ht="12.75">
      <c r="A26" s="45" t="s">
        <v>649</v>
      </c>
      <c r="B26" s="67" t="s">
        <v>649</v>
      </c>
      <c r="C26" s="45" t="s">
        <v>649</v>
      </c>
      <c r="D26" s="45" t="s">
        <v>649</v>
      </c>
      <c r="E26" s="66" t="s">
        <v>649</v>
      </c>
      <c r="F26" s="66" t="s">
        <v>649</v>
      </c>
      <c r="G26" s="66" t="s">
        <v>649</v>
      </c>
      <c r="H26" s="68" t="s">
        <v>649</v>
      </c>
      <c r="I26" s="68" t="s">
        <v>2624</v>
      </c>
      <c r="J26" s="68" t="s">
        <v>2624</v>
      </c>
      <c r="K26" s="68" t="s">
        <v>2624</v>
      </c>
      <c r="L26" s="68" t="s">
        <v>2624</v>
      </c>
      <c r="M26" s="68" t="s">
        <v>2624</v>
      </c>
      <c r="N26" s="68" t="s">
        <v>2624</v>
      </c>
      <c r="O26" s="68" t="s">
        <v>2624</v>
      </c>
      <c r="P26" s="68" t="s">
        <v>2624</v>
      </c>
      <c r="Q26" s="68" t="s">
        <v>649</v>
      </c>
      <c r="R26" s="68" t="s">
        <v>2624</v>
      </c>
      <c r="S26" s="68" t="s">
        <v>2624</v>
      </c>
      <c r="T26" s="68" t="s">
        <v>649</v>
      </c>
      <c r="U26" s="68" t="s">
        <v>2624</v>
      </c>
      <c r="V26" s="68" t="s">
        <v>2624</v>
      </c>
      <c r="W26" s="68" t="s">
        <v>2624</v>
      </c>
      <c r="X26" s="68" t="s">
        <v>2624</v>
      </c>
      <c r="Y26" s="68" t="s">
        <v>2624</v>
      </c>
      <c r="Z26" s="68" t="s">
        <v>649</v>
      </c>
      <c r="AA26" s="68" t="s">
        <v>2624</v>
      </c>
      <c r="AB26" s="68" t="s">
        <v>2624</v>
      </c>
      <c r="AC26" s="68" t="s">
        <v>649</v>
      </c>
      <c r="AD26" s="68" t="s">
        <v>2624</v>
      </c>
      <c r="AE26" s="68" t="s">
        <v>2624</v>
      </c>
      <c r="AF26" s="69" t="s">
        <v>13</v>
      </c>
      <c r="AG26" s="69" t="s">
        <v>13</v>
      </c>
      <c r="AH26" s="69" t="s">
        <v>13</v>
      </c>
      <c r="AI26" s="69" t="s">
        <v>13</v>
      </c>
      <c r="AJ26" s="68" t="s">
        <v>2624</v>
      </c>
      <c r="AK26" s="68" t="s">
        <v>2624</v>
      </c>
      <c r="AL26" s="68" t="s">
        <v>2624</v>
      </c>
      <c r="AM26" s="68" t="s">
        <v>2624</v>
      </c>
      <c r="AN26" s="68" t="s">
        <v>2624</v>
      </c>
      <c r="AO26" s="68" t="s">
        <v>2624</v>
      </c>
      <c r="AP26" s="70" t="s">
        <v>649</v>
      </c>
      <c r="AQ26" s="71" t="s">
        <v>649</v>
      </c>
      <c r="AR26" s="71" t="s">
        <v>649</v>
      </c>
      <c r="AS26" s="71" t="s">
        <v>649</v>
      </c>
      <c r="AT26" s="69" t="s">
        <v>13</v>
      </c>
      <c r="AU26" s="68" t="s">
        <v>2624</v>
      </c>
      <c r="AV26" s="68" t="s">
        <v>2624</v>
      </c>
      <c r="AW26" s="68" t="s">
        <v>2624</v>
      </c>
      <c r="AX26" s="68" t="s">
        <v>2624</v>
      </c>
      <c r="AY26" s="68" t="s">
        <v>2624</v>
      </c>
      <c r="AZ26" s="68" t="s">
        <v>2624</v>
      </c>
      <c r="BA26" s="68" t="s">
        <v>2624</v>
      </c>
      <c r="BB26" s="68" t="s">
        <v>2624</v>
      </c>
      <c r="BC26" s="68" t="s">
        <v>2624</v>
      </c>
      <c r="BD26" s="68" t="s">
        <v>2624</v>
      </c>
      <c r="BE26" s="68" t="s">
        <v>2624</v>
      </c>
      <c r="BF26" s="68" t="s">
        <v>2624</v>
      </c>
      <c r="BG26" s="68" t="s">
        <v>2624</v>
      </c>
      <c r="BH26" s="44" t="s">
        <v>649</v>
      </c>
      <c r="BI26" s="44" t="s">
        <v>649</v>
      </c>
      <c r="BJ26" s="68" t="s">
        <v>2624</v>
      </c>
      <c r="BK26" s="44" t="s">
        <v>649</v>
      </c>
      <c r="BL26" s="44" t="e">
        <v>#VALUE!</v>
      </c>
      <c r="BM26" s="44" t="e">
        <v>#VALUE!</v>
      </c>
      <c r="BN26" s="44" t="e">
        <v>#VALUE!</v>
      </c>
      <c r="BO26" s="44" t="e">
        <v>#VALUE!</v>
      </c>
      <c r="BP26" s="44" t="e">
        <v>#VALUE!</v>
      </c>
      <c r="BQ26" s="44" t="e">
        <v>#VALUE!</v>
      </c>
      <c r="BR26" s="48" t="s">
        <v>647</v>
      </c>
      <c r="BS26" s="72" t="e">
        <v>#VALUE!</v>
      </c>
      <c r="BT26" s="72" t="e">
        <v>#VALUE!</v>
      </c>
      <c r="BU26" s="72" t="e">
        <v>#VALUE!</v>
      </c>
      <c r="BV26" s="72" t="e">
        <v>#VALUE!</v>
      </c>
      <c r="BW26" s="72" t="e">
        <v>#VALUE!</v>
      </c>
      <c r="BX26" s="72" t="e">
        <v>#VALUE!</v>
      </c>
      <c r="BY26" s="72" t="e">
        <v>#VALUE!</v>
      </c>
      <c r="BZ26" s="72" t="e">
        <v>#VALUE!</v>
      </c>
      <c r="CB26" s="44">
        <v>2</v>
      </c>
      <c r="CC26" s="10" t="s">
        <v>269</v>
      </c>
      <c r="CD26" s="10" t="s">
        <v>268</v>
      </c>
      <c r="CE26" s="46">
        <v>42766</v>
      </c>
    </row>
    <row r="27" spans="1:83" s="44" customFormat="1" ht="12.75">
      <c r="A27" s="45" t="s">
        <v>649</v>
      </c>
      <c r="B27" s="67" t="s">
        <v>649</v>
      </c>
      <c r="C27" s="45" t="s">
        <v>649</v>
      </c>
      <c r="D27" s="45" t="s">
        <v>649</v>
      </c>
      <c r="E27" s="66" t="s">
        <v>649</v>
      </c>
      <c r="F27" s="66" t="s">
        <v>649</v>
      </c>
      <c r="G27" s="66" t="s">
        <v>649</v>
      </c>
      <c r="H27" s="68" t="s">
        <v>649</v>
      </c>
      <c r="I27" s="68" t="s">
        <v>2624</v>
      </c>
      <c r="J27" s="68" t="s">
        <v>2624</v>
      </c>
      <c r="K27" s="68" t="s">
        <v>2624</v>
      </c>
      <c r="L27" s="68" t="s">
        <v>2624</v>
      </c>
      <c r="M27" s="68" t="s">
        <v>2624</v>
      </c>
      <c r="N27" s="68" t="s">
        <v>2624</v>
      </c>
      <c r="O27" s="68" t="s">
        <v>2624</v>
      </c>
      <c r="P27" s="68" t="s">
        <v>2624</v>
      </c>
      <c r="Q27" s="68" t="s">
        <v>649</v>
      </c>
      <c r="R27" s="68" t="s">
        <v>2624</v>
      </c>
      <c r="S27" s="68" t="s">
        <v>2624</v>
      </c>
      <c r="T27" s="68" t="s">
        <v>649</v>
      </c>
      <c r="U27" s="68" t="s">
        <v>2624</v>
      </c>
      <c r="V27" s="68" t="s">
        <v>2624</v>
      </c>
      <c r="W27" s="68" t="s">
        <v>2624</v>
      </c>
      <c r="X27" s="68" t="s">
        <v>2624</v>
      </c>
      <c r="Y27" s="68" t="s">
        <v>2624</v>
      </c>
      <c r="Z27" s="68" t="s">
        <v>649</v>
      </c>
      <c r="AA27" s="68" t="s">
        <v>2624</v>
      </c>
      <c r="AB27" s="68" t="s">
        <v>2624</v>
      </c>
      <c r="AC27" s="68" t="s">
        <v>649</v>
      </c>
      <c r="AD27" s="68" t="s">
        <v>2624</v>
      </c>
      <c r="AE27" s="68" t="s">
        <v>2624</v>
      </c>
      <c r="AF27" s="69" t="s">
        <v>13</v>
      </c>
      <c r="AG27" s="69" t="s">
        <v>13</v>
      </c>
      <c r="AH27" s="69" t="s">
        <v>13</v>
      </c>
      <c r="AI27" s="69" t="s">
        <v>13</v>
      </c>
      <c r="AJ27" s="68" t="s">
        <v>2624</v>
      </c>
      <c r="AK27" s="68" t="s">
        <v>2624</v>
      </c>
      <c r="AL27" s="68" t="s">
        <v>2624</v>
      </c>
      <c r="AM27" s="68" t="s">
        <v>2624</v>
      </c>
      <c r="AN27" s="68" t="s">
        <v>2624</v>
      </c>
      <c r="AO27" s="68" t="s">
        <v>2624</v>
      </c>
      <c r="AP27" s="70" t="s">
        <v>649</v>
      </c>
      <c r="AQ27" s="71" t="s">
        <v>649</v>
      </c>
      <c r="AR27" s="71" t="s">
        <v>649</v>
      </c>
      <c r="AS27" s="71" t="s">
        <v>649</v>
      </c>
      <c r="AT27" s="69" t="s">
        <v>13</v>
      </c>
      <c r="AU27" s="68" t="s">
        <v>2624</v>
      </c>
      <c r="AV27" s="68" t="s">
        <v>2624</v>
      </c>
      <c r="AW27" s="68" t="s">
        <v>2624</v>
      </c>
      <c r="AX27" s="68" t="s">
        <v>2624</v>
      </c>
      <c r="AY27" s="68" t="s">
        <v>2624</v>
      </c>
      <c r="AZ27" s="68" t="s">
        <v>2624</v>
      </c>
      <c r="BA27" s="68" t="s">
        <v>2624</v>
      </c>
      <c r="BB27" s="68" t="s">
        <v>2624</v>
      </c>
      <c r="BC27" s="68" t="s">
        <v>2624</v>
      </c>
      <c r="BD27" s="68" t="s">
        <v>2624</v>
      </c>
      <c r="BE27" s="68" t="s">
        <v>2624</v>
      </c>
      <c r="BF27" s="68" t="s">
        <v>2624</v>
      </c>
      <c r="BG27" s="68" t="s">
        <v>2624</v>
      </c>
      <c r="BH27" s="44" t="s">
        <v>649</v>
      </c>
      <c r="BI27" s="44" t="s">
        <v>649</v>
      </c>
      <c r="BJ27" s="68" t="s">
        <v>2624</v>
      </c>
      <c r="BK27" s="44" t="s">
        <v>649</v>
      </c>
      <c r="BL27" s="44" t="e">
        <v>#VALUE!</v>
      </c>
      <c r="BM27" s="44" t="e">
        <v>#VALUE!</v>
      </c>
      <c r="BN27" s="44" t="e">
        <v>#VALUE!</v>
      </c>
      <c r="BO27" s="44" t="e">
        <v>#VALUE!</v>
      </c>
      <c r="BP27" s="44" t="e">
        <v>#VALUE!</v>
      </c>
      <c r="BQ27" s="44" t="e">
        <v>#VALUE!</v>
      </c>
      <c r="BR27" s="48" t="s">
        <v>647</v>
      </c>
      <c r="BS27" s="72" t="e">
        <v>#VALUE!</v>
      </c>
      <c r="BT27" s="72" t="e">
        <v>#VALUE!</v>
      </c>
      <c r="BU27" s="72" t="e">
        <v>#VALUE!</v>
      </c>
      <c r="BV27" s="72" t="e">
        <v>#VALUE!</v>
      </c>
      <c r="BW27" s="72" t="e">
        <v>#VALUE!</v>
      </c>
      <c r="BX27" s="72" t="e">
        <v>#VALUE!</v>
      </c>
      <c r="BY27" s="72" t="e">
        <v>#VALUE!</v>
      </c>
      <c r="BZ27" s="72" t="e">
        <v>#VALUE!</v>
      </c>
      <c r="CB27" s="44">
        <v>2</v>
      </c>
      <c r="CC27" s="10" t="s">
        <v>269</v>
      </c>
      <c r="CD27" s="10" t="s">
        <v>268</v>
      </c>
      <c r="CE27" s="46">
        <v>42766</v>
      </c>
    </row>
    <row r="28" spans="1:83" s="44" customFormat="1" ht="12.75">
      <c r="A28" s="45" t="s">
        <v>649</v>
      </c>
      <c r="B28" s="67" t="s">
        <v>649</v>
      </c>
      <c r="C28" s="45" t="s">
        <v>649</v>
      </c>
      <c r="D28" s="45" t="s">
        <v>649</v>
      </c>
      <c r="E28" s="66" t="s">
        <v>649</v>
      </c>
      <c r="F28" s="66" t="s">
        <v>649</v>
      </c>
      <c r="G28" s="66" t="s">
        <v>649</v>
      </c>
      <c r="H28" s="68" t="s">
        <v>649</v>
      </c>
      <c r="I28" s="68" t="s">
        <v>2624</v>
      </c>
      <c r="J28" s="68" t="s">
        <v>2624</v>
      </c>
      <c r="K28" s="68" t="s">
        <v>2624</v>
      </c>
      <c r="L28" s="68" t="s">
        <v>2624</v>
      </c>
      <c r="M28" s="68" t="s">
        <v>2624</v>
      </c>
      <c r="N28" s="68" t="s">
        <v>2624</v>
      </c>
      <c r="O28" s="68" t="s">
        <v>2624</v>
      </c>
      <c r="P28" s="68" t="s">
        <v>2624</v>
      </c>
      <c r="Q28" s="68" t="s">
        <v>649</v>
      </c>
      <c r="R28" s="68" t="s">
        <v>2624</v>
      </c>
      <c r="S28" s="68" t="s">
        <v>2624</v>
      </c>
      <c r="T28" s="68" t="s">
        <v>649</v>
      </c>
      <c r="U28" s="68" t="s">
        <v>2624</v>
      </c>
      <c r="V28" s="68" t="s">
        <v>2624</v>
      </c>
      <c r="W28" s="68" t="s">
        <v>2624</v>
      </c>
      <c r="X28" s="68" t="s">
        <v>2624</v>
      </c>
      <c r="Y28" s="68" t="s">
        <v>2624</v>
      </c>
      <c r="Z28" s="68" t="s">
        <v>649</v>
      </c>
      <c r="AA28" s="68" t="s">
        <v>2624</v>
      </c>
      <c r="AB28" s="68" t="s">
        <v>2624</v>
      </c>
      <c r="AC28" s="68" t="s">
        <v>649</v>
      </c>
      <c r="AD28" s="68" t="s">
        <v>2624</v>
      </c>
      <c r="AE28" s="68" t="s">
        <v>2624</v>
      </c>
      <c r="AF28" s="69" t="s">
        <v>13</v>
      </c>
      <c r="AG28" s="69" t="s">
        <v>13</v>
      </c>
      <c r="AH28" s="69" t="s">
        <v>13</v>
      </c>
      <c r="AI28" s="69" t="s">
        <v>13</v>
      </c>
      <c r="AJ28" s="68" t="s">
        <v>2624</v>
      </c>
      <c r="AK28" s="68" t="s">
        <v>2624</v>
      </c>
      <c r="AL28" s="68" t="s">
        <v>2624</v>
      </c>
      <c r="AM28" s="68" t="s">
        <v>2624</v>
      </c>
      <c r="AN28" s="68" t="s">
        <v>2624</v>
      </c>
      <c r="AO28" s="68" t="s">
        <v>2624</v>
      </c>
      <c r="AP28" s="70" t="s">
        <v>649</v>
      </c>
      <c r="AQ28" s="71" t="s">
        <v>649</v>
      </c>
      <c r="AR28" s="71" t="s">
        <v>649</v>
      </c>
      <c r="AS28" s="71" t="s">
        <v>649</v>
      </c>
      <c r="AT28" s="69" t="s">
        <v>13</v>
      </c>
      <c r="AU28" s="68" t="s">
        <v>2624</v>
      </c>
      <c r="AV28" s="68" t="s">
        <v>2624</v>
      </c>
      <c r="AW28" s="68" t="s">
        <v>2624</v>
      </c>
      <c r="AX28" s="68" t="s">
        <v>2624</v>
      </c>
      <c r="AY28" s="68" t="s">
        <v>2624</v>
      </c>
      <c r="AZ28" s="68" t="s">
        <v>2624</v>
      </c>
      <c r="BA28" s="68" t="s">
        <v>2624</v>
      </c>
      <c r="BB28" s="68" t="s">
        <v>2624</v>
      </c>
      <c r="BC28" s="68" t="s">
        <v>2624</v>
      </c>
      <c r="BD28" s="68" t="s">
        <v>2624</v>
      </c>
      <c r="BE28" s="68" t="s">
        <v>2624</v>
      </c>
      <c r="BF28" s="68" t="s">
        <v>2624</v>
      </c>
      <c r="BG28" s="68" t="s">
        <v>2624</v>
      </c>
      <c r="BH28" s="44" t="s">
        <v>649</v>
      </c>
      <c r="BI28" s="44" t="s">
        <v>649</v>
      </c>
      <c r="BJ28" s="68" t="s">
        <v>2624</v>
      </c>
      <c r="BK28" s="44" t="s">
        <v>649</v>
      </c>
      <c r="BL28" s="44" t="e">
        <v>#VALUE!</v>
      </c>
      <c r="BM28" s="44" t="e">
        <v>#VALUE!</v>
      </c>
      <c r="BN28" s="44" t="e">
        <v>#VALUE!</v>
      </c>
      <c r="BO28" s="44" t="e">
        <v>#VALUE!</v>
      </c>
      <c r="BP28" s="44" t="e">
        <v>#VALUE!</v>
      </c>
      <c r="BQ28" s="44" t="e">
        <v>#VALUE!</v>
      </c>
      <c r="BR28" s="48" t="s">
        <v>647</v>
      </c>
      <c r="BS28" s="72" t="e">
        <v>#VALUE!</v>
      </c>
      <c r="BT28" s="72" t="e">
        <v>#VALUE!</v>
      </c>
      <c r="BU28" s="72" t="e">
        <v>#VALUE!</v>
      </c>
      <c r="BV28" s="72" t="e">
        <v>#VALUE!</v>
      </c>
      <c r="BW28" s="72" t="e">
        <v>#VALUE!</v>
      </c>
      <c r="BX28" s="72" t="e">
        <v>#VALUE!</v>
      </c>
      <c r="BY28" s="72" t="e">
        <v>#VALUE!</v>
      </c>
      <c r="BZ28" s="72" t="e">
        <v>#VALUE!</v>
      </c>
      <c r="CB28" s="44">
        <v>2</v>
      </c>
      <c r="CC28" s="10" t="s">
        <v>269</v>
      </c>
      <c r="CD28" s="10" t="s">
        <v>268</v>
      </c>
      <c r="CE28" s="46">
        <v>42766</v>
      </c>
    </row>
    <row r="29" spans="1:83" s="44" customFormat="1" ht="12.75">
      <c r="A29" s="45" t="s">
        <v>649</v>
      </c>
      <c r="B29" s="67" t="s">
        <v>649</v>
      </c>
      <c r="C29" s="45" t="s">
        <v>649</v>
      </c>
      <c r="D29" s="45" t="s">
        <v>649</v>
      </c>
      <c r="E29" s="66" t="s">
        <v>649</v>
      </c>
      <c r="F29" s="66" t="s">
        <v>649</v>
      </c>
      <c r="G29" s="66" t="s">
        <v>649</v>
      </c>
      <c r="H29" s="68" t="s">
        <v>649</v>
      </c>
      <c r="I29" s="68" t="s">
        <v>2624</v>
      </c>
      <c r="J29" s="68" t="s">
        <v>2624</v>
      </c>
      <c r="K29" s="68" t="s">
        <v>2624</v>
      </c>
      <c r="L29" s="68" t="s">
        <v>2624</v>
      </c>
      <c r="M29" s="68" t="s">
        <v>2624</v>
      </c>
      <c r="N29" s="68" t="s">
        <v>2624</v>
      </c>
      <c r="O29" s="68" t="s">
        <v>2624</v>
      </c>
      <c r="P29" s="68" t="s">
        <v>2624</v>
      </c>
      <c r="Q29" s="68" t="s">
        <v>649</v>
      </c>
      <c r="R29" s="68" t="s">
        <v>2624</v>
      </c>
      <c r="S29" s="68" t="s">
        <v>2624</v>
      </c>
      <c r="T29" s="68" t="s">
        <v>649</v>
      </c>
      <c r="U29" s="68" t="s">
        <v>2624</v>
      </c>
      <c r="V29" s="68" t="s">
        <v>2624</v>
      </c>
      <c r="W29" s="68" t="s">
        <v>2624</v>
      </c>
      <c r="X29" s="68" t="s">
        <v>2624</v>
      </c>
      <c r="Y29" s="68" t="s">
        <v>2624</v>
      </c>
      <c r="Z29" s="68" t="s">
        <v>649</v>
      </c>
      <c r="AA29" s="68" t="s">
        <v>2624</v>
      </c>
      <c r="AB29" s="68" t="s">
        <v>2624</v>
      </c>
      <c r="AC29" s="68" t="s">
        <v>649</v>
      </c>
      <c r="AD29" s="68" t="s">
        <v>2624</v>
      </c>
      <c r="AE29" s="68" t="s">
        <v>2624</v>
      </c>
      <c r="AF29" s="69" t="s">
        <v>13</v>
      </c>
      <c r="AG29" s="69" t="s">
        <v>13</v>
      </c>
      <c r="AH29" s="69" t="s">
        <v>13</v>
      </c>
      <c r="AI29" s="69" t="s">
        <v>13</v>
      </c>
      <c r="AJ29" s="68" t="s">
        <v>2624</v>
      </c>
      <c r="AK29" s="68" t="s">
        <v>2624</v>
      </c>
      <c r="AL29" s="68" t="s">
        <v>2624</v>
      </c>
      <c r="AM29" s="68" t="s">
        <v>2624</v>
      </c>
      <c r="AN29" s="68" t="s">
        <v>2624</v>
      </c>
      <c r="AO29" s="68" t="s">
        <v>2624</v>
      </c>
      <c r="AP29" s="70" t="s">
        <v>649</v>
      </c>
      <c r="AQ29" s="71" t="s">
        <v>649</v>
      </c>
      <c r="AR29" s="71" t="s">
        <v>649</v>
      </c>
      <c r="AS29" s="71" t="s">
        <v>649</v>
      </c>
      <c r="AT29" s="69" t="s">
        <v>13</v>
      </c>
      <c r="AU29" s="68" t="s">
        <v>2624</v>
      </c>
      <c r="AV29" s="68" t="s">
        <v>2624</v>
      </c>
      <c r="AW29" s="68" t="s">
        <v>2624</v>
      </c>
      <c r="AX29" s="68" t="s">
        <v>2624</v>
      </c>
      <c r="AY29" s="68" t="s">
        <v>2624</v>
      </c>
      <c r="AZ29" s="68" t="s">
        <v>2624</v>
      </c>
      <c r="BA29" s="68" t="s">
        <v>2624</v>
      </c>
      <c r="BB29" s="68" t="s">
        <v>2624</v>
      </c>
      <c r="BC29" s="68" t="s">
        <v>2624</v>
      </c>
      <c r="BD29" s="68" t="s">
        <v>2624</v>
      </c>
      <c r="BE29" s="68" t="s">
        <v>2624</v>
      </c>
      <c r="BF29" s="68" t="s">
        <v>2624</v>
      </c>
      <c r="BG29" s="68" t="s">
        <v>2624</v>
      </c>
      <c r="BH29" s="44" t="s">
        <v>649</v>
      </c>
      <c r="BI29" s="44" t="s">
        <v>649</v>
      </c>
      <c r="BJ29" s="68" t="s">
        <v>2624</v>
      </c>
      <c r="BK29" s="44" t="s">
        <v>649</v>
      </c>
      <c r="BL29" s="44" t="e">
        <v>#VALUE!</v>
      </c>
      <c r="BM29" s="44" t="e">
        <v>#VALUE!</v>
      </c>
      <c r="BN29" s="44" t="e">
        <v>#VALUE!</v>
      </c>
      <c r="BO29" s="44" t="e">
        <v>#VALUE!</v>
      </c>
      <c r="BP29" s="44" t="e">
        <v>#VALUE!</v>
      </c>
      <c r="BQ29" s="44" t="e">
        <v>#VALUE!</v>
      </c>
      <c r="BR29" s="48" t="s">
        <v>647</v>
      </c>
      <c r="BS29" s="72" t="e">
        <v>#VALUE!</v>
      </c>
      <c r="BT29" s="72" t="e">
        <v>#VALUE!</v>
      </c>
      <c r="BU29" s="72" t="e">
        <v>#VALUE!</v>
      </c>
      <c r="BV29" s="72" t="e">
        <v>#VALUE!</v>
      </c>
      <c r="BW29" s="72" t="e">
        <v>#VALUE!</v>
      </c>
      <c r="BX29" s="72" t="e">
        <v>#VALUE!</v>
      </c>
      <c r="BY29" s="72" t="e">
        <v>#VALUE!</v>
      </c>
      <c r="BZ29" s="72" t="e">
        <v>#VALUE!</v>
      </c>
      <c r="CB29" s="44">
        <v>2</v>
      </c>
      <c r="CC29" s="10" t="s">
        <v>269</v>
      </c>
      <c r="CD29" s="10" t="s">
        <v>268</v>
      </c>
      <c r="CE29" s="46">
        <v>42766</v>
      </c>
    </row>
    <row r="30" spans="1:83" s="44" customFormat="1" ht="12.75">
      <c r="A30" s="45" t="s">
        <v>649</v>
      </c>
      <c r="B30" s="67" t="s">
        <v>649</v>
      </c>
      <c r="C30" s="45" t="s">
        <v>649</v>
      </c>
      <c r="D30" s="45" t="s">
        <v>649</v>
      </c>
      <c r="E30" s="66" t="s">
        <v>649</v>
      </c>
      <c r="F30" s="66" t="s">
        <v>649</v>
      </c>
      <c r="G30" s="66" t="s">
        <v>649</v>
      </c>
      <c r="H30" s="68" t="s">
        <v>649</v>
      </c>
      <c r="I30" s="68" t="s">
        <v>2624</v>
      </c>
      <c r="J30" s="68" t="s">
        <v>2624</v>
      </c>
      <c r="K30" s="68" t="s">
        <v>2624</v>
      </c>
      <c r="L30" s="68" t="s">
        <v>2624</v>
      </c>
      <c r="M30" s="68" t="s">
        <v>2624</v>
      </c>
      <c r="N30" s="68" t="s">
        <v>2624</v>
      </c>
      <c r="O30" s="68" t="s">
        <v>2624</v>
      </c>
      <c r="P30" s="68" t="s">
        <v>2624</v>
      </c>
      <c r="Q30" s="68" t="s">
        <v>649</v>
      </c>
      <c r="R30" s="68" t="s">
        <v>2624</v>
      </c>
      <c r="S30" s="68" t="s">
        <v>2624</v>
      </c>
      <c r="T30" s="68" t="s">
        <v>649</v>
      </c>
      <c r="U30" s="68" t="s">
        <v>2624</v>
      </c>
      <c r="V30" s="68" t="s">
        <v>2624</v>
      </c>
      <c r="W30" s="68" t="s">
        <v>2624</v>
      </c>
      <c r="X30" s="68" t="s">
        <v>2624</v>
      </c>
      <c r="Y30" s="68" t="s">
        <v>2624</v>
      </c>
      <c r="Z30" s="68" t="s">
        <v>649</v>
      </c>
      <c r="AA30" s="68" t="s">
        <v>2624</v>
      </c>
      <c r="AB30" s="68" t="s">
        <v>2624</v>
      </c>
      <c r="AC30" s="68" t="s">
        <v>649</v>
      </c>
      <c r="AD30" s="68" t="s">
        <v>2624</v>
      </c>
      <c r="AE30" s="68" t="s">
        <v>2624</v>
      </c>
      <c r="AF30" s="69" t="s">
        <v>13</v>
      </c>
      <c r="AG30" s="69" t="s">
        <v>13</v>
      </c>
      <c r="AH30" s="69" t="s">
        <v>13</v>
      </c>
      <c r="AI30" s="69" t="s">
        <v>13</v>
      </c>
      <c r="AJ30" s="68" t="s">
        <v>2624</v>
      </c>
      <c r="AK30" s="68" t="s">
        <v>2624</v>
      </c>
      <c r="AL30" s="68" t="s">
        <v>2624</v>
      </c>
      <c r="AM30" s="68" t="s">
        <v>2624</v>
      </c>
      <c r="AN30" s="68" t="s">
        <v>2624</v>
      </c>
      <c r="AO30" s="68" t="s">
        <v>2624</v>
      </c>
      <c r="AP30" s="70" t="s">
        <v>649</v>
      </c>
      <c r="AQ30" s="71" t="s">
        <v>649</v>
      </c>
      <c r="AR30" s="71" t="s">
        <v>649</v>
      </c>
      <c r="AS30" s="71" t="s">
        <v>649</v>
      </c>
      <c r="AT30" s="69" t="s">
        <v>13</v>
      </c>
      <c r="AU30" s="68" t="s">
        <v>2624</v>
      </c>
      <c r="AV30" s="68" t="s">
        <v>2624</v>
      </c>
      <c r="AW30" s="68" t="s">
        <v>2624</v>
      </c>
      <c r="AX30" s="68" t="s">
        <v>2624</v>
      </c>
      <c r="AY30" s="68" t="s">
        <v>2624</v>
      </c>
      <c r="AZ30" s="68" t="s">
        <v>2624</v>
      </c>
      <c r="BA30" s="68" t="s">
        <v>2624</v>
      </c>
      <c r="BB30" s="68" t="s">
        <v>2624</v>
      </c>
      <c r="BC30" s="68" t="s">
        <v>2624</v>
      </c>
      <c r="BD30" s="68" t="s">
        <v>2624</v>
      </c>
      <c r="BE30" s="68" t="s">
        <v>2624</v>
      </c>
      <c r="BF30" s="68" t="s">
        <v>2624</v>
      </c>
      <c r="BG30" s="68" t="s">
        <v>2624</v>
      </c>
      <c r="BH30" s="44" t="s">
        <v>649</v>
      </c>
      <c r="BI30" s="44" t="s">
        <v>649</v>
      </c>
      <c r="BJ30" s="68" t="s">
        <v>2624</v>
      </c>
      <c r="BK30" s="44" t="s">
        <v>649</v>
      </c>
      <c r="BL30" s="44" t="e">
        <v>#VALUE!</v>
      </c>
      <c r="BM30" s="44" t="e">
        <v>#VALUE!</v>
      </c>
      <c r="BN30" s="44" t="e">
        <v>#VALUE!</v>
      </c>
      <c r="BO30" s="44" t="e">
        <v>#VALUE!</v>
      </c>
      <c r="BP30" s="44" t="e">
        <v>#VALUE!</v>
      </c>
      <c r="BQ30" s="44" t="e">
        <v>#VALUE!</v>
      </c>
      <c r="BR30" s="48" t="s">
        <v>647</v>
      </c>
      <c r="BS30" s="72" t="e">
        <v>#VALUE!</v>
      </c>
      <c r="BT30" s="72" t="e">
        <v>#VALUE!</v>
      </c>
      <c r="BU30" s="72" t="e">
        <v>#VALUE!</v>
      </c>
      <c r="BV30" s="72" t="e">
        <v>#VALUE!</v>
      </c>
      <c r="BW30" s="72" t="e">
        <v>#VALUE!</v>
      </c>
      <c r="BX30" s="72" t="e">
        <v>#VALUE!</v>
      </c>
      <c r="BY30" s="72" t="e">
        <v>#VALUE!</v>
      </c>
      <c r="BZ30" s="72" t="e">
        <v>#VALUE!</v>
      </c>
      <c r="CB30" s="44">
        <v>2</v>
      </c>
      <c r="CC30" s="10" t="s">
        <v>269</v>
      </c>
      <c r="CD30" s="10" t="s">
        <v>268</v>
      </c>
      <c r="CE30" s="46">
        <v>42766</v>
      </c>
    </row>
    <row r="31" spans="1:83" s="44" customFormat="1" ht="12.75">
      <c r="A31" s="45" t="s">
        <v>649</v>
      </c>
      <c r="B31" s="67" t="s">
        <v>649</v>
      </c>
      <c r="C31" s="45" t="s">
        <v>649</v>
      </c>
      <c r="D31" s="45" t="s">
        <v>649</v>
      </c>
      <c r="E31" s="66" t="s">
        <v>649</v>
      </c>
      <c r="F31" s="66" t="s">
        <v>649</v>
      </c>
      <c r="G31" s="66" t="s">
        <v>649</v>
      </c>
      <c r="H31" s="68" t="s">
        <v>649</v>
      </c>
      <c r="I31" s="68" t="s">
        <v>2624</v>
      </c>
      <c r="J31" s="68" t="s">
        <v>2624</v>
      </c>
      <c r="K31" s="68" t="s">
        <v>2624</v>
      </c>
      <c r="L31" s="68" t="s">
        <v>2624</v>
      </c>
      <c r="M31" s="68" t="s">
        <v>2624</v>
      </c>
      <c r="N31" s="68" t="s">
        <v>2624</v>
      </c>
      <c r="O31" s="68" t="s">
        <v>2624</v>
      </c>
      <c r="P31" s="68" t="s">
        <v>2624</v>
      </c>
      <c r="Q31" s="68" t="s">
        <v>649</v>
      </c>
      <c r="R31" s="68" t="s">
        <v>2624</v>
      </c>
      <c r="S31" s="68" t="s">
        <v>2624</v>
      </c>
      <c r="T31" s="68" t="s">
        <v>649</v>
      </c>
      <c r="U31" s="68" t="s">
        <v>2624</v>
      </c>
      <c r="V31" s="68" t="s">
        <v>2624</v>
      </c>
      <c r="W31" s="68" t="s">
        <v>2624</v>
      </c>
      <c r="X31" s="68" t="s">
        <v>2624</v>
      </c>
      <c r="Y31" s="68" t="s">
        <v>2624</v>
      </c>
      <c r="Z31" s="68" t="s">
        <v>649</v>
      </c>
      <c r="AA31" s="68" t="s">
        <v>2624</v>
      </c>
      <c r="AB31" s="68" t="s">
        <v>2624</v>
      </c>
      <c r="AC31" s="68" t="s">
        <v>649</v>
      </c>
      <c r="AD31" s="68" t="s">
        <v>2624</v>
      </c>
      <c r="AE31" s="68" t="s">
        <v>2624</v>
      </c>
      <c r="AF31" s="69" t="s">
        <v>13</v>
      </c>
      <c r="AG31" s="69" t="s">
        <v>13</v>
      </c>
      <c r="AH31" s="69" t="s">
        <v>13</v>
      </c>
      <c r="AI31" s="69" t="s">
        <v>13</v>
      </c>
      <c r="AJ31" s="68" t="s">
        <v>2624</v>
      </c>
      <c r="AK31" s="68" t="s">
        <v>2624</v>
      </c>
      <c r="AL31" s="68" t="s">
        <v>2624</v>
      </c>
      <c r="AM31" s="68" t="s">
        <v>2624</v>
      </c>
      <c r="AN31" s="68" t="s">
        <v>2624</v>
      </c>
      <c r="AO31" s="68" t="s">
        <v>2624</v>
      </c>
      <c r="AP31" s="70" t="s">
        <v>649</v>
      </c>
      <c r="AQ31" s="71" t="s">
        <v>649</v>
      </c>
      <c r="AR31" s="71" t="s">
        <v>649</v>
      </c>
      <c r="AS31" s="71" t="s">
        <v>649</v>
      </c>
      <c r="AT31" s="69" t="s">
        <v>13</v>
      </c>
      <c r="AU31" s="68" t="s">
        <v>2624</v>
      </c>
      <c r="AV31" s="68" t="s">
        <v>2624</v>
      </c>
      <c r="AW31" s="68" t="s">
        <v>2624</v>
      </c>
      <c r="AX31" s="68" t="s">
        <v>2624</v>
      </c>
      <c r="AY31" s="68" t="s">
        <v>2624</v>
      </c>
      <c r="AZ31" s="68" t="s">
        <v>2624</v>
      </c>
      <c r="BA31" s="68" t="s">
        <v>2624</v>
      </c>
      <c r="BB31" s="68" t="s">
        <v>2624</v>
      </c>
      <c r="BC31" s="68" t="s">
        <v>2624</v>
      </c>
      <c r="BD31" s="68" t="s">
        <v>2624</v>
      </c>
      <c r="BE31" s="68" t="s">
        <v>2624</v>
      </c>
      <c r="BF31" s="68" t="s">
        <v>2624</v>
      </c>
      <c r="BG31" s="68" t="s">
        <v>2624</v>
      </c>
      <c r="BH31" s="44" t="s">
        <v>649</v>
      </c>
      <c r="BI31" s="44" t="s">
        <v>649</v>
      </c>
      <c r="BJ31" s="68" t="s">
        <v>2624</v>
      </c>
      <c r="BK31" s="44" t="s">
        <v>649</v>
      </c>
      <c r="BL31" s="44" t="e">
        <v>#VALUE!</v>
      </c>
      <c r="BM31" s="44" t="e">
        <v>#VALUE!</v>
      </c>
      <c r="BN31" s="44" t="e">
        <v>#VALUE!</v>
      </c>
      <c r="BO31" s="44" t="e">
        <v>#VALUE!</v>
      </c>
      <c r="BP31" s="44" t="e">
        <v>#VALUE!</v>
      </c>
      <c r="BQ31" s="44" t="e">
        <v>#VALUE!</v>
      </c>
      <c r="BR31" s="48" t="s">
        <v>647</v>
      </c>
      <c r="BS31" s="72" t="e">
        <v>#VALUE!</v>
      </c>
      <c r="BT31" s="72" t="e">
        <v>#VALUE!</v>
      </c>
      <c r="BU31" s="72" t="e">
        <v>#VALUE!</v>
      </c>
      <c r="BV31" s="72" t="e">
        <v>#VALUE!</v>
      </c>
      <c r="BW31" s="72" t="e">
        <v>#VALUE!</v>
      </c>
      <c r="BX31" s="72" t="e">
        <v>#VALUE!</v>
      </c>
      <c r="BY31" s="72" t="e">
        <v>#VALUE!</v>
      </c>
      <c r="BZ31" s="72" t="e">
        <v>#VALUE!</v>
      </c>
      <c r="CB31" s="44">
        <v>2</v>
      </c>
      <c r="CC31" s="10" t="s">
        <v>269</v>
      </c>
      <c r="CD31" s="10" t="s">
        <v>268</v>
      </c>
      <c r="CE31" s="46">
        <v>42766</v>
      </c>
    </row>
    <row r="32" spans="1:83" s="44" customFormat="1" ht="12.75">
      <c r="A32" s="45" t="s">
        <v>649</v>
      </c>
      <c r="B32" s="67" t="s">
        <v>649</v>
      </c>
      <c r="C32" s="45" t="s">
        <v>649</v>
      </c>
      <c r="D32" s="45" t="s">
        <v>649</v>
      </c>
      <c r="E32" s="66" t="s">
        <v>649</v>
      </c>
      <c r="F32" s="66" t="s">
        <v>649</v>
      </c>
      <c r="G32" s="66" t="s">
        <v>649</v>
      </c>
      <c r="H32" s="68" t="s">
        <v>649</v>
      </c>
      <c r="I32" s="68" t="s">
        <v>2624</v>
      </c>
      <c r="J32" s="68" t="s">
        <v>2624</v>
      </c>
      <c r="K32" s="68" t="s">
        <v>2624</v>
      </c>
      <c r="L32" s="68" t="s">
        <v>2624</v>
      </c>
      <c r="M32" s="68" t="s">
        <v>2624</v>
      </c>
      <c r="N32" s="68" t="s">
        <v>2624</v>
      </c>
      <c r="O32" s="68" t="s">
        <v>2624</v>
      </c>
      <c r="P32" s="68" t="s">
        <v>2624</v>
      </c>
      <c r="Q32" s="68" t="s">
        <v>649</v>
      </c>
      <c r="R32" s="68" t="s">
        <v>2624</v>
      </c>
      <c r="S32" s="68" t="s">
        <v>2624</v>
      </c>
      <c r="T32" s="68" t="s">
        <v>649</v>
      </c>
      <c r="U32" s="68" t="s">
        <v>2624</v>
      </c>
      <c r="V32" s="68" t="s">
        <v>2624</v>
      </c>
      <c r="W32" s="68" t="s">
        <v>2624</v>
      </c>
      <c r="X32" s="68" t="s">
        <v>2624</v>
      </c>
      <c r="Y32" s="68" t="s">
        <v>2624</v>
      </c>
      <c r="Z32" s="68" t="s">
        <v>649</v>
      </c>
      <c r="AA32" s="68" t="s">
        <v>2624</v>
      </c>
      <c r="AB32" s="68" t="s">
        <v>2624</v>
      </c>
      <c r="AC32" s="68" t="s">
        <v>649</v>
      </c>
      <c r="AD32" s="68" t="s">
        <v>2624</v>
      </c>
      <c r="AE32" s="68" t="s">
        <v>2624</v>
      </c>
      <c r="AF32" s="69" t="s">
        <v>13</v>
      </c>
      <c r="AG32" s="69" t="s">
        <v>13</v>
      </c>
      <c r="AH32" s="69" t="s">
        <v>13</v>
      </c>
      <c r="AI32" s="69" t="s">
        <v>13</v>
      </c>
      <c r="AJ32" s="68" t="s">
        <v>2624</v>
      </c>
      <c r="AK32" s="68" t="s">
        <v>2624</v>
      </c>
      <c r="AL32" s="68" t="s">
        <v>2624</v>
      </c>
      <c r="AM32" s="68" t="s">
        <v>2624</v>
      </c>
      <c r="AN32" s="68" t="s">
        <v>2624</v>
      </c>
      <c r="AO32" s="68" t="s">
        <v>2624</v>
      </c>
      <c r="AP32" s="70" t="s">
        <v>649</v>
      </c>
      <c r="AQ32" s="71" t="s">
        <v>649</v>
      </c>
      <c r="AR32" s="71" t="s">
        <v>649</v>
      </c>
      <c r="AS32" s="71" t="s">
        <v>649</v>
      </c>
      <c r="AT32" s="69" t="s">
        <v>13</v>
      </c>
      <c r="AU32" s="68" t="s">
        <v>2624</v>
      </c>
      <c r="AV32" s="68" t="s">
        <v>2624</v>
      </c>
      <c r="AW32" s="68" t="s">
        <v>2624</v>
      </c>
      <c r="AX32" s="68" t="s">
        <v>2624</v>
      </c>
      <c r="AY32" s="68" t="s">
        <v>2624</v>
      </c>
      <c r="AZ32" s="68" t="s">
        <v>2624</v>
      </c>
      <c r="BA32" s="68" t="s">
        <v>2624</v>
      </c>
      <c r="BB32" s="68" t="s">
        <v>2624</v>
      </c>
      <c r="BC32" s="68" t="s">
        <v>2624</v>
      </c>
      <c r="BD32" s="68" t="s">
        <v>2624</v>
      </c>
      <c r="BE32" s="68" t="s">
        <v>2624</v>
      </c>
      <c r="BF32" s="68" t="s">
        <v>2624</v>
      </c>
      <c r="BG32" s="68" t="s">
        <v>2624</v>
      </c>
      <c r="BH32" s="44" t="s">
        <v>649</v>
      </c>
      <c r="BI32" s="44" t="s">
        <v>649</v>
      </c>
      <c r="BJ32" s="68" t="s">
        <v>2624</v>
      </c>
      <c r="BK32" s="44" t="s">
        <v>649</v>
      </c>
      <c r="BL32" s="44" t="e">
        <v>#VALUE!</v>
      </c>
      <c r="BM32" s="44" t="e">
        <v>#VALUE!</v>
      </c>
      <c r="BN32" s="44" t="e">
        <v>#VALUE!</v>
      </c>
      <c r="BO32" s="44" t="e">
        <v>#VALUE!</v>
      </c>
      <c r="BP32" s="44" t="e">
        <v>#VALUE!</v>
      </c>
      <c r="BQ32" s="44" t="e">
        <v>#VALUE!</v>
      </c>
      <c r="BR32" s="48" t="s">
        <v>647</v>
      </c>
      <c r="BS32" s="72" t="e">
        <v>#VALUE!</v>
      </c>
      <c r="BT32" s="72" t="e">
        <v>#VALUE!</v>
      </c>
      <c r="BU32" s="72" t="e">
        <v>#VALUE!</v>
      </c>
      <c r="BV32" s="72" t="e">
        <v>#VALUE!</v>
      </c>
      <c r="BW32" s="72" t="e">
        <v>#VALUE!</v>
      </c>
      <c r="BX32" s="72" t="e">
        <v>#VALUE!</v>
      </c>
      <c r="BY32" s="72" t="e">
        <v>#VALUE!</v>
      </c>
      <c r="BZ32" s="72" t="e">
        <v>#VALUE!</v>
      </c>
      <c r="CB32" s="44">
        <v>2</v>
      </c>
      <c r="CC32" s="10" t="s">
        <v>269</v>
      </c>
      <c r="CD32" s="10" t="s">
        <v>268</v>
      </c>
      <c r="CE32" s="46">
        <v>42766</v>
      </c>
    </row>
    <row r="33" spans="1:83" s="44" customFormat="1" ht="12.75">
      <c r="A33" s="45" t="s">
        <v>649</v>
      </c>
      <c r="B33" s="67" t="s">
        <v>649</v>
      </c>
      <c r="C33" s="45" t="s">
        <v>649</v>
      </c>
      <c r="D33" s="45" t="s">
        <v>649</v>
      </c>
      <c r="E33" s="66" t="s">
        <v>649</v>
      </c>
      <c r="F33" s="66" t="s">
        <v>649</v>
      </c>
      <c r="G33" s="66" t="s">
        <v>649</v>
      </c>
      <c r="H33" s="68" t="s">
        <v>649</v>
      </c>
      <c r="I33" s="68" t="s">
        <v>2624</v>
      </c>
      <c r="J33" s="68" t="s">
        <v>2624</v>
      </c>
      <c r="K33" s="68" t="s">
        <v>2624</v>
      </c>
      <c r="L33" s="68" t="s">
        <v>2624</v>
      </c>
      <c r="M33" s="68" t="s">
        <v>2624</v>
      </c>
      <c r="N33" s="68" t="s">
        <v>2624</v>
      </c>
      <c r="O33" s="68" t="s">
        <v>2624</v>
      </c>
      <c r="P33" s="68" t="s">
        <v>2624</v>
      </c>
      <c r="Q33" s="68" t="s">
        <v>649</v>
      </c>
      <c r="R33" s="68" t="s">
        <v>2624</v>
      </c>
      <c r="S33" s="68" t="s">
        <v>2624</v>
      </c>
      <c r="T33" s="68" t="s">
        <v>649</v>
      </c>
      <c r="U33" s="68" t="s">
        <v>2624</v>
      </c>
      <c r="V33" s="68" t="s">
        <v>2624</v>
      </c>
      <c r="W33" s="68" t="s">
        <v>2624</v>
      </c>
      <c r="X33" s="68" t="s">
        <v>2624</v>
      </c>
      <c r="Y33" s="68" t="s">
        <v>2624</v>
      </c>
      <c r="Z33" s="68" t="s">
        <v>649</v>
      </c>
      <c r="AA33" s="68" t="s">
        <v>2624</v>
      </c>
      <c r="AB33" s="68" t="s">
        <v>2624</v>
      </c>
      <c r="AC33" s="68" t="s">
        <v>649</v>
      </c>
      <c r="AD33" s="68" t="s">
        <v>2624</v>
      </c>
      <c r="AE33" s="68" t="s">
        <v>2624</v>
      </c>
      <c r="AF33" s="69" t="s">
        <v>13</v>
      </c>
      <c r="AG33" s="69" t="s">
        <v>13</v>
      </c>
      <c r="AH33" s="69" t="s">
        <v>13</v>
      </c>
      <c r="AI33" s="69" t="s">
        <v>13</v>
      </c>
      <c r="AJ33" s="68" t="s">
        <v>2624</v>
      </c>
      <c r="AK33" s="68" t="s">
        <v>2624</v>
      </c>
      <c r="AL33" s="68" t="s">
        <v>2624</v>
      </c>
      <c r="AM33" s="68" t="s">
        <v>2624</v>
      </c>
      <c r="AN33" s="68" t="s">
        <v>2624</v>
      </c>
      <c r="AO33" s="68" t="s">
        <v>2624</v>
      </c>
      <c r="AP33" s="70" t="s">
        <v>649</v>
      </c>
      <c r="AQ33" s="71" t="s">
        <v>649</v>
      </c>
      <c r="AR33" s="71" t="s">
        <v>649</v>
      </c>
      <c r="AS33" s="71" t="s">
        <v>649</v>
      </c>
      <c r="AT33" s="69" t="s">
        <v>13</v>
      </c>
      <c r="AU33" s="68" t="s">
        <v>2624</v>
      </c>
      <c r="AV33" s="68" t="s">
        <v>2624</v>
      </c>
      <c r="AW33" s="68" t="s">
        <v>2624</v>
      </c>
      <c r="AX33" s="68" t="s">
        <v>2624</v>
      </c>
      <c r="AY33" s="68" t="s">
        <v>2624</v>
      </c>
      <c r="AZ33" s="68" t="s">
        <v>2624</v>
      </c>
      <c r="BA33" s="68" t="s">
        <v>2624</v>
      </c>
      <c r="BB33" s="68" t="s">
        <v>2624</v>
      </c>
      <c r="BC33" s="68" t="s">
        <v>2624</v>
      </c>
      <c r="BD33" s="68" t="s">
        <v>2624</v>
      </c>
      <c r="BE33" s="68" t="s">
        <v>2624</v>
      </c>
      <c r="BF33" s="68" t="s">
        <v>2624</v>
      </c>
      <c r="BG33" s="68" t="s">
        <v>2624</v>
      </c>
      <c r="BH33" s="44" t="s">
        <v>649</v>
      </c>
      <c r="BI33" s="44" t="s">
        <v>649</v>
      </c>
      <c r="BJ33" s="68" t="s">
        <v>2624</v>
      </c>
      <c r="BK33" s="44" t="s">
        <v>649</v>
      </c>
      <c r="BL33" s="44" t="e">
        <v>#VALUE!</v>
      </c>
      <c r="BM33" s="44" t="e">
        <v>#VALUE!</v>
      </c>
      <c r="BN33" s="44" t="e">
        <v>#VALUE!</v>
      </c>
      <c r="BO33" s="44" t="e">
        <v>#VALUE!</v>
      </c>
      <c r="BP33" s="44" t="e">
        <v>#VALUE!</v>
      </c>
      <c r="BQ33" s="44" t="e">
        <v>#VALUE!</v>
      </c>
      <c r="BR33" s="48" t="s">
        <v>647</v>
      </c>
      <c r="BS33" s="72" t="e">
        <v>#VALUE!</v>
      </c>
      <c r="BT33" s="72" t="e">
        <v>#VALUE!</v>
      </c>
      <c r="BU33" s="72" t="e">
        <v>#VALUE!</v>
      </c>
      <c r="BV33" s="72" t="e">
        <v>#VALUE!</v>
      </c>
      <c r="BW33" s="72" t="e">
        <v>#VALUE!</v>
      </c>
      <c r="BX33" s="72" t="e">
        <v>#VALUE!</v>
      </c>
      <c r="BY33" s="72" t="e">
        <v>#VALUE!</v>
      </c>
      <c r="BZ33" s="72" t="e">
        <v>#VALUE!</v>
      </c>
      <c r="CB33" s="44">
        <v>2</v>
      </c>
      <c r="CC33" s="10" t="s">
        <v>269</v>
      </c>
      <c r="CD33" s="10" t="s">
        <v>268</v>
      </c>
      <c r="CE33" s="46">
        <v>42766</v>
      </c>
    </row>
    <row r="34" spans="1:83" s="44" customFormat="1" ht="12.75">
      <c r="A34" s="45" t="s">
        <v>649</v>
      </c>
      <c r="B34" s="67" t="s">
        <v>649</v>
      </c>
      <c r="C34" s="45" t="s">
        <v>649</v>
      </c>
      <c r="D34" s="45" t="s">
        <v>649</v>
      </c>
      <c r="E34" s="66" t="s">
        <v>649</v>
      </c>
      <c r="F34" s="66" t="s">
        <v>649</v>
      </c>
      <c r="G34" s="66" t="s">
        <v>649</v>
      </c>
      <c r="H34" s="68" t="s">
        <v>649</v>
      </c>
      <c r="I34" s="68" t="s">
        <v>2624</v>
      </c>
      <c r="J34" s="68" t="s">
        <v>2624</v>
      </c>
      <c r="K34" s="68" t="s">
        <v>2624</v>
      </c>
      <c r="L34" s="68" t="s">
        <v>2624</v>
      </c>
      <c r="M34" s="68" t="s">
        <v>2624</v>
      </c>
      <c r="N34" s="68" t="s">
        <v>2624</v>
      </c>
      <c r="O34" s="68" t="s">
        <v>2624</v>
      </c>
      <c r="P34" s="68" t="s">
        <v>2624</v>
      </c>
      <c r="Q34" s="68" t="s">
        <v>649</v>
      </c>
      <c r="R34" s="68" t="s">
        <v>2624</v>
      </c>
      <c r="S34" s="68" t="s">
        <v>2624</v>
      </c>
      <c r="T34" s="68" t="s">
        <v>649</v>
      </c>
      <c r="U34" s="68" t="s">
        <v>2624</v>
      </c>
      <c r="V34" s="68" t="s">
        <v>2624</v>
      </c>
      <c r="W34" s="68" t="s">
        <v>2624</v>
      </c>
      <c r="X34" s="68" t="s">
        <v>2624</v>
      </c>
      <c r="Y34" s="68" t="s">
        <v>2624</v>
      </c>
      <c r="Z34" s="68" t="s">
        <v>649</v>
      </c>
      <c r="AA34" s="68" t="s">
        <v>2624</v>
      </c>
      <c r="AB34" s="68" t="s">
        <v>2624</v>
      </c>
      <c r="AC34" s="68" t="s">
        <v>649</v>
      </c>
      <c r="AD34" s="68" t="s">
        <v>2624</v>
      </c>
      <c r="AE34" s="68" t="s">
        <v>2624</v>
      </c>
      <c r="AF34" s="69" t="s">
        <v>13</v>
      </c>
      <c r="AG34" s="69" t="s">
        <v>13</v>
      </c>
      <c r="AH34" s="69" t="s">
        <v>13</v>
      </c>
      <c r="AI34" s="69" t="s">
        <v>13</v>
      </c>
      <c r="AJ34" s="68" t="s">
        <v>2624</v>
      </c>
      <c r="AK34" s="68" t="s">
        <v>2624</v>
      </c>
      <c r="AL34" s="68" t="s">
        <v>2624</v>
      </c>
      <c r="AM34" s="68" t="s">
        <v>2624</v>
      </c>
      <c r="AN34" s="68" t="s">
        <v>2624</v>
      </c>
      <c r="AO34" s="68" t="s">
        <v>2624</v>
      </c>
      <c r="AP34" s="70" t="s">
        <v>649</v>
      </c>
      <c r="AQ34" s="71" t="s">
        <v>649</v>
      </c>
      <c r="AR34" s="71" t="s">
        <v>649</v>
      </c>
      <c r="AS34" s="71" t="s">
        <v>649</v>
      </c>
      <c r="AT34" s="69" t="s">
        <v>13</v>
      </c>
      <c r="AU34" s="68" t="s">
        <v>2624</v>
      </c>
      <c r="AV34" s="68" t="s">
        <v>2624</v>
      </c>
      <c r="AW34" s="68" t="s">
        <v>2624</v>
      </c>
      <c r="AX34" s="68" t="s">
        <v>2624</v>
      </c>
      <c r="AY34" s="68" t="s">
        <v>2624</v>
      </c>
      <c r="AZ34" s="68" t="s">
        <v>2624</v>
      </c>
      <c r="BA34" s="68" t="s">
        <v>2624</v>
      </c>
      <c r="BB34" s="68" t="s">
        <v>2624</v>
      </c>
      <c r="BC34" s="68" t="s">
        <v>2624</v>
      </c>
      <c r="BD34" s="68" t="s">
        <v>2624</v>
      </c>
      <c r="BE34" s="68" t="s">
        <v>2624</v>
      </c>
      <c r="BF34" s="68" t="s">
        <v>2624</v>
      </c>
      <c r="BG34" s="68" t="s">
        <v>2624</v>
      </c>
      <c r="BH34" s="44" t="s">
        <v>649</v>
      </c>
      <c r="BI34" s="44" t="s">
        <v>649</v>
      </c>
      <c r="BJ34" s="68" t="s">
        <v>2624</v>
      </c>
      <c r="BK34" s="44" t="s">
        <v>649</v>
      </c>
      <c r="BL34" s="44" t="e">
        <v>#VALUE!</v>
      </c>
      <c r="BM34" s="44" t="e">
        <v>#VALUE!</v>
      </c>
      <c r="BN34" s="44" t="e">
        <v>#VALUE!</v>
      </c>
      <c r="BO34" s="44" t="e">
        <v>#VALUE!</v>
      </c>
      <c r="BP34" s="44" t="e">
        <v>#VALUE!</v>
      </c>
      <c r="BQ34" s="44" t="e">
        <v>#VALUE!</v>
      </c>
      <c r="BR34" s="48" t="s">
        <v>647</v>
      </c>
      <c r="BS34" s="72" t="e">
        <v>#VALUE!</v>
      </c>
      <c r="BT34" s="72" t="e">
        <v>#VALUE!</v>
      </c>
      <c r="BU34" s="72" t="e">
        <v>#VALUE!</v>
      </c>
      <c r="BV34" s="72" t="e">
        <v>#VALUE!</v>
      </c>
      <c r="BW34" s="72" t="e">
        <v>#VALUE!</v>
      </c>
      <c r="BX34" s="72" t="e">
        <v>#VALUE!</v>
      </c>
      <c r="BY34" s="72" t="e">
        <v>#VALUE!</v>
      </c>
      <c r="BZ34" s="72" t="e">
        <v>#VALUE!</v>
      </c>
      <c r="CB34" s="44">
        <v>2</v>
      </c>
      <c r="CC34" s="10" t="s">
        <v>269</v>
      </c>
      <c r="CD34" s="10" t="s">
        <v>268</v>
      </c>
      <c r="CE34" s="46">
        <v>42766</v>
      </c>
    </row>
    <row r="35" spans="1:83" s="44" customFormat="1" ht="12.75">
      <c r="A35" s="45" t="s">
        <v>649</v>
      </c>
      <c r="B35" s="67" t="s">
        <v>649</v>
      </c>
      <c r="C35" s="45" t="s">
        <v>649</v>
      </c>
      <c r="D35" s="45" t="s">
        <v>649</v>
      </c>
      <c r="E35" s="66" t="s">
        <v>649</v>
      </c>
      <c r="F35" s="66" t="s">
        <v>649</v>
      </c>
      <c r="G35" s="66" t="s">
        <v>649</v>
      </c>
      <c r="H35" s="68" t="s">
        <v>649</v>
      </c>
      <c r="I35" s="68" t="s">
        <v>2624</v>
      </c>
      <c r="J35" s="68" t="s">
        <v>2624</v>
      </c>
      <c r="K35" s="68" t="s">
        <v>2624</v>
      </c>
      <c r="L35" s="68" t="s">
        <v>2624</v>
      </c>
      <c r="M35" s="68" t="s">
        <v>2624</v>
      </c>
      <c r="N35" s="68" t="s">
        <v>2624</v>
      </c>
      <c r="O35" s="68" t="s">
        <v>2624</v>
      </c>
      <c r="P35" s="68" t="s">
        <v>2624</v>
      </c>
      <c r="Q35" s="68" t="s">
        <v>649</v>
      </c>
      <c r="R35" s="68" t="s">
        <v>2624</v>
      </c>
      <c r="S35" s="68" t="s">
        <v>2624</v>
      </c>
      <c r="T35" s="68" t="s">
        <v>649</v>
      </c>
      <c r="U35" s="68" t="s">
        <v>2624</v>
      </c>
      <c r="V35" s="68" t="s">
        <v>2624</v>
      </c>
      <c r="W35" s="68" t="s">
        <v>2624</v>
      </c>
      <c r="X35" s="68" t="s">
        <v>2624</v>
      </c>
      <c r="Y35" s="68" t="s">
        <v>2624</v>
      </c>
      <c r="Z35" s="68" t="s">
        <v>649</v>
      </c>
      <c r="AA35" s="68" t="s">
        <v>2624</v>
      </c>
      <c r="AB35" s="68" t="s">
        <v>2624</v>
      </c>
      <c r="AC35" s="68" t="s">
        <v>649</v>
      </c>
      <c r="AD35" s="68" t="s">
        <v>2624</v>
      </c>
      <c r="AE35" s="68" t="s">
        <v>2624</v>
      </c>
      <c r="AF35" s="69" t="s">
        <v>13</v>
      </c>
      <c r="AG35" s="69" t="s">
        <v>13</v>
      </c>
      <c r="AH35" s="69" t="s">
        <v>13</v>
      </c>
      <c r="AI35" s="69" t="s">
        <v>13</v>
      </c>
      <c r="AJ35" s="68" t="s">
        <v>2624</v>
      </c>
      <c r="AK35" s="68" t="s">
        <v>2624</v>
      </c>
      <c r="AL35" s="68" t="s">
        <v>2624</v>
      </c>
      <c r="AM35" s="68" t="s">
        <v>2624</v>
      </c>
      <c r="AN35" s="68" t="s">
        <v>2624</v>
      </c>
      <c r="AO35" s="68" t="s">
        <v>2624</v>
      </c>
      <c r="AP35" s="70" t="s">
        <v>649</v>
      </c>
      <c r="AQ35" s="71" t="s">
        <v>649</v>
      </c>
      <c r="AR35" s="71" t="s">
        <v>649</v>
      </c>
      <c r="AS35" s="71" t="s">
        <v>649</v>
      </c>
      <c r="AT35" s="69" t="s">
        <v>13</v>
      </c>
      <c r="AU35" s="68" t="s">
        <v>2624</v>
      </c>
      <c r="AV35" s="68" t="s">
        <v>2624</v>
      </c>
      <c r="AW35" s="68" t="s">
        <v>2624</v>
      </c>
      <c r="AX35" s="68" t="s">
        <v>2624</v>
      </c>
      <c r="AY35" s="68" t="s">
        <v>2624</v>
      </c>
      <c r="AZ35" s="68" t="s">
        <v>2624</v>
      </c>
      <c r="BA35" s="68" t="s">
        <v>2624</v>
      </c>
      <c r="BB35" s="68" t="s">
        <v>2624</v>
      </c>
      <c r="BC35" s="68" t="s">
        <v>2624</v>
      </c>
      <c r="BD35" s="68" t="s">
        <v>2624</v>
      </c>
      <c r="BE35" s="68" t="s">
        <v>2624</v>
      </c>
      <c r="BF35" s="68" t="s">
        <v>2624</v>
      </c>
      <c r="BG35" s="68" t="s">
        <v>2624</v>
      </c>
      <c r="BH35" s="44" t="s">
        <v>649</v>
      </c>
      <c r="BI35" s="44" t="s">
        <v>649</v>
      </c>
      <c r="BJ35" s="68" t="s">
        <v>2624</v>
      </c>
      <c r="BK35" s="44" t="s">
        <v>649</v>
      </c>
      <c r="BL35" s="44" t="e">
        <v>#VALUE!</v>
      </c>
      <c r="BM35" s="44" t="e">
        <v>#VALUE!</v>
      </c>
      <c r="BN35" s="44" t="e">
        <v>#VALUE!</v>
      </c>
      <c r="BO35" s="44" t="e">
        <v>#VALUE!</v>
      </c>
      <c r="BP35" s="44" t="e">
        <v>#VALUE!</v>
      </c>
      <c r="BQ35" s="44" t="e">
        <v>#VALUE!</v>
      </c>
      <c r="BR35" s="44" t="s">
        <v>647</v>
      </c>
      <c r="BS35" s="72" t="e">
        <v>#VALUE!</v>
      </c>
      <c r="BT35" s="72" t="e">
        <v>#VALUE!</v>
      </c>
      <c r="BU35" s="72" t="e">
        <v>#VALUE!</v>
      </c>
      <c r="BV35" s="72" t="e">
        <v>#VALUE!</v>
      </c>
      <c r="BW35" s="72" t="e">
        <v>#VALUE!</v>
      </c>
      <c r="BX35" s="72" t="e">
        <v>#VALUE!</v>
      </c>
      <c r="BY35" s="72" t="e">
        <v>#VALUE!</v>
      </c>
      <c r="BZ35" s="72" t="e">
        <v>#VALUE!</v>
      </c>
      <c r="CB35" s="44">
        <v>2</v>
      </c>
      <c r="CC35" s="10" t="s">
        <v>269</v>
      </c>
      <c r="CD35" s="10" t="s">
        <v>268</v>
      </c>
      <c r="CE35" s="46">
        <v>42766</v>
      </c>
    </row>
    <row r="36" spans="1:83" s="44" customFormat="1" ht="12.75">
      <c r="A36" s="45" t="s">
        <v>649</v>
      </c>
      <c r="B36" s="67" t="s">
        <v>649</v>
      </c>
      <c r="C36" s="45" t="s">
        <v>649</v>
      </c>
      <c r="D36" s="45" t="s">
        <v>649</v>
      </c>
      <c r="E36" s="66" t="s">
        <v>649</v>
      </c>
      <c r="F36" s="66" t="s">
        <v>649</v>
      </c>
      <c r="G36" s="66" t="s">
        <v>649</v>
      </c>
      <c r="H36" s="68" t="s">
        <v>649</v>
      </c>
      <c r="I36" s="68" t="s">
        <v>2624</v>
      </c>
      <c r="J36" s="68" t="s">
        <v>2624</v>
      </c>
      <c r="K36" s="68" t="s">
        <v>2624</v>
      </c>
      <c r="L36" s="68" t="s">
        <v>2624</v>
      </c>
      <c r="M36" s="68" t="s">
        <v>2624</v>
      </c>
      <c r="N36" s="68" t="s">
        <v>2624</v>
      </c>
      <c r="O36" s="68" t="s">
        <v>2624</v>
      </c>
      <c r="P36" s="68" t="s">
        <v>2624</v>
      </c>
      <c r="Q36" s="68" t="s">
        <v>649</v>
      </c>
      <c r="R36" s="68" t="s">
        <v>2624</v>
      </c>
      <c r="S36" s="68" t="s">
        <v>2624</v>
      </c>
      <c r="T36" s="68" t="s">
        <v>649</v>
      </c>
      <c r="U36" s="68" t="s">
        <v>2624</v>
      </c>
      <c r="V36" s="68" t="s">
        <v>2624</v>
      </c>
      <c r="W36" s="68" t="s">
        <v>2624</v>
      </c>
      <c r="X36" s="68" t="s">
        <v>2624</v>
      </c>
      <c r="Y36" s="68" t="s">
        <v>2624</v>
      </c>
      <c r="Z36" s="68" t="s">
        <v>649</v>
      </c>
      <c r="AA36" s="68" t="s">
        <v>2624</v>
      </c>
      <c r="AB36" s="68" t="s">
        <v>2624</v>
      </c>
      <c r="AC36" s="68" t="s">
        <v>649</v>
      </c>
      <c r="AD36" s="68" t="s">
        <v>2624</v>
      </c>
      <c r="AE36" s="68" t="s">
        <v>2624</v>
      </c>
      <c r="AF36" s="69" t="s">
        <v>13</v>
      </c>
      <c r="AG36" s="69" t="s">
        <v>13</v>
      </c>
      <c r="AH36" s="69" t="s">
        <v>13</v>
      </c>
      <c r="AI36" s="69" t="s">
        <v>13</v>
      </c>
      <c r="AJ36" s="68" t="s">
        <v>2624</v>
      </c>
      <c r="AK36" s="68" t="s">
        <v>2624</v>
      </c>
      <c r="AL36" s="68" t="s">
        <v>2624</v>
      </c>
      <c r="AM36" s="68" t="s">
        <v>2624</v>
      </c>
      <c r="AN36" s="68" t="s">
        <v>2624</v>
      </c>
      <c r="AO36" s="68" t="s">
        <v>2624</v>
      </c>
      <c r="AP36" s="70" t="s">
        <v>649</v>
      </c>
      <c r="AQ36" s="71" t="s">
        <v>649</v>
      </c>
      <c r="AR36" s="71" t="s">
        <v>649</v>
      </c>
      <c r="AS36" s="71" t="s">
        <v>649</v>
      </c>
      <c r="AT36" s="69" t="s">
        <v>13</v>
      </c>
      <c r="AU36" s="68" t="s">
        <v>2624</v>
      </c>
      <c r="AV36" s="68" t="s">
        <v>2624</v>
      </c>
      <c r="AW36" s="68" t="s">
        <v>2624</v>
      </c>
      <c r="AX36" s="68" t="s">
        <v>2624</v>
      </c>
      <c r="AY36" s="68" t="s">
        <v>2624</v>
      </c>
      <c r="AZ36" s="68" t="s">
        <v>2624</v>
      </c>
      <c r="BA36" s="68" t="s">
        <v>2624</v>
      </c>
      <c r="BB36" s="68" t="s">
        <v>2624</v>
      </c>
      <c r="BC36" s="68" t="s">
        <v>2624</v>
      </c>
      <c r="BD36" s="68" t="s">
        <v>2624</v>
      </c>
      <c r="BE36" s="68" t="s">
        <v>2624</v>
      </c>
      <c r="BF36" s="68" t="s">
        <v>2624</v>
      </c>
      <c r="BG36" s="68" t="s">
        <v>2624</v>
      </c>
      <c r="BH36" s="44" t="s">
        <v>649</v>
      </c>
      <c r="BI36" s="44" t="s">
        <v>649</v>
      </c>
      <c r="BJ36" s="68" t="s">
        <v>2624</v>
      </c>
      <c r="BK36" s="44" t="s">
        <v>649</v>
      </c>
      <c r="BL36" s="44" t="e">
        <v>#VALUE!</v>
      </c>
      <c r="BM36" s="44" t="e">
        <v>#VALUE!</v>
      </c>
      <c r="BN36" s="44" t="e">
        <v>#VALUE!</v>
      </c>
      <c r="BO36" s="44" t="e">
        <v>#VALUE!</v>
      </c>
      <c r="BP36" s="44" t="e">
        <v>#VALUE!</v>
      </c>
      <c r="BQ36" s="44" t="e">
        <v>#VALUE!</v>
      </c>
      <c r="BR36" s="44" t="s">
        <v>647</v>
      </c>
      <c r="BS36" s="72" t="e">
        <v>#VALUE!</v>
      </c>
      <c r="BT36" s="72" t="e">
        <v>#VALUE!</v>
      </c>
      <c r="BU36" s="72" t="e">
        <v>#VALUE!</v>
      </c>
      <c r="BV36" s="72" t="e">
        <v>#VALUE!</v>
      </c>
      <c r="BW36" s="72" t="e">
        <v>#VALUE!</v>
      </c>
      <c r="BX36" s="72" t="e">
        <v>#VALUE!</v>
      </c>
      <c r="BY36" s="72" t="e">
        <v>#VALUE!</v>
      </c>
      <c r="BZ36" s="72" t="e">
        <v>#VALUE!</v>
      </c>
      <c r="CB36" s="44">
        <v>2</v>
      </c>
      <c r="CC36" s="10" t="s">
        <v>269</v>
      </c>
      <c r="CD36" s="10" t="s">
        <v>268</v>
      </c>
      <c r="CE36" s="46">
        <v>42766</v>
      </c>
    </row>
    <row r="37" spans="1:83" s="44" customFormat="1" ht="12.75">
      <c r="A37" s="45" t="s">
        <v>649</v>
      </c>
      <c r="B37" s="67" t="s">
        <v>649</v>
      </c>
      <c r="C37" s="45" t="s">
        <v>649</v>
      </c>
      <c r="D37" s="45" t="s">
        <v>649</v>
      </c>
      <c r="E37" s="66" t="s">
        <v>649</v>
      </c>
      <c r="F37" s="66" t="s">
        <v>649</v>
      </c>
      <c r="G37" s="66" t="s">
        <v>649</v>
      </c>
      <c r="H37" s="68" t="s">
        <v>649</v>
      </c>
      <c r="I37" s="68" t="s">
        <v>2624</v>
      </c>
      <c r="J37" s="68" t="s">
        <v>2624</v>
      </c>
      <c r="K37" s="68" t="s">
        <v>2624</v>
      </c>
      <c r="L37" s="68" t="s">
        <v>2624</v>
      </c>
      <c r="M37" s="68" t="s">
        <v>2624</v>
      </c>
      <c r="N37" s="68" t="s">
        <v>2624</v>
      </c>
      <c r="O37" s="68" t="s">
        <v>2624</v>
      </c>
      <c r="P37" s="68" t="s">
        <v>2624</v>
      </c>
      <c r="Q37" s="68" t="s">
        <v>649</v>
      </c>
      <c r="R37" s="68" t="s">
        <v>2624</v>
      </c>
      <c r="S37" s="68" t="s">
        <v>2624</v>
      </c>
      <c r="T37" s="68" t="s">
        <v>649</v>
      </c>
      <c r="U37" s="68" t="s">
        <v>2624</v>
      </c>
      <c r="V37" s="68" t="s">
        <v>2624</v>
      </c>
      <c r="W37" s="68" t="s">
        <v>2624</v>
      </c>
      <c r="X37" s="68" t="s">
        <v>2624</v>
      </c>
      <c r="Y37" s="68" t="s">
        <v>2624</v>
      </c>
      <c r="Z37" s="68" t="s">
        <v>649</v>
      </c>
      <c r="AA37" s="68" t="s">
        <v>2624</v>
      </c>
      <c r="AB37" s="68" t="s">
        <v>2624</v>
      </c>
      <c r="AC37" s="68" t="s">
        <v>649</v>
      </c>
      <c r="AD37" s="68" t="s">
        <v>2624</v>
      </c>
      <c r="AE37" s="68" t="s">
        <v>2624</v>
      </c>
      <c r="AF37" s="69" t="s">
        <v>13</v>
      </c>
      <c r="AG37" s="69" t="s">
        <v>13</v>
      </c>
      <c r="AH37" s="69" t="s">
        <v>13</v>
      </c>
      <c r="AI37" s="69" t="s">
        <v>13</v>
      </c>
      <c r="AJ37" s="68" t="s">
        <v>2624</v>
      </c>
      <c r="AK37" s="68" t="s">
        <v>2624</v>
      </c>
      <c r="AL37" s="68" t="s">
        <v>2624</v>
      </c>
      <c r="AM37" s="68" t="s">
        <v>2624</v>
      </c>
      <c r="AN37" s="68" t="s">
        <v>2624</v>
      </c>
      <c r="AO37" s="68" t="s">
        <v>2624</v>
      </c>
      <c r="AP37" s="70" t="s">
        <v>649</v>
      </c>
      <c r="AQ37" s="71" t="s">
        <v>649</v>
      </c>
      <c r="AR37" s="71" t="s">
        <v>649</v>
      </c>
      <c r="AS37" s="71" t="s">
        <v>649</v>
      </c>
      <c r="AT37" s="69" t="s">
        <v>13</v>
      </c>
      <c r="AU37" s="68" t="s">
        <v>2624</v>
      </c>
      <c r="AV37" s="68" t="s">
        <v>2624</v>
      </c>
      <c r="AW37" s="68" t="s">
        <v>2624</v>
      </c>
      <c r="AX37" s="68" t="s">
        <v>2624</v>
      </c>
      <c r="AY37" s="68" t="s">
        <v>2624</v>
      </c>
      <c r="AZ37" s="68" t="s">
        <v>2624</v>
      </c>
      <c r="BA37" s="68" t="s">
        <v>2624</v>
      </c>
      <c r="BB37" s="68" t="s">
        <v>2624</v>
      </c>
      <c r="BC37" s="68" t="s">
        <v>2624</v>
      </c>
      <c r="BD37" s="68" t="s">
        <v>2624</v>
      </c>
      <c r="BE37" s="68" t="s">
        <v>2624</v>
      </c>
      <c r="BF37" s="68" t="s">
        <v>2624</v>
      </c>
      <c r="BG37" s="68" t="s">
        <v>2624</v>
      </c>
      <c r="BH37" s="44" t="s">
        <v>649</v>
      </c>
      <c r="BI37" s="44" t="s">
        <v>649</v>
      </c>
      <c r="BJ37" s="68" t="s">
        <v>2624</v>
      </c>
      <c r="BK37" s="44" t="s">
        <v>649</v>
      </c>
      <c r="BL37" s="44" t="e">
        <v>#VALUE!</v>
      </c>
      <c r="BM37" s="44" t="e">
        <v>#VALUE!</v>
      </c>
      <c r="BN37" s="44" t="e">
        <v>#VALUE!</v>
      </c>
      <c r="BO37" s="44" t="e">
        <v>#VALUE!</v>
      </c>
      <c r="BP37" s="44" t="e">
        <v>#VALUE!</v>
      </c>
      <c r="BQ37" s="44" t="e">
        <v>#VALUE!</v>
      </c>
      <c r="BR37" s="44" t="s">
        <v>647</v>
      </c>
      <c r="BS37" s="48" t="e">
        <v>#VALUE!</v>
      </c>
      <c r="BT37" s="48" t="e">
        <v>#VALUE!</v>
      </c>
      <c r="BU37" s="48" t="e">
        <v>#VALUE!</v>
      </c>
      <c r="BV37" s="48" t="e">
        <v>#VALUE!</v>
      </c>
      <c r="BW37" s="48" t="e">
        <v>#VALUE!</v>
      </c>
      <c r="BX37" s="48" t="e">
        <v>#VALUE!</v>
      </c>
      <c r="BY37" s="48" t="e">
        <v>#VALUE!</v>
      </c>
      <c r="BZ37" s="48" t="e">
        <v>#VALUE!</v>
      </c>
      <c r="CB37" s="44">
        <v>2</v>
      </c>
      <c r="CC37" s="10" t="s">
        <v>269</v>
      </c>
      <c r="CD37" s="10" t="s">
        <v>268</v>
      </c>
      <c r="CE37" s="46">
        <v>42766</v>
      </c>
    </row>
    <row r="38" spans="1:83" s="44" customFormat="1" ht="12.75">
      <c r="A38" s="45" t="s">
        <v>649</v>
      </c>
      <c r="B38" s="67" t="s">
        <v>649</v>
      </c>
      <c r="C38" s="45" t="s">
        <v>649</v>
      </c>
      <c r="D38" s="45" t="s">
        <v>649</v>
      </c>
      <c r="E38" s="66" t="s">
        <v>649</v>
      </c>
      <c r="F38" s="66" t="s">
        <v>649</v>
      </c>
      <c r="G38" s="66" t="s">
        <v>649</v>
      </c>
      <c r="H38" s="68" t="s">
        <v>649</v>
      </c>
      <c r="I38" s="68" t="s">
        <v>2624</v>
      </c>
      <c r="J38" s="68" t="s">
        <v>2624</v>
      </c>
      <c r="K38" s="68" t="s">
        <v>2624</v>
      </c>
      <c r="L38" s="68" t="s">
        <v>2624</v>
      </c>
      <c r="M38" s="68" t="s">
        <v>2624</v>
      </c>
      <c r="N38" s="68" t="s">
        <v>2624</v>
      </c>
      <c r="O38" s="68" t="s">
        <v>2624</v>
      </c>
      <c r="P38" s="68" t="s">
        <v>2624</v>
      </c>
      <c r="Q38" s="68" t="s">
        <v>649</v>
      </c>
      <c r="R38" s="68" t="s">
        <v>2624</v>
      </c>
      <c r="S38" s="68" t="s">
        <v>2624</v>
      </c>
      <c r="T38" s="68" t="s">
        <v>649</v>
      </c>
      <c r="U38" s="68" t="s">
        <v>2624</v>
      </c>
      <c r="V38" s="68" t="s">
        <v>2624</v>
      </c>
      <c r="W38" s="68" t="s">
        <v>2624</v>
      </c>
      <c r="X38" s="68" t="s">
        <v>2624</v>
      </c>
      <c r="Y38" s="68" t="s">
        <v>2624</v>
      </c>
      <c r="Z38" s="68" t="s">
        <v>649</v>
      </c>
      <c r="AA38" s="68" t="s">
        <v>2624</v>
      </c>
      <c r="AB38" s="68" t="s">
        <v>2624</v>
      </c>
      <c r="AC38" s="68" t="s">
        <v>649</v>
      </c>
      <c r="AD38" s="68" t="s">
        <v>2624</v>
      </c>
      <c r="AE38" s="68" t="s">
        <v>2624</v>
      </c>
      <c r="AF38" s="69" t="s">
        <v>13</v>
      </c>
      <c r="AG38" s="69" t="s">
        <v>13</v>
      </c>
      <c r="AH38" s="69" t="s">
        <v>13</v>
      </c>
      <c r="AI38" s="69" t="s">
        <v>13</v>
      </c>
      <c r="AJ38" s="68" t="s">
        <v>2624</v>
      </c>
      <c r="AK38" s="68" t="s">
        <v>2624</v>
      </c>
      <c r="AL38" s="68" t="s">
        <v>2624</v>
      </c>
      <c r="AM38" s="68" t="s">
        <v>2624</v>
      </c>
      <c r="AN38" s="68" t="s">
        <v>2624</v>
      </c>
      <c r="AO38" s="68" t="s">
        <v>2624</v>
      </c>
      <c r="AP38" s="70" t="s">
        <v>649</v>
      </c>
      <c r="AQ38" s="71" t="s">
        <v>649</v>
      </c>
      <c r="AR38" s="71" t="s">
        <v>649</v>
      </c>
      <c r="AS38" s="71" t="s">
        <v>649</v>
      </c>
      <c r="AT38" s="69" t="s">
        <v>13</v>
      </c>
      <c r="AU38" s="68" t="s">
        <v>2624</v>
      </c>
      <c r="AV38" s="68" t="s">
        <v>2624</v>
      </c>
      <c r="AW38" s="68" t="s">
        <v>2624</v>
      </c>
      <c r="AX38" s="68" t="s">
        <v>2624</v>
      </c>
      <c r="AY38" s="68" t="s">
        <v>2624</v>
      </c>
      <c r="AZ38" s="68" t="s">
        <v>2624</v>
      </c>
      <c r="BA38" s="68" t="s">
        <v>2624</v>
      </c>
      <c r="BB38" s="68" t="s">
        <v>2624</v>
      </c>
      <c r="BC38" s="68" t="s">
        <v>2624</v>
      </c>
      <c r="BD38" s="68" t="s">
        <v>2624</v>
      </c>
      <c r="BE38" s="68" t="s">
        <v>2624</v>
      </c>
      <c r="BF38" s="68" t="s">
        <v>2624</v>
      </c>
      <c r="BG38" s="68" t="s">
        <v>2624</v>
      </c>
      <c r="BH38" s="44" t="s">
        <v>649</v>
      </c>
      <c r="BI38" s="44" t="s">
        <v>649</v>
      </c>
      <c r="BJ38" s="68" t="s">
        <v>2624</v>
      </c>
      <c r="BK38" s="44" t="s">
        <v>649</v>
      </c>
      <c r="BL38" s="44" t="e">
        <v>#VALUE!</v>
      </c>
      <c r="BM38" s="44" t="e">
        <v>#VALUE!</v>
      </c>
      <c r="BN38" s="44" t="e">
        <v>#VALUE!</v>
      </c>
      <c r="BO38" s="44" t="e">
        <v>#VALUE!</v>
      </c>
      <c r="BP38" s="44" t="e">
        <v>#VALUE!</v>
      </c>
      <c r="BQ38" s="44" t="e">
        <v>#VALUE!</v>
      </c>
      <c r="BR38" s="44" t="s">
        <v>647</v>
      </c>
      <c r="BS38" s="48" t="e">
        <v>#VALUE!</v>
      </c>
      <c r="BT38" s="48" t="e">
        <v>#VALUE!</v>
      </c>
      <c r="BU38" s="48" t="e">
        <v>#VALUE!</v>
      </c>
      <c r="BV38" s="48" t="e">
        <v>#VALUE!</v>
      </c>
      <c r="BW38" s="48" t="e">
        <v>#VALUE!</v>
      </c>
      <c r="BX38" s="48" t="e">
        <v>#VALUE!</v>
      </c>
      <c r="BY38" s="48" t="e">
        <v>#VALUE!</v>
      </c>
      <c r="BZ38" s="48" t="e">
        <v>#VALUE!</v>
      </c>
      <c r="CB38" s="44">
        <v>2</v>
      </c>
      <c r="CC38" s="10" t="s">
        <v>269</v>
      </c>
      <c r="CD38" s="10" t="s">
        <v>268</v>
      </c>
      <c r="CE38" s="46">
        <v>42766</v>
      </c>
    </row>
    <row r="39" spans="1:83" s="44" customFormat="1" ht="12.75">
      <c r="A39" s="45" t="s">
        <v>649</v>
      </c>
      <c r="B39" s="67" t="s">
        <v>649</v>
      </c>
      <c r="C39" s="45" t="s">
        <v>649</v>
      </c>
      <c r="D39" s="45" t="s">
        <v>649</v>
      </c>
      <c r="E39" s="66" t="s">
        <v>649</v>
      </c>
      <c r="F39" s="66" t="s">
        <v>649</v>
      </c>
      <c r="G39" s="66" t="s">
        <v>649</v>
      </c>
      <c r="H39" s="68" t="s">
        <v>649</v>
      </c>
      <c r="I39" s="68" t="s">
        <v>2624</v>
      </c>
      <c r="J39" s="68" t="s">
        <v>2624</v>
      </c>
      <c r="K39" s="68" t="s">
        <v>2624</v>
      </c>
      <c r="L39" s="68" t="s">
        <v>2624</v>
      </c>
      <c r="M39" s="68" t="s">
        <v>2624</v>
      </c>
      <c r="N39" s="68" t="s">
        <v>2624</v>
      </c>
      <c r="O39" s="68" t="s">
        <v>2624</v>
      </c>
      <c r="P39" s="68" t="s">
        <v>2624</v>
      </c>
      <c r="Q39" s="68" t="s">
        <v>649</v>
      </c>
      <c r="R39" s="68" t="s">
        <v>2624</v>
      </c>
      <c r="S39" s="68" t="s">
        <v>2624</v>
      </c>
      <c r="T39" s="68" t="s">
        <v>649</v>
      </c>
      <c r="U39" s="68" t="s">
        <v>2624</v>
      </c>
      <c r="V39" s="68" t="s">
        <v>2624</v>
      </c>
      <c r="W39" s="68" t="s">
        <v>2624</v>
      </c>
      <c r="X39" s="68" t="s">
        <v>2624</v>
      </c>
      <c r="Y39" s="68" t="s">
        <v>2624</v>
      </c>
      <c r="Z39" s="68" t="s">
        <v>649</v>
      </c>
      <c r="AA39" s="68" t="s">
        <v>2624</v>
      </c>
      <c r="AB39" s="68" t="s">
        <v>2624</v>
      </c>
      <c r="AC39" s="68" t="s">
        <v>649</v>
      </c>
      <c r="AD39" s="68" t="s">
        <v>2624</v>
      </c>
      <c r="AE39" s="68" t="s">
        <v>2624</v>
      </c>
      <c r="AF39" s="69" t="s">
        <v>13</v>
      </c>
      <c r="AG39" s="69" t="s">
        <v>13</v>
      </c>
      <c r="AH39" s="69" t="s">
        <v>13</v>
      </c>
      <c r="AI39" s="69" t="s">
        <v>13</v>
      </c>
      <c r="AJ39" s="68" t="s">
        <v>2624</v>
      </c>
      <c r="AK39" s="68" t="s">
        <v>2624</v>
      </c>
      <c r="AL39" s="68" t="s">
        <v>2624</v>
      </c>
      <c r="AM39" s="68" t="s">
        <v>2624</v>
      </c>
      <c r="AN39" s="68" t="s">
        <v>2624</v>
      </c>
      <c r="AO39" s="68" t="s">
        <v>2624</v>
      </c>
      <c r="AP39" s="70" t="s">
        <v>649</v>
      </c>
      <c r="AQ39" s="71" t="s">
        <v>649</v>
      </c>
      <c r="AR39" s="71" t="s">
        <v>649</v>
      </c>
      <c r="AS39" s="71" t="s">
        <v>649</v>
      </c>
      <c r="AT39" s="69" t="s">
        <v>13</v>
      </c>
      <c r="AU39" s="68" t="s">
        <v>2624</v>
      </c>
      <c r="AV39" s="68" t="s">
        <v>2624</v>
      </c>
      <c r="AW39" s="68" t="s">
        <v>2624</v>
      </c>
      <c r="AX39" s="68" t="s">
        <v>2624</v>
      </c>
      <c r="AY39" s="68" t="s">
        <v>2624</v>
      </c>
      <c r="AZ39" s="68" t="s">
        <v>2624</v>
      </c>
      <c r="BA39" s="68" t="s">
        <v>2624</v>
      </c>
      <c r="BB39" s="68" t="s">
        <v>2624</v>
      </c>
      <c r="BC39" s="68" t="s">
        <v>2624</v>
      </c>
      <c r="BD39" s="68" t="s">
        <v>2624</v>
      </c>
      <c r="BE39" s="68" t="s">
        <v>2624</v>
      </c>
      <c r="BF39" s="68" t="s">
        <v>2624</v>
      </c>
      <c r="BG39" s="68" t="s">
        <v>2624</v>
      </c>
      <c r="BH39" s="44" t="s">
        <v>649</v>
      </c>
      <c r="BI39" s="44" t="s">
        <v>649</v>
      </c>
      <c r="BJ39" s="68" t="s">
        <v>2624</v>
      </c>
      <c r="BK39" s="44" t="s">
        <v>649</v>
      </c>
      <c r="BL39" s="44" t="e">
        <v>#VALUE!</v>
      </c>
      <c r="BM39" s="44" t="e">
        <v>#VALUE!</v>
      </c>
      <c r="BN39" s="44" t="e">
        <v>#VALUE!</v>
      </c>
      <c r="BO39" s="44" t="e">
        <v>#VALUE!</v>
      </c>
      <c r="BP39" s="44" t="e">
        <v>#VALUE!</v>
      </c>
      <c r="BQ39" s="44" t="e">
        <v>#VALUE!</v>
      </c>
      <c r="BR39" s="44" t="s">
        <v>647</v>
      </c>
      <c r="BS39" s="48" t="e">
        <v>#VALUE!</v>
      </c>
      <c r="BT39" s="48" t="e">
        <v>#VALUE!</v>
      </c>
      <c r="BU39" s="48" t="e">
        <v>#VALUE!</v>
      </c>
      <c r="BV39" s="48" t="e">
        <v>#VALUE!</v>
      </c>
      <c r="BW39" s="48" t="e">
        <v>#VALUE!</v>
      </c>
      <c r="BX39" s="48" t="e">
        <v>#VALUE!</v>
      </c>
      <c r="BY39" s="48" t="e">
        <v>#VALUE!</v>
      </c>
      <c r="BZ39" s="48" t="e">
        <v>#VALUE!</v>
      </c>
      <c r="CB39" s="44">
        <v>2</v>
      </c>
      <c r="CC39" s="10" t="s">
        <v>269</v>
      </c>
      <c r="CD39" s="10" t="s">
        <v>268</v>
      </c>
      <c r="CE39" s="46">
        <v>42766</v>
      </c>
    </row>
    <row r="40" spans="1:83" s="44" customFormat="1" ht="12.75">
      <c r="A40" s="45" t="s">
        <v>649</v>
      </c>
      <c r="B40" s="67" t="s">
        <v>649</v>
      </c>
      <c r="C40" s="45" t="s">
        <v>649</v>
      </c>
      <c r="D40" s="45" t="s">
        <v>649</v>
      </c>
      <c r="E40" s="66" t="s">
        <v>649</v>
      </c>
      <c r="F40" s="66" t="s">
        <v>649</v>
      </c>
      <c r="G40" s="66" t="s">
        <v>649</v>
      </c>
      <c r="H40" s="68" t="s">
        <v>649</v>
      </c>
      <c r="I40" s="68" t="s">
        <v>2624</v>
      </c>
      <c r="J40" s="68" t="s">
        <v>2624</v>
      </c>
      <c r="K40" s="68" t="s">
        <v>2624</v>
      </c>
      <c r="L40" s="68" t="s">
        <v>2624</v>
      </c>
      <c r="M40" s="68" t="s">
        <v>2624</v>
      </c>
      <c r="N40" s="68" t="s">
        <v>2624</v>
      </c>
      <c r="O40" s="68" t="s">
        <v>2624</v>
      </c>
      <c r="P40" s="68" t="s">
        <v>2624</v>
      </c>
      <c r="Q40" s="68" t="s">
        <v>649</v>
      </c>
      <c r="R40" s="68" t="s">
        <v>2624</v>
      </c>
      <c r="S40" s="68" t="s">
        <v>2624</v>
      </c>
      <c r="T40" s="68" t="s">
        <v>649</v>
      </c>
      <c r="U40" s="68" t="s">
        <v>2624</v>
      </c>
      <c r="V40" s="68" t="s">
        <v>2624</v>
      </c>
      <c r="W40" s="68" t="s">
        <v>2624</v>
      </c>
      <c r="X40" s="68" t="s">
        <v>2624</v>
      </c>
      <c r="Y40" s="68" t="s">
        <v>2624</v>
      </c>
      <c r="Z40" s="68" t="s">
        <v>649</v>
      </c>
      <c r="AA40" s="68" t="s">
        <v>2624</v>
      </c>
      <c r="AB40" s="68" t="s">
        <v>2624</v>
      </c>
      <c r="AC40" s="68" t="s">
        <v>649</v>
      </c>
      <c r="AD40" s="68" t="s">
        <v>2624</v>
      </c>
      <c r="AE40" s="68" t="s">
        <v>2624</v>
      </c>
      <c r="AF40" s="69" t="s">
        <v>13</v>
      </c>
      <c r="AG40" s="69" t="s">
        <v>13</v>
      </c>
      <c r="AH40" s="69" t="s">
        <v>13</v>
      </c>
      <c r="AI40" s="69" t="s">
        <v>13</v>
      </c>
      <c r="AJ40" s="68" t="s">
        <v>2624</v>
      </c>
      <c r="AK40" s="68" t="s">
        <v>2624</v>
      </c>
      <c r="AL40" s="68" t="s">
        <v>2624</v>
      </c>
      <c r="AM40" s="68" t="s">
        <v>2624</v>
      </c>
      <c r="AN40" s="68" t="s">
        <v>2624</v>
      </c>
      <c r="AO40" s="68" t="s">
        <v>2624</v>
      </c>
      <c r="AP40" s="70" t="s">
        <v>649</v>
      </c>
      <c r="AQ40" s="71" t="s">
        <v>649</v>
      </c>
      <c r="AR40" s="71" t="s">
        <v>649</v>
      </c>
      <c r="AS40" s="71" t="s">
        <v>649</v>
      </c>
      <c r="AT40" s="69" t="s">
        <v>13</v>
      </c>
      <c r="AU40" s="68" t="s">
        <v>2624</v>
      </c>
      <c r="AV40" s="68" t="s">
        <v>2624</v>
      </c>
      <c r="AW40" s="68" t="s">
        <v>2624</v>
      </c>
      <c r="AX40" s="68" t="s">
        <v>2624</v>
      </c>
      <c r="AY40" s="68" t="s">
        <v>2624</v>
      </c>
      <c r="AZ40" s="68" t="s">
        <v>2624</v>
      </c>
      <c r="BA40" s="68" t="s">
        <v>2624</v>
      </c>
      <c r="BB40" s="68" t="s">
        <v>2624</v>
      </c>
      <c r="BC40" s="68" t="s">
        <v>2624</v>
      </c>
      <c r="BD40" s="68" t="s">
        <v>2624</v>
      </c>
      <c r="BE40" s="68" t="s">
        <v>2624</v>
      </c>
      <c r="BF40" s="68" t="s">
        <v>2624</v>
      </c>
      <c r="BG40" s="68" t="s">
        <v>2624</v>
      </c>
      <c r="BH40" s="44" t="s">
        <v>649</v>
      </c>
      <c r="BI40" s="44" t="s">
        <v>649</v>
      </c>
      <c r="BJ40" s="68" t="s">
        <v>2624</v>
      </c>
      <c r="BK40" s="44" t="s">
        <v>649</v>
      </c>
      <c r="BL40" s="44" t="e">
        <v>#VALUE!</v>
      </c>
      <c r="BM40" s="44" t="e">
        <v>#VALUE!</v>
      </c>
      <c r="BN40" s="44" t="e">
        <v>#VALUE!</v>
      </c>
      <c r="BO40" s="44" t="e">
        <v>#VALUE!</v>
      </c>
      <c r="BP40" s="44" t="e">
        <v>#VALUE!</v>
      </c>
      <c r="BQ40" s="44" t="e">
        <v>#VALUE!</v>
      </c>
      <c r="BR40" s="44" t="s">
        <v>647</v>
      </c>
      <c r="BS40" s="48" t="e">
        <v>#VALUE!</v>
      </c>
      <c r="BT40" s="48" t="e">
        <v>#VALUE!</v>
      </c>
      <c r="BU40" s="48" t="e">
        <v>#VALUE!</v>
      </c>
      <c r="BV40" s="48" t="e">
        <v>#VALUE!</v>
      </c>
      <c r="BW40" s="48" t="e">
        <v>#VALUE!</v>
      </c>
      <c r="BX40" s="48" t="e">
        <v>#VALUE!</v>
      </c>
      <c r="BY40" s="48" t="e">
        <v>#VALUE!</v>
      </c>
      <c r="BZ40" s="48" t="e">
        <v>#VALUE!</v>
      </c>
      <c r="CB40" s="44">
        <v>2</v>
      </c>
      <c r="CC40" s="10" t="s">
        <v>269</v>
      </c>
      <c r="CD40" s="10" t="s">
        <v>268</v>
      </c>
      <c r="CE40" s="46">
        <v>42766</v>
      </c>
    </row>
    <row r="41" spans="1:83" s="44" customFormat="1" ht="12.75">
      <c r="A41" s="45" t="s">
        <v>649</v>
      </c>
      <c r="B41" s="67" t="s">
        <v>649</v>
      </c>
      <c r="C41" s="45" t="s">
        <v>649</v>
      </c>
      <c r="D41" s="45" t="s">
        <v>649</v>
      </c>
      <c r="E41" s="66" t="s">
        <v>649</v>
      </c>
      <c r="F41" s="66" t="s">
        <v>649</v>
      </c>
      <c r="G41" s="66" t="s">
        <v>649</v>
      </c>
      <c r="H41" s="68" t="s">
        <v>649</v>
      </c>
      <c r="I41" s="68" t="s">
        <v>2624</v>
      </c>
      <c r="J41" s="68" t="s">
        <v>2624</v>
      </c>
      <c r="K41" s="68" t="s">
        <v>2624</v>
      </c>
      <c r="L41" s="68" t="s">
        <v>2624</v>
      </c>
      <c r="M41" s="68" t="s">
        <v>2624</v>
      </c>
      <c r="N41" s="68" t="s">
        <v>2624</v>
      </c>
      <c r="O41" s="68" t="s">
        <v>2624</v>
      </c>
      <c r="P41" s="68" t="s">
        <v>2624</v>
      </c>
      <c r="Q41" s="68" t="s">
        <v>649</v>
      </c>
      <c r="R41" s="68" t="s">
        <v>2624</v>
      </c>
      <c r="S41" s="68" t="s">
        <v>2624</v>
      </c>
      <c r="T41" s="68" t="s">
        <v>649</v>
      </c>
      <c r="U41" s="68" t="s">
        <v>2624</v>
      </c>
      <c r="V41" s="68" t="s">
        <v>2624</v>
      </c>
      <c r="W41" s="68" t="s">
        <v>2624</v>
      </c>
      <c r="X41" s="68" t="s">
        <v>2624</v>
      </c>
      <c r="Y41" s="68" t="s">
        <v>2624</v>
      </c>
      <c r="Z41" s="68" t="s">
        <v>649</v>
      </c>
      <c r="AA41" s="68" t="s">
        <v>2624</v>
      </c>
      <c r="AB41" s="68" t="s">
        <v>2624</v>
      </c>
      <c r="AC41" s="68" t="s">
        <v>649</v>
      </c>
      <c r="AD41" s="68" t="s">
        <v>2624</v>
      </c>
      <c r="AE41" s="68" t="s">
        <v>2624</v>
      </c>
      <c r="AF41" s="69" t="s">
        <v>13</v>
      </c>
      <c r="AG41" s="69" t="s">
        <v>13</v>
      </c>
      <c r="AH41" s="69" t="s">
        <v>13</v>
      </c>
      <c r="AI41" s="69" t="s">
        <v>13</v>
      </c>
      <c r="AJ41" s="68" t="s">
        <v>2624</v>
      </c>
      <c r="AK41" s="68" t="s">
        <v>2624</v>
      </c>
      <c r="AL41" s="68" t="s">
        <v>2624</v>
      </c>
      <c r="AM41" s="68" t="s">
        <v>2624</v>
      </c>
      <c r="AN41" s="68" t="s">
        <v>2624</v>
      </c>
      <c r="AO41" s="68" t="s">
        <v>2624</v>
      </c>
      <c r="AP41" s="70" t="s">
        <v>649</v>
      </c>
      <c r="AQ41" s="71" t="s">
        <v>649</v>
      </c>
      <c r="AR41" s="71" t="s">
        <v>649</v>
      </c>
      <c r="AS41" s="71" t="s">
        <v>649</v>
      </c>
      <c r="AT41" s="69" t="s">
        <v>13</v>
      </c>
      <c r="AU41" s="68" t="s">
        <v>2624</v>
      </c>
      <c r="AV41" s="68" t="s">
        <v>2624</v>
      </c>
      <c r="AW41" s="68" t="s">
        <v>2624</v>
      </c>
      <c r="AX41" s="68" t="s">
        <v>2624</v>
      </c>
      <c r="AY41" s="68" t="s">
        <v>2624</v>
      </c>
      <c r="AZ41" s="68" t="s">
        <v>2624</v>
      </c>
      <c r="BA41" s="68" t="s">
        <v>2624</v>
      </c>
      <c r="BB41" s="68" t="s">
        <v>2624</v>
      </c>
      <c r="BC41" s="68" t="s">
        <v>2624</v>
      </c>
      <c r="BD41" s="68" t="s">
        <v>2624</v>
      </c>
      <c r="BE41" s="68" t="s">
        <v>2624</v>
      </c>
      <c r="BF41" s="68" t="s">
        <v>2624</v>
      </c>
      <c r="BG41" s="68" t="s">
        <v>2624</v>
      </c>
      <c r="BH41" s="44" t="s">
        <v>649</v>
      </c>
      <c r="BI41" s="44" t="s">
        <v>649</v>
      </c>
      <c r="BJ41" s="68" t="s">
        <v>2624</v>
      </c>
      <c r="BK41" s="44" t="s">
        <v>649</v>
      </c>
      <c r="BL41" s="44" t="e">
        <v>#VALUE!</v>
      </c>
      <c r="BM41" s="44" t="e">
        <v>#VALUE!</v>
      </c>
      <c r="BN41" s="44" t="e">
        <v>#VALUE!</v>
      </c>
      <c r="BO41" s="44" t="e">
        <v>#VALUE!</v>
      </c>
      <c r="BP41" s="44" t="e">
        <v>#VALUE!</v>
      </c>
      <c r="BQ41" s="44" t="e">
        <v>#VALUE!</v>
      </c>
      <c r="BR41" s="44" t="s">
        <v>647</v>
      </c>
      <c r="BS41" s="48" t="e">
        <v>#VALUE!</v>
      </c>
      <c r="BT41" s="48" t="e">
        <v>#VALUE!</v>
      </c>
      <c r="BU41" s="48" t="e">
        <v>#VALUE!</v>
      </c>
      <c r="BV41" s="48" t="e">
        <v>#VALUE!</v>
      </c>
      <c r="BW41" s="48" t="e">
        <v>#VALUE!</v>
      </c>
      <c r="BX41" s="48" t="e">
        <v>#VALUE!</v>
      </c>
      <c r="BY41" s="48" t="e">
        <v>#VALUE!</v>
      </c>
      <c r="BZ41" s="48" t="e">
        <v>#VALUE!</v>
      </c>
      <c r="CB41" s="44">
        <v>2</v>
      </c>
      <c r="CC41" s="10" t="s">
        <v>269</v>
      </c>
      <c r="CD41" s="10" t="s">
        <v>268</v>
      </c>
      <c r="CE41" s="46">
        <v>42766</v>
      </c>
    </row>
    <row r="42" spans="1:83" s="44" customFormat="1" ht="12.75">
      <c r="A42" s="45" t="s">
        <v>649</v>
      </c>
      <c r="B42" s="67" t="s">
        <v>649</v>
      </c>
      <c r="C42" s="45" t="s">
        <v>649</v>
      </c>
      <c r="D42" s="45" t="s">
        <v>649</v>
      </c>
      <c r="E42" s="66" t="s">
        <v>649</v>
      </c>
      <c r="F42" s="66" t="s">
        <v>649</v>
      </c>
      <c r="G42" s="66" t="s">
        <v>649</v>
      </c>
      <c r="H42" s="68" t="s">
        <v>649</v>
      </c>
      <c r="I42" s="68" t="s">
        <v>2624</v>
      </c>
      <c r="J42" s="68" t="s">
        <v>2624</v>
      </c>
      <c r="K42" s="68" t="s">
        <v>2624</v>
      </c>
      <c r="L42" s="68" t="s">
        <v>2624</v>
      </c>
      <c r="M42" s="68" t="s">
        <v>2624</v>
      </c>
      <c r="N42" s="68" t="s">
        <v>2624</v>
      </c>
      <c r="O42" s="68" t="s">
        <v>2624</v>
      </c>
      <c r="P42" s="68" t="s">
        <v>2624</v>
      </c>
      <c r="Q42" s="68" t="s">
        <v>649</v>
      </c>
      <c r="R42" s="68" t="s">
        <v>2624</v>
      </c>
      <c r="S42" s="68" t="s">
        <v>2624</v>
      </c>
      <c r="T42" s="68" t="s">
        <v>649</v>
      </c>
      <c r="U42" s="68" t="s">
        <v>2624</v>
      </c>
      <c r="V42" s="68" t="s">
        <v>2624</v>
      </c>
      <c r="W42" s="68" t="s">
        <v>2624</v>
      </c>
      <c r="X42" s="68" t="s">
        <v>2624</v>
      </c>
      <c r="Y42" s="68" t="s">
        <v>2624</v>
      </c>
      <c r="Z42" s="68" t="s">
        <v>649</v>
      </c>
      <c r="AA42" s="68" t="s">
        <v>2624</v>
      </c>
      <c r="AB42" s="68" t="s">
        <v>2624</v>
      </c>
      <c r="AC42" s="68" t="s">
        <v>649</v>
      </c>
      <c r="AD42" s="68" t="s">
        <v>2624</v>
      </c>
      <c r="AE42" s="68" t="s">
        <v>2624</v>
      </c>
      <c r="AF42" s="69" t="s">
        <v>13</v>
      </c>
      <c r="AG42" s="69" t="s">
        <v>13</v>
      </c>
      <c r="AH42" s="69" t="s">
        <v>13</v>
      </c>
      <c r="AI42" s="69" t="s">
        <v>13</v>
      </c>
      <c r="AJ42" s="68" t="s">
        <v>2624</v>
      </c>
      <c r="AK42" s="68" t="s">
        <v>2624</v>
      </c>
      <c r="AL42" s="68" t="s">
        <v>2624</v>
      </c>
      <c r="AM42" s="68" t="s">
        <v>2624</v>
      </c>
      <c r="AN42" s="68" t="s">
        <v>2624</v>
      </c>
      <c r="AO42" s="68" t="s">
        <v>2624</v>
      </c>
      <c r="AP42" s="70" t="s">
        <v>649</v>
      </c>
      <c r="AQ42" s="71" t="s">
        <v>649</v>
      </c>
      <c r="AR42" s="71" t="s">
        <v>649</v>
      </c>
      <c r="AS42" s="71" t="s">
        <v>649</v>
      </c>
      <c r="AT42" s="69" t="s">
        <v>13</v>
      </c>
      <c r="AU42" s="68" t="s">
        <v>2624</v>
      </c>
      <c r="AV42" s="68" t="s">
        <v>2624</v>
      </c>
      <c r="AW42" s="68" t="s">
        <v>2624</v>
      </c>
      <c r="AX42" s="68" t="s">
        <v>2624</v>
      </c>
      <c r="AY42" s="68" t="s">
        <v>2624</v>
      </c>
      <c r="AZ42" s="68" t="s">
        <v>2624</v>
      </c>
      <c r="BA42" s="68" t="s">
        <v>2624</v>
      </c>
      <c r="BB42" s="68" t="s">
        <v>2624</v>
      </c>
      <c r="BC42" s="68" t="s">
        <v>2624</v>
      </c>
      <c r="BD42" s="68" t="s">
        <v>2624</v>
      </c>
      <c r="BE42" s="68" t="s">
        <v>2624</v>
      </c>
      <c r="BF42" s="68" t="s">
        <v>2624</v>
      </c>
      <c r="BG42" s="68" t="s">
        <v>2624</v>
      </c>
      <c r="BH42" s="44" t="s">
        <v>649</v>
      </c>
      <c r="BI42" s="44" t="s">
        <v>649</v>
      </c>
      <c r="BJ42" s="68" t="s">
        <v>2624</v>
      </c>
      <c r="BK42" s="44" t="s">
        <v>649</v>
      </c>
      <c r="BL42" s="44" t="e">
        <v>#VALUE!</v>
      </c>
      <c r="BM42" s="44" t="e">
        <v>#VALUE!</v>
      </c>
      <c r="BN42" s="44" t="e">
        <v>#VALUE!</v>
      </c>
      <c r="BO42" s="44" t="e">
        <v>#VALUE!</v>
      </c>
      <c r="BP42" s="44" t="e">
        <v>#VALUE!</v>
      </c>
      <c r="BQ42" s="44" t="e">
        <v>#VALUE!</v>
      </c>
      <c r="BR42" s="44" t="s">
        <v>647</v>
      </c>
      <c r="BS42" s="48" t="e">
        <v>#VALUE!</v>
      </c>
      <c r="BT42" s="48" t="e">
        <v>#VALUE!</v>
      </c>
      <c r="BU42" s="48" t="e">
        <v>#VALUE!</v>
      </c>
      <c r="BV42" s="48" t="e">
        <v>#VALUE!</v>
      </c>
      <c r="BW42" s="48" t="e">
        <v>#VALUE!</v>
      </c>
      <c r="BX42" s="48" t="e">
        <v>#VALUE!</v>
      </c>
      <c r="BY42" s="48" t="e">
        <v>#VALUE!</v>
      </c>
      <c r="BZ42" s="48" t="e">
        <v>#VALUE!</v>
      </c>
      <c r="CB42" s="44">
        <v>2</v>
      </c>
      <c r="CC42" s="10" t="s">
        <v>269</v>
      </c>
      <c r="CD42" s="10" t="s">
        <v>268</v>
      </c>
      <c r="CE42" s="46">
        <v>42766</v>
      </c>
    </row>
    <row r="43" spans="1:83">
      <c r="A43" s="65" t="s">
        <v>2375</v>
      </c>
      <c r="E43" s="66"/>
      <c r="F43" s="66"/>
      <c r="G43" s="66"/>
      <c r="H43" s="68"/>
      <c r="I43" s="68"/>
      <c r="K43" s="68"/>
      <c r="M43" s="68"/>
      <c r="N43" s="68"/>
      <c r="O43" s="68"/>
      <c r="P43" s="68"/>
      <c r="Q43" s="68"/>
      <c r="R43" s="68"/>
      <c r="S43" s="68"/>
      <c r="U43" s="68"/>
      <c r="V43" s="68"/>
      <c r="W43" s="68"/>
      <c r="X43" s="68"/>
      <c r="Y43" s="68"/>
      <c r="Z43" s="68"/>
      <c r="AA43" s="68"/>
      <c r="AB43" s="68"/>
      <c r="AC43" s="68"/>
      <c r="AE43" s="68"/>
      <c r="AF43" s="69"/>
      <c r="AG43" s="69"/>
      <c r="AH43" s="69"/>
      <c r="AI43" s="69"/>
      <c r="AJ43" s="68"/>
      <c r="AK43" s="68"/>
      <c r="AL43" s="68"/>
      <c r="AM43" s="68"/>
      <c r="AN43" s="68"/>
      <c r="AO43" s="68"/>
      <c r="AP43" s="70"/>
      <c r="AQ43" s="71"/>
      <c r="AR43" s="71"/>
      <c r="AS43" s="71"/>
      <c r="AU43" s="68"/>
      <c r="AV43" s="68"/>
      <c r="AW43" s="68"/>
      <c r="AX43" s="68"/>
      <c r="AY43" s="68"/>
      <c r="AZ43" s="68"/>
      <c r="BA43" s="68"/>
      <c r="BB43" s="68"/>
      <c r="BC43" s="68"/>
      <c r="BD43" s="68"/>
      <c r="BE43" s="68" t="s">
        <v>2625</v>
      </c>
      <c r="BF43" s="68"/>
      <c r="BG43" s="68"/>
      <c r="BH43" s="41"/>
      <c r="BI43" s="41"/>
      <c r="BJ43" s="68"/>
      <c r="BK43" s="41"/>
      <c r="BL43" s="41"/>
      <c r="BM43" s="41"/>
      <c r="BN43" s="41"/>
      <c r="BO43" s="41"/>
      <c r="BP43" s="41"/>
      <c r="BQ43" s="41"/>
      <c r="BR43" s="41"/>
      <c r="BS43" s="41"/>
      <c r="BT43" s="41"/>
      <c r="BU43" s="41"/>
      <c r="BV43" s="41"/>
      <c r="BW43" s="41"/>
      <c r="BX43" s="41"/>
      <c r="BY43" s="41"/>
      <c r="BZ43" s="41"/>
    </row>
    <row r="44" spans="1:83">
      <c r="A44" s="45" t="s">
        <v>649</v>
      </c>
      <c r="B44" s="67" t="s">
        <v>649</v>
      </c>
      <c r="C44" s="45" t="s">
        <v>649</v>
      </c>
      <c r="D44" s="45" t="s">
        <v>649</v>
      </c>
      <c r="E44" s="66" t="s">
        <v>649</v>
      </c>
      <c r="F44" s="66" t="s">
        <v>649</v>
      </c>
      <c r="G44" s="66" t="s">
        <v>649</v>
      </c>
      <c r="H44" s="68" t="s">
        <v>2624</v>
      </c>
      <c r="I44" s="68" t="s">
        <v>2624</v>
      </c>
      <c r="J44" s="66" t="s">
        <v>2624</v>
      </c>
      <c r="K44" s="68" t="s">
        <v>2624</v>
      </c>
      <c r="L44" s="68" t="s">
        <v>2624</v>
      </c>
      <c r="M44" s="68" t="s">
        <v>2624</v>
      </c>
      <c r="N44" s="68" t="s">
        <v>2624</v>
      </c>
      <c r="O44" s="68" t="s">
        <v>2624</v>
      </c>
      <c r="P44" s="68" t="s">
        <v>2624</v>
      </c>
      <c r="Q44" s="68" t="s">
        <v>2624</v>
      </c>
      <c r="R44" s="68" t="s">
        <v>2624</v>
      </c>
      <c r="S44" s="68" t="s">
        <v>2624</v>
      </c>
      <c r="T44" s="68" t="s">
        <v>2624</v>
      </c>
      <c r="U44" s="68" t="s">
        <v>2624</v>
      </c>
      <c r="V44" s="68" t="s">
        <v>2624</v>
      </c>
      <c r="W44" s="68" t="s">
        <v>2624</v>
      </c>
      <c r="X44" s="68" t="s">
        <v>2624</v>
      </c>
      <c r="Y44" s="68" t="s">
        <v>2624</v>
      </c>
      <c r="Z44" s="68" t="s">
        <v>2624</v>
      </c>
      <c r="AA44" s="68" t="s">
        <v>2624</v>
      </c>
      <c r="AB44" s="68" t="s">
        <v>2624</v>
      </c>
      <c r="AC44" s="68" t="s">
        <v>2624</v>
      </c>
      <c r="AD44" s="45" t="s">
        <v>649</v>
      </c>
      <c r="AE44" s="68" t="s">
        <v>2624</v>
      </c>
      <c r="AF44" s="69" t="s">
        <v>13</v>
      </c>
      <c r="AG44" s="69" t="s">
        <v>13</v>
      </c>
      <c r="AH44" s="69" t="s">
        <v>13</v>
      </c>
      <c r="AI44" s="69" t="s">
        <v>13</v>
      </c>
      <c r="AJ44" s="68" t="s">
        <v>2624</v>
      </c>
      <c r="AK44" s="68" t="s">
        <v>2624</v>
      </c>
      <c r="AL44" s="68" t="s">
        <v>2624</v>
      </c>
      <c r="AM44" s="68" t="s">
        <v>2624</v>
      </c>
      <c r="AN44" s="68" t="s">
        <v>2624</v>
      </c>
      <c r="AO44" s="68" t="s">
        <v>2624</v>
      </c>
      <c r="AP44" s="70" t="s">
        <v>649</v>
      </c>
      <c r="AQ44" s="71" t="s">
        <v>649</v>
      </c>
      <c r="AR44" s="71" t="s">
        <v>649</v>
      </c>
      <c r="AS44" s="71" t="s">
        <v>649</v>
      </c>
      <c r="AT44" s="45" t="s">
        <v>13</v>
      </c>
      <c r="AU44" s="68" t="s">
        <v>2624</v>
      </c>
      <c r="AV44" s="68" t="s">
        <v>2624</v>
      </c>
      <c r="AW44" s="68" t="s">
        <v>2624</v>
      </c>
      <c r="AX44" s="68" t="s">
        <v>2624</v>
      </c>
      <c r="AY44" s="68" t="s">
        <v>2624</v>
      </c>
      <c r="AZ44" s="68" t="s">
        <v>2624</v>
      </c>
      <c r="BA44" s="68" t="s">
        <v>2624</v>
      </c>
      <c r="BB44" s="68" t="s">
        <v>2624</v>
      </c>
      <c r="BC44" s="68" t="s">
        <v>2624</v>
      </c>
      <c r="BD44" s="68" t="s">
        <v>2624</v>
      </c>
      <c r="BE44" s="68" t="s">
        <v>2624</v>
      </c>
      <c r="BF44" s="68" t="s">
        <v>2624</v>
      </c>
      <c r="BG44" s="68" t="s">
        <v>2624</v>
      </c>
      <c r="BH44" s="44" t="s">
        <v>649</v>
      </c>
      <c r="BI44" s="44" t="s">
        <v>649</v>
      </c>
      <c r="BJ44" s="68" t="s">
        <v>2624</v>
      </c>
      <c r="BK44" s="44" t="s">
        <v>649</v>
      </c>
      <c r="BL44" s="44" t="e">
        <v>#VALUE!</v>
      </c>
      <c r="BM44" s="44" t="e">
        <v>#VALUE!</v>
      </c>
      <c r="BN44" s="44" t="e">
        <v>#VALUE!</v>
      </c>
      <c r="BO44" s="44" t="e">
        <v>#VALUE!</v>
      </c>
      <c r="BP44" s="44" t="e">
        <v>#VALUE!</v>
      </c>
      <c r="BQ44" s="44" t="e">
        <v>#VALUE!</v>
      </c>
      <c r="BR44" s="44" t="s">
        <v>647</v>
      </c>
      <c r="BS44" s="48" t="e">
        <v>#VALUE!</v>
      </c>
      <c r="BT44" s="48" t="e">
        <v>#VALUE!</v>
      </c>
      <c r="BU44" s="48" t="e">
        <v>#VALUE!</v>
      </c>
      <c r="BV44" s="48" t="e">
        <v>#VALUE!</v>
      </c>
      <c r="BW44" s="48" t="e">
        <v>#VALUE!</v>
      </c>
      <c r="BX44" s="48" t="e">
        <v>#VALUE!</v>
      </c>
      <c r="BY44" s="48" t="e">
        <v>#VALUE!</v>
      </c>
      <c r="BZ44" s="48" t="e">
        <v>#VALUE!</v>
      </c>
    </row>
    <row r="45" spans="1:83">
      <c r="A45" s="45" t="s">
        <v>649</v>
      </c>
      <c r="B45" s="67" t="s">
        <v>649</v>
      </c>
      <c r="C45" s="45" t="s">
        <v>649</v>
      </c>
      <c r="D45" s="45" t="s">
        <v>649</v>
      </c>
      <c r="E45" s="66" t="s">
        <v>649</v>
      </c>
      <c r="F45" s="66" t="s">
        <v>649</v>
      </c>
      <c r="G45" s="66" t="s">
        <v>649</v>
      </c>
      <c r="H45" s="68" t="s">
        <v>2624</v>
      </c>
      <c r="I45" s="68" t="s">
        <v>2624</v>
      </c>
      <c r="J45" s="66" t="s">
        <v>2624</v>
      </c>
      <c r="K45" s="68" t="s">
        <v>2624</v>
      </c>
      <c r="L45" s="68" t="s">
        <v>2624</v>
      </c>
      <c r="M45" s="68" t="s">
        <v>2624</v>
      </c>
      <c r="N45" s="68" t="s">
        <v>2624</v>
      </c>
      <c r="O45" s="68" t="s">
        <v>2624</v>
      </c>
      <c r="P45" s="68" t="s">
        <v>2624</v>
      </c>
      <c r="Q45" s="68" t="s">
        <v>2624</v>
      </c>
      <c r="R45" s="68" t="s">
        <v>2624</v>
      </c>
      <c r="S45" s="68" t="s">
        <v>2624</v>
      </c>
      <c r="T45" s="68" t="s">
        <v>2624</v>
      </c>
      <c r="U45" s="68" t="s">
        <v>2624</v>
      </c>
      <c r="V45" s="68" t="s">
        <v>2624</v>
      </c>
      <c r="W45" s="68" t="s">
        <v>2624</v>
      </c>
      <c r="X45" s="68" t="s">
        <v>2624</v>
      </c>
      <c r="Y45" s="68" t="s">
        <v>2624</v>
      </c>
      <c r="Z45" s="68" t="s">
        <v>2624</v>
      </c>
      <c r="AA45" s="68" t="s">
        <v>2624</v>
      </c>
      <c r="AB45" s="68" t="s">
        <v>2624</v>
      </c>
      <c r="AC45" s="68" t="s">
        <v>2624</v>
      </c>
      <c r="AD45" s="45" t="s">
        <v>649</v>
      </c>
      <c r="AE45" s="68" t="s">
        <v>2624</v>
      </c>
      <c r="AF45" s="69" t="s">
        <v>13</v>
      </c>
      <c r="AG45" s="69" t="s">
        <v>13</v>
      </c>
      <c r="AH45" s="69" t="s">
        <v>13</v>
      </c>
      <c r="AI45" s="69" t="s">
        <v>13</v>
      </c>
      <c r="AJ45" s="68" t="s">
        <v>2624</v>
      </c>
      <c r="AK45" s="68" t="s">
        <v>2624</v>
      </c>
      <c r="AL45" s="68" t="s">
        <v>2624</v>
      </c>
      <c r="AM45" s="68" t="s">
        <v>2624</v>
      </c>
      <c r="AN45" s="68" t="s">
        <v>2624</v>
      </c>
      <c r="AO45" s="68" t="s">
        <v>2624</v>
      </c>
      <c r="AP45" s="70" t="s">
        <v>649</v>
      </c>
      <c r="AQ45" s="71" t="s">
        <v>649</v>
      </c>
      <c r="AR45" s="71" t="s">
        <v>649</v>
      </c>
      <c r="AS45" s="71" t="s">
        <v>649</v>
      </c>
      <c r="AT45" s="45" t="s">
        <v>13</v>
      </c>
      <c r="AU45" s="68" t="s">
        <v>2624</v>
      </c>
      <c r="AV45" s="68" t="s">
        <v>2624</v>
      </c>
      <c r="AW45" s="68" t="s">
        <v>2624</v>
      </c>
      <c r="AX45" s="68" t="s">
        <v>2624</v>
      </c>
      <c r="AY45" s="68" t="s">
        <v>2624</v>
      </c>
      <c r="AZ45" s="68" t="s">
        <v>2624</v>
      </c>
      <c r="BA45" s="68" t="s">
        <v>2624</v>
      </c>
      <c r="BB45" s="68" t="s">
        <v>2624</v>
      </c>
      <c r="BC45" s="68" t="s">
        <v>2624</v>
      </c>
      <c r="BD45" s="68" t="s">
        <v>2624</v>
      </c>
      <c r="BE45" s="68" t="s">
        <v>2624</v>
      </c>
      <c r="BF45" s="68" t="s">
        <v>2624</v>
      </c>
      <c r="BG45" s="68" t="s">
        <v>2624</v>
      </c>
      <c r="BH45" s="44" t="s">
        <v>649</v>
      </c>
      <c r="BI45" s="44" t="s">
        <v>649</v>
      </c>
      <c r="BJ45" s="68" t="s">
        <v>2624</v>
      </c>
      <c r="BK45" s="44" t="s">
        <v>649</v>
      </c>
      <c r="BL45" s="44" t="e">
        <v>#VALUE!</v>
      </c>
      <c r="BM45" s="44" t="e">
        <v>#VALUE!</v>
      </c>
      <c r="BN45" s="44" t="e">
        <v>#VALUE!</v>
      </c>
      <c r="BO45" s="44" t="e">
        <v>#VALUE!</v>
      </c>
      <c r="BP45" s="44" t="e">
        <v>#VALUE!</v>
      </c>
      <c r="BQ45" s="44" t="e">
        <v>#VALUE!</v>
      </c>
      <c r="BR45" s="44" t="s">
        <v>647</v>
      </c>
      <c r="BS45" s="48" t="e">
        <v>#VALUE!</v>
      </c>
      <c r="BT45" s="48" t="e">
        <v>#VALUE!</v>
      </c>
      <c r="BU45" s="48" t="e">
        <v>#VALUE!</v>
      </c>
      <c r="BV45" s="48" t="e">
        <v>#VALUE!</v>
      </c>
      <c r="BW45" s="48" t="e">
        <v>#VALUE!</v>
      </c>
      <c r="BX45" s="48" t="e">
        <v>#VALUE!</v>
      </c>
      <c r="BY45" s="48" t="e">
        <v>#VALUE!</v>
      </c>
      <c r="BZ45" s="48" t="e">
        <v>#VALUE!</v>
      </c>
    </row>
    <row r="46" spans="1:83">
      <c r="A46" s="45" t="s">
        <v>649</v>
      </c>
      <c r="B46" s="67" t="s">
        <v>649</v>
      </c>
      <c r="C46" s="45" t="s">
        <v>649</v>
      </c>
      <c r="D46" s="45" t="s">
        <v>649</v>
      </c>
      <c r="E46" s="66" t="s">
        <v>649</v>
      </c>
      <c r="F46" s="66" t="s">
        <v>649</v>
      </c>
      <c r="G46" s="66" t="s">
        <v>649</v>
      </c>
      <c r="H46" s="68" t="s">
        <v>2624</v>
      </c>
      <c r="I46" s="68" t="s">
        <v>2624</v>
      </c>
      <c r="J46" s="66" t="s">
        <v>2624</v>
      </c>
      <c r="K46" s="68" t="s">
        <v>2624</v>
      </c>
      <c r="L46" s="68" t="s">
        <v>2624</v>
      </c>
      <c r="M46" s="68" t="s">
        <v>2624</v>
      </c>
      <c r="N46" s="68" t="s">
        <v>2624</v>
      </c>
      <c r="O46" s="68" t="s">
        <v>2624</v>
      </c>
      <c r="P46" s="68" t="s">
        <v>2624</v>
      </c>
      <c r="Q46" s="68" t="s">
        <v>2624</v>
      </c>
      <c r="R46" s="68" t="s">
        <v>2624</v>
      </c>
      <c r="S46" s="68" t="s">
        <v>2624</v>
      </c>
      <c r="T46" s="68" t="s">
        <v>2624</v>
      </c>
      <c r="U46" s="68" t="s">
        <v>2624</v>
      </c>
      <c r="V46" s="68" t="s">
        <v>2624</v>
      </c>
      <c r="W46" s="68" t="s">
        <v>2624</v>
      </c>
      <c r="X46" s="68" t="s">
        <v>2624</v>
      </c>
      <c r="Y46" s="68" t="s">
        <v>2624</v>
      </c>
      <c r="Z46" s="68" t="s">
        <v>2624</v>
      </c>
      <c r="AA46" s="68" t="s">
        <v>2624</v>
      </c>
      <c r="AB46" s="68" t="s">
        <v>2624</v>
      </c>
      <c r="AC46" s="68" t="s">
        <v>2624</v>
      </c>
      <c r="AD46" s="45" t="s">
        <v>649</v>
      </c>
      <c r="AE46" s="68" t="s">
        <v>2624</v>
      </c>
      <c r="AF46" s="69" t="s">
        <v>13</v>
      </c>
      <c r="AG46" s="69" t="s">
        <v>13</v>
      </c>
      <c r="AH46" s="69" t="s">
        <v>13</v>
      </c>
      <c r="AI46" s="69" t="s">
        <v>13</v>
      </c>
      <c r="AJ46" s="68" t="s">
        <v>2624</v>
      </c>
      <c r="AK46" s="68" t="s">
        <v>2624</v>
      </c>
      <c r="AL46" s="68" t="s">
        <v>2624</v>
      </c>
      <c r="AM46" s="68" t="s">
        <v>2624</v>
      </c>
      <c r="AN46" s="68" t="s">
        <v>2624</v>
      </c>
      <c r="AO46" s="68" t="s">
        <v>2624</v>
      </c>
      <c r="AP46" s="70" t="s">
        <v>649</v>
      </c>
      <c r="AQ46" s="71" t="s">
        <v>649</v>
      </c>
      <c r="AR46" s="71" t="s">
        <v>649</v>
      </c>
      <c r="AS46" s="71" t="s">
        <v>649</v>
      </c>
      <c r="AT46" s="45" t="s">
        <v>13</v>
      </c>
      <c r="AU46" s="68" t="s">
        <v>2624</v>
      </c>
      <c r="AV46" s="68" t="s">
        <v>2624</v>
      </c>
      <c r="AW46" s="68" t="s">
        <v>2624</v>
      </c>
      <c r="AX46" s="68" t="s">
        <v>2624</v>
      </c>
      <c r="AY46" s="68" t="s">
        <v>2624</v>
      </c>
      <c r="AZ46" s="68" t="s">
        <v>2624</v>
      </c>
      <c r="BA46" s="68" t="s">
        <v>2624</v>
      </c>
      <c r="BB46" s="68" t="s">
        <v>2624</v>
      </c>
      <c r="BC46" s="68" t="s">
        <v>2624</v>
      </c>
      <c r="BD46" s="68" t="s">
        <v>2624</v>
      </c>
      <c r="BE46" s="68" t="s">
        <v>2624</v>
      </c>
      <c r="BF46" s="68" t="s">
        <v>2624</v>
      </c>
      <c r="BG46" s="68" t="s">
        <v>2624</v>
      </c>
      <c r="BH46" s="44" t="s">
        <v>649</v>
      </c>
      <c r="BI46" s="44" t="s">
        <v>649</v>
      </c>
      <c r="BJ46" s="68" t="s">
        <v>2624</v>
      </c>
      <c r="BK46" s="44" t="s">
        <v>649</v>
      </c>
      <c r="BL46" s="44" t="e">
        <v>#VALUE!</v>
      </c>
      <c r="BM46" s="44" t="e">
        <v>#VALUE!</v>
      </c>
      <c r="BN46" s="44" t="e">
        <v>#VALUE!</v>
      </c>
      <c r="BO46" s="44" t="e">
        <v>#VALUE!</v>
      </c>
      <c r="BP46" s="44" t="e">
        <v>#VALUE!</v>
      </c>
      <c r="BQ46" s="44" t="e">
        <v>#VALUE!</v>
      </c>
      <c r="BR46" s="44" t="s">
        <v>647</v>
      </c>
      <c r="BS46" s="48" t="e">
        <v>#VALUE!</v>
      </c>
      <c r="BT46" s="48" t="e">
        <v>#VALUE!</v>
      </c>
      <c r="BU46" s="48" t="e">
        <v>#VALUE!</v>
      </c>
      <c r="BV46" s="48" t="e">
        <v>#VALUE!</v>
      </c>
      <c r="BW46" s="48" t="e">
        <v>#VALUE!</v>
      </c>
      <c r="BX46" s="48" t="e">
        <v>#VALUE!</v>
      </c>
      <c r="BY46" s="48" t="e">
        <v>#VALUE!</v>
      </c>
      <c r="BZ46" s="48" t="e">
        <v>#VALUE!</v>
      </c>
    </row>
    <row r="47" spans="1:83">
      <c r="A47" s="45" t="s">
        <v>649</v>
      </c>
      <c r="B47" s="67" t="s">
        <v>649</v>
      </c>
      <c r="C47" s="45" t="s">
        <v>649</v>
      </c>
      <c r="D47" s="45" t="s">
        <v>649</v>
      </c>
      <c r="E47" s="66" t="s">
        <v>649</v>
      </c>
      <c r="F47" s="66" t="s">
        <v>649</v>
      </c>
      <c r="G47" s="66" t="s">
        <v>649</v>
      </c>
      <c r="H47" s="68" t="s">
        <v>2624</v>
      </c>
      <c r="I47" s="68" t="s">
        <v>2624</v>
      </c>
      <c r="J47" s="66" t="s">
        <v>2624</v>
      </c>
      <c r="K47" s="68" t="s">
        <v>2624</v>
      </c>
      <c r="L47" s="68" t="s">
        <v>2624</v>
      </c>
      <c r="M47" s="68" t="s">
        <v>2624</v>
      </c>
      <c r="N47" s="68" t="s">
        <v>2624</v>
      </c>
      <c r="O47" s="68" t="s">
        <v>2624</v>
      </c>
      <c r="P47" s="68" t="s">
        <v>2624</v>
      </c>
      <c r="Q47" s="68" t="s">
        <v>2624</v>
      </c>
      <c r="R47" s="68" t="s">
        <v>2624</v>
      </c>
      <c r="S47" s="68" t="s">
        <v>2624</v>
      </c>
      <c r="T47" s="68" t="s">
        <v>2624</v>
      </c>
      <c r="U47" s="68" t="s">
        <v>2624</v>
      </c>
      <c r="V47" s="68" t="s">
        <v>2624</v>
      </c>
      <c r="W47" s="68" t="s">
        <v>2624</v>
      </c>
      <c r="X47" s="68" t="s">
        <v>2624</v>
      </c>
      <c r="Y47" s="68" t="s">
        <v>2624</v>
      </c>
      <c r="Z47" s="68" t="s">
        <v>2624</v>
      </c>
      <c r="AA47" s="68" t="s">
        <v>2624</v>
      </c>
      <c r="AB47" s="68" t="s">
        <v>2624</v>
      </c>
      <c r="AC47" s="68" t="s">
        <v>2624</v>
      </c>
      <c r="AD47" s="45" t="s">
        <v>649</v>
      </c>
      <c r="AE47" s="68" t="s">
        <v>2624</v>
      </c>
      <c r="AF47" s="69" t="s">
        <v>13</v>
      </c>
      <c r="AG47" s="69" t="s">
        <v>13</v>
      </c>
      <c r="AH47" s="69" t="s">
        <v>13</v>
      </c>
      <c r="AI47" s="69" t="s">
        <v>13</v>
      </c>
      <c r="AJ47" s="68" t="s">
        <v>2624</v>
      </c>
      <c r="AK47" s="68" t="s">
        <v>2624</v>
      </c>
      <c r="AL47" s="68" t="s">
        <v>2624</v>
      </c>
      <c r="AM47" s="68" t="s">
        <v>2624</v>
      </c>
      <c r="AN47" s="68" t="s">
        <v>2624</v>
      </c>
      <c r="AO47" s="68" t="s">
        <v>2624</v>
      </c>
      <c r="AP47" s="45" t="s">
        <v>649</v>
      </c>
      <c r="AQ47" s="71" t="s">
        <v>649</v>
      </c>
      <c r="AR47" s="71" t="s">
        <v>649</v>
      </c>
      <c r="AS47" s="71" t="s">
        <v>649</v>
      </c>
      <c r="AT47" s="45" t="s">
        <v>13</v>
      </c>
      <c r="AU47" s="68" t="s">
        <v>2624</v>
      </c>
      <c r="AV47" s="68" t="s">
        <v>2624</v>
      </c>
      <c r="AW47" s="68" t="s">
        <v>2624</v>
      </c>
      <c r="AX47" s="68" t="s">
        <v>2624</v>
      </c>
      <c r="AY47" s="68" t="s">
        <v>2624</v>
      </c>
      <c r="AZ47" s="68" t="s">
        <v>2624</v>
      </c>
      <c r="BA47" s="68" t="s">
        <v>2624</v>
      </c>
      <c r="BB47" s="68" t="s">
        <v>2624</v>
      </c>
      <c r="BC47" s="68" t="s">
        <v>2624</v>
      </c>
      <c r="BD47" s="68" t="s">
        <v>2624</v>
      </c>
      <c r="BE47" s="68" t="s">
        <v>2624</v>
      </c>
      <c r="BF47" s="68" t="s">
        <v>2624</v>
      </c>
      <c r="BG47" s="68" t="s">
        <v>2624</v>
      </c>
      <c r="BH47" s="44" t="s">
        <v>649</v>
      </c>
      <c r="BI47" s="44" t="s">
        <v>649</v>
      </c>
      <c r="BJ47" s="68" t="s">
        <v>2624</v>
      </c>
      <c r="BK47" s="44" t="s">
        <v>649</v>
      </c>
      <c r="BL47" s="44" t="e">
        <v>#VALUE!</v>
      </c>
      <c r="BM47" s="44" t="e">
        <v>#VALUE!</v>
      </c>
      <c r="BN47" s="44" t="e">
        <v>#VALUE!</v>
      </c>
      <c r="BO47" s="44" t="e">
        <v>#VALUE!</v>
      </c>
      <c r="BP47" s="44" t="e">
        <v>#VALUE!</v>
      </c>
      <c r="BQ47" s="44" t="e">
        <v>#VALUE!</v>
      </c>
      <c r="BR47" s="44" t="s">
        <v>647</v>
      </c>
      <c r="BS47" s="48" t="e">
        <v>#VALUE!</v>
      </c>
      <c r="BT47" s="48" t="e">
        <v>#VALUE!</v>
      </c>
      <c r="BU47" s="48" t="e">
        <v>#VALUE!</v>
      </c>
      <c r="BV47" s="48" t="e">
        <v>#VALUE!</v>
      </c>
      <c r="BW47" s="48" t="e">
        <v>#VALUE!</v>
      </c>
      <c r="BX47" s="48" t="e">
        <v>#VALUE!</v>
      </c>
      <c r="BY47" s="48" t="e">
        <v>#VALUE!</v>
      </c>
      <c r="BZ47" s="48" t="e">
        <v>#VALUE!</v>
      </c>
    </row>
    <row r="48" spans="1:83">
      <c r="A48" s="45" t="s">
        <v>649</v>
      </c>
      <c r="B48" s="67" t="s">
        <v>649</v>
      </c>
      <c r="C48" s="45" t="s">
        <v>649</v>
      </c>
      <c r="D48" s="45" t="s">
        <v>649</v>
      </c>
      <c r="E48" s="66" t="s">
        <v>649</v>
      </c>
      <c r="F48" s="66" t="s">
        <v>649</v>
      </c>
      <c r="G48" s="66" t="s">
        <v>649</v>
      </c>
      <c r="H48" s="68" t="s">
        <v>2624</v>
      </c>
      <c r="I48" s="68" t="s">
        <v>2624</v>
      </c>
      <c r="J48" s="66" t="s">
        <v>2624</v>
      </c>
      <c r="K48" s="68" t="s">
        <v>2624</v>
      </c>
      <c r="L48" s="68" t="s">
        <v>2624</v>
      </c>
      <c r="M48" s="68" t="s">
        <v>2624</v>
      </c>
      <c r="N48" s="68" t="s">
        <v>2624</v>
      </c>
      <c r="O48" s="68" t="s">
        <v>2624</v>
      </c>
      <c r="P48" s="68" t="s">
        <v>2624</v>
      </c>
      <c r="Q48" s="68" t="s">
        <v>2624</v>
      </c>
      <c r="R48" s="68" t="s">
        <v>2624</v>
      </c>
      <c r="S48" s="68" t="s">
        <v>2624</v>
      </c>
      <c r="T48" s="68" t="s">
        <v>2624</v>
      </c>
      <c r="U48" s="68" t="s">
        <v>2624</v>
      </c>
      <c r="V48" s="68" t="s">
        <v>2624</v>
      </c>
      <c r="W48" s="68" t="s">
        <v>2624</v>
      </c>
      <c r="X48" s="68" t="s">
        <v>2624</v>
      </c>
      <c r="Y48" s="68" t="s">
        <v>2624</v>
      </c>
      <c r="Z48" s="68" t="s">
        <v>2624</v>
      </c>
      <c r="AA48" s="68" t="s">
        <v>2624</v>
      </c>
      <c r="AB48" s="68" t="s">
        <v>2624</v>
      </c>
      <c r="AC48" s="68" t="s">
        <v>2624</v>
      </c>
      <c r="AD48" s="45" t="s">
        <v>649</v>
      </c>
      <c r="AE48" s="68" t="s">
        <v>2624</v>
      </c>
      <c r="AF48" s="69" t="s">
        <v>13</v>
      </c>
      <c r="AG48" s="69" t="s">
        <v>13</v>
      </c>
      <c r="AH48" s="69" t="s">
        <v>13</v>
      </c>
      <c r="AI48" s="69" t="s">
        <v>13</v>
      </c>
      <c r="AJ48" s="68" t="s">
        <v>2624</v>
      </c>
      <c r="AK48" s="68" t="s">
        <v>2624</v>
      </c>
      <c r="AL48" s="68" t="s">
        <v>2624</v>
      </c>
      <c r="AM48" s="68" t="s">
        <v>2624</v>
      </c>
      <c r="AN48" s="68" t="s">
        <v>2624</v>
      </c>
      <c r="AO48" s="68" t="s">
        <v>2624</v>
      </c>
      <c r="AP48" s="45" t="s">
        <v>649</v>
      </c>
      <c r="AQ48" s="71" t="s">
        <v>649</v>
      </c>
      <c r="AR48" s="71" t="s">
        <v>649</v>
      </c>
      <c r="AS48" s="71" t="s">
        <v>649</v>
      </c>
      <c r="AT48" s="45" t="s">
        <v>13</v>
      </c>
      <c r="AU48" s="68" t="s">
        <v>2624</v>
      </c>
      <c r="AV48" s="68" t="s">
        <v>2624</v>
      </c>
      <c r="AW48" s="68" t="s">
        <v>2624</v>
      </c>
      <c r="AX48" s="68" t="s">
        <v>2624</v>
      </c>
      <c r="AY48" s="68" t="s">
        <v>2624</v>
      </c>
      <c r="AZ48" s="68" t="s">
        <v>2624</v>
      </c>
      <c r="BA48" s="68" t="s">
        <v>2624</v>
      </c>
      <c r="BB48" s="68" t="s">
        <v>2624</v>
      </c>
      <c r="BC48" s="68" t="s">
        <v>2624</v>
      </c>
      <c r="BD48" s="68" t="s">
        <v>2624</v>
      </c>
      <c r="BE48" s="68" t="s">
        <v>2624</v>
      </c>
      <c r="BF48" s="68" t="s">
        <v>2624</v>
      </c>
      <c r="BG48" s="68" t="s">
        <v>2624</v>
      </c>
      <c r="BH48" s="44" t="s">
        <v>649</v>
      </c>
      <c r="BI48" s="44" t="s">
        <v>649</v>
      </c>
      <c r="BJ48" s="68" t="s">
        <v>2624</v>
      </c>
      <c r="BK48" s="44" t="s">
        <v>649</v>
      </c>
      <c r="BL48" s="44" t="e">
        <v>#VALUE!</v>
      </c>
      <c r="BM48" s="44" t="e">
        <v>#VALUE!</v>
      </c>
      <c r="BN48" s="44" t="e">
        <v>#VALUE!</v>
      </c>
      <c r="BO48" s="44" t="e">
        <v>#VALUE!</v>
      </c>
      <c r="BP48" s="44" t="e">
        <v>#VALUE!</v>
      </c>
      <c r="BQ48" s="44" t="e">
        <v>#VALUE!</v>
      </c>
      <c r="BR48" s="44" t="s">
        <v>647</v>
      </c>
      <c r="BS48" s="48" t="e">
        <v>#VALUE!</v>
      </c>
      <c r="BT48" s="48" t="e">
        <v>#VALUE!</v>
      </c>
      <c r="BU48" s="48" t="e">
        <v>#VALUE!</v>
      </c>
      <c r="BV48" s="48" t="e">
        <v>#VALUE!</v>
      </c>
      <c r="BW48" s="48" t="e">
        <v>#VALUE!</v>
      </c>
      <c r="BX48" s="48" t="e">
        <v>#VALUE!</v>
      </c>
      <c r="BY48" s="48" t="e">
        <v>#VALUE!</v>
      </c>
      <c r="BZ48" s="48" t="e">
        <v>#VALUE!</v>
      </c>
    </row>
    <row r="49" spans="1:83">
      <c r="A49" s="45" t="s">
        <v>649</v>
      </c>
      <c r="B49" s="67" t="s">
        <v>649</v>
      </c>
      <c r="C49" s="45" t="s">
        <v>649</v>
      </c>
      <c r="D49" s="45" t="s">
        <v>649</v>
      </c>
      <c r="E49" s="66" t="s">
        <v>649</v>
      </c>
      <c r="F49" s="66" t="s">
        <v>649</v>
      </c>
      <c r="G49" s="66" t="s">
        <v>649</v>
      </c>
      <c r="H49" s="68" t="s">
        <v>2624</v>
      </c>
      <c r="I49" s="68" t="s">
        <v>2624</v>
      </c>
      <c r="J49" s="66" t="s">
        <v>2624</v>
      </c>
      <c r="K49" s="68" t="s">
        <v>2624</v>
      </c>
      <c r="L49" s="68" t="s">
        <v>2624</v>
      </c>
      <c r="M49" s="68" t="s">
        <v>2624</v>
      </c>
      <c r="N49" s="68" t="s">
        <v>2624</v>
      </c>
      <c r="O49" s="68" t="s">
        <v>2624</v>
      </c>
      <c r="P49" s="68" t="s">
        <v>2624</v>
      </c>
      <c r="Q49" s="68" t="s">
        <v>2624</v>
      </c>
      <c r="R49" s="68" t="s">
        <v>2624</v>
      </c>
      <c r="S49" s="68" t="s">
        <v>2624</v>
      </c>
      <c r="T49" s="68" t="s">
        <v>2624</v>
      </c>
      <c r="U49" s="68" t="s">
        <v>2624</v>
      </c>
      <c r="V49" s="68" t="s">
        <v>2624</v>
      </c>
      <c r="W49" s="68" t="s">
        <v>2624</v>
      </c>
      <c r="X49" s="68" t="s">
        <v>2624</v>
      </c>
      <c r="Y49" s="68" t="s">
        <v>2624</v>
      </c>
      <c r="Z49" s="68" t="s">
        <v>2624</v>
      </c>
      <c r="AA49" s="68" t="s">
        <v>2624</v>
      </c>
      <c r="AB49" s="68" t="s">
        <v>2624</v>
      </c>
      <c r="AC49" s="68" t="s">
        <v>2624</v>
      </c>
      <c r="AD49" s="45" t="s">
        <v>649</v>
      </c>
      <c r="AE49" s="68" t="s">
        <v>2624</v>
      </c>
      <c r="AF49" s="69" t="s">
        <v>13</v>
      </c>
      <c r="AG49" s="69" t="s">
        <v>13</v>
      </c>
      <c r="AH49" s="69" t="s">
        <v>13</v>
      </c>
      <c r="AI49" s="69" t="s">
        <v>13</v>
      </c>
      <c r="AJ49" s="68" t="s">
        <v>2624</v>
      </c>
      <c r="AK49" s="68" t="s">
        <v>2624</v>
      </c>
      <c r="AL49" s="68" t="s">
        <v>2624</v>
      </c>
      <c r="AM49" s="68" t="s">
        <v>2624</v>
      </c>
      <c r="AN49" s="68" t="s">
        <v>2624</v>
      </c>
      <c r="AO49" s="68" t="s">
        <v>2624</v>
      </c>
      <c r="AP49" s="45" t="s">
        <v>649</v>
      </c>
      <c r="AQ49" s="71" t="s">
        <v>649</v>
      </c>
      <c r="AR49" s="71" t="s">
        <v>649</v>
      </c>
      <c r="AS49" s="71" t="s">
        <v>649</v>
      </c>
      <c r="AT49" s="45" t="s">
        <v>13</v>
      </c>
      <c r="AU49" s="68" t="s">
        <v>2624</v>
      </c>
      <c r="AV49" s="68" t="s">
        <v>2624</v>
      </c>
      <c r="AW49" s="68" t="s">
        <v>2624</v>
      </c>
      <c r="AX49" s="68" t="s">
        <v>2624</v>
      </c>
      <c r="AY49" s="68" t="s">
        <v>2624</v>
      </c>
      <c r="AZ49" s="68" t="s">
        <v>2624</v>
      </c>
      <c r="BA49" s="68" t="s">
        <v>2624</v>
      </c>
      <c r="BB49" s="68" t="s">
        <v>2624</v>
      </c>
      <c r="BC49" s="68" t="s">
        <v>2624</v>
      </c>
      <c r="BD49" s="68" t="s">
        <v>2624</v>
      </c>
      <c r="BE49" s="68" t="s">
        <v>2624</v>
      </c>
      <c r="BF49" s="68" t="s">
        <v>2624</v>
      </c>
      <c r="BG49" s="68" t="s">
        <v>2624</v>
      </c>
      <c r="BH49" s="44" t="s">
        <v>649</v>
      </c>
      <c r="BI49" s="44" t="s">
        <v>649</v>
      </c>
      <c r="BJ49" s="68" t="s">
        <v>2624</v>
      </c>
      <c r="BK49" s="44" t="s">
        <v>649</v>
      </c>
      <c r="BL49" s="44" t="e">
        <v>#VALUE!</v>
      </c>
      <c r="BM49" s="44" t="e">
        <v>#VALUE!</v>
      </c>
      <c r="BN49" s="44" t="e">
        <v>#VALUE!</v>
      </c>
      <c r="BO49" s="44" t="e">
        <v>#VALUE!</v>
      </c>
      <c r="BP49" s="44" t="e">
        <v>#VALUE!</v>
      </c>
      <c r="BQ49" s="44" t="e">
        <v>#VALUE!</v>
      </c>
      <c r="BR49" s="44" t="s">
        <v>647</v>
      </c>
      <c r="BS49" s="48" t="e">
        <v>#VALUE!</v>
      </c>
      <c r="BT49" s="48" t="e">
        <v>#VALUE!</v>
      </c>
      <c r="BU49" s="48" t="e">
        <v>#VALUE!</v>
      </c>
      <c r="BV49" s="48" t="e">
        <v>#VALUE!</v>
      </c>
      <c r="BW49" s="48" t="e">
        <v>#VALUE!</v>
      </c>
      <c r="BX49" s="48" t="e">
        <v>#VALUE!</v>
      </c>
      <c r="BY49" s="48" t="e">
        <v>#VALUE!</v>
      </c>
      <c r="BZ49" s="48" t="e">
        <v>#VALUE!</v>
      </c>
    </row>
    <row r="50" spans="1:83">
      <c r="A50" s="45" t="s">
        <v>649</v>
      </c>
      <c r="B50" s="67" t="s">
        <v>649</v>
      </c>
      <c r="C50" s="45" t="s">
        <v>649</v>
      </c>
      <c r="D50" s="45" t="s">
        <v>649</v>
      </c>
      <c r="E50" s="66" t="s">
        <v>649</v>
      </c>
      <c r="F50" s="66" t="s">
        <v>649</v>
      </c>
      <c r="G50" s="66" t="s">
        <v>649</v>
      </c>
      <c r="H50" s="68" t="s">
        <v>2624</v>
      </c>
      <c r="I50" s="68" t="s">
        <v>2624</v>
      </c>
      <c r="J50" s="66" t="s">
        <v>2624</v>
      </c>
      <c r="K50" s="68" t="s">
        <v>2624</v>
      </c>
      <c r="L50" s="68" t="s">
        <v>2624</v>
      </c>
      <c r="M50" s="68" t="s">
        <v>2624</v>
      </c>
      <c r="N50" s="68" t="s">
        <v>2624</v>
      </c>
      <c r="O50" s="68" t="s">
        <v>2624</v>
      </c>
      <c r="P50" s="68" t="s">
        <v>2624</v>
      </c>
      <c r="Q50" s="68" t="s">
        <v>2624</v>
      </c>
      <c r="R50" s="68" t="s">
        <v>2624</v>
      </c>
      <c r="S50" s="68" t="s">
        <v>2624</v>
      </c>
      <c r="T50" s="68" t="s">
        <v>2624</v>
      </c>
      <c r="U50" s="68" t="s">
        <v>2624</v>
      </c>
      <c r="V50" s="68" t="s">
        <v>2624</v>
      </c>
      <c r="W50" s="68" t="s">
        <v>2624</v>
      </c>
      <c r="X50" s="68" t="s">
        <v>2624</v>
      </c>
      <c r="Y50" s="68" t="s">
        <v>2624</v>
      </c>
      <c r="Z50" s="68" t="s">
        <v>2624</v>
      </c>
      <c r="AA50" s="68" t="s">
        <v>2624</v>
      </c>
      <c r="AB50" s="68" t="s">
        <v>2624</v>
      </c>
      <c r="AC50" s="68" t="s">
        <v>2624</v>
      </c>
      <c r="AD50" s="45" t="s">
        <v>649</v>
      </c>
      <c r="AE50" s="68" t="s">
        <v>2624</v>
      </c>
      <c r="AF50" s="69" t="s">
        <v>13</v>
      </c>
      <c r="AG50" s="69" t="s">
        <v>13</v>
      </c>
      <c r="AH50" s="69" t="s">
        <v>13</v>
      </c>
      <c r="AI50" s="69" t="s">
        <v>13</v>
      </c>
      <c r="AJ50" s="68" t="s">
        <v>2624</v>
      </c>
      <c r="AK50" s="68" t="s">
        <v>2624</v>
      </c>
      <c r="AL50" s="68" t="s">
        <v>2624</v>
      </c>
      <c r="AM50" s="68" t="s">
        <v>2624</v>
      </c>
      <c r="AN50" s="68" t="s">
        <v>2624</v>
      </c>
      <c r="AO50" s="68" t="s">
        <v>2624</v>
      </c>
      <c r="AP50" s="45" t="s">
        <v>649</v>
      </c>
      <c r="AQ50" s="71" t="s">
        <v>649</v>
      </c>
      <c r="AR50" s="71" t="s">
        <v>649</v>
      </c>
      <c r="AS50" s="71" t="s">
        <v>649</v>
      </c>
      <c r="AT50" s="45" t="s">
        <v>13</v>
      </c>
      <c r="AU50" s="68" t="s">
        <v>2624</v>
      </c>
      <c r="AV50" s="68" t="s">
        <v>2624</v>
      </c>
      <c r="AW50" s="68" t="s">
        <v>2624</v>
      </c>
      <c r="AX50" s="68" t="s">
        <v>2624</v>
      </c>
      <c r="AY50" s="68" t="s">
        <v>2624</v>
      </c>
      <c r="AZ50" s="68" t="s">
        <v>2624</v>
      </c>
      <c r="BA50" s="68" t="s">
        <v>2624</v>
      </c>
      <c r="BB50" s="68" t="s">
        <v>2624</v>
      </c>
      <c r="BC50" s="68" t="s">
        <v>2624</v>
      </c>
      <c r="BD50" s="68" t="s">
        <v>2624</v>
      </c>
      <c r="BE50" s="68" t="s">
        <v>2624</v>
      </c>
      <c r="BF50" s="68" t="s">
        <v>2624</v>
      </c>
      <c r="BG50" s="68" t="s">
        <v>2624</v>
      </c>
      <c r="BH50" s="44" t="s">
        <v>649</v>
      </c>
      <c r="BI50" s="44" t="s">
        <v>649</v>
      </c>
      <c r="BJ50" s="68" t="s">
        <v>2624</v>
      </c>
      <c r="BK50" s="44" t="s">
        <v>649</v>
      </c>
      <c r="BL50" s="44" t="e">
        <v>#VALUE!</v>
      </c>
      <c r="BM50" s="44" t="e">
        <v>#VALUE!</v>
      </c>
      <c r="BN50" s="44" t="e">
        <v>#VALUE!</v>
      </c>
      <c r="BO50" s="44" t="e">
        <v>#VALUE!</v>
      </c>
      <c r="BP50" s="44" t="e">
        <v>#VALUE!</v>
      </c>
      <c r="BQ50" s="44" t="e">
        <v>#VALUE!</v>
      </c>
      <c r="BR50" s="44" t="s">
        <v>647</v>
      </c>
      <c r="BS50" s="48" t="e">
        <v>#VALUE!</v>
      </c>
      <c r="BT50" s="48" t="e">
        <v>#VALUE!</v>
      </c>
      <c r="BU50" s="48" t="e">
        <v>#VALUE!</v>
      </c>
      <c r="BV50" s="48" t="e">
        <v>#VALUE!</v>
      </c>
      <c r="BW50" s="48" t="e">
        <v>#VALUE!</v>
      </c>
      <c r="BX50" s="48" t="e">
        <v>#VALUE!</v>
      </c>
      <c r="BY50" s="48" t="e">
        <v>#VALUE!</v>
      </c>
      <c r="BZ50" s="48" t="e">
        <v>#VALUE!</v>
      </c>
    </row>
    <row r="51" spans="1:83">
      <c r="A51" s="45" t="s">
        <v>649</v>
      </c>
      <c r="B51" s="67" t="s">
        <v>649</v>
      </c>
      <c r="C51" s="45" t="s">
        <v>649</v>
      </c>
      <c r="D51" s="45" t="s">
        <v>649</v>
      </c>
      <c r="E51" s="66" t="s">
        <v>649</v>
      </c>
      <c r="F51" s="66" t="s">
        <v>649</v>
      </c>
      <c r="G51" s="66" t="s">
        <v>649</v>
      </c>
      <c r="H51" s="68" t="s">
        <v>2624</v>
      </c>
      <c r="I51" s="68" t="s">
        <v>2624</v>
      </c>
      <c r="J51" s="66" t="s">
        <v>2624</v>
      </c>
      <c r="K51" s="68" t="s">
        <v>2624</v>
      </c>
      <c r="L51" s="68" t="s">
        <v>2624</v>
      </c>
      <c r="M51" s="68" t="s">
        <v>2624</v>
      </c>
      <c r="N51" s="68" t="s">
        <v>2624</v>
      </c>
      <c r="O51" s="68" t="s">
        <v>2624</v>
      </c>
      <c r="P51" s="68" t="s">
        <v>2624</v>
      </c>
      <c r="Q51" s="68" t="s">
        <v>2624</v>
      </c>
      <c r="R51" s="68" t="s">
        <v>2624</v>
      </c>
      <c r="S51" s="68" t="s">
        <v>2624</v>
      </c>
      <c r="T51" s="68" t="s">
        <v>2624</v>
      </c>
      <c r="U51" s="68" t="s">
        <v>2624</v>
      </c>
      <c r="V51" s="68" t="s">
        <v>2624</v>
      </c>
      <c r="W51" s="68" t="s">
        <v>2624</v>
      </c>
      <c r="X51" s="68" t="s">
        <v>2624</v>
      </c>
      <c r="Y51" s="68" t="s">
        <v>2624</v>
      </c>
      <c r="Z51" s="68" t="s">
        <v>2624</v>
      </c>
      <c r="AA51" s="68" t="s">
        <v>2624</v>
      </c>
      <c r="AB51" s="68" t="s">
        <v>2624</v>
      </c>
      <c r="AC51" s="68" t="s">
        <v>2624</v>
      </c>
      <c r="AD51" s="45" t="s">
        <v>649</v>
      </c>
      <c r="AE51" s="68" t="s">
        <v>2624</v>
      </c>
      <c r="AF51" s="69" t="s">
        <v>13</v>
      </c>
      <c r="AG51" s="69" t="s">
        <v>13</v>
      </c>
      <c r="AH51" s="69" t="s">
        <v>13</v>
      </c>
      <c r="AI51" s="69" t="s">
        <v>13</v>
      </c>
      <c r="AJ51" s="68" t="s">
        <v>2624</v>
      </c>
      <c r="AK51" s="68" t="s">
        <v>2624</v>
      </c>
      <c r="AL51" s="68" t="s">
        <v>2624</v>
      </c>
      <c r="AM51" s="68" t="s">
        <v>2624</v>
      </c>
      <c r="AN51" s="68" t="s">
        <v>2624</v>
      </c>
      <c r="AO51" s="68" t="s">
        <v>2624</v>
      </c>
      <c r="AP51" s="45" t="s">
        <v>649</v>
      </c>
      <c r="AQ51" s="71" t="s">
        <v>649</v>
      </c>
      <c r="AR51" s="71" t="s">
        <v>649</v>
      </c>
      <c r="AS51" s="71" t="s">
        <v>649</v>
      </c>
      <c r="AT51" s="45" t="s">
        <v>13</v>
      </c>
      <c r="AU51" s="68" t="s">
        <v>2624</v>
      </c>
      <c r="AV51" s="68" t="s">
        <v>2624</v>
      </c>
      <c r="AW51" s="68" t="s">
        <v>2624</v>
      </c>
      <c r="AX51" s="68" t="s">
        <v>2624</v>
      </c>
      <c r="AY51" s="68" t="s">
        <v>2624</v>
      </c>
      <c r="AZ51" s="68" t="s">
        <v>2624</v>
      </c>
      <c r="BA51" s="68" t="s">
        <v>2624</v>
      </c>
      <c r="BB51" s="68" t="s">
        <v>2624</v>
      </c>
      <c r="BC51" s="68" t="s">
        <v>2624</v>
      </c>
      <c r="BD51" s="68" t="s">
        <v>2624</v>
      </c>
      <c r="BE51" s="68" t="s">
        <v>2624</v>
      </c>
      <c r="BF51" s="68" t="s">
        <v>2624</v>
      </c>
      <c r="BG51" s="68" t="s">
        <v>2624</v>
      </c>
      <c r="BH51" s="44" t="s">
        <v>649</v>
      </c>
      <c r="BI51" s="44" t="s">
        <v>649</v>
      </c>
      <c r="BJ51" s="68" t="s">
        <v>2624</v>
      </c>
      <c r="BK51" s="44" t="s">
        <v>649</v>
      </c>
      <c r="BL51" s="44" t="e">
        <v>#VALUE!</v>
      </c>
      <c r="BM51" s="44" t="e">
        <v>#VALUE!</v>
      </c>
      <c r="BN51" s="44" t="e">
        <v>#VALUE!</v>
      </c>
      <c r="BO51" s="44" t="e">
        <v>#VALUE!</v>
      </c>
      <c r="BP51" s="44" t="e">
        <v>#VALUE!</v>
      </c>
      <c r="BQ51" s="44" t="e">
        <v>#VALUE!</v>
      </c>
      <c r="BR51" s="44" t="s">
        <v>647</v>
      </c>
      <c r="BS51" s="48" t="e">
        <v>#VALUE!</v>
      </c>
      <c r="BT51" s="48" t="e">
        <v>#VALUE!</v>
      </c>
      <c r="BU51" s="48" t="e">
        <v>#VALUE!</v>
      </c>
      <c r="BV51" s="48" t="e">
        <v>#VALUE!</v>
      </c>
      <c r="BW51" s="48" t="e">
        <v>#VALUE!</v>
      </c>
      <c r="BX51" s="48" t="e">
        <v>#VALUE!</v>
      </c>
      <c r="BY51" s="48" t="e">
        <v>#VALUE!</v>
      </c>
      <c r="BZ51" s="48" t="e">
        <v>#VALUE!</v>
      </c>
    </row>
    <row r="52" spans="1:83">
      <c r="A52" s="45" t="s">
        <v>649</v>
      </c>
      <c r="B52" s="67" t="s">
        <v>649</v>
      </c>
      <c r="C52" s="45" t="s">
        <v>649</v>
      </c>
      <c r="D52" s="45" t="s">
        <v>649</v>
      </c>
      <c r="E52" s="66" t="s">
        <v>649</v>
      </c>
      <c r="F52" s="66" t="s">
        <v>649</v>
      </c>
      <c r="G52" s="66" t="s">
        <v>649</v>
      </c>
      <c r="H52" s="68" t="s">
        <v>2624</v>
      </c>
      <c r="I52" s="68" t="s">
        <v>2624</v>
      </c>
      <c r="J52" s="66" t="s">
        <v>2624</v>
      </c>
      <c r="K52" s="68" t="s">
        <v>2624</v>
      </c>
      <c r="L52" s="68" t="s">
        <v>2624</v>
      </c>
      <c r="M52" s="68" t="s">
        <v>2624</v>
      </c>
      <c r="N52" s="68" t="s">
        <v>2624</v>
      </c>
      <c r="O52" s="68" t="s">
        <v>2624</v>
      </c>
      <c r="P52" s="68" t="s">
        <v>2624</v>
      </c>
      <c r="Q52" s="68" t="s">
        <v>2624</v>
      </c>
      <c r="R52" s="68" t="s">
        <v>2624</v>
      </c>
      <c r="S52" s="68" t="s">
        <v>2624</v>
      </c>
      <c r="T52" s="68" t="s">
        <v>2624</v>
      </c>
      <c r="U52" s="68" t="s">
        <v>2624</v>
      </c>
      <c r="V52" s="68" t="s">
        <v>2624</v>
      </c>
      <c r="W52" s="68" t="s">
        <v>2624</v>
      </c>
      <c r="X52" s="68" t="s">
        <v>2624</v>
      </c>
      <c r="Y52" s="68" t="s">
        <v>2624</v>
      </c>
      <c r="Z52" s="68" t="s">
        <v>2624</v>
      </c>
      <c r="AA52" s="68" t="s">
        <v>2624</v>
      </c>
      <c r="AB52" s="68" t="s">
        <v>2624</v>
      </c>
      <c r="AC52" s="68" t="s">
        <v>2624</v>
      </c>
      <c r="AD52" s="45" t="s">
        <v>649</v>
      </c>
      <c r="AE52" s="68" t="s">
        <v>2624</v>
      </c>
      <c r="AF52" s="69" t="s">
        <v>13</v>
      </c>
      <c r="AG52" s="69" t="s">
        <v>13</v>
      </c>
      <c r="AH52" s="69" t="s">
        <v>13</v>
      </c>
      <c r="AI52" s="69" t="s">
        <v>13</v>
      </c>
      <c r="AJ52" s="68" t="s">
        <v>2624</v>
      </c>
      <c r="AK52" s="68" t="s">
        <v>2624</v>
      </c>
      <c r="AL52" s="68" t="s">
        <v>2624</v>
      </c>
      <c r="AM52" s="68" t="s">
        <v>2624</v>
      </c>
      <c r="AN52" s="68" t="s">
        <v>2624</v>
      </c>
      <c r="AO52" s="68" t="s">
        <v>2624</v>
      </c>
      <c r="AP52" s="45" t="s">
        <v>649</v>
      </c>
      <c r="AQ52" s="71" t="s">
        <v>649</v>
      </c>
      <c r="AR52" s="71" t="s">
        <v>649</v>
      </c>
      <c r="AS52" s="71" t="s">
        <v>649</v>
      </c>
      <c r="AT52" s="45" t="s">
        <v>13</v>
      </c>
      <c r="AU52" s="68" t="s">
        <v>2624</v>
      </c>
      <c r="AV52" s="68" t="s">
        <v>2624</v>
      </c>
      <c r="AW52" s="68" t="s">
        <v>2624</v>
      </c>
      <c r="AX52" s="68" t="s">
        <v>2624</v>
      </c>
      <c r="AY52" s="68" t="s">
        <v>2624</v>
      </c>
      <c r="AZ52" s="68" t="s">
        <v>2624</v>
      </c>
      <c r="BA52" s="68" t="s">
        <v>2624</v>
      </c>
      <c r="BB52" s="68" t="s">
        <v>2624</v>
      </c>
      <c r="BC52" s="68" t="s">
        <v>2624</v>
      </c>
      <c r="BD52" s="68" t="s">
        <v>2624</v>
      </c>
      <c r="BE52" s="68" t="s">
        <v>2624</v>
      </c>
      <c r="BF52" s="68" t="s">
        <v>2624</v>
      </c>
      <c r="BG52" s="68" t="s">
        <v>2624</v>
      </c>
      <c r="BH52" s="44" t="s">
        <v>649</v>
      </c>
      <c r="BI52" s="44" t="s">
        <v>649</v>
      </c>
      <c r="BJ52" s="68" t="s">
        <v>2624</v>
      </c>
      <c r="BK52" s="44" t="s">
        <v>649</v>
      </c>
      <c r="BL52" s="44" t="e">
        <v>#VALUE!</v>
      </c>
      <c r="BM52" s="44" t="e">
        <v>#VALUE!</v>
      </c>
      <c r="BN52" s="44" t="e">
        <v>#VALUE!</v>
      </c>
      <c r="BO52" s="44" t="e">
        <v>#VALUE!</v>
      </c>
      <c r="BP52" s="44" t="e">
        <v>#VALUE!</v>
      </c>
      <c r="BQ52" s="44" t="e">
        <v>#VALUE!</v>
      </c>
      <c r="BR52" s="44" t="s">
        <v>647</v>
      </c>
      <c r="BS52" s="48" t="e">
        <v>#VALUE!</v>
      </c>
      <c r="BT52" s="48" t="e">
        <v>#VALUE!</v>
      </c>
      <c r="BU52" s="48" t="e">
        <v>#VALUE!</v>
      </c>
      <c r="BV52" s="48" t="e">
        <v>#VALUE!</v>
      </c>
      <c r="BW52" s="48" t="e">
        <v>#VALUE!</v>
      </c>
      <c r="BX52" s="48" t="e">
        <v>#VALUE!</v>
      </c>
      <c r="BY52" s="48" t="e">
        <v>#VALUE!</v>
      </c>
      <c r="BZ52" s="48" t="e">
        <v>#VALUE!</v>
      </c>
    </row>
    <row r="53" spans="1:83">
      <c r="A53" s="45" t="s">
        <v>649</v>
      </c>
      <c r="B53" s="67" t="s">
        <v>649</v>
      </c>
      <c r="C53" s="45" t="s">
        <v>649</v>
      </c>
      <c r="D53" s="45" t="s">
        <v>649</v>
      </c>
      <c r="E53" s="66" t="s">
        <v>649</v>
      </c>
      <c r="F53" s="66" t="s">
        <v>649</v>
      </c>
      <c r="G53" s="66" t="s">
        <v>649</v>
      </c>
      <c r="H53" s="68" t="s">
        <v>2624</v>
      </c>
      <c r="I53" s="68" t="s">
        <v>2624</v>
      </c>
      <c r="J53" s="66" t="s">
        <v>2624</v>
      </c>
      <c r="K53" s="68" t="s">
        <v>2624</v>
      </c>
      <c r="L53" s="68" t="s">
        <v>2624</v>
      </c>
      <c r="M53" s="68" t="s">
        <v>2624</v>
      </c>
      <c r="N53" s="68" t="s">
        <v>2624</v>
      </c>
      <c r="O53" s="68" t="s">
        <v>2624</v>
      </c>
      <c r="P53" s="68" t="s">
        <v>2624</v>
      </c>
      <c r="Q53" s="68" t="s">
        <v>2624</v>
      </c>
      <c r="R53" s="68" t="s">
        <v>2624</v>
      </c>
      <c r="S53" s="68" t="s">
        <v>2624</v>
      </c>
      <c r="T53" s="68" t="s">
        <v>2624</v>
      </c>
      <c r="U53" s="68" t="s">
        <v>2624</v>
      </c>
      <c r="V53" s="68" t="s">
        <v>2624</v>
      </c>
      <c r="W53" s="68" t="s">
        <v>2624</v>
      </c>
      <c r="X53" s="68" t="s">
        <v>2624</v>
      </c>
      <c r="Y53" s="68" t="s">
        <v>2624</v>
      </c>
      <c r="Z53" s="68" t="s">
        <v>2624</v>
      </c>
      <c r="AA53" s="68" t="s">
        <v>2624</v>
      </c>
      <c r="AB53" s="68" t="s">
        <v>2624</v>
      </c>
      <c r="AC53" s="68" t="s">
        <v>2624</v>
      </c>
      <c r="AD53" s="45" t="s">
        <v>649</v>
      </c>
      <c r="AE53" s="68" t="s">
        <v>2624</v>
      </c>
      <c r="AF53" s="69" t="s">
        <v>13</v>
      </c>
      <c r="AG53" s="69" t="s">
        <v>13</v>
      </c>
      <c r="AH53" s="69" t="s">
        <v>13</v>
      </c>
      <c r="AI53" s="69" t="s">
        <v>13</v>
      </c>
      <c r="AJ53" s="68" t="s">
        <v>2624</v>
      </c>
      <c r="AK53" s="68" t="s">
        <v>2624</v>
      </c>
      <c r="AL53" s="68" t="s">
        <v>2624</v>
      </c>
      <c r="AM53" s="68" t="s">
        <v>2624</v>
      </c>
      <c r="AN53" s="68" t="s">
        <v>2624</v>
      </c>
      <c r="AO53" s="68" t="s">
        <v>2624</v>
      </c>
      <c r="AP53" s="45" t="s">
        <v>649</v>
      </c>
      <c r="AQ53" s="71" t="s">
        <v>649</v>
      </c>
      <c r="AR53" s="71" t="s">
        <v>649</v>
      </c>
      <c r="AS53" s="71" t="s">
        <v>649</v>
      </c>
      <c r="AT53" s="45" t="s">
        <v>13</v>
      </c>
      <c r="AU53" s="68" t="s">
        <v>2624</v>
      </c>
      <c r="AV53" s="68" t="s">
        <v>2624</v>
      </c>
      <c r="AW53" s="68" t="s">
        <v>2624</v>
      </c>
      <c r="AX53" s="68" t="s">
        <v>2624</v>
      </c>
      <c r="AY53" s="68" t="s">
        <v>2624</v>
      </c>
      <c r="AZ53" s="68" t="s">
        <v>2624</v>
      </c>
      <c r="BA53" s="68" t="s">
        <v>2624</v>
      </c>
      <c r="BB53" s="68" t="s">
        <v>2624</v>
      </c>
      <c r="BC53" s="68" t="s">
        <v>2624</v>
      </c>
      <c r="BD53" s="68" t="s">
        <v>2624</v>
      </c>
      <c r="BE53" s="68" t="s">
        <v>2624</v>
      </c>
      <c r="BF53" s="68" t="s">
        <v>2624</v>
      </c>
      <c r="BG53" s="68" t="s">
        <v>2624</v>
      </c>
      <c r="BH53" s="44" t="s">
        <v>649</v>
      </c>
      <c r="BI53" s="44" t="s">
        <v>649</v>
      </c>
      <c r="BJ53" s="68" t="s">
        <v>2624</v>
      </c>
      <c r="BK53" s="44" t="s">
        <v>649</v>
      </c>
      <c r="BL53" s="44" t="e">
        <v>#VALUE!</v>
      </c>
      <c r="BM53" s="44" t="e">
        <v>#VALUE!</v>
      </c>
      <c r="BN53" s="44" t="e">
        <v>#VALUE!</v>
      </c>
      <c r="BO53" s="44" t="e">
        <v>#VALUE!</v>
      </c>
      <c r="BP53" s="44" t="e">
        <v>#VALUE!</v>
      </c>
      <c r="BQ53" s="44" t="e">
        <v>#VALUE!</v>
      </c>
      <c r="BR53" s="44" t="s">
        <v>647</v>
      </c>
      <c r="BS53" s="48" t="e">
        <v>#VALUE!</v>
      </c>
      <c r="BT53" s="48" t="e">
        <v>#VALUE!</v>
      </c>
      <c r="BU53" s="48" t="e">
        <v>#VALUE!</v>
      </c>
      <c r="BV53" s="48" t="e">
        <v>#VALUE!</v>
      </c>
      <c r="BW53" s="48" t="e">
        <v>#VALUE!</v>
      </c>
      <c r="BX53" s="48" t="e">
        <v>#VALUE!</v>
      </c>
      <c r="BY53" s="48" t="e">
        <v>#VALUE!</v>
      </c>
      <c r="BZ53" s="48" t="e">
        <v>#VALUE!</v>
      </c>
    </row>
    <row r="54" spans="1:83">
      <c r="A54" s="43"/>
      <c r="J54" s="66"/>
      <c r="M54" s="47"/>
      <c r="N54" s="47"/>
      <c r="O54" s="47"/>
      <c r="P54" s="47"/>
      <c r="Q54" s="47"/>
      <c r="R54" s="47"/>
      <c r="S54" s="47"/>
      <c r="T54" s="47"/>
      <c r="U54" s="47"/>
      <c r="V54" s="47"/>
      <c r="W54" s="47"/>
      <c r="X54" s="47"/>
      <c r="Y54" s="47"/>
      <c r="Z54" s="47"/>
      <c r="AA54" s="47"/>
      <c r="AB54" s="47"/>
      <c r="AC54" s="47"/>
      <c r="AD54" s="47"/>
      <c r="AE54" s="47"/>
      <c r="AF54" s="47"/>
      <c r="AG54" s="47"/>
      <c r="AH54" s="47"/>
      <c r="AI54" s="47"/>
      <c r="AJ54" s="47"/>
      <c r="AK54" s="47"/>
      <c r="AL54" s="47"/>
      <c r="AM54" s="47"/>
      <c r="AN54" s="47"/>
      <c r="AO54" s="47"/>
      <c r="AP54" s="47"/>
      <c r="AQ54" s="43"/>
      <c r="AR54" s="47"/>
      <c r="AS54" s="43"/>
      <c r="AT54" s="47"/>
      <c r="AU54" s="43"/>
      <c r="AV54" s="43"/>
      <c r="AW54" s="43"/>
      <c r="AX54" s="43"/>
      <c r="AY54" s="43"/>
      <c r="AZ54" s="43"/>
      <c r="BA54" s="43"/>
      <c r="BB54" s="43"/>
      <c r="BC54" s="47"/>
      <c r="BD54" s="43"/>
      <c r="BE54" s="43"/>
      <c r="BF54" s="43"/>
      <c r="BG54" s="43"/>
      <c r="BH54" s="43"/>
      <c r="BI54" s="43"/>
      <c r="BJ54" s="43"/>
      <c r="BK54" s="43"/>
      <c r="BL54" s="43"/>
      <c r="BM54" s="43"/>
      <c r="BN54" s="43"/>
      <c r="BO54" s="43"/>
      <c r="BP54" s="43"/>
      <c r="BQ54" s="43"/>
      <c r="BR54" s="43"/>
      <c r="BS54" s="43"/>
      <c r="BT54" s="43"/>
      <c r="BU54" s="43"/>
      <c r="BV54" s="43"/>
      <c r="BW54" s="43"/>
      <c r="BX54" s="43"/>
      <c r="BY54" s="43"/>
      <c r="BZ54" s="43"/>
      <c r="CE54" s="43"/>
    </row>
    <row r="55" spans="1:83">
      <c r="A55" s="43"/>
      <c r="J55" s="66"/>
      <c r="L55" s="63"/>
      <c r="M55" s="47"/>
      <c r="N55" s="47"/>
      <c r="O55" s="47"/>
      <c r="P55" s="47"/>
      <c r="Q55" s="47"/>
      <c r="R55" s="47"/>
      <c r="S55" s="47"/>
      <c r="T55" s="47"/>
      <c r="U55" s="47"/>
      <c r="V55" s="47"/>
      <c r="W55" s="47"/>
      <c r="X55" s="47"/>
      <c r="Y55" s="47"/>
      <c r="Z55" s="47"/>
      <c r="AA55" s="47"/>
      <c r="AB55" s="47"/>
      <c r="AC55" s="47"/>
      <c r="AD55" s="47"/>
      <c r="AE55" s="47"/>
      <c r="AF55" s="47"/>
      <c r="AG55" s="47"/>
      <c r="AH55" s="47"/>
      <c r="AI55" s="47"/>
      <c r="AJ55" s="47"/>
      <c r="AK55" s="47"/>
      <c r="AL55" s="47"/>
      <c r="AM55" s="47"/>
      <c r="AN55" s="47"/>
      <c r="AO55" s="47"/>
      <c r="AP55" s="47"/>
      <c r="AQ55" s="43"/>
      <c r="AR55" s="47"/>
      <c r="AS55" s="43"/>
      <c r="AT55" s="47"/>
      <c r="AU55" s="43"/>
      <c r="AV55" s="43"/>
      <c r="AW55" s="43"/>
      <c r="AX55" s="43"/>
      <c r="AY55" s="43"/>
      <c r="AZ55" s="43"/>
      <c r="BA55" s="43"/>
      <c r="BB55" s="43"/>
      <c r="BC55" s="47"/>
      <c r="BD55" s="43"/>
      <c r="BE55" s="43"/>
      <c r="BF55" s="43"/>
      <c r="BG55" s="43"/>
      <c r="BH55" s="43"/>
      <c r="BI55" s="43"/>
      <c r="BJ55" s="43"/>
      <c r="BK55" s="43"/>
      <c r="BL55" s="43"/>
      <c r="BM55" s="43"/>
      <c r="BN55" s="43"/>
      <c r="BO55" s="43"/>
      <c r="BP55" s="43"/>
      <c r="BQ55" s="43"/>
      <c r="BR55" s="43"/>
      <c r="BS55" s="43"/>
      <c r="BT55" s="43"/>
      <c r="BU55" s="43"/>
      <c r="BV55" s="43"/>
      <c r="BW55" s="43"/>
      <c r="BX55" s="43"/>
      <c r="BY55" s="43"/>
      <c r="BZ55" s="43"/>
      <c r="CE55" s="43"/>
    </row>
    <row r="56" spans="1:83" ht="12.75">
      <c r="A56" s="43"/>
      <c r="B56" s="74" t="s">
        <v>128</v>
      </c>
      <c r="C56" s="75" t="s">
        <v>632</v>
      </c>
      <c r="D56" s="76" t="s">
        <v>633</v>
      </c>
      <c r="E56" s="77" t="s">
        <v>127</v>
      </c>
      <c r="F56" s="78"/>
      <c r="G56" s="78"/>
      <c r="H56" s="78"/>
      <c r="I56" s="78"/>
      <c r="J56" s="79"/>
      <c r="K56" s="80"/>
      <c r="L56" s="63"/>
      <c r="M56" s="47"/>
      <c r="N56" s="47"/>
      <c r="O56" s="47"/>
      <c r="P56" s="47"/>
      <c r="Q56" s="47"/>
      <c r="R56" s="47"/>
      <c r="S56" s="47"/>
      <c r="T56" s="47"/>
      <c r="U56" s="47"/>
      <c r="V56" s="47"/>
      <c r="W56" s="47"/>
      <c r="X56" s="47"/>
      <c r="Y56" s="47"/>
      <c r="Z56" s="47"/>
      <c r="AA56" s="47"/>
      <c r="AB56" s="47"/>
      <c r="AC56" s="47"/>
      <c r="AD56" s="47"/>
      <c r="AE56" s="47"/>
      <c r="AF56" s="47"/>
      <c r="AG56" s="47"/>
      <c r="AH56" s="47"/>
      <c r="AI56" s="47"/>
      <c r="AJ56" s="47"/>
      <c r="AK56" s="47"/>
      <c r="AL56" s="47"/>
      <c r="AM56" s="47"/>
      <c r="AN56" s="47"/>
      <c r="AO56" s="47"/>
      <c r="AP56" s="47"/>
      <c r="AQ56" s="43"/>
      <c r="AR56" s="47"/>
      <c r="AS56" s="43"/>
      <c r="AT56" s="47"/>
      <c r="AU56" s="43"/>
      <c r="AV56" s="43"/>
      <c r="AW56" s="43"/>
      <c r="AX56" s="43"/>
      <c r="AY56" s="43"/>
      <c r="AZ56" s="43"/>
      <c r="BA56" s="43"/>
      <c r="BB56" s="43"/>
      <c r="BC56" s="47"/>
      <c r="BD56" s="43"/>
      <c r="BE56" s="43"/>
      <c r="BF56" s="43"/>
      <c r="BG56" s="43"/>
      <c r="BH56" s="43"/>
      <c r="BI56" s="43"/>
      <c r="BJ56" s="43"/>
      <c r="BK56" s="43"/>
      <c r="BL56" s="43"/>
      <c r="BM56" s="43"/>
      <c r="BN56" s="43"/>
      <c r="BO56" s="43"/>
      <c r="BP56" s="43"/>
      <c r="BQ56" s="43"/>
      <c r="BR56" s="43"/>
      <c r="BS56" s="43"/>
      <c r="BT56" s="43"/>
      <c r="BU56" s="43"/>
      <c r="BV56" s="43"/>
      <c r="BW56" s="43"/>
      <c r="BX56" s="43"/>
      <c r="BY56" s="43"/>
      <c r="BZ56" s="43"/>
      <c r="CE56" s="43"/>
    </row>
    <row r="57" spans="1:83" ht="12.75">
      <c r="A57" s="43"/>
      <c r="B57" s="81" t="s">
        <v>131</v>
      </c>
      <c r="C57" s="82">
        <v>0.08</v>
      </c>
      <c r="D57" s="83">
        <v>2.4199999999999999E-2</v>
      </c>
      <c r="E57" s="84" t="s">
        <v>650</v>
      </c>
      <c r="F57" s="85"/>
      <c r="G57" s="85"/>
      <c r="H57" s="85"/>
      <c r="I57" s="85"/>
      <c r="J57" s="86"/>
      <c r="K57" s="87"/>
      <c r="M57" s="47"/>
      <c r="N57" s="47"/>
      <c r="O57" s="47"/>
      <c r="P57" s="47"/>
      <c r="Q57" s="47"/>
      <c r="R57" s="47"/>
      <c r="S57" s="47"/>
      <c r="T57" s="47"/>
      <c r="U57" s="47"/>
      <c r="V57" s="47"/>
      <c r="W57" s="47"/>
      <c r="X57" s="47"/>
      <c r="Y57" s="47"/>
      <c r="Z57" s="47"/>
      <c r="AA57" s="47"/>
      <c r="AB57" s="47"/>
      <c r="AC57" s="47"/>
      <c r="AD57" s="47"/>
      <c r="AE57" s="47"/>
      <c r="AF57" s="47"/>
      <c r="AG57" s="47"/>
      <c r="AH57" s="47"/>
      <c r="AI57" s="47"/>
      <c r="AJ57" s="47"/>
      <c r="AK57" s="47"/>
      <c r="AL57" s="47"/>
      <c r="AM57" s="47"/>
      <c r="AN57" s="47"/>
      <c r="AO57" s="47"/>
      <c r="AP57" s="47"/>
      <c r="AQ57" s="43"/>
      <c r="AR57" s="47"/>
      <c r="AS57" s="43"/>
      <c r="AT57" s="47"/>
      <c r="AU57" s="43"/>
      <c r="AV57" s="43"/>
      <c r="AW57" s="43"/>
      <c r="AX57" s="43"/>
      <c r="AY57" s="43"/>
      <c r="AZ57" s="43"/>
      <c r="BA57" s="43"/>
      <c r="BB57" s="43"/>
      <c r="BC57" s="47"/>
      <c r="BD57" s="43"/>
      <c r="BE57" s="43"/>
      <c r="BF57" s="43"/>
      <c r="BG57" s="43"/>
      <c r="BH57" s="43"/>
      <c r="BI57" s="43"/>
      <c r="BJ57" s="43"/>
      <c r="BK57" s="43"/>
      <c r="BL57" s="43"/>
      <c r="BM57" s="43"/>
      <c r="BN57" s="43"/>
      <c r="BO57" s="43"/>
      <c r="BP57" s="43"/>
      <c r="BQ57" s="43"/>
      <c r="BR57" s="43"/>
      <c r="BS57" s="43"/>
      <c r="BT57" s="43"/>
      <c r="BU57" s="43"/>
      <c r="BV57" s="43"/>
      <c r="BW57" s="43"/>
      <c r="BX57" s="43"/>
      <c r="BY57" s="43"/>
      <c r="BZ57" s="43"/>
      <c r="CE57" s="43"/>
    </row>
    <row r="58" spans="1:83" ht="12.75">
      <c r="A58" s="43"/>
      <c r="B58" s="88" t="s">
        <v>132</v>
      </c>
      <c r="C58" s="89">
        <v>0.25</v>
      </c>
      <c r="D58" s="53">
        <v>2.41E-2</v>
      </c>
      <c r="E58" s="84" t="s">
        <v>651</v>
      </c>
      <c r="F58" s="85"/>
      <c r="G58" s="85"/>
      <c r="H58" s="85"/>
      <c r="I58" s="85"/>
      <c r="J58" s="86"/>
      <c r="K58" s="87"/>
      <c r="M58" s="47"/>
      <c r="N58" s="47"/>
      <c r="O58" s="47"/>
      <c r="P58" s="47"/>
      <c r="Q58" s="47"/>
      <c r="R58" s="47"/>
      <c r="S58" s="47"/>
      <c r="T58" s="47"/>
      <c r="U58" s="47"/>
      <c r="V58" s="47"/>
      <c r="W58" s="47"/>
      <c r="X58" s="47"/>
      <c r="Y58" s="47"/>
      <c r="Z58" s="47"/>
      <c r="AA58" s="47"/>
      <c r="AB58" s="47"/>
      <c r="AC58" s="47"/>
      <c r="AD58" s="47"/>
      <c r="AE58" s="47"/>
      <c r="AF58" s="47"/>
      <c r="AG58" s="47"/>
      <c r="AH58" s="47"/>
      <c r="AI58" s="47"/>
      <c r="AJ58" s="47"/>
      <c r="AK58" s="47"/>
      <c r="AL58" s="47"/>
      <c r="AM58" s="47"/>
      <c r="AN58" s="47"/>
      <c r="AO58" s="47"/>
      <c r="AP58" s="47"/>
      <c r="AQ58" s="43"/>
      <c r="AR58" s="47"/>
      <c r="AS58" s="43"/>
      <c r="AT58" s="47"/>
      <c r="AU58" s="43"/>
      <c r="AV58" s="43"/>
      <c r="AW58" s="43"/>
      <c r="AX58" s="43"/>
      <c r="AY58" s="43"/>
      <c r="AZ58" s="43"/>
      <c r="BA58" s="43"/>
      <c r="BB58" s="43"/>
      <c r="BC58" s="47"/>
      <c r="BD58" s="43"/>
      <c r="BE58" s="43"/>
      <c r="BF58" s="43"/>
      <c r="BG58" s="43"/>
      <c r="BH58" s="43"/>
      <c r="BI58" s="43"/>
      <c r="BJ58" s="43"/>
      <c r="BK58" s="43"/>
      <c r="BL58" s="43"/>
      <c r="BM58" s="43"/>
      <c r="BN58" s="43"/>
      <c r="BO58" s="43"/>
      <c r="BP58" s="43"/>
      <c r="BQ58" s="43"/>
      <c r="BR58" s="43"/>
      <c r="BS58" s="43"/>
      <c r="BT58" s="43"/>
      <c r="BU58" s="43"/>
      <c r="BV58" s="43"/>
      <c r="BW58" s="43"/>
      <c r="BX58" s="43"/>
      <c r="BY58" s="43"/>
      <c r="BZ58" s="43"/>
      <c r="CE58" s="43"/>
    </row>
    <row r="59" spans="1:83" ht="12.75">
      <c r="A59" s="43"/>
      <c r="B59" s="88" t="s">
        <v>133</v>
      </c>
      <c r="C59" s="89">
        <v>0.5</v>
      </c>
      <c r="D59" s="53">
        <v>2.46E-2</v>
      </c>
      <c r="E59" s="84" t="s">
        <v>652</v>
      </c>
      <c r="F59" s="85"/>
      <c r="G59" s="85"/>
      <c r="H59" s="85"/>
      <c r="I59" s="85"/>
      <c r="J59" s="86"/>
      <c r="K59" s="87"/>
      <c r="M59" s="47"/>
      <c r="N59" s="47"/>
      <c r="O59" s="47"/>
      <c r="P59" s="47"/>
      <c r="Q59" s="47"/>
      <c r="R59" s="47"/>
      <c r="S59" s="47"/>
      <c r="T59" s="47"/>
      <c r="U59" s="47"/>
      <c r="V59" s="47"/>
      <c r="W59" s="47"/>
      <c r="X59" s="47"/>
      <c r="Y59" s="47"/>
      <c r="Z59" s="47"/>
      <c r="AA59" s="47"/>
      <c r="AB59" s="47"/>
      <c r="AC59" s="47"/>
      <c r="AD59" s="47"/>
      <c r="AE59" s="47"/>
      <c r="AF59" s="47"/>
      <c r="AG59" s="47"/>
      <c r="AH59" s="47"/>
      <c r="AI59" s="47"/>
      <c r="AJ59" s="47"/>
      <c r="AK59" s="47"/>
      <c r="AL59" s="47"/>
      <c r="AM59" s="47"/>
      <c r="AN59" s="47"/>
      <c r="AO59" s="47"/>
      <c r="AP59" s="47"/>
      <c r="AQ59" s="43"/>
      <c r="AR59" s="47"/>
      <c r="AS59" s="43"/>
      <c r="AT59" s="47"/>
      <c r="AU59" s="43"/>
      <c r="AV59" s="43"/>
      <c r="AW59" s="43"/>
      <c r="AX59" s="43"/>
      <c r="AY59" s="43"/>
      <c r="AZ59" s="43"/>
      <c r="BA59" s="43"/>
      <c r="BB59" s="43"/>
      <c r="BC59" s="47"/>
      <c r="BD59" s="43"/>
      <c r="BE59" s="43"/>
      <c r="BF59" s="43"/>
      <c r="BG59" s="43"/>
      <c r="BH59" s="43"/>
      <c r="BI59" s="43"/>
      <c r="BJ59" s="43"/>
      <c r="BK59" s="43"/>
      <c r="BL59" s="43"/>
      <c r="BM59" s="43"/>
      <c r="BN59" s="43"/>
      <c r="BO59" s="43"/>
      <c r="BP59" s="43"/>
      <c r="BQ59" s="43"/>
      <c r="BR59" s="43"/>
      <c r="BS59" s="43"/>
      <c r="BT59" s="43"/>
      <c r="BU59" s="43"/>
      <c r="BV59" s="43"/>
      <c r="BW59" s="43"/>
      <c r="BX59" s="43"/>
      <c r="BY59" s="43"/>
      <c r="BZ59" s="43"/>
      <c r="CE59" s="43"/>
    </row>
    <row r="60" spans="1:83" ht="12.75">
      <c r="A60" s="43"/>
      <c r="B60" s="88" t="s">
        <v>134</v>
      </c>
      <c r="C60" s="89">
        <v>1</v>
      </c>
      <c r="D60" s="53">
        <v>2.5499999999999998E-2</v>
      </c>
      <c r="E60" s="84" t="s">
        <v>653</v>
      </c>
      <c r="F60" s="85"/>
      <c r="G60" s="85"/>
      <c r="H60" s="85"/>
      <c r="I60" s="85"/>
      <c r="J60" s="86"/>
      <c r="K60" s="87"/>
      <c r="M60" s="47"/>
      <c r="N60" s="47"/>
      <c r="O60" s="47"/>
      <c r="P60" s="47"/>
      <c r="Q60" s="47"/>
      <c r="R60" s="47"/>
      <c r="S60" s="47"/>
      <c r="T60" s="47"/>
      <c r="U60" s="47"/>
      <c r="V60" s="47"/>
      <c r="W60" s="47"/>
      <c r="X60" s="47"/>
      <c r="Y60" s="47"/>
      <c r="Z60" s="47"/>
      <c r="AA60" s="47"/>
      <c r="AB60" s="47"/>
      <c r="AC60" s="47"/>
      <c r="AD60" s="47"/>
      <c r="AE60" s="47"/>
      <c r="AF60" s="47"/>
      <c r="AG60" s="47"/>
      <c r="AH60" s="47"/>
      <c r="AI60" s="47"/>
      <c r="AJ60" s="47"/>
      <c r="AK60" s="47"/>
      <c r="AL60" s="47"/>
      <c r="AM60" s="47"/>
      <c r="AN60" s="47"/>
      <c r="AO60" s="47"/>
      <c r="AP60" s="47"/>
      <c r="AQ60" s="43"/>
      <c r="AR60" s="47"/>
      <c r="AS60" s="43"/>
      <c r="AT60" s="47"/>
      <c r="AU60" s="43"/>
      <c r="AV60" s="43"/>
      <c r="AW60" s="43"/>
      <c r="AX60" s="43"/>
      <c r="AY60" s="43"/>
      <c r="AZ60" s="43"/>
      <c r="BA60" s="43"/>
      <c r="BB60" s="43"/>
      <c r="BC60" s="47"/>
      <c r="BD60" s="43"/>
      <c r="BE60" s="43"/>
      <c r="BF60" s="43"/>
      <c r="BG60" s="43"/>
      <c r="BH60" s="43"/>
      <c r="BI60" s="43"/>
      <c r="BJ60" s="43"/>
      <c r="BK60" s="43"/>
      <c r="BL60" s="43"/>
      <c r="BM60" s="43"/>
      <c r="BN60" s="43"/>
      <c r="BO60" s="43"/>
      <c r="BP60" s="43"/>
      <c r="BQ60" s="43"/>
      <c r="BR60" s="43"/>
      <c r="BS60" s="43"/>
      <c r="BT60" s="43"/>
      <c r="BU60" s="43"/>
      <c r="BV60" s="43"/>
      <c r="BW60" s="43"/>
      <c r="BX60" s="43"/>
      <c r="BY60" s="43"/>
      <c r="BZ60" s="43"/>
      <c r="CE60" s="43"/>
    </row>
    <row r="61" spans="1:83" ht="12.75">
      <c r="A61" s="43"/>
      <c r="B61" s="88" t="s">
        <v>135</v>
      </c>
      <c r="C61" s="89">
        <v>2</v>
      </c>
      <c r="D61" s="53">
        <v>2.4500000000000001E-2</v>
      </c>
      <c r="E61" s="84" t="s">
        <v>654</v>
      </c>
      <c r="F61" s="85"/>
      <c r="G61" s="85"/>
      <c r="H61" s="85"/>
      <c r="I61" s="85"/>
      <c r="J61" s="86"/>
      <c r="K61" s="87"/>
      <c r="M61" s="47"/>
      <c r="N61" s="47"/>
      <c r="O61" s="47"/>
      <c r="P61" s="47"/>
      <c r="Q61" s="47"/>
      <c r="R61" s="47"/>
      <c r="S61" s="47"/>
      <c r="T61" s="47"/>
      <c r="U61" s="47"/>
      <c r="V61" s="47"/>
      <c r="W61" s="47"/>
      <c r="X61" s="47"/>
      <c r="Y61" s="47"/>
      <c r="Z61" s="47"/>
      <c r="AA61" s="47"/>
      <c r="AB61" s="47"/>
      <c r="AC61" s="47"/>
      <c r="AD61" s="47"/>
      <c r="AE61" s="47"/>
      <c r="AF61" s="47"/>
      <c r="AG61" s="47"/>
      <c r="AH61" s="47"/>
      <c r="AI61" s="47"/>
      <c r="AJ61" s="47"/>
      <c r="AK61" s="47"/>
      <c r="AL61" s="47"/>
      <c r="AM61" s="47"/>
      <c r="AN61" s="47"/>
      <c r="AO61" s="47"/>
      <c r="AP61" s="47"/>
      <c r="AQ61" s="43"/>
      <c r="AR61" s="47"/>
      <c r="AS61" s="43"/>
      <c r="AT61" s="47"/>
      <c r="AU61" s="43"/>
      <c r="AV61" s="43"/>
      <c r="AW61" s="43"/>
      <c r="AX61" s="43"/>
      <c r="AY61" s="43"/>
      <c r="AZ61" s="43"/>
      <c r="BA61" s="43"/>
      <c r="BB61" s="43"/>
      <c r="BC61" s="47"/>
      <c r="BD61" s="43"/>
      <c r="BE61" s="43"/>
      <c r="BF61" s="43"/>
      <c r="BG61" s="43"/>
      <c r="BH61" s="43"/>
      <c r="BI61" s="43"/>
      <c r="BJ61" s="43"/>
      <c r="BK61" s="43"/>
      <c r="BL61" s="43"/>
      <c r="BM61" s="43"/>
      <c r="BN61" s="43"/>
      <c r="BO61" s="43"/>
      <c r="BP61" s="43"/>
      <c r="BQ61" s="43"/>
      <c r="BR61" s="43"/>
      <c r="BS61" s="43"/>
      <c r="BT61" s="43"/>
      <c r="BU61" s="43"/>
      <c r="BV61" s="43"/>
      <c r="BW61" s="43"/>
      <c r="BX61" s="43"/>
      <c r="BY61" s="43"/>
      <c r="BZ61" s="43"/>
      <c r="CE61" s="43"/>
    </row>
    <row r="62" spans="1:83" ht="12.75">
      <c r="A62" s="43"/>
      <c r="B62" s="88" t="s">
        <v>136</v>
      </c>
      <c r="C62" s="89">
        <v>3</v>
      </c>
      <c r="D62" s="53">
        <v>2.4299999999999999E-2</v>
      </c>
      <c r="E62" s="84" t="s">
        <v>655</v>
      </c>
      <c r="F62" s="85"/>
      <c r="G62" s="85"/>
      <c r="H62" s="85"/>
      <c r="I62" s="85"/>
      <c r="J62" s="86"/>
      <c r="K62" s="87"/>
      <c r="M62" s="47"/>
      <c r="N62" s="47"/>
      <c r="O62" s="47"/>
      <c r="P62" s="47"/>
      <c r="Q62" s="47"/>
      <c r="R62" s="47"/>
      <c r="S62" s="47"/>
      <c r="T62" s="47"/>
      <c r="U62" s="47"/>
      <c r="V62" s="47"/>
      <c r="W62" s="47"/>
      <c r="X62" s="47"/>
      <c r="Y62" s="47"/>
      <c r="Z62" s="47"/>
      <c r="AA62" s="47"/>
      <c r="AB62" s="47"/>
      <c r="AC62" s="47"/>
      <c r="AD62" s="47"/>
      <c r="AE62" s="47"/>
      <c r="AF62" s="47"/>
      <c r="AG62" s="47"/>
      <c r="AH62" s="47"/>
      <c r="AI62" s="47"/>
      <c r="AJ62" s="47"/>
      <c r="AK62" s="47"/>
      <c r="AL62" s="47"/>
      <c r="AM62" s="47"/>
      <c r="AN62" s="47"/>
      <c r="AO62" s="47"/>
      <c r="AP62" s="47"/>
      <c r="AQ62" s="43"/>
      <c r="AR62" s="47"/>
      <c r="AS62" s="43"/>
      <c r="AT62" s="47"/>
      <c r="AU62" s="43"/>
      <c r="AV62" s="43"/>
      <c r="AW62" s="43"/>
      <c r="AX62" s="43"/>
      <c r="AY62" s="43"/>
      <c r="AZ62" s="43"/>
      <c r="BA62" s="43"/>
      <c r="BB62" s="43"/>
      <c r="BC62" s="47"/>
      <c r="BD62" s="43"/>
      <c r="BE62" s="43"/>
      <c r="BF62" s="43"/>
      <c r="BG62" s="43"/>
      <c r="BH62" s="43"/>
      <c r="BI62" s="43"/>
      <c r="BJ62" s="43"/>
      <c r="BK62" s="43"/>
      <c r="BL62" s="43"/>
      <c r="BM62" s="43"/>
      <c r="BN62" s="43"/>
      <c r="BO62" s="43"/>
      <c r="BP62" s="43"/>
      <c r="BQ62" s="43"/>
      <c r="BR62" s="43"/>
      <c r="BS62" s="43"/>
      <c r="BT62" s="43"/>
      <c r="BU62" s="43"/>
      <c r="BV62" s="43"/>
      <c r="BW62" s="43"/>
      <c r="BX62" s="43"/>
      <c r="BY62" s="43"/>
      <c r="BZ62" s="43"/>
      <c r="CE62" s="43"/>
    </row>
    <row r="63" spans="1:83" ht="12.75">
      <c r="A63" s="43"/>
      <c r="B63" s="88" t="s">
        <v>137</v>
      </c>
      <c r="C63" s="89">
        <v>5</v>
      </c>
      <c r="D63" s="53">
        <v>2.4299999999999999E-2</v>
      </c>
      <c r="E63" s="84" t="s">
        <v>656</v>
      </c>
      <c r="F63" s="85"/>
      <c r="G63" s="85"/>
      <c r="H63" s="85"/>
      <c r="I63" s="85"/>
      <c r="J63" s="86"/>
      <c r="K63" s="87"/>
      <c r="M63" s="47"/>
      <c r="N63" s="47"/>
      <c r="O63" s="47"/>
      <c r="P63" s="47"/>
      <c r="Q63" s="47"/>
      <c r="R63" s="47"/>
      <c r="S63" s="47"/>
      <c r="T63" s="47"/>
      <c r="U63" s="47"/>
      <c r="V63" s="47"/>
      <c r="W63" s="47"/>
      <c r="X63" s="47"/>
      <c r="Y63" s="47"/>
      <c r="Z63" s="47"/>
      <c r="AA63" s="47"/>
      <c r="AB63" s="47"/>
      <c r="AC63" s="47"/>
      <c r="AD63" s="47"/>
      <c r="AE63" s="47"/>
      <c r="AF63" s="47"/>
      <c r="AG63" s="47"/>
      <c r="AH63" s="47"/>
      <c r="AI63" s="47"/>
      <c r="AJ63" s="47"/>
      <c r="AK63" s="47"/>
      <c r="AL63" s="47"/>
      <c r="AM63" s="47"/>
      <c r="AN63" s="47"/>
      <c r="AO63" s="47"/>
      <c r="AP63" s="47"/>
      <c r="AQ63" s="43"/>
      <c r="AR63" s="47"/>
      <c r="AS63" s="43"/>
      <c r="AT63" s="47"/>
      <c r="AU63" s="43"/>
      <c r="AV63" s="43"/>
      <c r="AW63" s="43"/>
      <c r="AX63" s="43"/>
      <c r="AY63" s="43"/>
      <c r="AZ63" s="43"/>
      <c r="BA63" s="43"/>
      <c r="BB63" s="43"/>
      <c r="BC63" s="47"/>
      <c r="BD63" s="43"/>
      <c r="BE63" s="43"/>
      <c r="BF63" s="43"/>
      <c r="BG63" s="43"/>
      <c r="BH63" s="43"/>
      <c r="BI63" s="43"/>
      <c r="BJ63" s="43"/>
      <c r="BK63" s="43"/>
      <c r="BL63" s="43"/>
      <c r="BM63" s="43"/>
      <c r="BN63" s="43"/>
      <c r="BO63" s="43"/>
      <c r="BP63" s="43"/>
      <c r="BQ63" s="43"/>
      <c r="BR63" s="43"/>
      <c r="BS63" s="43"/>
      <c r="BT63" s="43"/>
      <c r="BU63" s="43"/>
      <c r="BV63" s="43"/>
      <c r="BW63" s="43"/>
      <c r="BX63" s="43"/>
      <c r="BY63" s="43"/>
      <c r="BZ63" s="43"/>
      <c r="CE63" s="43"/>
    </row>
    <row r="64" spans="1:83" ht="12.75">
      <c r="A64" s="43"/>
      <c r="B64" s="88" t="s">
        <v>138</v>
      </c>
      <c r="C64" s="89">
        <v>7</v>
      </c>
      <c r="D64" s="53">
        <v>2.5100000000000001E-2</v>
      </c>
      <c r="E64" s="84" t="s">
        <v>657</v>
      </c>
      <c r="F64" s="85"/>
      <c r="G64" s="85"/>
      <c r="H64" s="85"/>
      <c r="I64" s="85"/>
      <c r="J64" s="86"/>
      <c r="K64" s="87"/>
      <c r="M64" s="47"/>
      <c r="N64" s="47"/>
      <c r="O64" s="47"/>
      <c r="P64" s="47"/>
      <c r="Q64" s="47"/>
      <c r="R64" s="47"/>
      <c r="S64" s="47"/>
      <c r="T64" s="47"/>
      <c r="U64" s="47"/>
      <c r="V64" s="47"/>
      <c r="W64" s="47"/>
      <c r="X64" s="47"/>
      <c r="Y64" s="47"/>
      <c r="Z64" s="47"/>
      <c r="AA64" s="47"/>
      <c r="AB64" s="47"/>
      <c r="AC64" s="47"/>
      <c r="AD64" s="47"/>
      <c r="AE64" s="47"/>
      <c r="AF64" s="47"/>
      <c r="AG64" s="47"/>
      <c r="AH64" s="47"/>
      <c r="AI64" s="47"/>
      <c r="AJ64" s="47"/>
      <c r="AK64" s="47"/>
      <c r="AL64" s="47"/>
      <c r="AM64" s="47"/>
      <c r="AN64" s="47"/>
      <c r="AO64" s="47"/>
      <c r="AP64" s="47"/>
      <c r="AQ64" s="43"/>
      <c r="AR64" s="47"/>
      <c r="AS64" s="43"/>
      <c r="AT64" s="47"/>
      <c r="AU64" s="43"/>
      <c r="AV64" s="43"/>
      <c r="AW64" s="43"/>
      <c r="AX64" s="43"/>
      <c r="AY64" s="43"/>
      <c r="AZ64" s="43"/>
      <c r="BA64" s="43"/>
      <c r="BB64" s="43"/>
      <c r="BC64" s="47"/>
      <c r="BD64" s="43"/>
      <c r="BE64" s="43"/>
      <c r="BF64" s="43"/>
      <c r="BG64" s="43"/>
      <c r="BH64" s="43"/>
      <c r="BI64" s="43"/>
      <c r="BJ64" s="43"/>
      <c r="BK64" s="43"/>
      <c r="BL64" s="43"/>
      <c r="BM64" s="43"/>
      <c r="BN64" s="43"/>
      <c r="BO64" s="43"/>
      <c r="BP64" s="43"/>
      <c r="BQ64" s="43"/>
      <c r="BR64" s="43"/>
      <c r="BS64" s="43"/>
      <c r="BT64" s="43"/>
      <c r="BU64" s="43"/>
      <c r="BV64" s="43"/>
      <c r="BW64" s="43"/>
      <c r="BX64" s="43"/>
      <c r="BY64" s="43"/>
      <c r="BZ64" s="43"/>
      <c r="CE64" s="43"/>
    </row>
    <row r="65" spans="1:83" ht="12.75">
      <c r="A65" s="43"/>
      <c r="B65" s="88" t="s">
        <v>139</v>
      </c>
      <c r="C65" s="89">
        <v>10</v>
      </c>
      <c r="D65" s="53">
        <v>2.63E-2</v>
      </c>
      <c r="E65" s="84" t="s">
        <v>658</v>
      </c>
      <c r="F65" s="85"/>
      <c r="G65" s="85"/>
      <c r="H65" s="85"/>
      <c r="I65" s="85"/>
      <c r="J65" s="86"/>
      <c r="K65" s="87"/>
      <c r="M65" s="47"/>
      <c r="N65" s="47"/>
      <c r="O65" s="47"/>
      <c r="P65" s="47"/>
      <c r="Q65" s="47"/>
      <c r="R65" s="47"/>
      <c r="S65" s="47"/>
      <c r="T65" s="47"/>
      <c r="U65" s="47"/>
      <c r="V65" s="47"/>
      <c r="W65" s="47"/>
      <c r="X65" s="47"/>
      <c r="Y65" s="47"/>
      <c r="Z65" s="47"/>
      <c r="AA65" s="47"/>
      <c r="AB65" s="47"/>
      <c r="AC65" s="47"/>
      <c r="AD65" s="47"/>
      <c r="AE65" s="47"/>
      <c r="AF65" s="47"/>
      <c r="AG65" s="47"/>
      <c r="AH65" s="47"/>
      <c r="AI65" s="47"/>
      <c r="AJ65" s="47"/>
      <c r="AK65" s="47"/>
      <c r="AL65" s="47"/>
      <c r="AM65" s="47"/>
      <c r="AN65" s="47"/>
      <c r="AO65" s="47"/>
      <c r="AP65" s="47"/>
      <c r="AQ65" s="43"/>
      <c r="AR65" s="47"/>
      <c r="AS65" s="43"/>
      <c r="AT65" s="47"/>
      <c r="AU65" s="43"/>
      <c r="AV65" s="43"/>
      <c r="AW65" s="43"/>
      <c r="AX65" s="43"/>
      <c r="AY65" s="43"/>
      <c r="AZ65" s="43"/>
      <c r="BA65" s="43"/>
      <c r="BB65" s="43"/>
      <c r="BC65" s="47"/>
      <c r="BD65" s="43"/>
      <c r="BE65" s="43"/>
      <c r="BF65" s="43"/>
      <c r="BG65" s="43"/>
      <c r="BH65" s="43"/>
      <c r="BI65" s="43"/>
      <c r="BJ65" s="43"/>
      <c r="BK65" s="43"/>
      <c r="BL65" s="43"/>
      <c r="BM65" s="43"/>
      <c r="BN65" s="43"/>
      <c r="BO65" s="43"/>
      <c r="BP65" s="43"/>
      <c r="BQ65" s="43"/>
      <c r="BR65" s="43"/>
      <c r="BS65" s="43"/>
      <c r="BT65" s="43"/>
      <c r="BU65" s="43"/>
      <c r="BV65" s="43"/>
      <c r="BW65" s="43"/>
      <c r="BX65" s="43"/>
      <c r="BY65" s="43"/>
      <c r="BZ65" s="43"/>
      <c r="CE65" s="43"/>
    </row>
    <row r="66" spans="1:83" ht="12.75">
      <c r="A66" s="43"/>
      <c r="B66" s="88" t="s">
        <v>140</v>
      </c>
      <c r="C66" s="89">
        <v>20</v>
      </c>
      <c r="D66" s="53">
        <v>2.8299999999999999E-2</v>
      </c>
      <c r="E66" s="84" t="s">
        <v>659</v>
      </c>
      <c r="F66" s="85"/>
      <c r="G66" s="85"/>
      <c r="H66" s="85"/>
      <c r="I66" s="85"/>
      <c r="J66" s="86"/>
      <c r="K66" s="87"/>
      <c r="M66" s="47"/>
      <c r="N66" s="47"/>
      <c r="O66" s="47"/>
      <c r="P66" s="47"/>
      <c r="Q66" s="47"/>
      <c r="R66" s="47"/>
      <c r="S66" s="47"/>
      <c r="T66" s="47"/>
      <c r="U66" s="47"/>
      <c r="V66" s="47"/>
      <c r="W66" s="47"/>
      <c r="X66" s="47"/>
      <c r="Y66" s="47"/>
      <c r="Z66" s="47"/>
      <c r="AA66" s="47"/>
      <c r="AB66" s="47"/>
      <c r="AC66" s="47"/>
      <c r="AD66" s="47"/>
      <c r="AE66" s="47"/>
      <c r="AF66" s="47"/>
      <c r="AG66" s="47"/>
      <c r="AH66" s="47"/>
      <c r="AI66" s="47"/>
      <c r="AJ66" s="47"/>
      <c r="AK66" s="47"/>
      <c r="AL66" s="47"/>
      <c r="AM66" s="47"/>
      <c r="AN66" s="47"/>
      <c r="AO66" s="47"/>
      <c r="AP66" s="47"/>
      <c r="AQ66" s="43"/>
      <c r="AR66" s="47"/>
      <c r="AS66" s="43"/>
      <c r="AT66" s="47"/>
      <c r="AU66" s="43"/>
      <c r="AV66" s="43"/>
      <c r="AW66" s="43"/>
      <c r="AX66" s="43"/>
      <c r="AY66" s="43"/>
      <c r="AZ66" s="43"/>
      <c r="BA66" s="43"/>
      <c r="BB66" s="43"/>
      <c r="BC66" s="47"/>
      <c r="BD66" s="43"/>
      <c r="BE66" s="43"/>
      <c r="BF66" s="43"/>
      <c r="BG66" s="43"/>
      <c r="BH66" s="43"/>
      <c r="BI66" s="43"/>
      <c r="BJ66" s="43"/>
      <c r="BK66" s="43"/>
      <c r="BL66" s="43"/>
      <c r="BM66" s="43"/>
      <c r="BN66" s="43"/>
      <c r="BO66" s="43"/>
      <c r="BP66" s="43"/>
      <c r="BQ66" s="43"/>
      <c r="BR66" s="43"/>
      <c r="BS66" s="43"/>
      <c r="BT66" s="43"/>
      <c r="BU66" s="43"/>
      <c r="BV66" s="43"/>
      <c r="BW66" s="43"/>
      <c r="BX66" s="43"/>
      <c r="BY66" s="43"/>
      <c r="BZ66" s="43"/>
      <c r="CE66" s="43"/>
    </row>
    <row r="67" spans="1:83" ht="12.75">
      <c r="A67" s="43"/>
      <c r="B67" s="90" t="s">
        <v>141</v>
      </c>
      <c r="C67" s="91">
        <v>30</v>
      </c>
      <c r="D67" s="50">
        <v>2.9899999999999999E-2</v>
      </c>
      <c r="E67" s="92" t="s">
        <v>660</v>
      </c>
      <c r="F67" s="93"/>
      <c r="G67" s="93"/>
      <c r="H67" s="93"/>
      <c r="I67" s="93"/>
      <c r="J67" s="94"/>
      <c r="K67" s="95"/>
      <c r="M67" s="47"/>
      <c r="N67" s="47"/>
      <c r="O67" s="47"/>
      <c r="P67" s="47"/>
      <c r="Q67" s="47"/>
      <c r="R67" s="47"/>
      <c r="S67" s="47"/>
      <c r="T67" s="47"/>
      <c r="U67" s="47"/>
      <c r="V67" s="47"/>
      <c r="W67" s="47"/>
      <c r="X67" s="47"/>
      <c r="Y67" s="47"/>
      <c r="Z67" s="47"/>
      <c r="AA67" s="47"/>
      <c r="AB67" s="47"/>
      <c r="AC67" s="47"/>
      <c r="AD67" s="47"/>
      <c r="AE67" s="47"/>
      <c r="AF67" s="47"/>
      <c r="AG67" s="47"/>
      <c r="AH67" s="47"/>
      <c r="AI67" s="47"/>
      <c r="AJ67" s="47"/>
      <c r="AK67" s="47"/>
      <c r="AL67" s="47"/>
      <c r="AM67" s="47"/>
      <c r="AN67" s="47"/>
      <c r="AO67" s="47"/>
      <c r="AP67" s="47"/>
      <c r="AQ67" s="43"/>
      <c r="AR67" s="47"/>
      <c r="AS67" s="43"/>
      <c r="AT67" s="47"/>
      <c r="AU67" s="43"/>
      <c r="AV67" s="43"/>
      <c r="AW67" s="43"/>
      <c r="AX67" s="43"/>
      <c r="AY67" s="43"/>
      <c r="AZ67" s="43"/>
      <c r="BA67" s="43"/>
      <c r="BB67" s="43"/>
      <c r="BC67" s="47"/>
      <c r="BD67" s="43"/>
      <c r="BE67" s="43"/>
      <c r="BF67" s="43"/>
      <c r="BG67" s="43"/>
      <c r="BH67" s="43"/>
      <c r="BI67" s="43"/>
      <c r="BJ67" s="43"/>
      <c r="BK67" s="43"/>
      <c r="BL67" s="43"/>
      <c r="BM67" s="43"/>
      <c r="BN67" s="43"/>
      <c r="BO67" s="43"/>
      <c r="BP67" s="43"/>
      <c r="BQ67" s="43"/>
      <c r="BR67" s="43"/>
      <c r="BS67" s="43"/>
      <c r="BT67" s="43"/>
      <c r="BU67" s="43"/>
      <c r="BV67" s="43"/>
      <c r="BW67" s="43"/>
      <c r="BX67" s="43"/>
      <c r="BY67" s="43"/>
      <c r="BZ67" s="43"/>
      <c r="CE67" s="43"/>
    </row>
    <row r="70" spans="1:83">
      <c r="A70" s="43"/>
      <c r="B70" s="96" t="s">
        <v>634</v>
      </c>
      <c r="K70" s="47"/>
      <c r="L70" s="47"/>
      <c r="M70" s="47"/>
      <c r="N70" s="47"/>
      <c r="O70" s="47"/>
      <c r="P70" s="47"/>
      <c r="Q70" s="47"/>
      <c r="R70" s="47"/>
      <c r="S70" s="47"/>
      <c r="T70" s="47"/>
      <c r="U70" s="47"/>
      <c r="V70" s="47"/>
      <c r="W70" s="47"/>
      <c r="X70" s="47"/>
      <c r="Y70" s="47"/>
      <c r="Z70" s="47"/>
      <c r="AA70" s="47"/>
      <c r="AB70" s="47"/>
      <c r="AC70" s="47"/>
      <c r="AD70" s="47"/>
      <c r="AE70" s="47"/>
      <c r="AF70" s="47"/>
      <c r="AG70" s="47"/>
      <c r="AH70" s="47"/>
      <c r="AI70" s="47"/>
      <c r="AJ70" s="47"/>
      <c r="AK70" s="47"/>
      <c r="AL70" s="47"/>
      <c r="AM70" s="47"/>
      <c r="AN70" s="47"/>
      <c r="AO70" s="47"/>
      <c r="AP70" s="47"/>
      <c r="AQ70" s="43"/>
      <c r="AR70" s="47"/>
      <c r="AS70" s="43"/>
      <c r="AT70" s="47"/>
      <c r="AU70" s="43"/>
      <c r="AV70" s="43"/>
      <c r="AW70" s="43"/>
      <c r="AX70" s="43"/>
      <c r="AY70" s="43"/>
      <c r="AZ70" s="43"/>
      <c r="BA70" s="43"/>
      <c r="BB70" s="43"/>
      <c r="BC70" s="47"/>
      <c r="BD70" s="43"/>
      <c r="BE70" s="43"/>
      <c r="BF70" s="43"/>
      <c r="BG70" s="43"/>
      <c r="BH70" s="43"/>
      <c r="BI70" s="43"/>
      <c r="BJ70" s="43"/>
      <c r="BK70" s="43"/>
      <c r="BL70" s="43"/>
      <c r="BM70" s="43"/>
      <c r="BN70" s="43"/>
      <c r="BO70" s="43"/>
      <c r="BP70" s="43"/>
      <c r="BQ70" s="43"/>
      <c r="BR70" s="43"/>
      <c r="BS70" s="43"/>
      <c r="BT70" s="43"/>
      <c r="BU70" s="43"/>
      <c r="BV70" s="43"/>
      <c r="BW70" s="43"/>
      <c r="BX70" s="43"/>
      <c r="BY70" s="43"/>
      <c r="BZ70" s="43"/>
      <c r="CE70" s="43"/>
    </row>
    <row r="71" spans="1:83" ht="12.75">
      <c r="A71" s="43"/>
      <c r="B71" s="97" t="s">
        <v>635</v>
      </c>
      <c r="C71" s="98">
        <v>5.0099999999999999E-2</v>
      </c>
      <c r="D71" s="99" t="s">
        <v>725</v>
      </c>
      <c r="E71" s="100"/>
      <c r="F71" s="100"/>
      <c r="G71" s="100"/>
      <c r="H71" s="100"/>
      <c r="I71" s="100"/>
      <c r="J71" s="101"/>
      <c r="K71" s="47"/>
      <c r="L71" s="47"/>
      <c r="M71" s="47"/>
      <c r="N71" s="47"/>
      <c r="O71" s="47"/>
      <c r="P71" s="47"/>
      <c r="Q71" s="47"/>
      <c r="R71" s="47"/>
      <c r="S71" s="47"/>
      <c r="T71" s="47"/>
      <c r="U71" s="47"/>
      <c r="V71" s="47"/>
      <c r="W71" s="47"/>
      <c r="X71" s="47"/>
      <c r="Y71" s="47"/>
      <c r="Z71" s="47"/>
      <c r="AA71" s="47"/>
      <c r="AB71" s="47"/>
      <c r="AC71" s="47"/>
      <c r="AD71" s="47"/>
      <c r="AE71" s="47"/>
      <c r="AF71" s="47"/>
      <c r="AG71" s="47"/>
      <c r="AH71" s="47"/>
      <c r="AI71" s="47"/>
      <c r="AJ71" s="47"/>
      <c r="AK71" s="47"/>
      <c r="AL71" s="47"/>
      <c r="AM71" s="47"/>
      <c r="AN71" s="47"/>
      <c r="AO71" s="47"/>
      <c r="AP71" s="47"/>
      <c r="AQ71" s="43"/>
      <c r="AR71" s="47"/>
      <c r="AS71" s="43"/>
      <c r="AT71" s="47"/>
      <c r="AU71" s="43"/>
      <c r="AV71" s="43"/>
      <c r="AW71" s="43"/>
      <c r="AX71" s="43"/>
      <c r="AY71" s="43"/>
      <c r="AZ71" s="43"/>
      <c r="BA71" s="43"/>
      <c r="BB71" s="43"/>
      <c r="BC71" s="47"/>
      <c r="BD71" s="43"/>
      <c r="BE71" s="43"/>
      <c r="BF71" s="43"/>
      <c r="BG71" s="43"/>
      <c r="BH71" s="43"/>
      <c r="BI71" s="43"/>
      <c r="BJ71" s="43"/>
      <c r="BK71" s="43"/>
      <c r="BL71" s="43"/>
      <c r="BM71" s="43"/>
      <c r="BN71" s="43"/>
      <c r="BO71" s="43"/>
      <c r="BP71" s="43"/>
      <c r="BQ71" s="43"/>
      <c r="BR71" s="43"/>
      <c r="BS71" s="43"/>
      <c r="BT71" s="43"/>
      <c r="BU71" s="43"/>
      <c r="BV71" s="43"/>
      <c r="BW71" s="43"/>
      <c r="BX71" s="43"/>
      <c r="BY71" s="43"/>
      <c r="BZ71" s="43"/>
      <c r="CE71" s="43"/>
    </row>
    <row r="73" spans="1:83">
      <c r="A73" s="43"/>
      <c r="B73" s="96" t="s">
        <v>636</v>
      </c>
      <c r="K73" s="47"/>
      <c r="L73" s="47"/>
      <c r="M73" s="47"/>
      <c r="N73" s="47"/>
      <c r="O73" s="47"/>
      <c r="P73" s="47"/>
      <c r="Q73" s="47"/>
      <c r="R73" s="47"/>
      <c r="S73" s="47"/>
      <c r="T73" s="47"/>
      <c r="U73" s="47"/>
      <c r="V73" s="47"/>
      <c r="W73" s="47"/>
      <c r="X73" s="47"/>
      <c r="Y73" s="47"/>
      <c r="Z73" s="47"/>
      <c r="AA73" s="47"/>
      <c r="AB73" s="47"/>
      <c r="AC73" s="47"/>
      <c r="AD73" s="47"/>
      <c r="AE73" s="47"/>
      <c r="AF73" s="47"/>
      <c r="AG73" s="47"/>
      <c r="AH73" s="47"/>
      <c r="AI73" s="47"/>
      <c r="AJ73" s="47"/>
      <c r="AK73" s="47"/>
      <c r="AL73" s="47"/>
      <c r="AM73" s="47"/>
      <c r="AN73" s="47"/>
      <c r="AO73" s="47"/>
      <c r="AP73" s="47"/>
      <c r="AQ73" s="43"/>
      <c r="AR73" s="47"/>
      <c r="AS73" s="43"/>
      <c r="AT73" s="47"/>
      <c r="AU73" s="43"/>
      <c r="AV73" s="43"/>
      <c r="AW73" s="43"/>
      <c r="AX73" s="43"/>
      <c r="AY73" s="43"/>
      <c r="AZ73" s="43"/>
      <c r="BA73" s="43"/>
      <c r="BB73" s="43"/>
      <c r="BC73" s="47"/>
      <c r="BD73" s="43"/>
      <c r="BE73" s="43"/>
      <c r="BF73" s="43"/>
      <c r="BG73" s="43"/>
      <c r="BH73" s="43"/>
      <c r="BI73" s="43"/>
      <c r="BJ73" s="43"/>
      <c r="BK73" s="43"/>
      <c r="BL73" s="43"/>
      <c r="BM73" s="43"/>
      <c r="BN73" s="43"/>
      <c r="BO73" s="43"/>
      <c r="BP73" s="43"/>
      <c r="BQ73" s="43"/>
      <c r="BR73" s="43"/>
      <c r="BS73" s="43"/>
      <c r="BT73" s="43"/>
      <c r="BU73" s="43"/>
      <c r="BV73" s="43"/>
      <c r="BW73" s="43"/>
      <c r="BX73" s="43"/>
      <c r="BY73" s="43"/>
      <c r="BZ73" s="43"/>
      <c r="CE73" s="43"/>
    </row>
    <row r="74" spans="1:83" ht="12.75">
      <c r="A74" s="43"/>
      <c r="B74" s="97" t="s">
        <v>637</v>
      </c>
      <c r="C74" s="98">
        <v>5.5E-2</v>
      </c>
      <c r="D74" s="99"/>
      <c r="E74" s="100"/>
      <c r="F74" s="100"/>
      <c r="G74" s="100"/>
      <c r="H74" s="100"/>
      <c r="I74" s="100"/>
      <c r="J74" s="101"/>
      <c r="K74" s="47"/>
      <c r="L74" s="47"/>
      <c r="M74" s="47"/>
      <c r="N74" s="47"/>
      <c r="O74" s="47"/>
      <c r="P74" s="47"/>
      <c r="Q74" s="47"/>
      <c r="R74" s="47"/>
      <c r="S74" s="47"/>
      <c r="T74" s="47"/>
      <c r="U74" s="47"/>
      <c r="V74" s="47"/>
      <c r="W74" s="47"/>
      <c r="X74" s="47"/>
      <c r="Y74" s="47"/>
      <c r="Z74" s="47"/>
      <c r="AA74" s="47"/>
      <c r="AB74" s="47"/>
      <c r="AC74" s="47"/>
      <c r="AD74" s="47"/>
      <c r="AE74" s="47"/>
      <c r="AF74" s="47"/>
      <c r="AG74" s="47"/>
      <c r="AH74" s="47"/>
      <c r="AI74" s="47"/>
      <c r="AJ74" s="47"/>
      <c r="AK74" s="47"/>
      <c r="AL74" s="47"/>
      <c r="AM74" s="47"/>
      <c r="AN74" s="47"/>
      <c r="AO74" s="47"/>
      <c r="AP74" s="47"/>
      <c r="AQ74" s="43"/>
      <c r="AR74" s="47"/>
      <c r="AS74" s="43"/>
      <c r="AT74" s="47"/>
      <c r="AU74" s="43"/>
      <c r="AV74" s="43"/>
      <c r="AW74" s="43"/>
      <c r="AX74" s="43"/>
      <c r="AY74" s="43"/>
      <c r="AZ74" s="43"/>
      <c r="BA74" s="43"/>
      <c r="BB74" s="43"/>
      <c r="BC74" s="47"/>
      <c r="BD74" s="43"/>
      <c r="BE74" s="43"/>
      <c r="BF74" s="43"/>
      <c r="BG74" s="43"/>
      <c r="BH74" s="43"/>
      <c r="BI74" s="43"/>
      <c r="BJ74" s="43"/>
      <c r="BK74" s="43"/>
      <c r="BL74" s="43"/>
      <c r="BM74" s="43"/>
      <c r="BN74" s="43"/>
      <c r="BO74" s="43"/>
      <c r="BP74" s="43"/>
      <c r="BQ74" s="43"/>
      <c r="BR74" s="43"/>
      <c r="BS74" s="43"/>
      <c r="BT74" s="43"/>
      <c r="BU74" s="43"/>
      <c r="BV74" s="43"/>
      <c r="BW74" s="43"/>
      <c r="BX74" s="43"/>
      <c r="BY74" s="43"/>
      <c r="BZ74" s="43"/>
      <c r="CE74" s="43"/>
    </row>
  </sheetData>
  <pageMargins left="0.7" right="0.7" top="0.75" bottom="0.75" header="0.3" footer="0.3"/>
  <pageSetup paperSize="9" orientation="portrait" horizontalDpi="90" verticalDpi="90" r:id="rId1"/>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4">
    <tabColor rgb="FFFF0000"/>
  </sheetPr>
  <dimension ref="B1:AM48"/>
  <sheetViews>
    <sheetView topLeftCell="A7" workbookViewId="0">
      <selection activeCell="B27" sqref="B27"/>
    </sheetView>
  </sheetViews>
  <sheetFormatPr defaultRowHeight="12.75" outlineLevelCol="1"/>
  <cols>
    <col min="1" max="1" width="2.83203125" customWidth="1"/>
    <col min="2" max="2" width="11.83203125" customWidth="1"/>
    <col min="3" max="3" width="28.83203125" customWidth="1"/>
    <col min="4" max="4" width="26.33203125" customWidth="1"/>
    <col min="5" max="5" width="26.33203125" hidden="1" customWidth="1" outlineLevel="1"/>
    <col min="6" max="6" width="10.1640625" bestFit="1" customWidth="1" collapsed="1"/>
    <col min="7" max="7" width="10" hidden="1" customWidth="1" outlineLevel="1"/>
    <col min="8" max="8" width="2.83203125" customWidth="1" collapsed="1"/>
    <col min="9" max="11" width="16.33203125" customWidth="1"/>
    <col min="12" max="12" width="15.6640625" customWidth="1"/>
    <col min="13" max="13" width="2.83203125" customWidth="1"/>
    <col min="14" max="16" width="19.1640625" customWidth="1"/>
    <col min="17" max="17" width="2.83203125" customWidth="1"/>
    <col min="18" max="20" width="11.33203125" customWidth="1"/>
    <col min="21" max="22" width="11.33203125" hidden="1" customWidth="1" outlineLevel="1"/>
    <col min="23" max="23" width="2.83203125" customWidth="1" collapsed="1"/>
    <col min="24" max="24" width="11.33203125" customWidth="1"/>
    <col min="25" max="25" width="2.83203125" customWidth="1"/>
    <col min="26" max="28" width="11.33203125" hidden="1" customWidth="1" outlineLevel="1"/>
    <col min="29" max="29" width="2.83203125" hidden="1" customWidth="1" outlineLevel="1"/>
    <col min="30" max="32" width="11.33203125" hidden="1" customWidth="1" outlineLevel="1"/>
    <col min="33" max="33" width="2.83203125" hidden="1" customWidth="1" outlineLevel="1"/>
    <col min="34" max="34" width="12.1640625" customWidth="1" collapsed="1"/>
    <col min="35" max="35" width="11.6640625" customWidth="1"/>
    <col min="36" max="36" width="2.83203125" customWidth="1"/>
    <col min="37" max="37" width="24.6640625" customWidth="1"/>
    <col min="38" max="38" width="51.1640625" customWidth="1"/>
  </cols>
  <sheetData>
    <row r="1" spans="2:39" s="37" customFormat="1" ht="10.7" customHeight="1" thickBot="1"/>
    <row r="2" spans="2:39" s="37" customFormat="1" ht="16.5" customHeight="1" thickTop="1">
      <c r="B2" s="4" t="s">
        <v>2463</v>
      </c>
      <c r="C2" s="4"/>
      <c r="D2" s="4"/>
      <c r="E2" s="4"/>
      <c r="F2" s="4"/>
      <c r="G2" s="4"/>
      <c r="H2" s="4"/>
      <c r="I2" s="4"/>
      <c r="J2" s="4"/>
      <c r="K2" s="4"/>
      <c r="L2" s="4"/>
      <c r="M2" s="4"/>
      <c r="N2" s="4"/>
      <c r="O2" s="4"/>
      <c r="P2" s="4"/>
      <c r="Q2" s="4"/>
      <c r="R2" s="4"/>
      <c r="S2" s="4"/>
      <c r="T2" s="4"/>
      <c r="U2" s="4"/>
      <c r="V2" s="4"/>
      <c r="W2" s="4"/>
      <c r="X2" s="4"/>
      <c r="Y2" s="4"/>
      <c r="Z2" s="1723"/>
      <c r="AA2" s="4"/>
      <c r="AB2" s="4"/>
      <c r="AC2" s="4"/>
      <c r="AD2" s="4"/>
      <c r="AE2" s="4"/>
      <c r="AF2" s="4"/>
      <c r="AG2" s="4"/>
      <c r="AH2" s="4"/>
      <c r="AI2" s="4"/>
      <c r="AK2" s="1579" t="s">
        <v>87</v>
      </c>
      <c r="AL2" s="1580">
        <v>43496</v>
      </c>
    </row>
    <row r="3" spans="2:39" s="37" customFormat="1" ht="15.75" customHeight="1">
      <c r="B3" s="5" t="s">
        <v>2464</v>
      </c>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K3" s="36" t="s">
        <v>378</v>
      </c>
      <c r="AL3" s="34" t="s">
        <v>380</v>
      </c>
    </row>
    <row r="4" spans="2:39" s="37" customFormat="1" ht="16.5" customHeight="1" thickBot="1">
      <c r="B4" s="6" t="s">
        <v>2465</v>
      </c>
      <c r="C4" s="6"/>
      <c r="D4" s="6"/>
      <c r="E4" s="6"/>
      <c r="F4" s="6"/>
      <c r="G4" s="6"/>
      <c r="H4" s="6"/>
      <c r="I4" s="6"/>
      <c r="J4" s="6"/>
      <c r="K4" s="6"/>
      <c r="L4" s="6"/>
      <c r="M4" s="6"/>
      <c r="N4" s="7"/>
      <c r="O4" s="7"/>
      <c r="P4" s="7"/>
      <c r="Q4" s="7" t="s">
        <v>2466</v>
      </c>
      <c r="R4" s="7"/>
      <c r="S4" s="7"/>
      <c r="T4" s="7"/>
      <c r="U4" s="7"/>
      <c r="V4" s="7"/>
      <c r="W4" s="7"/>
      <c r="X4" s="7"/>
      <c r="Y4" s="7"/>
      <c r="Z4" s="7"/>
      <c r="AA4" s="7"/>
      <c r="AB4" s="7"/>
      <c r="AC4" s="7"/>
      <c r="AD4" s="7"/>
      <c r="AE4" s="7"/>
      <c r="AF4" s="7"/>
      <c r="AG4" s="7"/>
      <c r="AH4" s="7"/>
      <c r="AI4" s="7"/>
      <c r="AK4" s="36" t="s">
        <v>379</v>
      </c>
      <c r="AL4" s="34" t="s">
        <v>381</v>
      </c>
    </row>
    <row r="5" spans="2:39" s="8" customFormat="1" ht="12.75" customHeight="1" thickTop="1">
      <c r="B5" s="37"/>
      <c r="C5" s="37"/>
      <c r="D5" s="37"/>
      <c r="E5" s="37"/>
      <c r="F5" s="37"/>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1581" t="s">
        <v>89</v>
      </c>
      <c r="AL5" s="133" t="s">
        <v>90</v>
      </c>
    </row>
    <row r="6" spans="2:39" s="37" customFormat="1" ht="12.75" customHeight="1">
      <c r="C6"/>
      <c r="D6" s="1582"/>
    </row>
    <row r="7" spans="2:39" s="37" customFormat="1" ht="12.75" customHeight="1">
      <c r="I7" s="1584" t="s">
        <v>393</v>
      </c>
      <c r="J7" s="1584"/>
      <c r="K7" s="1584"/>
      <c r="L7" s="1584"/>
      <c r="N7" s="1584" t="s">
        <v>305</v>
      </c>
      <c r="O7" s="1584"/>
      <c r="P7" s="1584"/>
      <c r="R7" s="1584" t="s">
        <v>304</v>
      </c>
      <c r="S7" s="1584"/>
      <c r="T7" s="1724"/>
      <c r="U7" s="1584"/>
      <c r="V7" s="1585"/>
      <c r="X7" s="1586" t="s">
        <v>496</v>
      </c>
      <c r="Z7" s="1583" t="s">
        <v>306</v>
      </c>
      <c r="AA7" s="1584"/>
      <c r="AB7" s="1585"/>
      <c r="AD7" s="1583" t="s">
        <v>307</v>
      </c>
      <c r="AE7" s="1584"/>
      <c r="AF7" s="1585"/>
      <c r="AH7" s="1583" t="s">
        <v>310</v>
      </c>
      <c r="AI7" s="1587"/>
    </row>
    <row r="8" spans="2:39" s="2" customFormat="1" ht="30.75" customHeight="1">
      <c r="B8" s="1588" t="s">
        <v>299</v>
      </c>
      <c r="C8" s="1589" t="s">
        <v>718</v>
      </c>
      <c r="D8" s="1589" t="s">
        <v>300</v>
      </c>
      <c r="E8" s="1589" t="s">
        <v>397</v>
      </c>
      <c r="F8" s="1590" t="s">
        <v>301</v>
      </c>
      <c r="G8" s="1590" t="s">
        <v>303</v>
      </c>
      <c r="I8" s="1588" t="s">
        <v>146</v>
      </c>
      <c r="J8" s="1589" t="s">
        <v>1759</v>
      </c>
      <c r="K8" s="1589" t="s">
        <v>1760</v>
      </c>
      <c r="L8" s="1590" t="s">
        <v>394</v>
      </c>
      <c r="M8" s="19"/>
      <c r="N8" s="1588" t="s">
        <v>158</v>
      </c>
      <c r="O8" s="1589" t="s">
        <v>167</v>
      </c>
      <c r="P8" s="1590" t="s">
        <v>168</v>
      </c>
      <c r="R8" s="1588" t="s">
        <v>158</v>
      </c>
      <c r="S8" s="1589" t="s">
        <v>167</v>
      </c>
      <c r="T8" s="1725" t="s">
        <v>168</v>
      </c>
      <c r="U8" s="1589" t="s">
        <v>395</v>
      </c>
      <c r="V8" s="1590" t="s">
        <v>396</v>
      </c>
      <c r="X8" s="1586"/>
      <c r="Z8" s="1588" t="s">
        <v>158</v>
      </c>
      <c r="AA8" s="1589" t="s">
        <v>167</v>
      </c>
      <c r="AB8" s="1590" t="s">
        <v>168</v>
      </c>
      <c r="AD8" s="1588" t="s">
        <v>158</v>
      </c>
      <c r="AE8" s="1589" t="s">
        <v>167</v>
      </c>
      <c r="AF8" s="1590" t="s">
        <v>168</v>
      </c>
      <c r="AH8" s="1591" t="s">
        <v>308</v>
      </c>
      <c r="AI8" s="18" t="s">
        <v>309</v>
      </c>
      <c r="AK8" s="54" t="s">
        <v>302</v>
      </c>
    </row>
    <row r="9" spans="2:39" s="37" customFormat="1" ht="12.75" customHeight="1"/>
    <row r="10" spans="2:39" s="24" customFormat="1" ht="12.75" customHeight="1">
      <c r="B10" s="1592">
        <v>43389</v>
      </c>
      <c r="C10" s="1593" t="s">
        <v>2376</v>
      </c>
      <c r="D10" s="1593" t="s">
        <v>2377</v>
      </c>
      <c r="E10" s="1726" t="s">
        <v>2378</v>
      </c>
      <c r="F10" s="1594">
        <v>1</v>
      </c>
      <c r="G10" s="1595" t="s">
        <v>672</v>
      </c>
      <c r="I10" s="1596">
        <v>49.868169999999999</v>
      </c>
      <c r="J10" s="1596">
        <v>15.40733</v>
      </c>
      <c r="K10" s="1596">
        <v>35</v>
      </c>
      <c r="L10" s="1596">
        <v>50.407330000000002</v>
      </c>
      <c r="M10" s="28"/>
      <c r="N10" s="1596" t="s">
        <v>13</v>
      </c>
      <c r="O10" s="1596" t="s">
        <v>13</v>
      </c>
      <c r="P10" s="1596" t="s">
        <v>13</v>
      </c>
      <c r="Q10" s="28"/>
      <c r="R10" s="29" t="s">
        <v>13</v>
      </c>
      <c r="S10" s="29" t="s">
        <v>13</v>
      </c>
      <c r="T10" s="29" t="s">
        <v>13</v>
      </c>
      <c r="U10" s="1597" t="s">
        <v>13</v>
      </c>
      <c r="V10" s="1597" t="s">
        <v>13</v>
      </c>
      <c r="W10" s="28"/>
      <c r="X10" s="29"/>
      <c r="Y10" s="28"/>
      <c r="Z10" s="1596" t="s">
        <v>13</v>
      </c>
      <c r="AA10" s="1727" t="s">
        <v>13</v>
      </c>
      <c r="AB10" s="1596" t="s">
        <v>13</v>
      </c>
      <c r="AC10" s="28"/>
      <c r="AD10" s="29" t="s">
        <v>13</v>
      </c>
      <c r="AE10" s="29" t="s">
        <v>13</v>
      </c>
      <c r="AF10" s="29" t="s">
        <v>13</v>
      </c>
      <c r="AH10" s="1598" t="s">
        <v>647</v>
      </c>
      <c r="AI10" s="1598" t="s">
        <v>647</v>
      </c>
      <c r="AK10" s="35" t="s">
        <v>2379</v>
      </c>
      <c r="AL10" s="1593" t="s">
        <v>2380</v>
      </c>
      <c r="AM10" s="1593" t="s">
        <v>2533</v>
      </c>
    </row>
    <row r="11" spans="2:39" s="24" customFormat="1" ht="12.75" customHeight="1">
      <c r="B11" s="1592">
        <v>43364</v>
      </c>
      <c r="C11" s="1593" t="s">
        <v>2381</v>
      </c>
      <c r="D11" s="1593" t="s">
        <v>2382</v>
      </c>
      <c r="E11" s="1726" t="s">
        <v>2378</v>
      </c>
      <c r="F11" s="1594">
        <v>1</v>
      </c>
      <c r="G11" s="1595" t="s">
        <v>672</v>
      </c>
      <c r="I11" s="1596">
        <v>69.5</v>
      </c>
      <c r="J11" s="1596">
        <v>7.5</v>
      </c>
      <c r="K11" s="1596">
        <v>62</v>
      </c>
      <c r="L11" s="1596">
        <v>69.5</v>
      </c>
      <c r="M11" s="28"/>
      <c r="N11" s="1596" t="s">
        <v>13</v>
      </c>
      <c r="O11" s="1596" t="s">
        <v>13</v>
      </c>
      <c r="P11" s="1596" t="s">
        <v>13</v>
      </c>
      <c r="Q11" s="28"/>
      <c r="R11" s="29" t="s">
        <v>13</v>
      </c>
      <c r="S11" s="29" t="s">
        <v>13</v>
      </c>
      <c r="T11" s="29" t="s">
        <v>13</v>
      </c>
      <c r="U11" s="1597" t="s">
        <v>13</v>
      </c>
      <c r="V11" s="1597" t="s">
        <v>13</v>
      </c>
      <c r="W11" s="28"/>
      <c r="X11" s="29"/>
      <c r="Y11" s="28"/>
      <c r="Z11" s="1596" t="s">
        <v>13</v>
      </c>
      <c r="AA11" s="1727" t="s">
        <v>13</v>
      </c>
      <c r="AB11" s="1596" t="s">
        <v>13</v>
      </c>
      <c r="AC11" s="28"/>
      <c r="AD11" s="29" t="s">
        <v>13</v>
      </c>
      <c r="AE11" s="29" t="s">
        <v>13</v>
      </c>
      <c r="AF11" s="29" t="s">
        <v>13</v>
      </c>
      <c r="AH11" s="1598" t="s">
        <v>647</v>
      </c>
      <c r="AI11" s="1598" t="s">
        <v>647</v>
      </c>
      <c r="AK11" s="35" t="s">
        <v>2383</v>
      </c>
      <c r="AL11" s="1593" t="s">
        <v>2384</v>
      </c>
      <c r="AM11" s="1593" t="s">
        <v>2534</v>
      </c>
    </row>
    <row r="12" spans="2:39" s="24" customFormat="1" ht="12.75" customHeight="1">
      <c r="B12" s="1592">
        <v>43272</v>
      </c>
      <c r="C12" s="1593" t="s">
        <v>842</v>
      </c>
      <c r="D12" s="1593" t="s">
        <v>2385</v>
      </c>
      <c r="E12" s="1726" t="s">
        <v>676</v>
      </c>
      <c r="F12" s="1594">
        <v>1</v>
      </c>
      <c r="G12" s="1728" t="s">
        <v>672</v>
      </c>
      <c r="H12" s="1729"/>
      <c r="I12" s="1596">
        <v>1462.6232399999999</v>
      </c>
      <c r="J12" s="1596">
        <v>1520.2554500000001</v>
      </c>
      <c r="K12" s="1596" t="s">
        <v>13</v>
      </c>
      <c r="L12" s="1596">
        <v>1627.93624</v>
      </c>
      <c r="M12" s="28"/>
      <c r="N12" s="1596" t="s">
        <v>13</v>
      </c>
      <c r="O12" s="1596">
        <v>-55.171999999999997</v>
      </c>
      <c r="P12" s="1596">
        <v>-55.372</v>
      </c>
      <c r="Q12" s="28"/>
      <c r="R12" s="29" t="s">
        <v>13</v>
      </c>
      <c r="S12" s="1599">
        <v>-26.510245051837888</v>
      </c>
      <c r="T12" s="1599">
        <v>-26.414491800910206</v>
      </c>
      <c r="U12" s="1597">
        <v>9.6916799999999999</v>
      </c>
      <c r="V12" s="1597" t="s">
        <v>647</v>
      </c>
      <c r="W12" s="1730"/>
      <c r="X12" s="29"/>
      <c r="Y12" s="28"/>
      <c r="Z12" s="1596" t="s">
        <v>13</v>
      </c>
      <c r="AA12" s="1727" t="s">
        <v>13</v>
      </c>
      <c r="AB12" s="1596" t="s">
        <v>647</v>
      </c>
      <c r="AC12" s="28"/>
      <c r="AD12" s="29" t="s">
        <v>13</v>
      </c>
      <c r="AE12" s="29" t="s">
        <v>13</v>
      </c>
      <c r="AF12" s="29" t="s">
        <v>13</v>
      </c>
      <c r="AH12" s="1598">
        <v>0.81028199999999995</v>
      </c>
      <c r="AI12" s="1598">
        <v>0.55908899999999995</v>
      </c>
      <c r="AK12" s="35" t="s">
        <v>2386</v>
      </c>
      <c r="AL12" s="1593" t="s">
        <v>2387</v>
      </c>
      <c r="AM12" s="1593" t="s">
        <v>2535</v>
      </c>
    </row>
    <row r="13" spans="2:39" s="24" customFormat="1" ht="12.75" customHeight="1">
      <c r="B13" s="1592">
        <v>43194</v>
      </c>
      <c r="C13" s="1593" t="s">
        <v>2388</v>
      </c>
      <c r="D13" s="1593" t="s">
        <v>2389</v>
      </c>
      <c r="E13" s="1726" t="s">
        <v>676</v>
      </c>
      <c r="F13" s="1594">
        <v>1</v>
      </c>
      <c r="G13" s="1595" t="s">
        <v>672</v>
      </c>
      <c r="I13" s="1596" t="s">
        <v>13</v>
      </c>
      <c r="J13" s="1596">
        <v>0</v>
      </c>
      <c r="K13" s="1596" t="s">
        <v>13</v>
      </c>
      <c r="L13" s="1596" t="s">
        <v>13</v>
      </c>
      <c r="M13" s="28"/>
      <c r="N13" s="1596" t="s">
        <v>13</v>
      </c>
      <c r="O13" s="1596" t="s">
        <v>13</v>
      </c>
      <c r="P13" s="1596" t="s">
        <v>13</v>
      </c>
      <c r="Q13" s="28"/>
      <c r="R13" s="29" t="s">
        <v>13</v>
      </c>
      <c r="S13" s="29" t="s">
        <v>13</v>
      </c>
      <c r="T13" s="29" t="s">
        <v>13</v>
      </c>
      <c r="U13" s="1597" t="s">
        <v>13</v>
      </c>
      <c r="V13" s="1597" t="s">
        <v>13</v>
      </c>
      <c r="W13" s="28"/>
      <c r="X13" s="29"/>
      <c r="Y13" s="28"/>
      <c r="Z13" s="1596" t="s">
        <v>13</v>
      </c>
      <c r="AA13" s="1727" t="s">
        <v>13</v>
      </c>
      <c r="AB13" s="1596" t="s">
        <v>13</v>
      </c>
      <c r="AC13" s="28"/>
      <c r="AD13" s="29" t="s">
        <v>13</v>
      </c>
      <c r="AE13" s="29" t="s">
        <v>13</v>
      </c>
      <c r="AF13" s="29" t="s">
        <v>13</v>
      </c>
      <c r="AH13" s="1598" t="s">
        <v>647</v>
      </c>
      <c r="AI13" s="1598" t="s">
        <v>647</v>
      </c>
      <c r="AK13" s="35" t="s">
        <v>2390</v>
      </c>
      <c r="AL13" s="1593" t="s">
        <v>2391</v>
      </c>
      <c r="AM13" s="1593" t="s">
        <v>2536</v>
      </c>
    </row>
    <row r="14" spans="2:39" s="24" customFormat="1" ht="12.75" customHeight="1">
      <c r="B14" s="1592">
        <v>43165</v>
      </c>
      <c r="C14" s="1593" t="s">
        <v>838</v>
      </c>
      <c r="D14" s="1593" t="s">
        <v>2392</v>
      </c>
      <c r="E14" s="1726" t="s">
        <v>676</v>
      </c>
      <c r="F14" s="1594">
        <v>0.9029277</v>
      </c>
      <c r="G14" s="1728" t="s">
        <v>672</v>
      </c>
      <c r="H14" s="1729"/>
      <c r="I14" s="1596">
        <v>9556.3503700000001</v>
      </c>
      <c r="J14" s="1596">
        <v>9088.9225399999996</v>
      </c>
      <c r="K14" s="1596" t="s">
        <v>13</v>
      </c>
      <c r="L14" s="1596">
        <v>9305.3396400000001</v>
      </c>
      <c r="M14" s="28"/>
      <c r="N14" s="1596">
        <v>111.871</v>
      </c>
      <c r="O14" s="1596">
        <v>-427.39800000000002</v>
      </c>
      <c r="P14" s="1596">
        <v>-443.77600000000001</v>
      </c>
      <c r="Q14" s="28"/>
      <c r="R14" s="29">
        <v>85.422945803648844</v>
      </c>
      <c r="S14" s="29">
        <v>-22.359370820640244</v>
      </c>
      <c r="T14" s="29">
        <v>-21.534175732802133</v>
      </c>
      <c r="U14" s="1597">
        <v>9.6143599999999996</v>
      </c>
      <c r="V14" s="1597" t="s">
        <v>647</v>
      </c>
      <c r="W14" s="1730"/>
      <c r="X14" s="29"/>
      <c r="Y14" s="28"/>
      <c r="Z14" s="1596">
        <v>68.006399999999999</v>
      </c>
      <c r="AA14" s="1727">
        <v>-424.6121</v>
      </c>
      <c r="AB14" s="1596" t="s">
        <v>647</v>
      </c>
      <c r="AC14" s="28"/>
      <c r="AD14" s="29">
        <v>140.52133872694336</v>
      </c>
      <c r="AE14" s="29">
        <v>-22.50607170638802</v>
      </c>
      <c r="AF14" s="29" t="s">
        <v>13</v>
      </c>
      <c r="AH14" s="1598">
        <v>0.78461499999999995</v>
      </c>
      <c r="AI14" s="1598">
        <v>0.89130399999999999</v>
      </c>
      <c r="AK14" s="35" t="s">
        <v>2393</v>
      </c>
      <c r="AL14" s="1593" t="s">
        <v>2394</v>
      </c>
      <c r="AM14" s="1593" t="s">
        <v>2537</v>
      </c>
    </row>
    <row r="15" spans="2:39" s="24" customFormat="1" ht="12.75" customHeight="1">
      <c r="B15" s="1592">
        <v>42997</v>
      </c>
      <c r="C15" s="1593" t="s">
        <v>2395</v>
      </c>
      <c r="D15" s="1593" t="s">
        <v>2396</v>
      </c>
      <c r="E15" s="1726" t="s">
        <v>676</v>
      </c>
      <c r="F15" s="1594">
        <v>1</v>
      </c>
      <c r="G15" s="1595" t="s">
        <v>672</v>
      </c>
      <c r="I15" s="1596" t="s">
        <v>13</v>
      </c>
      <c r="J15" s="1596">
        <v>0</v>
      </c>
      <c r="K15" s="1596" t="s">
        <v>13</v>
      </c>
      <c r="L15" s="1596" t="s">
        <v>13</v>
      </c>
      <c r="M15" s="28"/>
      <c r="N15" s="1596">
        <v>2.28979</v>
      </c>
      <c r="O15" s="1596">
        <v>-3.22994</v>
      </c>
      <c r="P15" s="1596">
        <v>-3.44889</v>
      </c>
      <c r="Q15" s="28"/>
      <c r="R15" s="29" t="s">
        <v>13</v>
      </c>
      <c r="S15" s="29" t="s">
        <v>13</v>
      </c>
      <c r="T15" s="29" t="s">
        <v>13</v>
      </c>
      <c r="U15" s="1597" t="s">
        <v>13</v>
      </c>
      <c r="V15" s="1597" t="s">
        <v>13</v>
      </c>
      <c r="W15" s="28"/>
      <c r="X15" s="29"/>
      <c r="Y15" s="28"/>
      <c r="Z15" s="1596" t="s">
        <v>13</v>
      </c>
      <c r="AA15" s="1727" t="s">
        <v>13</v>
      </c>
      <c r="AB15" s="1596" t="s">
        <v>13</v>
      </c>
      <c r="AC15" s="28"/>
      <c r="AD15" s="29" t="s">
        <v>13</v>
      </c>
      <c r="AE15" s="29" t="s">
        <v>13</v>
      </c>
      <c r="AF15" s="29" t="s">
        <v>13</v>
      </c>
      <c r="AH15" s="1598" t="s">
        <v>647</v>
      </c>
      <c r="AI15" s="1598" t="s">
        <v>647</v>
      </c>
      <c r="AK15" s="35" t="s">
        <v>2397</v>
      </c>
      <c r="AL15" s="1593" t="s">
        <v>2398</v>
      </c>
      <c r="AM15" s="1593" t="s">
        <v>2538</v>
      </c>
    </row>
    <row r="16" spans="2:39" s="24" customFormat="1" ht="12.75" customHeight="1">
      <c r="B16" s="1592">
        <v>42948</v>
      </c>
      <c r="C16" s="1593" t="s">
        <v>2399</v>
      </c>
      <c r="D16" s="1593" t="s">
        <v>2400</v>
      </c>
      <c r="E16" s="1726" t="s">
        <v>676</v>
      </c>
      <c r="F16" s="1594">
        <v>1</v>
      </c>
      <c r="G16" s="1595" t="s">
        <v>672</v>
      </c>
      <c r="I16" s="1596">
        <v>290</v>
      </c>
      <c r="J16" s="1596">
        <v>0</v>
      </c>
      <c r="K16" s="1596" t="s">
        <v>13</v>
      </c>
      <c r="L16" s="1596">
        <v>290</v>
      </c>
      <c r="M16" s="28"/>
      <c r="N16" s="1596" t="s">
        <v>13</v>
      </c>
      <c r="O16" s="1596" t="s">
        <v>13</v>
      </c>
      <c r="P16" s="1596" t="s">
        <v>13</v>
      </c>
      <c r="Q16" s="28"/>
      <c r="R16" s="29" t="s">
        <v>13</v>
      </c>
      <c r="S16" s="29" t="s">
        <v>13</v>
      </c>
      <c r="T16" s="29" t="s">
        <v>13</v>
      </c>
      <c r="U16" s="1597" t="s">
        <v>13</v>
      </c>
      <c r="V16" s="1597" t="s">
        <v>13</v>
      </c>
      <c r="W16" s="28"/>
      <c r="X16" s="29"/>
      <c r="Y16" s="28"/>
      <c r="Z16" s="1596" t="s">
        <v>13</v>
      </c>
      <c r="AA16" s="1596" t="s">
        <v>13</v>
      </c>
      <c r="AB16" s="1596" t="s">
        <v>13</v>
      </c>
      <c r="AC16" s="28"/>
      <c r="AD16" s="29" t="s">
        <v>13</v>
      </c>
      <c r="AE16" s="29" t="s">
        <v>13</v>
      </c>
      <c r="AF16" s="29" t="s">
        <v>13</v>
      </c>
      <c r="AH16" s="1598" t="s">
        <v>647</v>
      </c>
      <c r="AI16" s="1598" t="s">
        <v>647</v>
      </c>
      <c r="AK16" s="35" t="s">
        <v>2401</v>
      </c>
      <c r="AL16" s="1593" t="s">
        <v>2402</v>
      </c>
      <c r="AM16" s="1593"/>
    </row>
    <row r="17" spans="2:38" s="24" customFormat="1" ht="12.75" customHeight="1">
      <c r="B17" s="1592">
        <v>42863</v>
      </c>
      <c r="C17" s="1593" t="s">
        <v>2403</v>
      </c>
      <c r="D17" s="1593" t="s">
        <v>2404</v>
      </c>
      <c r="E17" s="1726" t="s">
        <v>676</v>
      </c>
      <c r="F17" s="1594">
        <v>1</v>
      </c>
      <c r="G17" s="1595" t="s">
        <v>672</v>
      </c>
      <c r="I17" s="1596">
        <v>145.6</v>
      </c>
      <c r="J17" s="1596">
        <v>151.9</v>
      </c>
      <c r="K17" s="1596" t="s">
        <v>13</v>
      </c>
      <c r="L17" s="1596">
        <v>151.9</v>
      </c>
      <c r="M17" s="28"/>
      <c r="N17" s="1596" t="s">
        <v>13</v>
      </c>
      <c r="O17" s="1596" t="s">
        <v>13</v>
      </c>
      <c r="P17" s="1596" t="s">
        <v>13</v>
      </c>
      <c r="Q17" s="28"/>
      <c r="R17" s="29" t="s">
        <v>13</v>
      </c>
      <c r="S17" s="29" t="s">
        <v>13</v>
      </c>
      <c r="T17" s="29" t="s">
        <v>13</v>
      </c>
      <c r="U17" s="1597" t="s">
        <v>13</v>
      </c>
      <c r="V17" s="1597" t="s">
        <v>13</v>
      </c>
      <c r="W17" s="28"/>
      <c r="X17" s="29"/>
      <c r="Y17" s="28"/>
      <c r="Z17" s="1596" t="s">
        <v>13</v>
      </c>
      <c r="AA17" s="1596" t="s">
        <v>13</v>
      </c>
      <c r="AB17" s="1596" t="s">
        <v>13</v>
      </c>
      <c r="AC17" s="28"/>
      <c r="AD17" s="29" t="s">
        <v>13</v>
      </c>
      <c r="AE17" s="29" t="s">
        <v>13</v>
      </c>
      <c r="AF17" s="29" t="s">
        <v>13</v>
      </c>
      <c r="AH17" s="1598" t="s">
        <v>647</v>
      </c>
      <c r="AI17" s="1598" t="s">
        <v>647</v>
      </c>
      <c r="AK17" s="35" t="s">
        <v>2405</v>
      </c>
      <c r="AL17" s="1593" t="s">
        <v>2406</v>
      </c>
    </row>
    <row r="18" spans="2:38" s="24" customFormat="1" ht="12.75" customHeight="1">
      <c r="B18" s="1592">
        <v>42776</v>
      </c>
      <c r="C18" s="1593" t="s">
        <v>2407</v>
      </c>
      <c r="D18" s="1593" t="s">
        <v>2408</v>
      </c>
      <c r="E18" s="1726" t="s">
        <v>676</v>
      </c>
      <c r="F18" s="1594">
        <v>2.8280699999999999E-2</v>
      </c>
      <c r="G18" s="1595" t="s">
        <v>2409</v>
      </c>
      <c r="I18" s="1596">
        <v>570.15260999999998</v>
      </c>
      <c r="J18" s="1596">
        <v>14.7</v>
      </c>
      <c r="K18" s="1596" t="s">
        <v>13</v>
      </c>
      <c r="L18" s="1596">
        <v>14.7</v>
      </c>
      <c r="M18" s="28"/>
      <c r="N18" s="1596">
        <v>2.9572400000000001</v>
      </c>
      <c r="O18" s="1596">
        <v>-58.647449999999999</v>
      </c>
      <c r="P18" s="1596">
        <v>-59.508380000000002</v>
      </c>
      <c r="Q18" s="28"/>
      <c r="R18" s="29">
        <v>192.79889694444819</v>
      </c>
      <c r="S18" s="29">
        <v>-9.7216948051449812</v>
      </c>
      <c r="T18" s="29">
        <v>-9.5810474087851141</v>
      </c>
      <c r="U18" s="1597" t="s">
        <v>647</v>
      </c>
      <c r="V18" s="1597" t="s">
        <v>647</v>
      </c>
      <c r="W18" s="28"/>
      <c r="X18" s="29"/>
      <c r="Y18" s="28"/>
      <c r="Z18" s="1596">
        <v>34.299999999999997</v>
      </c>
      <c r="AA18" s="1596" t="s">
        <v>13</v>
      </c>
      <c r="AB18" s="1596" t="s">
        <v>647</v>
      </c>
      <c r="AC18" s="28"/>
      <c r="AD18" s="29">
        <v>16.622525072886297</v>
      </c>
      <c r="AE18" s="29" t="s">
        <v>13</v>
      </c>
      <c r="AF18" s="29" t="s">
        <v>13</v>
      </c>
      <c r="AH18" s="1598">
        <v>0.113636</v>
      </c>
      <c r="AI18" s="1598">
        <v>0.36871500000000001</v>
      </c>
      <c r="AK18" s="35" t="s">
        <v>2410</v>
      </c>
      <c r="AL18" s="1593" t="s">
        <v>2411</v>
      </c>
    </row>
    <row r="19" spans="2:38" s="24" customFormat="1" ht="12.75" customHeight="1">
      <c r="B19" s="1592">
        <v>42769</v>
      </c>
      <c r="C19" s="1593" t="s">
        <v>838</v>
      </c>
      <c r="D19" s="1593" t="s">
        <v>2412</v>
      </c>
      <c r="E19" s="1726" t="s">
        <v>676</v>
      </c>
      <c r="F19" s="1594">
        <v>1</v>
      </c>
      <c r="G19" s="1595" t="s">
        <v>672</v>
      </c>
      <c r="I19" s="1596">
        <v>775</v>
      </c>
      <c r="J19" s="1596">
        <v>300</v>
      </c>
      <c r="K19" s="1596">
        <v>475</v>
      </c>
      <c r="L19" s="1596">
        <v>775</v>
      </c>
      <c r="M19" s="28"/>
      <c r="N19" s="1596" t="s">
        <v>13</v>
      </c>
      <c r="O19" s="1596" t="s">
        <v>13</v>
      </c>
      <c r="P19" s="1596" t="s">
        <v>13</v>
      </c>
      <c r="Q19" s="28"/>
      <c r="R19" s="29" t="s">
        <v>13</v>
      </c>
      <c r="S19" s="29" t="s">
        <v>13</v>
      </c>
      <c r="T19" s="29" t="s">
        <v>13</v>
      </c>
      <c r="U19" s="1597" t="s">
        <v>13</v>
      </c>
      <c r="V19" s="1597" t="s">
        <v>13</v>
      </c>
      <c r="W19" s="1730"/>
      <c r="X19" s="29"/>
      <c r="Y19" s="28"/>
      <c r="Z19" s="1596" t="s">
        <v>13</v>
      </c>
      <c r="AA19" s="1596" t="s">
        <v>13</v>
      </c>
      <c r="AB19" s="1596" t="s">
        <v>13</v>
      </c>
      <c r="AC19" s="28"/>
      <c r="AD19" s="29" t="s">
        <v>13</v>
      </c>
      <c r="AE19" s="29" t="s">
        <v>13</v>
      </c>
      <c r="AF19" s="29" t="s">
        <v>13</v>
      </c>
      <c r="AH19" s="1598" t="s">
        <v>647</v>
      </c>
      <c r="AI19" s="1598" t="s">
        <v>647</v>
      </c>
      <c r="AK19" s="35" t="s">
        <v>2413</v>
      </c>
      <c r="AL19" s="1593" t="s">
        <v>2414</v>
      </c>
    </row>
    <row r="20" spans="2:38" s="24" customFormat="1" ht="12.75" customHeight="1">
      <c r="B20" s="1592">
        <v>42692</v>
      </c>
      <c r="C20" s="1593" t="s">
        <v>13</v>
      </c>
      <c r="D20" s="1593" t="s">
        <v>2415</v>
      </c>
      <c r="E20" s="1726" t="s">
        <v>2378</v>
      </c>
      <c r="F20" s="1594">
        <v>0.78534029999999999</v>
      </c>
      <c r="G20" s="1595" t="s">
        <v>672</v>
      </c>
      <c r="I20" s="1596" t="s">
        <v>13</v>
      </c>
      <c r="J20" s="1596">
        <v>0</v>
      </c>
      <c r="K20" s="1596" t="s">
        <v>13</v>
      </c>
      <c r="L20" s="1596" t="s">
        <v>13</v>
      </c>
      <c r="M20" s="28"/>
      <c r="N20" s="1596" t="s">
        <v>13</v>
      </c>
      <c r="O20" s="1596" t="s">
        <v>13</v>
      </c>
      <c r="P20" s="1596">
        <v>-2.9690000000000001E-2</v>
      </c>
      <c r="Q20" s="28"/>
      <c r="R20" s="29" t="s">
        <v>13</v>
      </c>
      <c r="S20" s="29" t="s">
        <v>13</v>
      </c>
      <c r="T20" s="29" t="s">
        <v>13</v>
      </c>
      <c r="U20" s="1597" t="s">
        <v>13</v>
      </c>
      <c r="V20" s="1597" t="s">
        <v>13</v>
      </c>
      <c r="W20" s="28"/>
      <c r="X20" s="29"/>
      <c r="Y20" s="28"/>
      <c r="Z20" s="1596" t="s">
        <v>13</v>
      </c>
      <c r="AA20" s="1596" t="s">
        <v>13</v>
      </c>
      <c r="AB20" s="1596" t="s">
        <v>13</v>
      </c>
      <c r="AC20" s="28"/>
      <c r="AD20" s="29" t="s">
        <v>13</v>
      </c>
      <c r="AE20" s="29" t="s">
        <v>13</v>
      </c>
      <c r="AF20" s="29" t="s">
        <v>13</v>
      </c>
      <c r="AH20" s="1598" t="s">
        <v>647</v>
      </c>
      <c r="AI20" s="1598" t="s">
        <v>647</v>
      </c>
      <c r="AK20" s="35" t="s">
        <v>2416</v>
      </c>
      <c r="AL20" s="1593" t="s">
        <v>2417</v>
      </c>
    </row>
    <row r="21" spans="2:38" s="24" customFormat="1" ht="12.75" customHeight="1">
      <c r="B21" s="1592">
        <v>42682</v>
      </c>
      <c r="C21" s="1593" t="s">
        <v>2418</v>
      </c>
      <c r="D21" s="1593" t="s">
        <v>2419</v>
      </c>
      <c r="E21" s="1726" t="s">
        <v>676</v>
      </c>
      <c r="F21" s="1594">
        <v>1</v>
      </c>
      <c r="G21" s="1595" t="s">
        <v>672</v>
      </c>
      <c r="I21" s="1596" t="s">
        <v>13</v>
      </c>
      <c r="J21" s="1596">
        <v>0</v>
      </c>
      <c r="K21" s="1596" t="s">
        <v>13</v>
      </c>
      <c r="L21" s="1596" t="s">
        <v>13</v>
      </c>
      <c r="M21" s="28"/>
      <c r="N21" s="1596" t="s">
        <v>13</v>
      </c>
      <c r="O21" s="1596">
        <v>-0.43082999999999999</v>
      </c>
      <c r="P21" s="1596">
        <v>-0.45823000000000003</v>
      </c>
      <c r="Q21" s="28"/>
      <c r="R21" s="29" t="s">
        <v>13</v>
      </c>
      <c r="S21" s="29" t="s">
        <v>13</v>
      </c>
      <c r="T21" s="29" t="s">
        <v>13</v>
      </c>
      <c r="U21" s="1597" t="s">
        <v>13</v>
      </c>
      <c r="V21" s="1597" t="s">
        <v>13</v>
      </c>
      <c r="W21" s="28"/>
      <c r="X21" s="29"/>
      <c r="Y21" s="28"/>
      <c r="Z21" s="1596" t="s">
        <v>13</v>
      </c>
      <c r="AA21" s="1596" t="s">
        <v>13</v>
      </c>
      <c r="AB21" s="1596" t="s">
        <v>13</v>
      </c>
      <c r="AC21" s="28"/>
      <c r="AD21" s="29" t="s">
        <v>13</v>
      </c>
      <c r="AE21" s="29" t="s">
        <v>13</v>
      </c>
      <c r="AF21" s="29" t="s">
        <v>13</v>
      </c>
      <c r="AH21" s="1598" t="s">
        <v>647</v>
      </c>
      <c r="AI21" s="1598" t="s">
        <v>647</v>
      </c>
      <c r="AK21" s="35" t="s">
        <v>2420</v>
      </c>
      <c r="AL21" s="1593" t="s">
        <v>2421</v>
      </c>
    </row>
    <row r="22" spans="2:38" s="24" customFormat="1" ht="12.75" customHeight="1">
      <c r="B22" s="1592">
        <v>42667</v>
      </c>
      <c r="C22" s="1593" t="s">
        <v>2422</v>
      </c>
      <c r="D22" s="1593" t="s">
        <v>2423</v>
      </c>
      <c r="E22" s="1726" t="s">
        <v>676</v>
      </c>
      <c r="F22" s="1594">
        <v>0.90961970000000003</v>
      </c>
      <c r="G22" s="1595" t="s">
        <v>672</v>
      </c>
      <c r="I22" s="1596">
        <v>528.23937000000001</v>
      </c>
      <c r="J22" s="1596">
        <v>550.93940999999995</v>
      </c>
      <c r="K22" s="1596" t="s">
        <v>13</v>
      </c>
      <c r="L22" s="1596">
        <v>550.93940999999995</v>
      </c>
      <c r="M22" s="28"/>
      <c r="N22" s="1596">
        <v>0.32246999999999998</v>
      </c>
      <c r="O22" s="1596">
        <v>-45.344230000000003</v>
      </c>
      <c r="P22" s="1596">
        <v>-45.57047</v>
      </c>
      <c r="Q22" s="28"/>
      <c r="R22" s="29">
        <v>1638.1039166434089</v>
      </c>
      <c r="S22" s="29">
        <v>-11.649538871869694</v>
      </c>
      <c r="T22" s="29">
        <v>-11.591703355264933</v>
      </c>
      <c r="U22" s="1597">
        <v>8.2933599999999998</v>
      </c>
      <c r="V22" s="1597" t="s">
        <v>647</v>
      </c>
      <c r="W22" s="28"/>
      <c r="X22" s="29"/>
      <c r="Y22" s="28"/>
      <c r="Z22" s="1596">
        <v>0.13450000000000001</v>
      </c>
      <c r="AA22" s="1596" t="s">
        <v>13</v>
      </c>
      <c r="AB22" s="1596" t="s">
        <v>647</v>
      </c>
      <c r="AC22" s="28"/>
      <c r="AD22" s="29">
        <v>3927.4302602230482</v>
      </c>
      <c r="AE22" s="29" t="s">
        <v>13</v>
      </c>
      <c r="AF22" s="29" t="s">
        <v>13</v>
      </c>
      <c r="AH22" s="1598">
        <v>1.634881</v>
      </c>
      <c r="AI22" s="1598">
        <v>1.3917999999999999</v>
      </c>
      <c r="AK22" s="35" t="s">
        <v>2424</v>
      </c>
      <c r="AL22" s="1593" t="s">
        <v>2425</v>
      </c>
    </row>
    <row r="23" spans="2:38" s="24" customFormat="1" ht="12.75" customHeight="1">
      <c r="B23" s="1592">
        <v>42461</v>
      </c>
      <c r="C23" s="1593" t="s">
        <v>2426</v>
      </c>
      <c r="D23" s="1593" t="s">
        <v>2427</v>
      </c>
      <c r="E23" s="1726" t="s">
        <v>676</v>
      </c>
      <c r="F23" s="1594">
        <v>1</v>
      </c>
      <c r="G23" s="1595" t="s">
        <v>672</v>
      </c>
      <c r="I23" s="1596">
        <v>600</v>
      </c>
      <c r="J23" s="1596">
        <v>0</v>
      </c>
      <c r="K23" s="1596" t="s">
        <v>13</v>
      </c>
      <c r="L23" s="1596">
        <v>600</v>
      </c>
      <c r="M23" s="28"/>
      <c r="N23" s="1596" t="s">
        <v>13</v>
      </c>
      <c r="O23" s="1596" t="s">
        <v>13</v>
      </c>
      <c r="P23" s="1596" t="s">
        <v>13</v>
      </c>
      <c r="Q23" s="28"/>
      <c r="R23" s="29" t="s">
        <v>13</v>
      </c>
      <c r="S23" s="29" t="s">
        <v>13</v>
      </c>
      <c r="T23" s="29" t="s">
        <v>13</v>
      </c>
      <c r="U23" s="1597" t="s">
        <v>13</v>
      </c>
      <c r="V23" s="1597" t="s">
        <v>13</v>
      </c>
      <c r="W23" s="1730"/>
      <c r="X23" s="29"/>
      <c r="Y23" s="28"/>
      <c r="Z23" s="1596" t="s">
        <v>13</v>
      </c>
      <c r="AA23" s="1596" t="s">
        <v>13</v>
      </c>
      <c r="AB23" s="1596" t="s">
        <v>13</v>
      </c>
      <c r="AC23" s="28"/>
      <c r="AD23" s="29" t="s">
        <v>13</v>
      </c>
      <c r="AE23" s="29" t="s">
        <v>13</v>
      </c>
      <c r="AF23" s="29" t="s">
        <v>13</v>
      </c>
      <c r="AH23" s="1598" t="s">
        <v>647</v>
      </c>
      <c r="AI23" s="1598" t="s">
        <v>647</v>
      </c>
      <c r="AK23" s="35" t="s">
        <v>2428</v>
      </c>
      <c r="AL23" s="1593" t="s">
        <v>2429</v>
      </c>
    </row>
    <row r="24" spans="2:38" s="24" customFormat="1" ht="12.75" customHeight="1">
      <c r="B24" s="1592">
        <v>42429</v>
      </c>
      <c r="C24" s="1593" t="s">
        <v>2430</v>
      </c>
      <c r="D24" s="1593" t="s">
        <v>2431</v>
      </c>
      <c r="E24" s="1726" t="s">
        <v>2378</v>
      </c>
      <c r="F24" s="1594">
        <v>1</v>
      </c>
      <c r="G24" s="1595" t="s">
        <v>672</v>
      </c>
      <c r="I24" s="1596" t="s">
        <v>13</v>
      </c>
      <c r="J24" s="1596">
        <v>0</v>
      </c>
      <c r="K24" s="1596" t="s">
        <v>13</v>
      </c>
      <c r="L24" s="1596" t="s">
        <v>13</v>
      </c>
      <c r="M24" s="28"/>
      <c r="N24" s="1596" t="s">
        <v>13</v>
      </c>
      <c r="O24" s="1596" t="s">
        <v>13</v>
      </c>
      <c r="P24" s="1596" t="s">
        <v>13</v>
      </c>
      <c r="Q24" s="28"/>
      <c r="R24" s="29" t="s">
        <v>13</v>
      </c>
      <c r="S24" s="29" t="s">
        <v>13</v>
      </c>
      <c r="T24" s="29" t="s">
        <v>13</v>
      </c>
      <c r="U24" s="1597" t="s">
        <v>13</v>
      </c>
      <c r="V24" s="1597" t="s">
        <v>13</v>
      </c>
      <c r="W24" s="28"/>
      <c r="X24" s="29"/>
      <c r="Y24" s="28"/>
      <c r="Z24" s="1596" t="s">
        <v>13</v>
      </c>
      <c r="AA24" s="1596" t="s">
        <v>13</v>
      </c>
      <c r="AB24" s="1596" t="s">
        <v>13</v>
      </c>
      <c r="AC24" s="28"/>
      <c r="AD24" s="29" t="s">
        <v>13</v>
      </c>
      <c r="AE24" s="29" t="s">
        <v>13</v>
      </c>
      <c r="AF24" s="29" t="s">
        <v>13</v>
      </c>
      <c r="AH24" s="1598" t="s">
        <v>647</v>
      </c>
      <c r="AI24" s="1598" t="s">
        <v>647</v>
      </c>
      <c r="AK24" s="35" t="s">
        <v>2432</v>
      </c>
      <c r="AL24" s="1593" t="s">
        <v>2433</v>
      </c>
    </row>
    <row r="25" spans="2:38" s="24" customFormat="1" ht="12.75" customHeight="1">
      <c r="B25" s="1592">
        <v>42293</v>
      </c>
      <c r="C25" s="1593" t="s">
        <v>2434</v>
      </c>
      <c r="D25" s="1593" t="s">
        <v>2435</v>
      </c>
      <c r="E25" s="1726" t="s">
        <v>676</v>
      </c>
      <c r="F25" s="1594">
        <v>1</v>
      </c>
      <c r="G25" s="1595" t="s">
        <v>672</v>
      </c>
      <c r="I25" s="1596">
        <v>258</v>
      </c>
      <c r="J25" s="1596">
        <v>140</v>
      </c>
      <c r="K25" s="1596">
        <v>118</v>
      </c>
      <c r="L25" s="1596">
        <v>258</v>
      </c>
      <c r="M25" s="28"/>
      <c r="N25" s="1596" t="s">
        <v>13</v>
      </c>
      <c r="O25" s="1596" t="s">
        <v>13</v>
      </c>
      <c r="P25" s="1596" t="s">
        <v>13</v>
      </c>
      <c r="Q25" s="28"/>
      <c r="R25" s="29" t="s">
        <v>13</v>
      </c>
      <c r="S25" s="29" t="s">
        <v>13</v>
      </c>
      <c r="T25" s="29" t="s">
        <v>13</v>
      </c>
      <c r="U25" s="1597" t="s">
        <v>13</v>
      </c>
      <c r="V25" s="1597" t="s">
        <v>13</v>
      </c>
      <c r="W25" s="28"/>
      <c r="X25" s="29"/>
      <c r="Y25" s="28"/>
      <c r="Z25" s="1596" t="s">
        <v>13</v>
      </c>
      <c r="AA25" s="1596" t="s">
        <v>13</v>
      </c>
      <c r="AB25" s="1596" t="s">
        <v>13</v>
      </c>
      <c r="AC25" s="28"/>
      <c r="AD25" s="29" t="s">
        <v>13</v>
      </c>
      <c r="AE25" s="29" t="s">
        <v>13</v>
      </c>
      <c r="AF25" s="29" t="s">
        <v>13</v>
      </c>
      <c r="AH25" s="1598" t="s">
        <v>647</v>
      </c>
      <c r="AI25" s="1598" t="s">
        <v>647</v>
      </c>
      <c r="AK25" s="35" t="s">
        <v>2436</v>
      </c>
      <c r="AL25" s="1593" t="s">
        <v>2437</v>
      </c>
    </row>
    <row r="26" spans="2:38" s="24" customFormat="1" ht="12.75" customHeight="1">
      <c r="B26" s="1592">
        <v>42250</v>
      </c>
      <c r="C26" s="1593" t="s">
        <v>812</v>
      </c>
      <c r="D26" s="1593" t="s">
        <v>2438</v>
      </c>
      <c r="E26" s="1726" t="s">
        <v>2378</v>
      </c>
      <c r="F26" s="1594">
        <v>1</v>
      </c>
      <c r="G26" s="1595" t="s">
        <v>672</v>
      </c>
      <c r="I26" s="1596">
        <v>16917.076809999999</v>
      </c>
      <c r="J26" s="1596">
        <v>15585.462810000001</v>
      </c>
      <c r="K26" s="1596" t="s">
        <v>13</v>
      </c>
      <c r="L26" s="1596">
        <v>17743.176810000001</v>
      </c>
      <c r="M26" s="28"/>
      <c r="N26" s="1596">
        <v>4463.7</v>
      </c>
      <c r="O26" s="1596">
        <v>746.8</v>
      </c>
      <c r="P26" s="1596">
        <v>514.20000000000005</v>
      </c>
      <c r="Q26" s="28"/>
      <c r="R26" s="29">
        <v>3.789922443264556</v>
      </c>
      <c r="S26" s="29">
        <v>22.652754164434921</v>
      </c>
      <c r="T26" s="29">
        <v>32.899799319330995</v>
      </c>
      <c r="U26" s="1597">
        <v>4.6710599999999998</v>
      </c>
      <c r="V26" s="1597">
        <v>46.775100000000002</v>
      </c>
      <c r="W26" s="28"/>
      <c r="X26" s="29"/>
      <c r="Y26" s="28"/>
      <c r="Z26" s="1596">
        <v>4452.0643</v>
      </c>
      <c r="AA26" s="1596">
        <v>761.2731</v>
      </c>
      <c r="AB26" s="1596">
        <v>30.243230000000001</v>
      </c>
      <c r="AC26" s="28"/>
      <c r="AD26" s="29">
        <v>3.7998276013219301</v>
      </c>
      <c r="AE26" s="29">
        <v>22.222086672969265</v>
      </c>
      <c r="AF26" s="29">
        <v>559.36739594282744</v>
      </c>
      <c r="AH26" s="1598">
        <v>0.40884300000000001</v>
      </c>
      <c r="AI26" s="1598">
        <v>0.50527500000000003</v>
      </c>
      <c r="AK26" s="35" t="s">
        <v>2439</v>
      </c>
      <c r="AL26" s="1593" t="s">
        <v>2440</v>
      </c>
    </row>
    <row r="27" spans="2:38" s="24" customFormat="1" ht="12.75" customHeight="1">
      <c r="B27" s="1592">
        <v>42139</v>
      </c>
      <c r="C27" s="1593" t="s">
        <v>680</v>
      </c>
      <c r="D27" s="1593" t="s">
        <v>681</v>
      </c>
      <c r="E27" s="1726" t="s">
        <v>676</v>
      </c>
      <c r="F27" s="1594">
        <v>1</v>
      </c>
      <c r="G27" s="1595" t="s">
        <v>672</v>
      </c>
      <c r="I27" s="1596">
        <v>42.191209999999998</v>
      </c>
      <c r="J27" s="1596">
        <v>21.38326</v>
      </c>
      <c r="K27" s="1596">
        <v>11.375920000000001</v>
      </c>
      <c r="L27" s="1596">
        <v>32.759169999999997</v>
      </c>
      <c r="M27" s="28"/>
      <c r="N27" s="1596" t="s">
        <v>13</v>
      </c>
      <c r="O27" s="1596" t="s">
        <v>13</v>
      </c>
      <c r="P27" s="1596" t="s">
        <v>13</v>
      </c>
      <c r="Q27" s="28"/>
      <c r="R27" s="29" t="s">
        <v>13</v>
      </c>
      <c r="S27" s="29" t="s">
        <v>13</v>
      </c>
      <c r="T27" s="29" t="s">
        <v>13</v>
      </c>
      <c r="U27" s="1597">
        <v>5.1156100000000002</v>
      </c>
      <c r="V27" s="1597" t="s">
        <v>647</v>
      </c>
      <c r="W27" s="28"/>
      <c r="X27" s="29"/>
      <c r="Y27" s="28"/>
      <c r="Z27" s="1596" t="s">
        <v>13</v>
      </c>
      <c r="AA27" s="1596" t="s">
        <v>13</v>
      </c>
      <c r="AB27" s="1596" t="s">
        <v>13</v>
      </c>
      <c r="AC27" s="28"/>
      <c r="AD27" s="29" t="s">
        <v>13</v>
      </c>
      <c r="AE27" s="29" t="s">
        <v>13</v>
      </c>
      <c r="AF27" s="29" t="s">
        <v>13</v>
      </c>
      <c r="AH27" s="1598" t="s">
        <v>647</v>
      </c>
      <c r="AI27" s="1598" t="s">
        <v>647</v>
      </c>
      <c r="AK27" s="35" t="s">
        <v>682</v>
      </c>
      <c r="AL27" s="1593" t="s">
        <v>683</v>
      </c>
    </row>
    <row r="28" spans="2:38" s="24" customFormat="1" ht="12.75" customHeight="1">
      <c r="B28" s="1592"/>
      <c r="C28" s="1593"/>
      <c r="D28" s="1593"/>
      <c r="E28" s="1726"/>
      <c r="F28" s="1594"/>
      <c r="G28" s="1728"/>
      <c r="H28" s="1729"/>
      <c r="I28" s="1596"/>
      <c r="J28" s="1596"/>
      <c r="K28" s="1596"/>
      <c r="L28" s="1596"/>
      <c r="M28" s="28"/>
      <c r="N28" s="1596"/>
      <c r="O28" s="1596"/>
      <c r="P28" s="1596"/>
      <c r="Q28" s="28"/>
      <c r="R28" s="29"/>
      <c r="S28" s="29"/>
      <c r="T28" s="29"/>
      <c r="U28" s="1597"/>
      <c r="V28" s="1597"/>
      <c r="W28" s="1730"/>
      <c r="X28" s="29"/>
      <c r="Y28" s="28"/>
      <c r="Z28" s="1596"/>
      <c r="AA28" s="1596"/>
      <c r="AB28" s="1596"/>
      <c r="AC28" s="28"/>
      <c r="AD28" s="29"/>
      <c r="AE28" s="29"/>
      <c r="AF28" s="29"/>
      <c r="AH28" s="1598"/>
      <c r="AI28" s="1598"/>
      <c r="AK28" s="35"/>
      <c r="AL28" s="1593"/>
    </row>
    <row r="29" spans="2:38" s="24" customFormat="1" ht="12.75" customHeight="1">
      <c r="B29" s="1592"/>
      <c r="C29" s="1593"/>
      <c r="D29" s="1593"/>
      <c r="E29" s="1726"/>
      <c r="F29" s="1594"/>
      <c r="G29" s="1595"/>
      <c r="I29" s="1596"/>
      <c r="J29" s="1596"/>
      <c r="K29" s="1596"/>
      <c r="L29" s="1596"/>
      <c r="M29" s="28"/>
      <c r="N29" s="1596"/>
      <c r="O29" s="1596"/>
      <c r="P29" s="1596"/>
      <c r="Q29" s="28"/>
      <c r="R29" s="29"/>
      <c r="S29" s="29"/>
      <c r="T29" s="29"/>
      <c r="U29" s="1597"/>
      <c r="V29" s="1597"/>
      <c r="W29" s="28"/>
      <c r="X29" s="29"/>
      <c r="Y29" s="28"/>
      <c r="Z29" s="1596"/>
      <c r="AA29" s="1596"/>
      <c r="AB29" s="1596"/>
      <c r="AC29" s="28"/>
      <c r="AD29" s="29"/>
      <c r="AE29" s="29"/>
      <c r="AF29" s="29"/>
      <c r="AH29" s="1598"/>
      <c r="AI29" s="1598"/>
      <c r="AK29" s="35"/>
      <c r="AL29" s="1593"/>
    </row>
    <row r="30" spans="2:38" s="24" customFormat="1" ht="12.75" customHeight="1">
      <c r="B30" s="1592"/>
      <c r="C30" s="1593"/>
      <c r="D30" s="1593"/>
      <c r="E30" s="1593"/>
      <c r="F30" s="1594"/>
      <c r="G30" s="1595"/>
      <c r="I30" s="1596"/>
      <c r="J30" s="1596"/>
      <c r="K30" s="1596"/>
      <c r="L30" s="1596"/>
      <c r="M30" s="28"/>
      <c r="N30" s="1596"/>
      <c r="O30" s="1596"/>
      <c r="P30" s="1596"/>
      <c r="Q30" s="28"/>
      <c r="R30" s="29"/>
      <c r="S30" s="29"/>
      <c r="T30" s="29"/>
      <c r="U30" s="1597"/>
      <c r="V30" s="1597"/>
      <c r="W30" s="28"/>
      <c r="X30" s="29"/>
      <c r="Y30" s="28"/>
      <c r="Z30" s="1596"/>
      <c r="AA30" s="1596"/>
      <c r="AB30" s="1596"/>
      <c r="AC30" s="28"/>
      <c r="AD30" s="29"/>
      <c r="AE30" s="29"/>
      <c r="AF30" s="29"/>
      <c r="AH30" s="1598"/>
      <c r="AI30" s="1598"/>
      <c r="AK30" s="35"/>
      <c r="AL30" s="1593"/>
    </row>
    <row r="31" spans="2:38" s="24" customFormat="1" ht="12.75" customHeight="1">
      <c r="B31" s="23"/>
      <c r="F31" s="25"/>
      <c r="G31" s="26"/>
      <c r="I31" s="27"/>
      <c r="J31" s="27"/>
      <c r="K31" s="27"/>
      <c r="L31" s="27"/>
      <c r="M31" s="28"/>
      <c r="N31" s="27"/>
      <c r="O31" s="27"/>
      <c r="P31" s="27"/>
      <c r="Q31" s="28"/>
      <c r="R31" s="29"/>
      <c r="S31" s="29"/>
      <c r="T31" s="29"/>
      <c r="U31" s="29"/>
      <c r="V31" s="29"/>
      <c r="W31" s="28"/>
      <c r="X31" s="29"/>
      <c r="Y31" s="28"/>
      <c r="Z31" s="27"/>
      <c r="AA31" s="27"/>
      <c r="AB31" s="27"/>
      <c r="AC31" s="28"/>
      <c r="AD31" s="29"/>
      <c r="AE31" s="29"/>
      <c r="AF31" s="29"/>
      <c r="AH31" s="30"/>
      <c r="AI31" s="30"/>
      <c r="AK31" s="35"/>
    </row>
    <row r="32" spans="2:38" s="24" customFormat="1" ht="12.75" customHeight="1">
      <c r="B32" s="23"/>
      <c r="F32" s="25"/>
      <c r="G32" s="26"/>
      <c r="I32" s="27"/>
      <c r="J32" s="27"/>
      <c r="K32" s="27"/>
      <c r="L32" s="27"/>
      <c r="M32" s="28"/>
      <c r="N32" s="27"/>
      <c r="O32" s="27"/>
      <c r="P32" s="27"/>
      <c r="Q32" s="28"/>
      <c r="R32" s="29"/>
      <c r="S32" s="29"/>
      <c r="T32" s="29"/>
      <c r="U32" s="29"/>
      <c r="V32" s="29"/>
      <c r="W32" s="28"/>
      <c r="X32" s="29"/>
      <c r="Y32" s="28"/>
      <c r="Z32" s="27"/>
      <c r="AA32" s="27"/>
      <c r="AB32" s="27"/>
      <c r="AC32" s="28"/>
      <c r="AD32" s="29"/>
      <c r="AE32" s="29"/>
      <c r="AF32" s="29"/>
      <c r="AH32" s="30"/>
      <c r="AI32" s="30"/>
      <c r="AK32" s="35"/>
    </row>
    <row r="33" spans="2:37" s="24" customFormat="1" ht="12.75" customHeight="1">
      <c r="B33" s="23"/>
      <c r="F33" s="25"/>
      <c r="G33" s="26"/>
      <c r="I33" s="27"/>
      <c r="J33" s="27"/>
      <c r="K33" s="27"/>
      <c r="L33" s="27"/>
      <c r="M33" s="28"/>
      <c r="N33" s="27"/>
      <c r="O33" s="27"/>
      <c r="P33" s="27"/>
      <c r="Q33" s="28"/>
      <c r="R33" s="29"/>
      <c r="S33" s="29"/>
      <c r="T33" s="29"/>
      <c r="U33" s="29"/>
      <c r="V33" s="29"/>
      <c r="W33" s="28"/>
      <c r="X33" s="29"/>
      <c r="Y33" s="28"/>
      <c r="Z33" s="27"/>
      <c r="AA33" s="27"/>
      <c r="AB33" s="27"/>
      <c r="AC33" s="28"/>
      <c r="AD33" s="29"/>
      <c r="AE33" s="29"/>
      <c r="AF33" s="29"/>
      <c r="AH33" s="30"/>
      <c r="AI33" s="30"/>
      <c r="AK33" s="35"/>
    </row>
    <row r="34" spans="2:37" s="24" customFormat="1" ht="12.75" customHeight="1">
      <c r="B34" s="23"/>
      <c r="F34" s="25"/>
      <c r="G34" s="26"/>
      <c r="I34" s="27"/>
      <c r="J34" s="27"/>
      <c r="K34" s="27"/>
      <c r="L34" s="27"/>
      <c r="M34" s="28"/>
      <c r="N34" s="27"/>
      <c r="O34" s="27"/>
      <c r="P34" s="27"/>
      <c r="Q34" s="28"/>
      <c r="R34" s="29"/>
      <c r="S34" s="29"/>
      <c r="T34" s="29"/>
      <c r="U34" s="29"/>
      <c r="V34" s="29"/>
      <c r="W34" s="28"/>
      <c r="X34" s="29"/>
      <c r="Y34" s="28"/>
      <c r="Z34" s="27"/>
      <c r="AA34" s="27"/>
      <c r="AB34" s="27"/>
      <c r="AC34" s="28"/>
      <c r="AD34" s="29"/>
      <c r="AE34" s="29"/>
      <c r="AF34" s="29"/>
      <c r="AH34" s="30"/>
      <c r="AI34" s="30"/>
      <c r="AK34" s="35"/>
    </row>
    <row r="35" spans="2:37" s="24" customFormat="1" ht="12.75" customHeight="1">
      <c r="B35" s="23"/>
      <c r="F35" s="25"/>
      <c r="G35" s="26"/>
      <c r="I35" s="27"/>
      <c r="J35" s="27"/>
      <c r="K35" s="27"/>
      <c r="L35" s="27"/>
      <c r="M35" s="28"/>
      <c r="N35" s="27"/>
      <c r="O35" s="27"/>
      <c r="P35" s="27"/>
      <c r="Q35" s="28"/>
      <c r="R35" s="29"/>
      <c r="S35" s="29"/>
      <c r="T35" s="29"/>
      <c r="U35" s="29"/>
      <c r="V35" s="29"/>
      <c r="W35" s="28"/>
      <c r="X35" s="29"/>
      <c r="Y35" s="28"/>
      <c r="Z35" s="27"/>
      <c r="AA35" s="27"/>
      <c r="AB35" s="27"/>
      <c r="AC35" s="28"/>
      <c r="AD35" s="29"/>
      <c r="AE35" s="29"/>
      <c r="AF35" s="29"/>
      <c r="AH35" s="30"/>
      <c r="AI35" s="30"/>
      <c r="AK35" s="35"/>
    </row>
    <row r="36" spans="2:37" s="37" customFormat="1" ht="12.75" customHeight="1"/>
    <row r="37" spans="2:37" s="37" customFormat="1" ht="12.75" customHeight="1">
      <c r="B37" s="37" t="s">
        <v>111</v>
      </c>
      <c r="G37" s="1731"/>
      <c r="I37" s="1731">
        <v>16917.099999999999</v>
      </c>
      <c r="L37" s="1731"/>
      <c r="N37" s="1731">
        <v>4463.7</v>
      </c>
      <c r="O37" s="37">
        <v>746.8</v>
      </c>
      <c r="P37" s="37">
        <v>514.20000000000005</v>
      </c>
      <c r="R37" s="37" t="s">
        <v>2473</v>
      </c>
      <c r="S37" s="37" t="s">
        <v>2477</v>
      </c>
      <c r="T37" s="37" t="s">
        <v>2478</v>
      </c>
      <c r="U37" s="37" t="s">
        <v>2485</v>
      </c>
      <c r="V37" s="1732" t="s">
        <v>2491</v>
      </c>
      <c r="W37" s="1732"/>
      <c r="Z37" s="1731">
        <v>4452.1000000000004</v>
      </c>
      <c r="AA37" s="37">
        <v>761.3</v>
      </c>
      <c r="AB37" s="37">
        <v>30.2</v>
      </c>
      <c r="AD37" s="37" t="s">
        <v>2489</v>
      </c>
      <c r="AE37" s="37" t="s">
        <v>2493</v>
      </c>
      <c r="AF37" s="37" t="s">
        <v>2494</v>
      </c>
      <c r="AH37" s="1732">
        <v>1.635</v>
      </c>
      <c r="AI37" s="1732">
        <v>1.3919999999999999</v>
      </c>
    </row>
    <row r="38" spans="2:37" s="37" customFormat="1" ht="12.75" customHeight="1">
      <c r="B38" s="1600" t="s">
        <v>115</v>
      </c>
      <c r="C38" s="1601"/>
      <c r="D38" s="1601"/>
      <c r="E38" s="1601"/>
      <c r="F38" s="1601"/>
      <c r="G38" s="1601"/>
      <c r="H38" s="1601"/>
      <c r="I38" s="1602">
        <v>775</v>
      </c>
      <c r="J38" s="1602"/>
      <c r="K38" s="1602"/>
      <c r="L38" s="1602"/>
      <c r="M38" s="1601"/>
      <c r="N38" s="1602">
        <v>111.9</v>
      </c>
      <c r="O38" s="1602">
        <v>-1.8</v>
      </c>
      <c r="P38" s="1602">
        <v>-0.4</v>
      </c>
      <c r="Q38" s="1603"/>
      <c r="R38" s="1604" t="s">
        <v>2479</v>
      </c>
      <c r="S38" s="1604" t="s">
        <v>2471</v>
      </c>
      <c r="T38" s="1604" t="s">
        <v>2472</v>
      </c>
      <c r="U38" s="1604" t="s">
        <v>2486</v>
      </c>
      <c r="V38" s="1604" t="s">
        <v>2491</v>
      </c>
      <c r="W38" s="1733"/>
      <c r="X38" s="1604"/>
      <c r="Y38" s="1601"/>
      <c r="Z38" s="1602">
        <v>1164</v>
      </c>
      <c r="AA38" s="1602">
        <v>464.8</v>
      </c>
      <c r="AB38" s="1602">
        <v>30.2</v>
      </c>
      <c r="AC38" s="1601"/>
      <c r="AD38" s="1604" t="s">
        <v>2496</v>
      </c>
      <c r="AE38" s="1604" t="s">
        <v>2497</v>
      </c>
      <c r="AF38" s="1604" t="s">
        <v>2494</v>
      </c>
      <c r="AG38" s="1601"/>
      <c r="AH38" s="1605">
        <v>0.81</v>
      </c>
      <c r="AI38" s="1606">
        <v>0.89100000000000001</v>
      </c>
    </row>
    <row r="39" spans="2:37" s="37" customFormat="1" ht="12.75" customHeight="1">
      <c r="B39" s="1607" t="s">
        <v>113</v>
      </c>
      <c r="C39" s="11"/>
      <c r="D39" s="11"/>
      <c r="E39" s="11"/>
      <c r="F39" s="11"/>
      <c r="G39" s="1734"/>
      <c r="H39" s="11"/>
      <c r="I39" s="16">
        <v>2405</v>
      </c>
      <c r="J39" s="16"/>
      <c r="K39" s="16"/>
      <c r="L39" s="16"/>
      <c r="M39" s="11"/>
      <c r="N39" s="16">
        <v>916.2</v>
      </c>
      <c r="O39" s="16">
        <v>22.4</v>
      </c>
      <c r="P39" s="16">
        <v>-11.7</v>
      </c>
      <c r="Q39" s="12"/>
      <c r="R39" s="15" t="s">
        <v>2480</v>
      </c>
      <c r="S39" s="15" t="s">
        <v>2481</v>
      </c>
      <c r="T39" s="15" t="s">
        <v>2482</v>
      </c>
      <c r="U39" s="15" t="s">
        <v>2498</v>
      </c>
      <c r="V39" s="15" t="s">
        <v>2491</v>
      </c>
      <c r="W39" s="1735"/>
      <c r="X39" s="15"/>
      <c r="Y39" s="11"/>
      <c r="Z39" s="16">
        <v>1138.5999999999999</v>
      </c>
      <c r="AA39" s="16">
        <v>168.3</v>
      </c>
      <c r="AB39" s="16">
        <v>30.2</v>
      </c>
      <c r="AC39" s="11"/>
      <c r="AD39" s="15" t="s">
        <v>2499</v>
      </c>
      <c r="AE39" s="15" t="s">
        <v>2500</v>
      </c>
      <c r="AF39" s="15" t="s">
        <v>2494</v>
      </c>
      <c r="AG39" s="11"/>
      <c r="AH39" s="20">
        <v>0.75</v>
      </c>
      <c r="AI39" s="21">
        <v>0.74299999999999999</v>
      </c>
    </row>
    <row r="40" spans="2:37" s="37" customFormat="1" ht="12.75" customHeight="1">
      <c r="B40" s="1607" t="s">
        <v>44</v>
      </c>
      <c r="C40" s="11"/>
      <c r="D40" s="11"/>
      <c r="E40" s="11"/>
      <c r="F40" s="11"/>
      <c r="G40" s="11"/>
      <c r="H40" s="11"/>
      <c r="I40" s="16">
        <v>528.20000000000005</v>
      </c>
      <c r="J40" s="16"/>
      <c r="K40" s="16"/>
      <c r="L40" s="16"/>
      <c r="M40" s="11"/>
      <c r="N40" s="16">
        <v>3</v>
      </c>
      <c r="O40" s="16">
        <v>-45.3</v>
      </c>
      <c r="P40" s="16">
        <v>-24.5</v>
      </c>
      <c r="Q40" s="12"/>
      <c r="R40" s="15" t="s">
        <v>2483</v>
      </c>
      <c r="S40" s="15" t="s">
        <v>2474</v>
      </c>
      <c r="T40" s="15" t="s">
        <v>2475</v>
      </c>
      <c r="U40" s="15" t="s">
        <v>2488</v>
      </c>
      <c r="V40" s="15" t="s">
        <v>2491</v>
      </c>
      <c r="W40" s="1735"/>
      <c r="X40" s="15"/>
      <c r="Y40" s="11"/>
      <c r="Z40" s="16">
        <v>51.2</v>
      </c>
      <c r="AA40" s="16">
        <v>168.3</v>
      </c>
      <c r="AB40" s="16">
        <v>30.2</v>
      </c>
      <c r="AC40" s="11"/>
      <c r="AD40" s="15" t="s">
        <v>2501</v>
      </c>
      <c r="AE40" s="15" t="s">
        <v>2500</v>
      </c>
      <c r="AF40" s="15" t="s">
        <v>2494</v>
      </c>
      <c r="AG40" s="11"/>
      <c r="AH40" s="20">
        <v>0.78500000000000003</v>
      </c>
      <c r="AI40" s="21">
        <v>0.55900000000000005</v>
      </c>
    </row>
    <row r="41" spans="2:37" s="37" customFormat="1" ht="12.75" customHeight="1">
      <c r="B41" s="1607" t="s">
        <v>114</v>
      </c>
      <c r="C41" s="11"/>
      <c r="D41" s="11"/>
      <c r="E41" s="11"/>
      <c r="F41" s="11"/>
      <c r="G41" s="11"/>
      <c r="H41" s="11"/>
      <c r="I41" s="16">
        <v>145.6</v>
      </c>
      <c r="J41" s="16"/>
      <c r="K41" s="16"/>
      <c r="L41" s="16"/>
      <c r="M41" s="11"/>
      <c r="N41" s="16">
        <v>2.2999999999999998</v>
      </c>
      <c r="O41" s="16">
        <v>-56.9</v>
      </c>
      <c r="P41" s="16">
        <v>-56.4</v>
      </c>
      <c r="Q41" s="12"/>
      <c r="R41" s="15" t="s">
        <v>2484</v>
      </c>
      <c r="S41" s="15" t="s">
        <v>2469</v>
      </c>
      <c r="T41" s="15" t="s">
        <v>2470</v>
      </c>
      <c r="U41" s="15" t="s">
        <v>2495</v>
      </c>
      <c r="V41" s="15" t="s">
        <v>2491</v>
      </c>
      <c r="W41" s="1735"/>
      <c r="X41" s="15"/>
      <c r="Y41" s="11"/>
      <c r="Z41" s="16">
        <v>25.8</v>
      </c>
      <c r="AA41" s="16">
        <v>-128.1</v>
      </c>
      <c r="AB41" s="16">
        <v>30.2</v>
      </c>
      <c r="AC41" s="11"/>
      <c r="AD41" s="15" t="s">
        <v>2502</v>
      </c>
      <c r="AE41" s="15" t="s">
        <v>2503</v>
      </c>
      <c r="AF41" s="15" t="s">
        <v>2494</v>
      </c>
      <c r="AG41" s="11"/>
      <c r="AH41" s="20">
        <v>0.40899999999999997</v>
      </c>
      <c r="AI41" s="21">
        <v>0.505</v>
      </c>
    </row>
    <row r="42" spans="2:37" s="37" customFormat="1" ht="12.75" customHeight="1">
      <c r="B42" s="1607" t="s">
        <v>112</v>
      </c>
      <c r="C42" s="11"/>
      <c r="D42" s="11"/>
      <c r="E42" s="11"/>
      <c r="F42" s="11"/>
      <c r="G42" s="11"/>
      <c r="H42" s="11"/>
      <c r="I42" s="16">
        <v>42.2</v>
      </c>
      <c r="J42" s="16"/>
      <c r="K42" s="16"/>
      <c r="L42" s="16"/>
      <c r="M42" s="11"/>
      <c r="N42" s="16">
        <v>0.3</v>
      </c>
      <c r="O42" s="16">
        <v>-427.4</v>
      </c>
      <c r="P42" s="16">
        <v>-443.8</v>
      </c>
      <c r="Q42" s="12"/>
      <c r="R42" s="15" t="s">
        <v>2476</v>
      </c>
      <c r="S42" s="15" t="s">
        <v>2467</v>
      </c>
      <c r="T42" s="15" t="s">
        <v>2468</v>
      </c>
      <c r="U42" s="15" t="s">
        <v>2490</v>
      </c>
      <c r="V42" s="15" t="s">
        <v>2491</v>
      </c>
      <c r="W42" s="1735"/>
      <c r="X42" s="15"/>
      <c r="Y42" s="11"/>
      <c r="Z42" s="16">
        <v>0.1</v>
      </c>
      <c r="AA42" s="16">
        <v>-424.6</v>
      </c>
      <c r="AB42" s="16">
        <v>30.2</v>
      </c>
      <c r="AC42" s="11"/>
      <c r="AD42" s="15" t="s">
        <v>2492</v>
      </c>
      <c r="AE42" s="15" t="s">
        <v>2487</v>
      </c>
      <c r="AF42" s="15" t="s">
        <v>2494</v>
      </c>
      <c r="AG42" s="11"/>
      <c r="AH42" s="20">
        <v>0.114</v>
      </c>
      <c r="AI42" s="21">
        <v>0.36899999999999999</v>
      </c>
    </row>
    <row r="43" spans="2:37" s="37" customFormat="1" ht="12.75" customHeight="1">
      <c r="B43" s="1608"/>
      <c r="C43" s="31"/>
      <c r="D43" s="31"/>
      <c r="E43" s="31"/>
      <c r="F43" s="31"/>
      <c r="G43" s="31"/>
      <c r="H43" s="31"/>
      <c r="I43" s="13"/>
      <c r="J43" s="13"/>
      <c r="K43" s="13"/>
      <c r="L43" s="13"/>
      <c r="M43" s="31"/>
      <c r="N43" s="13"/>
      <c r="O43" s="13"/>
      <c r="P43" s="13"/>
      <c r="Q43" s="39"/>
      <c r="R43" s="17"/>
      <c r="S43" s="17"/>
      <c r="T43" s="17"/>
      <c r="U43" s="17"/>
      <c r="V43" s="17"/>
      <c r="W43" s="31"/>
      <c r="X43" s="17"/>
      <c r="Y43" s="31"/>
      <c r="Z43" s="13"/>
      <c r="AA43" s="13"/>
      <c r="AB43" s="13"/>
      <c r="AC43" s="31"/>
      <c r="AD43" s="17"/>
      <c r="AE43" s="17"/>
      <c r="AF43" s="17"/>
      <c r="AG43" s="31"/>
      <c r="AH43" s="22"/>
      <c r="AI43" s="1609"/>
    </row>
    <row r="44" spans="2:37" s="37" customFormat="1" ht="12.75" customHeight="1"/>
    <row r="45" spans="2:37" s="37" customFormat="1" ht="12.75" customHeight="1">
      <c r="B45" s="37" t="s">
        <v>116</v>
      </c>
    </row>
    <row r="46" spans="2:37" s="37" customFormat="1" ht="12.75" customHeight="1">
      <c r="B46" s="3"/>
    </row>
    <row r="47" spans="2:37" s="37" customFormat="1" ht="12.75" customHeight="1"/>
    <row r="48" spans="2:37" s="37" customFormat="1" ht="12.75" customHeight="1"/>
  </sheetData>
  <conditionalFormatting sqref="AI4">
    <cfRule type="cellIs" dxfId="143" priority="3" stopIfTrue="1" operator="equal">
      <formula>"input"</formula>
    </cfRule>
  </conditionalFormatting>
  <conditionalFormatting sqref="R4">
    <cfRule type="cellIs" dxfId="142" priority="7" stopIfTrue="1" operator="equal">
      <formula>"input"</formula>
    </cfRule>
  </conditionalFormatting>
  <conditionalFormatting sqref="B4:M4">
    <cfRule type="cellIs" dxfId="141" priority="13" stopIfTrue="1" operator="equal">
      <formula>"input"</formula>
    </cfRule>
  </conditionalFormatting>
  <conditionalFormatting sqref="N4">
    <cfRule type="cellIs" dxfId="140" priority="11" stopIfTrue="1" operator="equal">
      <formula>"input"</formula>
    </cfRule>
  </conditionalFormatting>
  <conditionalFormatting sqref="N4">
    <cfRule type="cellIs" dxfId="139" priority="12" stopIfTrue="1" operator="equal">
      <formula>"input"</formula>
    </cfRule>
  </conditionalFormatting>
  <conditionalFormatting sqref="O4:Q4">
    <cfRule type="cellIs" dxfId="138" priority="9" stopIfTrue="1" operator="equal">
      <formula>"input"</formula>
    </cfRule>
  </conditionalFormatting>
  <conditionalFormatting sqref="O4:Q4">
    <cfRule type="cellIs" dxfId="137" priority="10" stopIfTrue="1" operator="equal">
      <formula>"input"</formula>
    </cfRule>
  </conditionalFormatting>
  <conditionalFormatting sqref="R4">
    <cfRule type="cellIs" dxfId="136" priority="8" stopIfTrue="1" operator="equal">
      <formula>"input"</formula>
    </cfRule>
  </conditionalFormatting>
  <conditionalFormatting sqref="S4:V4 X4:AH4">
    <cfRule type="cellIs" dxfId="135" priority="5" stopIfTrue="1" operator="equal">
      <formula>"input"</formula>
    </cfRule>
  </conditionalFormatting>
  <conditionalFormatting sqref="S4:V4 X4:AH4">
    <cfRule type="cellIs" dxfId="134" priority="6" stopIfTrue="1" operator="equal">
      <formula>"input"</formula>
    </cfRule>
  </conditionalFormatting>
  <conditionalFormatting sqref="AI4">
    <cfRule type="cellIs" dxfId="133" priority="4" stopIfTrue="1" operator="equal">
      <formula>"input"</formula>
    </cfRule>
  </conditionalFormatting>
  <conditionalFormatting sqref="W4">
    <cfRule type="cellIs" dxfId="132" priority="1" stopIfTrue="1" operator="equal">
      <formula>"input"</formula>
    </cfRule>
  </conditionalFormatting>
  <conditionalFormatting sqref="W4">
    <cfRule type="cellIs" dxfId="131" priority="2" stopIfTrue="1" operator="equal">
      <formula>"input"</formula>
    </cfRule>
  </conditionalFormatting>
  <pageMargins left="0.7" right="0.7" top="0.75" bottom="0.75" header="0.3" footer="0.3"/>
  <pageSetup scale="68" orientation="portrait" r:id="rId1"/>
  <colBreaks count="1" manualBreakCount="1">
    <brk id="17" max="39" man="1"/>
  </colBreaks>
  <legacyDrawing r:id="rId2"/>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6"/>
  <dimension ref="A1:CH74"/>
  <sheetViews>
    <sheetView topLeftCell="P13" workbookViewId="0">
      <selection activeCell="AC13" sqref="AC13:AC42"/>
    </sheetView>
  </sheetViews>
  <sheetFormatPr defaultRowHeight="11.25" outlineLevelCol="1"/>
  <cols>
    <col min="1" max="1" width="40.1640625" style="47" bestFit="1" customWidth="1"/>
    <col min="2" max="2" width="14.83203125" style="47" bestFit="1" customWidth="1"/>
    <col min="3" max="3" width="25.1640625" style="45" bestFit="1" customWidth="1"/>
    <col min="4" max="4" width="19" style="45" bestFit="1" customWidth="1"/>
    <col min="5" max="9" width="17.83203125" style="45" customWidth="1"/>
    <col min="10" max="10" width="15.33203125" style="45" customWidth="1"/>
    <col min="11" max="11" width="14" style="45" customWidth="1"/>
    <col min="12" max="12" width="15.6640625" style="45" bestFit="1" customWidth="1"/>
    <col min="13" max="13" width="16.1640625" style="45" customWidth="1"/>
    <col min="14" max="16" width="14.83203125" style="45" bestFit="1" customWidth="1"/>
    <col min="17" max="18" width="14.83203125" style="45" customWidth="1"/>
    <col min="19" max="23" width="14.83203125" style="45" bestFit="1" customWidth="1"/>
    <col min="24" max="24" width="14.83203125" style="45" customWidth="1"/>
    <col min="25" max="29" width="14.83203125" style="45" bestFit="1" customWidth="1"/>
    <col min="30" max="30" width="17" style="45" bestFit="1" customWidth="1"/>
    <col min="31" max="31" width="14.83203125" style="45" bestFit="1" customWidth="1"/>
    <col min="32" max="32" width="19.1640625" style="45" customWidth="1"/>
    <col min="33" max="33" width="19.5" style="45" customWidth="1"/>
    <col min="34" max="34" width="21.1640625" style="45" customWidth="1"/>
    <col min="35" max="35" width="19" style="45" bestFit="1" customWidth="1"/>
    <col min="36" max="36" width="12.83203125" style="45" customWidth="1"/>
    <col min="37" max="37" width="15.33203125" style="45" customWidth="1"/>
    <col min="38" max="38" width="13.1640625" style="45" customWidth="1"/>
    <col min="39" max="39" width="18.5" style="45" bestFit="1" customWidth="1"/>
    <col min="40" max="40" width="14.83203125" style="45" bestFit="1" customWidth="1"/>
    <col min="41" max="42" width="14.83203125" style="45" customWidth="1"/>
    <col min="43" max="43" width="14.83203125" style="44" customWidth="1"/>
    <col min="44" max="44" width="14.83203125" style="45" customWidth="1"/>
    <col min="45" max="45" width="11.1640625" style="44" customWidth="1"/>
    <col min="46" max="46" width="14.83203125" style="45" bestFit="1" customWidth="1"/>
    <col min="47" max="50" width="14.83203125" style="44" customWidth="1"/>
    <col min="51" max="51" width="16" style="44" customWidth="1"/>
    <col min="52" max="54" width="14.83203125" style="44" customWidth="1"/>
    <col min="55" max="55" width="14.83203125" style="45" customWidth="1"/>
    <col min="56" max="69" width="14.83203125" style="44" customWidth="1"/>
    <col min="70" max="70" width="17" style="44" customWidth="1" outlineLevel="1"/>
    <col min="71" max="78" width="9.33203125" style="44"/>
    <col min="79" max="82" width="9.33203125" style="43"/>
    <col min="83" max="83" width="9.33203125" style="73"/>
    <col min="84" max="16384" width="9.33203125" style="43"/>
  </cols>
  <sheetData>
    <row r="1" spans="1:86" s="40" customFormat="1">
      <c r="A1" s="47" t="s">
        <v>608</v>
      </c>
      <c r="B1" s="55">
        <f>'MASTER PubCo Inputs'!C6</f>
        <v>43496</v>
      </c>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1"/>
      <c r="AR1" s="45"/>
      <c r="AS1" s="42"/>
      <c r="AT1" s="45"/>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row>
    <row r="2" spans="1:86" s="40" customFormat="1">
      <c r="A2" s="47" t="s">
        <v>609</v>
      </c>
      <c r="B2" s="55" t="str">
        <f>'Capital IQ Sheet-GPC'!B2</f>
        <v>CY2017</v>
      </c>
      <c r="C2" s="45"/>
      <c r="D2" s="45"/>
      <c r="E2" s="45"/>
      <c r="F2" s="45"/>
      <c r="G2" s="45"/>
      <c r="H2" s="45"/>
      <c r="I2" s="45"/>
      <c r="J2" s="45"/>
      <c r="K2" s="103" t="s">
        <v>87</v>
      </c>
      <c r="L2" s="104">
        <f>B1</f>
        <v>43496</v>
      </c>
      <c r="M2" s="45"/>
      <c r="N2" s="45"/>
      <c r="O2" s="45"/>
      <c r="P2" s="45"/>
      <c r="Q2" s="45"/>
      <c r="R2" s="45"/>
      <c r="S2" s="45"/>
      <c r="T2" s="45"/>
      <c r="U2" s="45"/>
      <c r="V2" s="45"/>
      <c r="W2" s="45"/>
      <c r="X2" s="45"/>
      <c r="Y2" s="45"/>
      <c r="Z2" s="45"/>
      <c r="AA2" s="45"/>
      <c r="AB2" s="45"/>
      <c r="AC2" s="45"/>
      <c r="AD2" s="45"/>
      <c r="AE2" s="45"/>
      <c r="AF2" s="45"/>
      <c r="AG2" s="45"/>
      <c r="AH2" s="45"/>
      <c r="AI2" s="45"/>
      <c r="AJ2" s="45"/>
      <c r="AK2" s="45"/>
      <c r="AL2" s="45"/>
      <c r="AM2" s="45"/>
      <c r="AN2" s="45"/>
      <c r="AO2" s="45"/>
      <c r="AP2" s="45"/>
      <c r="AQ2" s="41"/>
      <c r="AR2" s="45"/>
      <c r="AS2" s="42"/>
      <c r="AT2" s="45"/>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row>
    <row r="3" spans="1:86" s="40" customFormat="1">
      <c r="A3" s="47" t="s">
        <v>610</v>
      </c>
      <c r="B3" s="55" t="str">
        <f>'Capital IQ Sheet-GPC'!B3</f>
        <v>CY2018</v>
      </c>
      <c r="C3" s="45"/>
      <c r="D3" s="45"/>
      <c r="E3" s="45"/>
      <c r="F3" s="45"/>
      <c r="G3" s="45"/>
      <c r="H3" s="45"/>
      <c r="I3" s="45"/>
      <c r="J3" s="45"/>
      <c r="K3" s="59" t="s">
        <v>378</v>
      </c>
      <c r="L3" s="60" t="str">
        <f>'Capital IQ Sheet-GPC'!L3</f>
        <v>F</v>
      </c>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5"/>
      <c r="AO3" s="45"/>
      <c r="AP3" s="45"/>
      <c r="AQ3" s="41"/>
      <c r="AR3" s="45"/>
      <c r="AS3" s="42"/>
      <c r="AT3" s="45"/>
      <c r="AU3" s="41"/>
      <c r="AV3" s="41"/>
      <c r="AW3" s="41"/>
      <c r="AX3" s="41"/>
      <c r="AY3" s="41"/>
      <c r="AZ3" s="41"/>
      <c r="BA3" s="41"/>
      <c r="BB3" s="41"/>
      <c r="BC3" s="41"/>
      <c r="BD3" s="41"/>
      <c r="BE3" s="41"/>
      <c r="BF3" s="41"/>
      <c r="BG3" s="41"/>
      <c r="BH3" s="41"/>
      <c r="BI3" s="41"/>
      <c r="BJ3" s="41"/>
      <c r="BK3" s="41"/>
      <c r="BL3" s="41"/>
      <c r="BM3" s="41"/>
      <c r="BN3" s="41"/>
      <c r="BO3" s="41"/>
      <c r="BP3" s="41"/>
      <c r="BQ3" s="41"/>
      <c r="BR3" s="41"/>
      <c r="BS3" s="41"/>
      <c r="BT3" s="41"/>
      <c r="BU3" s="41"/>
      <c r="BV3" s="41"/>
      <c r="BW3" s="41"/>
      <c r="BX3" s="41"/>
      <c r="BY3" s="41"/>
      <c r="BZ3" s="41"/>
    </row>
    <row r="4" spans="1:86" s="40" customFormat="1">
      <c r="A4" s="47" t="s">
        <v>611</v>
      </c>
      <c r="B4" s="55" t="str">
        <f>'Capital IQ Sheet-GPC'!B4</f>
        <v>CY2019</v>
      </c>
      <c r="C4" s="45"/>
      <c r="D4" s="45"/>
      <c r="E4" s="45"/>
      <c r="F4" s="45"/>
      <c r="G4" s="45"/>
      <c r="H4" s="45"/>
      <c r="I4" s="45"/>
      <c r="J4" s="45"/>
      <c r="K4" s="59" t="s">
        <v>702</v>
      </c>
      <c r="L4" s="60" t="str">
        <f>'Capital IQ Sheet-GPC'!L4</f>
        <v>LFR</v>
      </c>
      <c r="M4" s="45"/>
      <c r="N4" s="45"/>
      <c r="O4" s="45"/>
      <c r="P4" s="45"/>
      <c r="Q4" s="45"/>
      <c r="R4" s="45"/>
      <c r="S4" s="45"/>
      <c r="T4" s="45"/>
      <c r="U4" s="45"/>
      <c r="V4" s="45"/>
      <c r="W4" s="45"/>
      <c r="X4" s="45"/>
      <c r="Y4" s="45"/>
      <c r="Z4" s="45"/>
      <c r="AA4" s="45"/>
      <c r="AB4" s="45"/>
      <c r="AC4" s="45"/>
      <c r="AD4" s="45"/>
      <c r="AE4" s="45"/>
      <c r="AF4" s="45"/>
      <c r="AG4" s="45"/>
      <c r="AH4" s="45"/>
      <c r="AI4" s="45"/>
      <c r="AJ4" s="45"/>
      <c r="AK4" s="45"/>
      <c r="AL4" s="45"/>
      <c r="AM4" s="45"/>
      <c r="AN4" s="45"/>
      <c r="AO4" s="45"/>
      <c r="AP4" s="45"/>
      <c r="AQ4" s="41"/>
      <c r="AR4" s="45"/>
      <c r="AS4" s="41"/>
      <c r="AT4" s="45"/>
      <c r="AU4" s="41"/>
      <c r="AV4" s="41"/>
      <c r="AW4" s="41"/>
      <c r="AX4" s="41"/>
      <c r="AY4" s="41"/>
      <c r="AZ4" s="41"/>
      <c r="BA4" s="41"/>
      <c r="BB4" s="41"/>
      <c r="BC4" s="41"/>
      <c r="BD4" s="41"/>
      <c r="BE4" s="41"/>
      <c r="BF4" s="41"/>
      <c r="BG4" s="41"/>
      <c r="BH4" s="41"/>
      <c r="BI4" s="41"/>
      <c r="BJ4" s="41"/>
      <c r="BK4" s="41"/>
      <c r="BL4" s="41"/>
      <c r="BM4" s="41"/>
      <c r="BN4" s="41"/>
      <c r="BO4" s="41"/>
      <c r="BP4" s="41"/>
      <c r="BQ4" s="41"/>
      <c r="BR4" s="41"/>
      <c r="BS4" s="41"/>
      <c r="BT4" s="41"/>
      <c r="BU4" s="41"/>
      <c r="BV4" s="41"/>
      <c r="BW4" s="41"/>
      <c r="BX4" s="41"/>
      <c r="BY4" s="41"/>
      <c r="BZ4" s="41"/>
    </row>
    <row r="5" spans="1:86" s="40" customFormat="1">
      <c r="A5" s="47" t="s">
        <v>612</v>
      </c>
      <c r="B5" s="55" t="str">
        <f>'Capital IQ Sheet-GPC'!B5</f>
        <v>CY2020</v>
      </c>
      <c r="C5" s="45"/>
      <c r="D5" s="45"/>
      <c r="E5" s="45"/>
      <c r="F5" s="45"/>
      <c r="G5" s="45"/>
      <c r="H5" s="45"/>
      <c r="I5" s="45"/>
      <c r="J5" s="45"/>
      <c r="K5" s="59" t="s">
        <v>379</v>
      </c>
      <c r="L5" s="60" t="str">
        <f>'Capital IQ Sheet-GPC'!L5</f>
        <v>USD</v>
      </c>
      <c r="M5" s="45"/>
      <c r="N5" s="45"/>
      <c r="O5" s="45"/>
      <c r="P5" s="45"/>
      <c r="Q5" s="45"/>
      <c r="R5" s="45"/>
      <c r="S5" s="45"/>
      <c r="T5" s="45"/>
      <c r="U5" s="45"/>
      <c r="V5" s="45"/>
      <c r="W5" s="45"/>
      <c r="X5" s="45"/>
      <c r="Y5" s="45"/>
      <c r="Z5" s="45"/>
      <c r="AA5" s="45"/>
      <c r="AB5" s="45"/>
      <c r="AC5" s="45"/>
      <c r="AD5" s="45"/>
      <c r="AE5" s="45"/>
      <c r="AF5" s="45"/>
      <c r="AG5" s="45"/>
      <c r="AH5" s="45"/>
      <c r="AI5" s="45"/>
      <c r="AJ5" s="45"/>
      <c r="AK5" s="45"/>
      <c r="AL5" s="45"/>
      <c r="AM5" s="45"/>
      <c r="AN5" s="45"/>
      <c r="AO5" s="45"/>
      <c r="AP5" s="45"/>
      <c r="AQ5" s="41"/>
      <c r="AR5" s="45"/>
      <c r="AS5" s="41"/>
      <c r="AT5" s="45"/>
      <c r="AU5" s="41"/>
      <c r="AV5" s="41"/>
      <c r="AW5" s="41"/>
      <c r="AX5" s="41"/>
      <c r="AY5" s="41"/>
      <c r="AZ5" s="41"/>
      <c r="BA5" s="41"/>
      <c r="BB5" s="41"/>
      <c r="BC5" s="41"/>
      <c r="BD5" s="41"/>
      <c r="BE5" s="41"/>
      <c r="BF5" s="41"/>
      <c r="BG5" s="41"/>
      <c r="BH5" s="41"/>
      <c r="BI5" s="41"/>
      <c r="BJ5" s="41"/>
      <c r="BK5" s="41"/>
      <c r="BL5" s="41"/>
      <c r="BM5" s="41"/>
      <c r="BN5" s="41"/>
      <c r="BO5" s="41"/>
      <c r="BP5" s="41"/>
      <c r="BQ5" s="41"/>
      <c r="BR5" s="41"/>
      <c r="BS5" s="41"/>
      <c r="BT5" s="41"/>
      <c r="BU5" s="41"/>
      <c r="BV5" s="41"/>
      <c r="BW5" s="41"/>
      <c r="BX5" s="41"/>
      <c r="BY5" s="41"/>
      <c r="BZ5" s="41"/>
    </row>
    <row r="6" spans="1:86" s="40" customFormat="1">
      <c r="A6" s="47" t="s">
        <v>613</v>
      </c>
      <c r="B6" s="55" t="str">
        <f>'Capital IQ Sheet-GPC'!B6</f>
        <v>CY2021</v>
      </c>
      <c r="C6" s="45"/>
      <c r="D6" s="45"/>
      <c r="E6" s="45"/>
      <c r="F6" s="45"/>
      <c r="G6" s="45"/>
      <c r="H6" s="45"/>
      <c r="I6" s="45"/>
      <c r="J6" s="45"/>
      <c r="K6" s="61" t="s">
        <v>89</v>
      </c>
      <c r="L6" s="62" t="str">
        <f>'Capital IQ Sheet-GPC'!L6</f>
        <v>H</v>
      </c>
      <c r="M6" s="45"/>
      <c r="N6" s="45"/>
      <c r="O6" s="45"/>
      <c r="P6" s="45"/>
      <c r="Q6" s="45"/>
      <c r="R6" s="45"/>
      <c r="S6" s="45"/>
      <c r="T6" s="45"/>
      <c r="U6" s="45"/>
      <c r="V6" s="45"/>
      <c r="W6" s="45"/>
      <c r="X6" s="45"/>
      <c r="Y6" s="45"/>
      <c r="Z6" s="45"/>
      <c r="AA6" s="45"/>
      <c r="AB6" s="45"/>
      <c r="AC6" s="45"/>
      <c r="AD6" s="45"/>
      <c r="AE6" s="63"/>
      <c r="AF6" s="45"/>
      <c r="AG6" s="45"/>
      <c r="AH6" s="45"/>
      <c r="AI6" s="45"/>
      <c r="AJ6" s="45"/>
      <c r="AK6" s="45"/>
      <c r="AL6" s="45"/>
      <c r="AM6" s="45"/>
      <c r="AN6" s="45"/>
      <c r="AO6" s="45"/>
      <c r="AP6" s="45"/>
      <c r="AQ6" s="41"/>
      <c r="AR6" s="45"/>
      <c r="AS6" s="41"/>
      <c r="AT6" s="45"/>
      <c r="AU6" s="41"/>
      <c r="AV6" s="41"/>
      <c r="AW6" s="41"/>
      <c r="AX6" s="41"/>
      <c r="AY6" s="41"/>
      <c r="AZ6" s="41"/>
      <c r="BA6" s="41"/>
      <c r="BB6" s="41"/>
      <c r="BC6" s="41"/>
      <c r="BD6" s="41"/>
      <c r="BE6" s="41"/>
      <c r="BF6" s="41"/>
      <c r="BG6" s="41"/>
      <c r="BH6" s="41"/>
      <c r="BI6" s="41"/>
      <c r="BJ6" s="41"/>
      <c r="BK6" s="41"/>
      <c r="BL6" s="41"/>
      <c r="BM6" s="41"/>
      <c r="BN6" s="41"/>
      <c r="BO6" s="41"/>
      <c r="BP6" s="41"/>
      <c r="BQ6" s="41"/>
      <c r="BR6" s="41"/>
      <c r="BS6" s="41"/>
      <c r="BT6" s="41"/>
      <c r="BU6" s="41"/>
      <c r="BV6" s="41"/>
      <c r="BW6" s="41"/>
      <c r="BX6" s="41"/>
      <c r="BY6" s="41"/>
      <c r="BZ6" s="41"/>
    </row>
    <row r="7" spans="1:86" s="40" customFormat="1">
      <c r="A7" s="47" t="s">
        <v>704</v>
      </c>
      <c r="B7" s="55" t="str">
        <f>'Capital IQ Sheet-GPC'!B7</f>
        <v>CY2022</v>
      </c>
      <c r="C7" s="45"/>
      <c r="D7" s="45"/>
      <c r="E7" s="45"/>
      <c r="F7" s="45"/>
      <c r="G7" s="45"/>
      <c r="H7" s="45"/>
      <c r="I7" s="45"/>
      <c r="J7" s="45"/>
      <c r="K7" s="63"/>
      <c r="L7" s="63"/>
      <c r="M7" s="45"/>
      <c r="N7" s="45"/>
      <c r="O7" s="45"/>
      <c r="P7" s="45"/>
      <c r="Q7" s="45"/>
      <c r="R7" s="45"/>
      <c r="S7" s="45"/>
      <c r="T7" s="45"/>
      <c r="U7" s="45"/>
      <c r="V7" s="45"/>
      <c r="W7" s="45"/>
      <c r="X7" s="45"/>
      <c r="Y7" s="45"/>
      <c r="Z7" s="45"/>
      <c r="AA7" s="45"/>
      <c r="AB7" s="45"/>
      <c r="AC7" s="45"/>
      <c r="AD7" s="45"/>
      <c r="AE7" s="63"/>
      <c r="AF7" s="64"/>
      <c r="AG7" s="64"/>
      <c r="AH7" s="45"/>
      <c r="AI7" s="45"/>
      <c r="AJ7" s="45"/>
      <c r="AK7" s="45"/>
      <c r="AL7" s="45"/>
      <c r="AM7" s="45"/>
      <c r="AN7" s="45"/>
      <c r="AO7" s="45"/>
      <c r="AP7" s="45"/>
      <c r="AQ7" s="41"/>
      <c r="AR7" s="45"/>
      <c r="AS7" s="41"/>
      <c r="AT7" s="45"/>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row>
    <row r="8" spans="1:86" s="40" customFormat="1">
      <c r="A8" s="47" t="s">
        <v>614</v>
      </c>
      <c r="B8" s="55">
        <f>'Capital IQ Sheet-GPC'!B8</f>
        <v>42643</v>
      </c>
      <c r="C8" s="45"/>
      <c r="D8" s="45"/>
      <c r="E8" s="45"/>
      <c r="F8" s="45"/>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1"/>
      <c r="AR8" s="45"/>
      <c r="AS8" s="41"/>
      <c r="AT8" s="45"/>
      <c r="AU8" s="41"/>
      <c r="AV8" s="41"/>
      <c r="AW8" s="41"/>
      <c r="AX8" s="41"/>
      <c r="AY8" s="41"/>
      <c r="AZ8" s="41"/>
      <c r="BA8" s="41"/>
      <c r="BB8" s="41"/>
      <c r="BC8" s="41"/>
      <c r="BD8" s="41"/>
      <c r="BE8" s="41"/>
      <c r="BF8" s="41"/>
      <c r="BG8" s="41"/>
      <c r="BH8" s="41"/>
      <c r="BI8" s="41"/>
      <c r="BJ8" s="41"/>
      <c r="BK8" s="41"/>
      <c r="BL8" s="41"/>
      <c r="BM8" s="41"/>
      <c r="BN8" s="41"/>
      <c r="BO8" s="41"/>
      <c r="BP8" s="41"/>
      <c r="BQ8" s="41"/>
      <c r="BR8" s="41"/>
      <c r="BS8" s="41"/>
      <c r="BT8" s="41"/>
      <c r="BU8" s="41"/>
      <c r="BV8" s="41"/>
      <c r="BW8" s="41"/>
      <c r="BX8" s="41"/>
      <c r="BY8" s="41"/>
      <c r="BZ8" s="41"/>
    </row>
    <row r="9" spans="1:86" s="108" customFormat="1" ht="12.75">
      <c r="A9" s="105"/>
      <c r="B9" s="105"/>
      <c r="C9" s="106"/>
      <c r="D9" s="106"/>
      <c r="E9" s="106"/>
      <c r="F9" s="106"/>
      <c r="G9" s="106"/>
      <c r="H9" s="106"/>
      <c r="I9" s="106"/>
      <c r="J9" s="106"/>
      <c r="K9" s="106"/>
      <c r="L9" s="106"/>
      <c r="M9" s="106"/>
      <c r="N9" s="106"/>
      <c r="O9" s="106"/>
      <c r="P9" s="106"/>
      <c r="Q9" s="106"/>
      <c r="R9" s="106"/>
      <c r="S9" s="106"/>
      <c r="T9" s="106"/>
      <c r="U9" s="106"/>
      <c r="V9" s="106"/>
      <c r="W9" s="106"/>
      <c r="X9" s="106"/>
      <c r="Y9" s="106"/>
      <c r="Z9" s="106"/>
      <c r="AA9" s="106"/>
      <c r="AB9" s="106"/>
      <c r="AC9" s="106"/>
      <c r="AD9" s="106"/>
      <c r="AE9" s="106"/>
      <c r="AF9" s="106"/>
      <c r="AG9" s="106"/>
      <c r="AH9" s="106"/>
      <c r="AI9" s="106"/>
      <c r="AJ9" s="106"/>
      <c r="AK9" s="106"/>
      <c r="AL9" s="106"/>
      <c r="AM9" s="106"/>
      <c r="AN9" s="106"/>
      <c r="AO9" s="106"/>
      <c r="AP9" s="106"/>
      <c r="AQ9" s="107"/>
      <c r="AR9" s="106"/>
      <c r="AS9" s="107"/>
      <c r="AT9" s="106"/>
      <c r="AU9" s="107"/>
      <c r="AV9" s="107"/>
      <c r="AW9" s="107"/>
      <c r="AX9" s="107"/>
      <c r="AY9" s="107"/>
      <c r="AZ9" s="107"/>
      <c r="BA9" s="107"/>
      <c r="BB9" s="107"/>
      <c r="BC9" s="106"/>
      <c r="BD9" s="107"/>
      <c r="BE9" s="107"/>
      <c r="BF9" s="107"/>
      <c r="BG9" s="107"/>
      <c r="BH9" s="107"/>
      <c r="BI9" s="107"/>
      <c r="BJ9" s="107"/>
      <c r="BK9" s="107"/>
      <c r="BL9" s="107"/>
      <c r="BM9" s="107"/>
      <c r="BN9" s="107"/>
      <c r="BO9" s="107"/>
      <c r="BP9" s="107"/>
      <c r="BQ9" s="107"/>
      <c r="BR9" s="107"/>
      <c r="BS9" s="107"/>
      <c r="BT9" s="107"/>
      <c r="BU9" s="107"/>
      <c r="BV9" s="107"/>
      <c r="BW9" s="107"/>
      <c r="BX9" s="107"/>
      <c r="BY9" s="107"/>
      <c r="BZ9" s="107"/>
    </row>
    <row r="10" spans="1:86">
      <c r="A10" s="65" t="str">
        <f>'Capital IQ Sheet-GPC'!A10</f>
        <v>Comparable Public Companies (Primary)</v>
      </c>
      <c r="W10" s="66"/>
      <c r="AF10" s="109" t="s">
        <v>285</v>
      </c>
      <c r="AG10" s="110"/>
      <c r="AH10" s="110"/>
      <c r="AI10" s="111"/>
      <c r="AJ10" s="45" t="s">
        <v>297</v>
      </c>
      <c r="AK10" s="45" t="s">
        <v>284</v>
      </c>
      <c r="AL10" s="45" t="s">
        <v>285</v>
      </c>
      <c r="AM10" s="45" t="s">
        <v>297</v>
      </c>
      <c r="AN10" s="45" t="s">
        <v>284</v>
      </c>
      <c r="AO10" s="45" t="s">
        <v>285</v>
      </c>
      <c r="AQ10" s="41">
        <v>1</v>
      </c>
      <c r="AR10" s="45">
        <v>2</v>
      </c>
      <c r="AS10" s="41">
        <v>5</v>
      </c>
      <c r="AU10" s="45" t="s">
        <v>297</v>
      </c>
      <c r="AV10" s="45" t="s">
        <v>284</v>
      </c>
      <c r="AW10" s="45" t="s">
        <v>285</v>
      </c>
      <c r="AX10" s="66" t="str">
        <f>B2</f>
        <v>CY2017</v>
      </c>
      <c r="AY10" s="66" t="str">
        <f>B3</f>
        <v>CY2018</v>
      </c>
      <c r="AZ10" s="45" t="s">
        <v>297</v>
      </c>
      <c r="BA10" s="45" t="s">
        <v>284</v>
      </c>
      <c r="BB10" s="45" t="s">
        <v>285</v>
      </c>
      <c r="BC10" s="45" t="str">
        <f>AX10</f>
        <v>CY2017</v>
      </c>
      <c r="BD10" s="45" t="str">
        <f>AY10</f>
        <v>CY2018</v>
      </c>
      <c r="BE10" s="45"/>
      <c r="BF10" s="45"/>
      <c r="BG10" s="45"/>
      <c r="BH10" s="41"/>
      <c r="BI10" s="41"/>
      <c r="BJ10" s="41"/>
      <c r="BK10" s="41"/>
      <c r="BL10" s="41"/>
      <c r="BM10" s="41"/>
      <c r="BN10" s="41"/>
      <c r="BO10" s="41"/>
      <c r="BP10" s="41"/>
      <c r="BQ10" s="41"/>
      <c r="BR10" s="41"/>
      <c r="BS10" s="41" t="s">
        <v>117</v>
      </c>
      <c r="BT10" s="41"/>
      <c r="BU10" s="41"/>
      <c r="BV10" s="41"/>
      <c r="BW10" s="41"/>
      <c r="BX10" s="41"/>
      <c r="BY10" s="41"/>
      <c r="BZ10" s="41"/>
      <c r="CA10" s="40"/>
      <c r="CB10" s="40"/>
      <c r="CC10" s="40"/>
      <c r="CD10" s="40"/>
      <c r="CE10" s="40"/>
      <c r="CF10" s="40"/>
      <c r="CG10" s="40"/>
      <c r="CH10" s="40"/>
    </row>
    <row r="11" spans="1:86" ht="12.75">
      <c r="A11" s="47" t="s">
        <v>108</v>
      </c>
      <c r="B11" s="47" t="s">
        <v>615</v>
      </c>
      <c r="C11" s="45" t="s">
        <v>616</v>
      </c>
      <c r="D11" s="45" t="s">
        <v>617</v>
      </c>
      <c r="E11" s="45" t="s">
        <v>618</v>
      </c>
      <c r="F11" s="45" t="s">
        <v>706</v>
      </c>
      <c r="G11" s="44" t="s">
        <v>619</v>
      </c>
      <c r="H11" s="44" t="s">
        <v>146</v>
      </c>
      <c r="I11" s="44" t="s">
        <v>583</v>
      </c>
      <c r="J11" s="45" t="s">
        <v>94</v>
      </c>
      <c r="K11" s="45" t="s">
        <v>95</v>
      </c>
      <c r="L11" s="45" t="s">
        <v>96</v>
      </c>
      <c r="M11" s="45" t="s">
        <v>97</v>
      </c>
      <c r="N11" s="45" t="s">
        <v>100</v>
      </c>
      <c r="O11" s="106" t="s">
        <v>661</v>
      </c>
      <c r="P11" s="45" t="s">
        <v>662</v>
      </c>
      <c r="Q11" s="45" t="s">
        <v>663</v>
      </c>
      <c r="R11" s="45" t="str">
        <f>"REV_"&amp;$B$2</f>
        <v>REV_CY2017</v>
      </c>
      <c r="S11" s="45" t="str">
        <f>"REV_"&amp;$B$3</f>
        <v>REV_CY2018</v>
      </c>
      <c r="T11" s="45" t="str">
        <f>"REV_"&amp;$B$4</f>
        <v>REV_CY2019</v>
      </c>
      <c r="U11" s="45" t="str">
        <f>"REV_"&amp;$B$5</f>
        <v>REV_CY2020</v>
      </c>
      <c r="V11" s="45" t="str">
        <f>"REV_"&amp;$B$6</f>
        <v>REV_CY2021</v>
      </c>
      <c r="W11" s="45" t="str">
        <f>"REV_"&amp;$B$7</f>
        <v>REV_CY2022</v>
      </c>
      <c r="X11" s="106" t="s">
        <v>664</v>
      </c>
      <c r="Y11" s="45" t="s">
        <v>665</v>
      </c>
      <c r="Z11" s="45" t="s">
        <v>620</v>
      </c>
      <c r="AA11" s="45" t="s">
        <v>666</v>
      </c>
      <c r="AB11" s="45" t="s">
        <v>667</v>
      </c>
      <c r="AC11" s="45" t="s">
        <v>668</v>
      </c>
      <c r="AD11" s="45" t="s">
        <v>669</v>
      </c>
      <c r="AE11" s="45" t="s">
        <v>670</v>
      </c>
      <c r="AF11" s="45" t="s">
        <v>673</v>
      </c>
      <c r="AG11" s="45" t="s">
        <v>720</v>
      </c>
      <c r="AH11" s="45" t="s">
        <v>721</v>
      </c>
      <c r="AI11" s="45" t="s">
        <v>722</v>
      </c>
      <c r="AJ11" s="45" t="s">
        <v>674</v>
      </c>
      <c r="AK11" s="45" t="s">
        <v>674</v>
      </c>
      <c r="AL11" s="45" t="s">
        <v>674</v>
      </c>
      <c r="AM11" s="45" t="s">
        <v>580</v>
      </c>
      <c r="AN11" s="45" t="s">
        <v>580</v>
      </c>
      <c r="AO11" s="45" t="s">
        <v>580</v>
      </c>
      <c r="AP11" s="45" t="s">
        <v>723</v>
      </c>
      <c r="AQ11" s="45" t="s">
        <v>623</v>
      </c>
      <c r="AR11" s="45" t="s">
        <v>622</v>
      </c>
      <c r="AS11" s="45" t="s">
        <v>621</v>
      </c>
      <c r="AT11" s="45" t="s">
        <v>73</v>
      </c>
      <c r="AU11" s="44" t="s">
        <v>505</v>
      </c>
      <c r="AV11" s="44" t="s">
        <v>505</v>
      </c>
      <c r="AW11" s="44" t="s">
        <v>505</v>
      </c>
      <c r="AX11" s="44" t="s">
        <v>505</v>
      </c>
      <c r="AY11" s="45" t="s">
        <v>505</v>
      </c>
      <c r="AZ11" s="44" t="s">
        <v>506</v>
      </c>
      <c r="BA11" s="44" t="s">
        <v>506</v>
      </c>
      <c r="BB11" s="44" t="s">
        <v>506</v>
      </c>
      <c r="BC11" s="45" t="s">
        <v>506</v>
      </c>
      <c r="BD11" s="44" t="s">
        <v>506</v>
      </c>
      <c r="BE11" s="44" t="s">
        <v>711</v>
      </c>
      <c r="BF11" s="44" t="s">
        <v>712</v>
      </c>
      <c r="BG11" s="44" t="s">
        <v>713</v>
      </c>
      <c r="BH11" s="44" t="s">
        <v>714</v>
      </c>
      <c r="BI11" s="44" t="s">
        <v>715</v>
      </c>
      <c r="BJ11" s="44" t="s">
        <v>716</v>
      </c>
      <c r="BK11" s="44" t="s">
        <v>624</v>
      </c>
      <c r="BL11" s="44" t="s">
        <v>625</v>
      </c>
      <c r="BM11" s="44" t="s">
        <v>626</v>
      </c>
      <c r="BN11" s="44" t="s">
        <v>627</v>
      </c>
      <c r="BO11" s="44" t="s">
        <v>628</v>
      </c>
      <c r="BP11" s="44" t="s">
        <v>629</v>
      </c>
      <c r="BQ11" s="44" t="s">
        <v>630</v>
      </c>
      <c r="BR11" s="44" t="s">
        <v>631</v>
      </c>
      <c r="BS11" s="46" t="str">
        <f>'Capital IQ Sheet-GPC'!BS11</f>
        <v>Year 1</v>
      </c>
      <c r="BT11" s="46" t="str">
        <f>'Capital IQ Sheet-GPC'!BT11</f>
        <v>Year 2</v>
      </c>
      <c r="BU11" s="46" t="str">
        <f>'Capital IQ Sheet-GPC'!BU11</f>
        <v>Year 3</v>
      </c>
      <c r="BV11" s="46" t="str">
        <f>'Capital IQ Sheet-GPC'!BV11</f>
        <v>Year 4</v>
      </c>
      <c r="BW11" s="46" t="str">
        <f>'Capital IQ Sheet-GPC'!BW11</f>
        <v>Year 5</v>
      </c>
      <c r="BX11" s="46" t="str">
        <f>'Capital IQ Sheet-GPC'!BX11</f>
        <v>Year 6</v>
      </c>
      <c r="BY11" s="46" t="str">
        <f>'Capital IQ Sheet-GPC'!BY11</f>
        <v>Year 7</v>
      </c>
      <c r="BZ11" s="46" t="str">
        <f>'Capital IQ Sheet-GPC'!BZ11</f>
        <v>Year 8</v>
      </c>
      <c r="CB11" s="43" t="s">
        <v>724</v>
      </c>
      <c r="CC11" s="43" t="s">
        <v>265</v>
      </c>
      <c r="CD11" s="43" t="s">
        <v>266</v>
      </c>
      <c r="CE11" s="44" t="s">
        <v>677</v>
      </c>
    </row>
    <row r="12" spans="1:86">
      <c r="CE12" s="43"/>
    </row>
    <row r="13" spans="1:86" s="44" customFormat="1" ht="12.75">
      <c r="A13" s="45" t="e">
        <f ca="1">_xll.ciqfunctions.udf.CIQ($B13,"IQ_COMPANY_TICKER")</f>
        <v>#NAME?</v>
      </c>
      <c r="B13" s="67" t="str">
        <f>'Capital IQ Sheet-GPC'!B13</f>
        <v>IQ29929</v>
      </c>
      <c r="C13" s="45" t="e">
        <f ca="1">_xll.ciqfunctions.udf.CIQ($A13,"IQ_COMPANY_NAME")</f>
        <v>#NAME?</v>
      </c>
      <c r="D13" s="45" t="e">
        <f ca="1">_xll.ciqfunctions.udf.CIQ($A13, "IQ_EXCHANGE")</f>
        <v>#NAME?</v>
      </c>
      <c r="E13" s="66" t="e">
        <f ca="1">_xll.ciqfunctions.udf.CIQ($A13, "IQ_PERIODDATE_IS", IQ_FY)</f>
        <v>#NAME?</v>
      </c>
      <c r="F13" s="66" t="e">
        <f ca="1">_xll.ciqfunctions.udf.CIQ(A13, "IQ_PERIODDATE_IS", IQ_LTM, $B$1,$L$4,$L$3)</f>
        <v>#NAME?</v>
      </c>
      <c r="G13" s="66" t="e">
        <f ca="1">_xll.ciqfunctions.udf.CIQ($A13, "IQ_FIRSTPRICINGDATE")</f>
        <v>#NAME?</v>
      </c>
      <c r="H13" s="68" t="e">
        <f ca="1">_xll.ciqfunctions.udf.CIQ($A13, "IQ_TEV", $L$2, $L$5, $L$6)</f>
        <v>#NAME?</v>
      </c>
      <c r="I13" s="68" t="e">
        <f ca="1">_xll.ciqfunctions.udf.CIQ(A13, "IQ_LASTSALEPRICE", $B$1,$L$5)</f>
        <v>#NAME?</v>
      </c>
      <c r="J13" s="68" t="e">
        <f ca="1">_xll.ciqfunctions.udf.CIQ($A13, "IQ_MARKETCAP", $L$2, $L$5, $L$6)</f>
        <v>#NAME?</v>
      </c>
      <c r="K13" s="68" t="e">
        <f ca="1">_xll.ciqfunctions.udf.CIQ($A13, "IQ_TOTAL_DEBT", IQ_LTM, $L$2,$L$4, $L$3, $L$5, $L$6)</f>
        <v>#NAME?</v>
      </c>
      <c r="L13" s="68" t="e">
        <f ca="1">_xll.ciqfunctions.udf.CIQ($A13, "IQ_PREF_EQUITY", IQ_LTM, $L$2, $L$4, $L$3, $L$5, $L$6)</f>
        <v>#NAME?</v>
      </c>
      <c r="M13" s="68" t="e">
        <f ca="1">_xll.ciqfunctions.udf.CIQ($A13, "IQ_MINORITY_INTEREST_TOTAL", IQ_LTM, $L$2, $L$4, $L$3, $L$5, $L$6)</f>
        <v>#NAME?</v>
      </c>
      <c r="N13" s="68" t="e">
        <f ca="1">_xll.ciqfunctions.udf.CIQ($A13, "IQ_CASH_ST_INVEST", IQ_LTM, $L$2, $L$4, $L$3, $L$5, $L$6)</f>
        <v>#NAME?</v>
      </c>
      <c r="O13" s="68" t="e">
        <f ca="1">_xll.ciqfunctions.udf.CIQ($A13, "IQ_TOTAL_REV", IQ_LTM-8, $L$2, $L$4, $L$3, $L$5, $L$6)</f>
        <v>#NAME?</v>
      </c>
      <c r="P13" s="68" t="e">
        <f ca="1">_xll.ciqfunctions.udf.CIQ($A13, "IQ_TOTAL_REV", IQ_LTM - 4, $L$2, $L$4, $L$3, $L$5,$L$6)</f>
        <v>#NAME?</v>
      </c>
      <c r="Q13" s="68" t="e">
        <f ca="1">_xll.ciqfunctions.udf.CIQ($A13, "IQ_TOTAL_REV", IQ_LTM, $L$2, $L$4, $L$3, $L$5, $L$6)</f>
        <v>#NAME?</v>
      </c>
      <c r="R13" s="68" t="e">
        <f ca="1">_xll.ciqfunctions.udf.CIQ($A13, "IQ_TOTAL_REV", $B$2, $L$2, $L$4, $L$3, $L$5, $L$6)</f>
        <v>#NAME?</v>
      </c>
      <c r="S13" s="68" t="e">
        <f ca="1">IF(_xll.ciqfunctions.udf.CIQ($A13, "IQ_TOTAL_REV", $B$3, $L$2,$L$4, $L$3, $L$5, $L$6)=0,Q13,_xll.ciqfunctions.udf.CIQ($A13, "IQ_TOTAL_REV", $B$3, $L$2,$L$4, $L$3, $L$5, $L$6))</f>
        <v>#NAME?</v>
      </c>
      <c r="T13" s="68" t="e">
        <f ca="1">IF(_xll.ciqfunctions.udf.CIQ($A13, "IQ_REVENUE_EST",$B$4, $L$2, "CON", $L$3, $L$5, $L$6)=0,"n/a",_xll.ciqfunctions.udf.CIQ($A13, "IQ_REVENUE_EST",$B$4, $L$2, "CON", $L$3, $L$5, $L$6))</f>
        <v>#NAME?</v>
      </c>
      <c r="U13" s="68" t="e">
        <f ca="1">IF(_xll.ciqfunctions.udf.CIQ($A13, "IQ_REVENUE_EST",$B$5, $L$2, "CON", $L$3, $L$5, $L$6)=0,"n/a",_xll.ciqfunctions.udf.CIQ($A13, "IQ_REVENUE_EST",$B$5, $L$2, "CON", $L$3, $L$5, $L$6))</f>
        <v>#NAME?</v>
      </c>
      <c r="V13" s="68" t="e">
        <f ca="1">IF(_xll.ciqfunctions.udf.CIQ($A13, "IQ_REVENUE_EST",$B$6, $L$2, "CON", $L$3, $L$5, $L$6)=0,"n/a",_xll.ciqfunctions.udf.CIQ($A13, "IQ_REVENUE_EST",$B$6, $L$2, "CON", $L$3, $L$5, $L$6))</f>
        <v>#NAME?</v>
      </c>
      <c r="W13" s="68" t="e">
        <f ca="1">IF(_xll.ciqfunctions.udf.CIQ($A13, "IQ_REVENUE_EST", $B$7, $L$2, "CON", $L$3, $L$5, $L$6)=0,"n/a",_xll.ciqfunctions.udf.CIQ($A13, "IQ_REVENUE_EST",$B$7, $L$2, "CON", $L$3, $L$5, $L$6))</f>
        <v>#NAME?</v>
      </c>
      <c r="X13" s="68" t="e">
        <f ca="1">_xll.ciqfunctions.udf.CIQ($A13, "IQ_EBITDA", IQ_LTM-8, $L$2, $L$4, $L$3, $L$5, $L$6)</f>
        <v>#NAME?</v>
      </c>
      <c r="Y13" s="68" t="e">
        <f ca="1">_xll.ciqfunctions.udf.CIQ($A13, "IQ_EBITDA", IQ_LTM-4, $L$2,$L$4, $L$3, $L$5, $L$6)</f>
        <v>#NAME?</v>
      </c>
      <c r="Z13" s="68" t="e">
        <f ca="1">_xll.ciqfunctions.udf.CIQ($A13, "IQ_EBITDA", IQ_LTM, $L$2, $L$4, $L$3, $L$5, $L$6)</f>
        <v>#NAME?</v>
      </c>
      <c r="AA13" s="68" t="e">
        <f ca="1">_xll.ciqfunctions.udf.CIQ($A13, "IQ_EBITDA", $B$2, $L$2, $L$4, $L$3, $L$5, $L$6)</f>
        <v>#NAME?</v>
      </c>
      <c r="AB13" s="68" t="e">
        <f ca="1">IF(_xll.ciqfunctions.udf.CIQ($A13, "IQ_EBITDA", $B$3, $L$2,$L$4, $L$3, $L$5, $L$6)=0,Z13,_xll.ciqfunctions.udf.CIQ($A13, "IQ_EBITDA", $B$3, $L$2,$L$4, $L$3, $L$5, $L$6))</f>
        <v>#NAME?</v>
      </c>
      <c r="AC13" s="68" t="e">
        <f ca="1">IF(_xll.ciqfunctions.udf.CIQ($A13, "IQ_EBITDA_EST",$B$4, $L$2, "CON", $L$3, $L$5, $L$6)=0,"n/a",_xll.ciqfunctions.udf.CIQ($A13, "IQ_EBITDA_EST",$B$4, $L$2, "CON", $L$3, $L$5, $L$6))</f>
        <v>#NAME?</v>
      </c>
      <c r="AD13" s="68" t="e">
        <f ca="1">IF(_xll.ciqfunctions.udf.CIQ($A13, "IQ_EBITDA_EST",$B$5, $L$2, "CON", $L$3, $L$5, $L$6)=0,"n/a",_xll.ciqfunctions.udf.CIQ($A13, "IQ_EBITDA_EST",$B$5, $L$2, "CON", $L$3, $L$5, $L$6))</f>
        <v>#NAME?</v>
      </c>
      <c r="AE13" s="68" t="e">
        <f ca="1">IF(_xll.ciqfunctions.udf.CIQ($A13, "IQ_EBITDA_EST",$B$6, $L$2, "CON", $L$3, $L$5, $L$6)=0,"n/a",_xll.ciqfunctions.udf.CIQ($A13, "IQ_EBITDA_EST",$B$6, $L$2, "CON", $L$3, $L$5, $L$6))</f>
        <v>#NAME?</v>
      </c>
      <c r="AF13" s="69" t="str">
        <f ca="1">IF(ISERROR(_xll.ciqfunctions.udf.CIQ($A13, "IQ_GROSS_MARGIN", IQ_LTM, $L$2,$L$4, $L$3, $L$5, $L$6)/100), "n/a", _xll.ciqfunctions.udf.CIQ($A13,  "IQ_GROSS_MARGIN", IQ_LTM, $L$2, $L$4, $L$3, $L$5, $L$6)/100)</f>
        <v>n/a</v>
      </c>
      <c r="AG13" s="69" t="str">
        <f ca="1">IF(ISERROR(_xll.ciqfunctions.udf.CIQ($A13,"IQ_EBITDA_MARGIN", IQ_LTM, $L$2, $L$4, $L$3, $L$5, $L$6)/100), "n/a", _xll.ciqfunctions.udf.CIQ($A13, "IQ_EBITDA_MARGIN", IQ_LTM, $L$2, $L$4, $L$3, $L$5, $L$6)/100)</f>
        <v>n/a</v>
      </c>
      <c r="AH13" s="69" t="str">
        <f ca="1">IF(ISERROR(_xll.ciqfunctions.udf.CIQ($A13,"IQ_EBIT_MARGIN", IQ_LTM, $L$2, $L$4, $L$3, $L$5, $L$6)/100), "n/a", _xll.ciqfunctions.udf.CIQ($A13, "IQ_EBIT_MARGIN", IQ_LTM, $L$2, $L$4, $L$3, $L$5, $L$6)/100)</f>
        <v>n/a</v>
      </c>
      <c r="AI13" s="69" t="str">
        <f ca="1">IF(ISERROR(_xll.ciqfunctions.udf.CIQ($A13,"IQ_NI_MARGIN", IQ_LTM, $L$2, $L$4, $L$3, $L$5, $L$6)/100), "n/a", _xll.ciqfunctions.udf.CIQ($A13, "IQ_NI_MARGIN", IQ_LTM, $L$2, $L$4, $L$3, $L$5, $L$6)/100)</f>
        <v>n/a</v>
      </c>
      <c r="AJ13" s="68" t="str">
        <f ca="1">IF(ISERROR(_xll.ciqfunctions.udf.CIQ($A13, "IQ_NET_WORKING_CAP", IQ_LTM-8, $L$2, $L$4, $L$3, $L$5, $L$6)), "n/a", _xll.ciqfunctions.udf.CIQ($A13, "IQ_NET_WORKING_CAP", IQ_LTM-8, $L$2, $L$4, $L$3, $L$5, $L$6))</f>
        <v>n/a</v>
      </c>
      <c r="AK13" s="68" t="str">
        <f ca="1">IF(ISERROR(_xll.ciqfunctions.udf.CIQ($A13, "IQ_NET_WORKING_CAP", IQ_LTM-4, $L$2, $L$4, $L$3, $L$5, $L$6)), "n/a", _xll.ciqfunctions.udf.CIQ($A13, "IQ_NET_WORKING_CAP", IQ_LTM-4, $L$2, $L$4, $L$3, $L$5, $L$6))</f>
        <v>n/a</v>
      </c>
      <c r="AL13" s="68" t="str">
        <f ca="1">IF(ISERROR(_xll.ciqfunctions.udf.CIQ($A13, "IQ_NET_WORKING_CAP", IQ_LTM, $L$2,$L$4, $L$3, $L$5, $L$6)), "n/a", _xll.ciqfunctions.udf.CIQ($A13, "IQ_NET_WORKING_CAP", IQ_LTM, $L$2, $L$4, $L$3, $L$5, $L$6))</f>
        <v>n/a</v>
      </c>
      <c r="AM13" s="68" t="str">
        <f ca="1">IF(ISERROR(_xll.ciqfunctions.udf.CIQ($A13, "IQ_Capex", IQ_LTM-8, $L$2,$L$4, $L$3, $L$5, $L$6)), "n/a", _xll.ciqfunctions.udf.CIQ($A13, "IQ_Capex", IQ_LTM-8, $L$2, $L$4, $L$3, $L$5, $L$6))</f>
        <v>n/a</v>
      </c>
      <c r="AN13" s="68" t="str">
        <f ca="1">IF(ISERROR(_xll.ciqfunctions.udf.CIQ($A13, "IQ_Capex", IQ_LTM-4, $L$2,$L$4, $L$3, $L$5, $L$6)), "n/a", _xll.ciqfunctions.udf.CIQ($A13, "IQ_Capex", IQ_LTM-4, $L$2,$L$4, $L$3, $L$5, $L$6))</f>
        <v>n/a</v>
      </c>
      <c r="AO13" s="68" t="str">
        <f ca="1">IF(ISERROR(_xll.ciqfunctions.udf.CIQ($A13, "IQ_Capex", IQ_LTM, $L$2, $L$4, $L$3, $L$5, $L$6)), "n/a", _xll.ciqfunctions.udf.CIQ($A13, "IQ_Capex", IQ_LTM, $L$2, $L$4, $L$3, $L$5, $L$6))</f>
        <v>n/a</v>
      </c>
      <c r="AP13" s="70" t="e">
        <f ca="1">_xll.ciqfunctions.udf.CIQ(A13, "IQ_BUSINESS_DESCRIPTION")</f>
        <v>#NAME?</v>
      </c>
      <c r="AQ13" s="71" t="e">
        <f ca="1">_xll.ciqfunctions.udf.CIQ($A13, "IQ_BETA_1YR", $B$1)</f>
        <v>#NAME?</v>
      </c>
      <c r="AR13" s="71" t="e">
        <f ca="1">_xll.ciqfunctions.udf.CIQ($A13, "IQ_BETA_2YR", $B$1)</f>
        <v>#NAME?</v>
      </c>
      <c r="AS13" s="71" t="e">
        <f ca="1">_xll.ciqfunctions.udf.CIQ($A13, "IQ_BETA_5YR", $B$1)</f>
        <v>#NAME?</v>
      </c>
      <c r="AT13" s="69" t="e">
        <f ca="1">_xll.ciqfunctions.udf.CIQ($A13, "IQ_DIVIDEND_YIELD", $B$1)/100</f>
        <v>#NAME?</v>
      </c>
      <c r="AU13" s="68" t="e">
        <f ca="1">_xll.ciqfunctions.udf.CIQ($A13, "IQ_EARNING_CO", IQ_LTM-8, $L$2, $L$4, $L$3, $L$5, $L$6)</f>
        <v>#NAME?</v>
      </c>
      <c r="AV13" s="68" t="e">
        <f ca="1">_xll.ciqfunctions.udf.CIQ($A13, "IQ_EARNING_CO", IQ_LTM-4, $L$2, $L$4, $L$3, $L$5, $L$6)</f>
        <v>#NAME?</v>
      </c>
      <c r="AW13" s="68" t="e">
        <f ca="1">_xll.ciqfunctions.udf.CIQ($A13, "IQ_EARNING_CO", IQ_LTM, $L$2, $L$4, $L$3, $L$5, $L$6)</f>
        <v>#NAME?</v>
      </c>
      <c r="AX13" s="68" t="e">
        <f ca="1">_xll.ciqfunctions.udf.CIQ($A13, "IQ_EARNING_CO", $B$2, $L$2, $L$4, $L$3, $L$5, $L$6)</f>
        <v>#NAME?</v>
      </c>
      <c r="AY13" s="68" t="e">
        <f ca="1">IF(_xll.ciqfunctions.udf.CIQ($A13, "IQ_EARNING_CO", $B$3, $L$2,$L$4, $L$3, $L$5, $L$6)=0,AW13,_xll.ciqfunctions.udf.CIQ($A13, "IQ_EARNING_CO", $B$3, $L$2,$L$4, $L$3, $L$5, $L$6))</f>
        <v>#NAME?</v>
      </c>
      <c r="AZ13" s="68" t="e">
        <f ca="1">_xll.ciqfunctions.udf.CIQ($A13, "IQ_TOTAL_EQUITY", IQ_LTM-8, $L$2, $L$4, $L$3, $L$5, $L$6)</f>
        <v>#NAME?</v>
      </c>
      <c r="BA13" s="68" t="e">
        <f ca="1">_xll.ciqfunctions.udf.CIQ($A13, "IQ_TOTAL_EQUITY", IQ_LTM-4, $L$2, $L$4, $L$3, $L$5, $L$6)</f>
        <v>#NAME?</v>
      </c>
      <c r="BB13" s="68" t="e">
        <f ca="1">_xll.ciqfunctions.udf.CIQ($A13, "IQ_TOTAL_EQUITY", IQ_LTM, $L$2, $L$4, $L$3, $L$5, $L$6)</f>
        <v>#NAME?</v>
      </c>
      <c r="BC13" s="68" t="e">
        <f ca="1">_xll.ciqfunctions.udf.CIQ($A13, "IQ_TOTAL_EQUITY", $B$2, $L$2, $L$4, $L$3, $L$5, $L$6)</f>
        <v>#NAME?</v>
      </c>
      <c r="BD13" s="68" t="e">
        <f ca="1">IF(_xll.ciqfunctions.udf.CIQ($A13, "IQ_TOTAL_EQUITY", $B$3, $L$2,$L$4, $L$3, $L$5, $L$6)=0,BB13,_xll.ciqfunctions.udf.CIQ($A13, "IQ_TOTAL_EQUITY", $B$3, $L$2,$L$4, $L$3, $L$5, $L$6))</f>
        <v>#NAME?</v>
      </c>
      <c r="BE13" s="68" t="e">
        <f ca="1">_xll.ciqfunctions.udf.CIQ(A13, "IQ_LASTSALEPRICE", $B$8)</f>
        <v>#NAME?</v>
      </c>
      <c r="BF13" s="68" t="e">
        <f ca="1">_xll.ciqfunctions.udf.CIQ($A13, "IQ_MARKETCAP", $B$8, $L$5, $L$6)</f>
        <v>#NAME?</v>
      </c>
      <c r="BG13" s="68" t="e">
        <f ca="1">_xll.ciqfunctions.udf.CIQ($A13, "IQ_TOTAL_DEBT", IQ_LTM, $B$8,$L$4, $L$3, $L$5, $L$6)</f>
        <v>#NAME?</v>
      </c>
      <c r="BH13" s="44" t="e">
        <f ca="1">_xll.ciqfunctions.udf.CIQ($A13,"IQ_PREF_EQUITY",IQ_LTM,$B$8,$L$4,$L$3,$L$5,$L$6)</f>
        <v>#NAME?</v>
      </c>
      <c r="BI13" s="44" t="e">
        <f ca="1">_xll.ciqfunctions.udf.CIQ($A13, "IQ_MINORITY_INTEREST_TOTAL", IQ_LTM,$B$8,$L$4,$L$3,$L$5,$L$6)</f>
        <v>#NAME?</v>
      </c>
      <c r="BJ13" s="68" t="e">
        <f ca="1">_xll.ciqfunctions.udf.CIQ($A13, "IQ_CASH_ST_INVEST", IQ_LTM, $B$8, $L$4, $L$3, $L$5, $L$6)</f>
        <v>#NAME?</v>
      </c>
      <c r="BK13" s="44" t="e">
        <f ca="1">_xll.ciqfunctions.udf.CIQ($A13, "IQ_EFFECT_TAX_RATE")</f>
        <v>#NAME?</v>
      </c>
      <c r="BL13" s="44" t="e">
        <f ca="1">IF(_xll.ciqfunctions.udf.CIQ($A13, "IQ_TOTAL_REV_2YR_ANN_CAGR", IQ_LTM, $B$1,$L$4, $L$3, $L$5, $L$6)="NM","n/a",(_xll.ciqfunctions.udf.CIQ($A13, "IQ_TOTAL_REV_2YR_ANN_CAGR", IQ_LTM, $B$1,$L$4, $L$3, $L$5, $L$6)/100))</f>
        <v>#NAME?</v>
      </c>
      <c r="BM13" s="44" t="e">
        <f ca="1">IF(_xll.ciqfunctions.udf.CIQ($A13, "IQ_TOTAL_REV_3YR_ANN_CAGR", IQ_LTM, $B$1,$L$4, $L$3, $L$5, $L$6)="NM","n/a",(_xll.ciqfunctions.udf.CIQ($A13, "IQ_TOTAL_REV_3YR_ANN_CAGR", IQ_LTM, $B$1,$L$4, $L$3, $L$5, $L$6)/100))</f>
        <v>#NAME?</v>
      </c>
      <c r="BN13" s="44" t="e">
        <f ca="1">IF(_xll.ciqfunctions.udf.CIQ($A13, "IQ_TOTAL_REV_5YR_ANN_CAGR", IQ_LTM, $B$1,$L$4, $L$3, $L$5, $L$6)="NM","n/a",(_xll.ciqfunctions.udf.CIQ($A13, "IQ_TOTAL_REV_5YR_ANN_CAGR", IQ_LTM, $B$1,$L$4, $L$3, $L$5, $L$6)/100))</f>
        <v>#NAME?</v>
      </c>
      <c r="BO13" s="44" t="e">
        <f ca="1">IF(_xll.ciqfunctions.udf.CIQ($A13,"IQ_EBITDA_2YR_ANN_CAGR", IQ_LTM,$B$1,$L$4, $L$3, $L$5, $L$6)="NM","n/a",(_xll.ciqfunctions.udf.CIQ($A13,"IQ_EBITDA_2YR_ANN_CAGR", IQ_LTM,$B$1,$L$4, $L$3, $L$5, $L$6)/100))</f>
        <v>#NAME?</v>
      </c>
      <c r="BP13" s="44" t="e">
        <f ca="1">IF(_xll.ciqfunctions.udf.CIQ($A13,"IQ_EBITDA_3YR_ANN_CAGR", IQ_LTM,$B$1,$L$4, $L$3, $L$5, $L$6)="NM","n/a",(_xll.ciqfunctions.udf.CIQ($A13,"IQ_EBITDA_3YR_ANN_CAGR", IQ_LTM,$B$1,$L$4, $L$3, $L$5, $L$6)/100))</f>
        <v>#NAME?</v>
      </c>
      <c r="BQ13" s="44" t="e">
        <f ca="1">IF(_xll.ciqfunctions.udf.CIQ($A13,"IQ_EBITDA_5YR_ANN_CAGR", IQ_LTM,$B$1,$L$4, $L$3, $L$5, $L$6)="NM","n/a",(_xll.ciqfunctions.udf.CIQ($A13,"IQ_EBITDA_5YR_ANN_CAGR", IQ_LTM,$B$1,$L$4, $L$3, $L$5, $L$6)/100))</f>
        <v>#NAME?</v>
      </c>
      <c r="BR13" s="48" t="str">
        <f ca="1">IFERROR((_xll.ciqfunctions.udf.CIQ($A13, "IQ_DA_CF", IQ_LTM, $B$1, $L$4, $L$3, $L$5, $L$6)/Q13),"NM")</f>
        <v>NM</v>
      </c>
      <c r="BS13" s="72">
        <f>'Capital IQ Sheet-GPC'!BS13</f>
        <v>0.83499999999999996</v>
      </c>
      <c r="BT13" s="72">
        <f>'Capital IQ Sheet-GPC'!BT13</f>
        <v>0.749</v>
      </c>
      <c r="BU13" s="72">
        <f>'Capital IQ Sheet-GPC'!BU13</f>
        <v>0.66700000000000004</v>
      </c>
      <c r="BV13" s="72">
        <f>'Capital IQ Sheet-GPC'!BV13</f>
        <v>0.64100000000000001</v>
      </c>
      <c r="BW13" s="72">
        <f>'Capital IQ Sheet-GPC'!BW13</f>
        <v>0.61199999999999999</v>
      </c>
      <c r="BX13" s="72">
        <f>'Capital IQ Sheet-GPC'!BX13</f>
        <v>0.60599999999999998</v>
      </c>
      <c r="BY13" s="72">
        <f>'Capital IQ Sheet-GPC'!BY13</f>
        <v>0.58699999999999997</v>
      </c>
      <c r="BZ13" s="72">
        <f>'Capital IQ Sheet-GPC'!BZ13</f>
        <v>0.57799999999999996</v>
      </c>
      <c r="CB13" s="44">
        <v>2</v>
      </c>
      <c r="CC13" s="112" t="s">
        <v>269</v>
      </c>
      <c r="CD13" s="112" t="s">
        <v>268</v>
      </c>
      <c r="CE13" s="46">
        <f>$B$1-365*CB13</f>
        <v>42766</v>
      </c>
    </row>
    <row r="14" spans="1:86" s="44" customFormat="1" ht="12.75">
      <c r="A14" s="45" t="e">
        <f ca="1">_xll.ciqfunctions.udf.CIQ($B14,"IQ_COMPANY_TICKER")</f>
        <v>#NAME?</v>
      </c>
      <c r="B14" s="67" t="str">
        <f>'Capital IQ Sheet-GPC'!B14</f>
        <v>IQ39268712</v>
      </c>
      <c r="C14" s="45" t="e">
        <f ca="1">_xll.ciqfunctions.udf.CIQ($A14,"IQ_COMPANY_NAME")</f>
        <v>#NAME?</v>
      </c>
      <c r="D14" s="45" t="e">
        <f ca="1">_xll.ciqfunctions.udf.CIQ($A14, "IQ_EXCHANGE")</f>
        <v>#NAME?</v>
      </c>
      <c r="E14" s="66" t="e">
        <f ca="1">_xll.ciqfunctions.udf.CIQ($A14, "IQ_PERIODDATE_IS", IQ_FY)</f>
        <v>#NAME?</v>
      </c>
      <c r="F14" s="66" t="e">
        <f ca="1">_xll.ciqfunctions.udf.CIQ(A14, "IQ_PERIODDATE_IS", IQ_LTM, $B$1,$L$4,$L$3)</f>
        <v>#NAME?</v>
      </c>
      <c r="G14" s="66" t="e">
        <f ca="1">_xll.ciqfunctions.udf.CIQ($A14, "IQ_FIRSTPRICINGDATE")</f>
        <v>#NAME?</v>
      </c>
      <c r="H14" s="68" t="e">
        <f ca="1">_xll.ciqfunctions.udf.CIQ($A14, "IQ_TEV", $L$2, $L$5, $L$6)</f>
        <v>#NAME?</v>
      </c>
      <c r="I14" s="68" t="e">
        <f ca="1">_xll.ciqfunctions.udf.CIQ(A14, "IQ_LASTSALEPRICE", $B$1,$L$5)</f>
        <v>#NAME?</v>
      </c>
      <c r="J14" s="68" t="e">
        <f ca="1">_xll.ciqfunctions.udf.CIQ($A14, "IQ_MARKETCAP", $L$2, $L$5, $L$6)</f>
        <v>#NAME?</v>
      </c>
      <c r="K14" s="68" t="e">
        <f ca="1">_xll.ciqfunctions.udf.CIQ($A14, "IQ_TOTAL_DEBT", IQ_LTM, $L$2,$L$4, $L$3, $L$5, $L$6)</f>
        <v>#NAME?</v>
      </c>
      <c r="L14" s="68" t="e">
        <f ca="1">_xll.ciqfunctions.udf.CIQ($A14, "IQ_PREF_EQUITY", IQ_LTM, $L$2, $L$4, $L$3, $L$5, $L$6)</f>
        <v>#NAME?</v>
      </c>
      <c r="M14" s="68" t="e">
        <f ca="1">_xll.ciqfunctions.udf.CIQ($A14, "IQ_MINORITY_INTEREST_TOTAL", IQ_LTM, $L$2, $L$4, $L$3, $L$5, $L$6)</f>
        <v>#NAME?</v>
      </c>
      <c r="N14" s="68" t="e">
        <f ca="1">_xll.ciqfunctions.udf.CIQ($A14, "IQ_CASH_ST_INVEST", IQ_LTM, $L$2, $L$4, $L$3, $L$5, $L$6)</f>
        <v>#NAME?</v>
      </c>
      <c r="O14" s="68" t="e">
        <f ca="1">_xll.ciqfunctions.udf.CIQ($A14, "IQ_TOTAL_REV", IQ_LTM-8, $L$2, $L$4, $L$3, $L$5, $L$6)</f>
        <v>#NAME?</v>
      </c>
      <c r="P14" s="68" t="e">
        <f ca="1">_xll.ciqfunctions.udf.CIQ($A14, "IQ_TOTAL_REV", IQ_LTM - 4, $L$2, $L$4, $L$3, $L$5,$L$6)</f>
        <v>#NAME?</v>
      </c>
      <c r="Q14" s="68" t="e">
        <f ca="1">_xll.ciqfunctions.udf.CIQ($A14, "IQ_TOTAL_REV", IQ_LTM, $L$2, $L$4, $L$3, $L$5, $L$6)</f>
        <v>#NAME?</v>
      </c>
      <c r="R14" s="68" t="e">
        <f ca="1">_xll.ciqfunctions.udf.CIQ($A14, "IQ_TOTAL_REV", $B$2, $L$2, $L$4, $L$3, $L$5, $L$6)</f>
        <v>#NAME?</v>
      </c>
      <c r="S14" s="68" t="e">
        <f ca="1">IF(_xll.ciqfunctions.udf.CIQ($A14, "IQ_TOTAL_REV", $B$3, $L$2,$L$4, $L$3, $L$5, $L$6)=0,Q14,_xll.ciqfunctions.udf.CIQ($A14, "IQ_TOTAL_REV", $B$3, $L$2,$L$4, $L$3, $L$5, $L$6))</f>
        <v>#NAME?</v>
      </c>
      <c r="T14" s="68" t="e">
        <f ca="1">IF(_xll.ciqfunctions.udf.CIQ($A14, "IQ_REVENUE_EST",$B$4, $L$2, "CON", $L$3, $L$5, $L$6)=0,"n/a",_xll.ciqfunctions.udf.CIQ($A14, "IQ_REVENUE_EST",$B$4, $L$2, "CON", $L$3, $L$5, $L$6))</f>
        <v>#NAME?</v>
      </c>
      <c r="U14" s="68" t="e">
        <f ca="1">IF(_xll.ciqfunctions.udf.CIQ($A14, "IQ_REVENUE_EST",$B$5, $L$2, "CON", $L$3, $L$5, $L$6)=0,"n/a",_xll.ciqfunctions.udf.CIQ($A14, "IQ_REVENUE_EST",$B$5, $L$2, "CON", $L$3, $L$5, $L$6))</f>
        <v>#NAME?</v>
      </c>
      <c r="V14" s="68" t="e">
        <f ca="1">IF(_xll.ciqfunctions.udf.CIQ($A14, "IQ_REVENUE_EST",$B$6, $L$2, "CON", $L$3, $L$5, $L$6)=0,"n/a",_xll.ciqfunctions.udf.CIQ($A14, "IQ_REVENUE_EST",$B$6, $L$2, "CON", $L$3, $L$5, $L$6))</f>
        <v>#NAME?</v>
      </c>
      <c r="W14" s="68" t="e">
        <f ca="1">IF(_xll.ciqfunctions.udf.CIQ($A14, "IQ_REVENUE_EST", $B$7, $L$2, "CON", $L$3, $L$5, $L$6)=0,"n/a",_xll.ciqfunctions.udf.CIQ($A14, "IQ_REVENUE_EST",$B$7, $L$2, "CON", $L$3, $L$5, $L$6))</f>
        <v>#NAME?</v>
      </c>
      <c r="X14" s="68" t="e">
        <f ca="1">_xll.ciqfunctions.udf.CIQ($A14, "IQ_EBITDA", IQ_LTM-8, $L$2, $L$4, $L$3, $L$5, $L$6)</f>
        <v>#NAME?</v>
      </c>
      <c r="Y14" s="68" t="e">
        <f ca="1">_xll.ciqfunctions.udf.CIQ($A14, "IQ_EBITDA", IQ_LTM-4, $L$2,$L$4, $L$3, $L$5, $L$6)</f>
        <v>#NAME?</v>
      </c>
      <c r="Z14" s="68" t="e">
        <f ca="1">_xll.ciqfunctions.udf.CIQ($A14, "IQ_EBITDA", IQ_LTM, $L$2, $L$4, $L$3, $L$5, $L$6)</f>
        <v>#NAME?</v>
      </c>
      <c r="AA14" s="68" t="e">
        <f ca="1">_xll.ciqfunctions.udf.CIQ($A14, "IQ_EBITDA", $B$2, $L$2, $L$4, $L$3, $L$5, $L$6)</f>
        <v>#NAME?</v>
      </c>
      <c r="AB14" s="68" t="e">
        <f ca="1">IF(_xll.ciqfunctions.udf.CIQ($A14, "IQ_EBITDA", $B$3, $L$2,$L$4, $L$3, $L$5, $L$6)=0,Z14,_xll.ciqfunctions.udf.CIQ($A14, "IQ_EBITDA", $B$3, $L$2,$L$4, $L$3, $L$5, $L$6))</f>
        <v>#NAME?</v>
      </c>
      <c r="AC14" s="68" t="e">
        <f ca="1">IF(_xll.ciqfunctions.udf.CIQ($A14, "IQ_EBITDA_EST",$B$4, $L$2, "CON", $L$3, $L$5, $L$6)=0,"n/a",_xll.ciqfunctions.udf.CIQ($A14, "IQ_EBITDA_EST",$B$4, $L$2, "CON", $L$3, $L$5, $L$6))</f>
        <v>#NAME?</v>
      </c>
      <c r="AD14" s="68" t="e">
        <f ca="1">IF(_xll.ciqfunctions.udf.CIQ($A14, "IQ_EBITDA_EST",$B$5, $L$2, "CON", $L$3, $L$5, $L$6)=0,"n/a",_xll.ciqfunctions.udf.CIQ($A14, "IQ_EBITDA_EST",$B$5, $L$2, "CON", $L$3, $L$5, $L$6))</f>
        <v>#NAME?</v>
      </c>
      <c r="AE14" s="68" t="e">
        <f ca="1">IF(_xll.ciqfunctions.udf.CIQ($A14, "IQ_EBITDA_EST",$B$6, $L$2, "CON", $L$3, $L$5, $L$6)=0,"n/a",_xll.ciqfunctions.udf.CIQ($A14, "IQ_EBITDA_EST",$B$6, $L$2, "CON", $L$3, $L$5, $L$6))</f>
        <v>#NAME?</v>
      </c>
      <c r="AF14" s="69" t="str">
        <f ca="1">IF(ISERROR(_xll.ciqfunctions.udf.CIQ($A14, "IQ_GROSS_MARGIN", IQ_LTM, $L$2,$L$4, $L$3, $L$5, $L$6)/100), "n/a", _xll.ciqfunctions.udf.CIQ($A14,  "IQ_GROSS_MARGIN", IQ_LTM, $L$2, $L$4, $L$3, $L$5, $L$6)/100)</f>
        <v>n/a</v>
      </c>
      <c r="AG14" s="69" t="str">
        <f ca="1">IF(ISERROR(_xll.ciqfunctions.udf.CIQ($A14,"IQ_EBITDA_MARGIN", IQ_LTM, $L$2, $L$4, $L$3, $L$5, $L$6)/100), "n/a", _xll.ciqfunctions.udf.CIQ($A14, "IQ_EBITDA_MARGIN", IQ_LTM, $L$2, $L$4, $L$3, $L$5, $L$6)/100)</f>
        <v>n/a</v>
      </c>
      <c r="AH14" s="69" t="str">
        <f ca="1">IF(ISERROR(_xll.ciqfunctions.udf.CIQ($A14,"IQ_EBIT_MARGIN", IQ_LTM, $L$2, $L$4, $L$3, $L$5, $L$6)/100), "n/a", _xll.ciqfunctions.udf.CIQ($A14, "IQ_EBIT_MARGIN", IQ_LTM, $L$2, $L$4, $L$3, $L$5, $L$6)/100)</f>
        <v>n/a</v>
      </c>
      <c r="AI14" s="69" t="str">
        <f ca="1">IF(ISERROR(_xll.ciqfunctions.udf.CIQ($A14,"IQ_NI_MARGIN", IQ_LTM, $L$2, $L$4, $L$3, $L$5, $L$6)/100), "n/a", _xll.ciqfunctions.udf.CIQ($A14, "IQ_NI_MARGIN", IQ_LTM, $L$2, $L$4, $L$3, $L$5, $L$6)/100)</f>
        <v>n/a</v>
      </c>
      <c r="AJ14" s="68" t="str">
        <f ca="1">IF(ISERROR(_xll.ciqfunctions.udf.CIQ($A14, "IQ_NET_WORKING_CAP", IQ_LTM-8, $L$2, $L$4, $L$3, $L$5, $L$6)), "n/a", _xll.ciqfunctions.udf.CIQ($A14, "IQ_NET_WORKING_CAP", IQ_LTM-8, $L$2, $L$4, $L$3, $L$5, $L$6))</f>
        <v>n/a</v>
      </c>
      <c r="AK14" s="68" t="str">
        <f ca="1">IF(ISERROR(_xll.ciqfunctions.udf.CIQ($A14, "IQ_NET_WORKING_CAP", IQ_LTM-4, $L$2, $L$4, $L$3, $L$5, $L$6)), "n/a", _xll.ciqfunctions.udf.CIQ($A14, "IQ_NET_WORKING_CAP", IQ_LTM-4, $L$2, $L$4, $L$3, $L$5, $L$6))</f>
        <v>n/a</v>
      </c>
      <c r="AL14" s="68" t="str">
        <f ca="1">IF(ISERROR(_xll.ciqfunctions.udf.CIQ($A14, "IQ_NET_WORKING_CAP", IQ_LTM, $L$2,$L$4, $L$3, $L$5, $L$6)), "n/a", _xll.ciqfunctions.udf.CIQ($A14, "IQ_NET_WORKING_CAP", IQ_LTM, $L$2, $L$4, $L$3, $L$5, $L$6))</f>
        <v>n/a</v>
      </c>
      <c r="AM14" s="68" t="str">
        <f ca="1">IF(ISERROR(_xll.ciqfunctions.udf.CIQ($A14, "IQ_Capex", IQ_LTM-8, $L$2,$L$4, $L$3, $L$5, $L$6)), "n/a", _xll.ciqfunctions.udf.CIQ($A14, "IQ_Capex", IQ_LTM-8, $L$2, $L$4, $L$3, $L$5, $L$6))</f>
        <v>n/a</v>
      </c>
      <c r="AN14" s="68" t="str">
        <f ca="1">IF(ISERROR(_xll.ciqfunctions.udf.CIQ($A14, "IQ_Capex", IQ_LTM-4, $L$2,$L$4, $L$3, $L$5, $L$6)), "n/a", _xll.ciqfunctions.udf.CIQ($A14, "IQ_Capex", IQ_LTM-4, $L$2,$L$4, $L$3, $L$5, $L$6))</f>
        <v>n/a</v>
      </c>
      <c r="AO14" s="68" t="str">
        <f ca="1">IF(ISERROR(_xll.ciqfunctions.udf.CIQ($A14, "IQ_Capex", IQ_LTM, $L$2, $L$4, $L$3, $L$5, $L$6)), "n/a", _xll.ciqfunctions.udf.CIQ($A14, "IQ_Capex", IQ_LTM, $L$2, $L$4, $L$3, $L$5, $L$6))</f>
        <v>n/a</v>
      </c>
      <c r="AP14" s="70" t="e">
        <f ca="1">_xll.ciqfunctions.udf.CIQ(A14, "IQ_BUSINESS_DESCRIPTION")</f>
        <v>#NAME?</v>
      </c>
      <c r="AQ14" s="71" t="e">
        <f ca="1">_xll.ciqfunctions.udf.CIQ($A14, "IQ_BETA_1YR", $B$1)</f>
        <v>#NAME?</v>
      </c>
      <c r="AR14" s="71" t="e">
        <f ca="1">_xll.ciqfunctions.udf.CIQ($A14, "IQ_BETA_2YR", $B$1)</f>
        <v>#NAME?</v>
      </c>
      <c r="AS14" s="71" t="e">
        <f ca="1">_xll.ciqfunctions.udf.CIQ($A14, "IQ_BETA_5YR", $B$1)</f>
        <v>#NAME?</v>
      </c>
      <c r="AT14" s="69" t="e">
        <f ca="1">_xll.ciqfunctions.udf.CIQ($A14, "IQ_DIVIDEND_YIELD", $B$1)/100</f>
        <v>#NAME?</v>
      </c>
      <c r="AU14" s="68" t="e">
        <f ca="1">_xll.ciqfunctions.udf.CIQ($A14, "IQ_EARNING_CO", IQ_LTM-8, $L$2, $L$4, $L$3, $L$5, $L$6)</f>
        <v>#NAME?</v>
      </c>
      <c r="AV14" s="68" t="e">
        <f ca="1">_xll.ciqfunctions.udf.CIQ($A14, "IQ_EARNING_CO", IQ_LTM-4, $L$2, $L$4, $L$3, $L$5, $L$6)</f>
        <v>#NAME?</v>
      </c>
      <c r="AW14" s="68" t="e">
        <f ca="1">_xll.ciqfunctions.udf.CIQ($A14, "IQ_EARNING_CO", IQ_LTM, $L$2, $L$4, $L$3, $L$5, $L$6)</f>
        <v>#NAME?</v>
      </c>
      <c r="AX14" s="68" t="e">
        <f ca="1">_xll.ciqfunctions.udf.CIQ($A14, "IQ_EARNING_CO", $B$2, $L$2, $L$4, $L$3, $L$5, $L$6)</f>
        <v>#NAME?</v>
      </c>
      <c r="AY14" s="68" t="e">
        <f ca="1">IF(_xll.ciqfunctions.udf.CIQ($A14, "IQ_EARNING_CO", $B$3, $L$2,$L$4, $L$3, $L$5, $L$6)=0,AW14,_xll.ciqfunctions.udf.CIQ($A14, "IQ_EARNING_CO", $B$3, $L$2,$L$4, $L$3, $L$5, $L$6))</f>
        <v>#NAME?</v>
      </c>
      <c r="AZ14" s="68" t="e">
        <f ca="1">_xll.ciqfunctions.udf.CIQ($A14, "IQ_TOTAL_EQUITY", IQ_LTM-8, $L$2, $L$4, $L$3, $L$5, $L$6)</f>
        <v>#NAME?</v>
      </c>
      <c r="BA14" s="68" t="e">
        <f ca="1">_xll.ciqfunctions.udf.CIQ($A14, "IQ_TOTAL_EQUITY", IQ_LTM-4, $L$2, $L$4, $L$3, $L$5, $L$6)</f>
        <v>#NAME?</v>
      </c>
      <c r="BB14" s="68" t="e">
        <f ca="1">_xll.ciqfunctions.udf.CIQ($A14, "IQ_TOTAL_EQUITY", IQ_LTM, $L$2, $L$4, $L$3, $L$5, $L$6)</f>
        <v>#NAME?</v>
      </c>
      <c r="BC14" s="68" t="e">
        <f ca="1">_xll.ciqfunctions.udf.CIQ($A14, "IQ_TOTAL_EQUITY", $B$2, $L$2, $L$4, $L$3, $L$5, $L$6)</f>
        <v>#NAME?</v>
      </c>
      <c r="BD14" s="68" t="e">
        <f ca="1">IF(_xll.ciqfunctions.udf.CIQ($A14, "IQ_TOTAL_EQUITY", $B$3, $L$2,$L$4, $L$3, $L$5, $L$6)=0,BB14,_xll.ciqfunctions.udf.CIQ($A14, "IQ_TOTAL_EQUITY", $B$3, $L$2,$L$4, $L$3, $L$5, $L$6))</f>
        <v>#NAME?</v>
      </c>
      <c r="BE14" s="68" t="e">
        <f ca="1">_xll.ciqfunctions.udf.CIQ(A14, "IQ_LASTSALEPRICE", $B$8)</f>
        <v>#NAME?</v>
      </c>
      <c r="BF14" s="68" t="e">
        <f ca="1">_xll.ciqfunctions.udf.CIQ($A14, "IQ_MARKETCAP", $B$8, $L$5, $L$6)</f>
        <v>#NAME?</v>
      </c>
      <c r="BG14" s="68" t="e">
        <f ca="1">_xll.ciqfunctions.udf.CIQ($A14, "IQ_TOTAL_DEBT", IQ_LTM, $B$8,$L$4, $L$3, $L$5, $L$6)</f>
        <v>#NAME?</v>
      </c>
      <c r="BH14" s="44" t="e">
        <f ca="1">_xll.ciqfunctions.udf.CIQ($A14,"IQ_PREF_EQUITY",IQ_LTM,$B$8,$L$4,$L$3,$L$5,$L$6)</f>
        <v>#NAME?</v>
      </c>
      <c r="BI14" s="44" t="e">
        <f ca="1">_xll.ciqfunctions.udf.CIQ($A14, "IQ_MINORITY_INTEREST_TOTAL", IQ_LTM,$B$8,$L$4,$L$3,$L$5,$L$6)</f>
        <v>#NAME?</v>
      </c>
      <c r="BJ14" s="68" t="e">
        <f ca="1">_xll.ciqfunctions.udf.CIQ($A14, "IQ_CASH_ST_INVEST", IQ_LTM, $B$8, $L$4, $L$3, $L$5, $L$6)</f>
        <v>#NAME?</v>
      </c>
      <c r="BK14" s="44" t="e">
        <f ca="1">_xll.ciqfunctions.udf.CIQ($A14, "IQ_EFFECT_TAX_RATE")</f>
        <v>#NAME?</v>
      </c>
      <c r="BL14" s="44" t="e">
        <f ca="1">IF(_xll.ciqfunctions.udf.CIQ($A14, "IQ_TOTAL_REV_2YR_ANN_CAGR", IQ_LTM, $B$1,$L$4, $L$3, $L$5, $L$6)="NM","n/a",(_xll.ciqfunctions.udf.CIQ($A14, "IQ_TOTAL_REV_2YR_ANN_CAGR", IQ_LTM, $B$1,$L$4, $L$3, $L$5, $L$6)/100))</f>
        <v>#NAME?</v>
      </c>
      <c r="BM14" s="44" t="e">
        <f ca="1">IF(_xll.ciqfunctions.udf.CIQ($A14, "IQ_TOTAL_REV_3YR_ANN_CAGR", IQ_LTM, $B$1,$L$4, $L$3, $L$5, $L$6)="NM","n/a",(_xll.ciqfunctions.udf.CIQ($A14, "IQ_TOTAL_REV_3YR_ANN_CAGR", IQ_LTM, $B$1,$L$4, $L$3, $L$5, $L$6)/100))</f>
        <v>#NAME?</v>
      </c>
      <c r="BN14" s="44" t="e">
        <f ca="1">IF(_xll.ciqfunctions.udf.CIQ($A14, "IQ_TOTAL_REV_5YR_ANN_CAGR", IQ_LTM, $B$1,$L$4, $L$3, $L$5, $L$6)="NM","n/a",(_xll.ciqfunctions.udf.CIQ($A14, "IQ_TOTAL_REV_5YR_ANN_CAGR", IQ_LTM, $B$1,$L$4, $L$3, $L$5, $L$6)/100))</f>
        <v>#NAME?</v>
      </c>
      <c r="BO14" s="44" t="e">
        <f ca="1">IF(_xll.ciqfunctions.udf.CIQ($A14,"IQ_EBITDA_2YR_ANN_CAGR", IQ_LTM,$B$1,$L$4, $L$3, $L$5, $L$6)="NM","n/a",(_xll.ciqfunctions.udf.CIQ($A14,"IQ_EBITDA_2YR_ANN_CAGR", IQ_LTM,$B$1,$L$4, $L$3, $L$5, $L$6)/100))</f>
        <v>#NAME?</v>
      </c>
      <c r="BP14" s="44" t="e">
        <f ca="1">IF(_xll.ciqfunctions.udf.CIQ($A14,"IQ_EBITDA_3YR_ANN_CAGR", IQ_LTM,$B$1,$L$4, $L$3, $L$5, $L$6)="NM","n/a",(_xll.ciqfunctions.udf.CIQ($A14,"IQ_EBITDA_3YR_ANN_CAGR", IQ_LTM,$B$1,$L$4, $L$3, $L$5, $L$6)/100))</f>
        <v>#NAME?</v>
      </c>
      <c r="BQ14" s="44" t="e">
        <f ca="1">IF(_xll.ciqfunctions.udf.CIQ($A14,"IQ_EBITDA_5YR_ANN_CAGR", IQ_LTM,$B$1,$L$4, $L$3, $L$5, $L$6)="NM","n/a",(_xll.ciqfunctions.udf.CIQ($A14,"IQ_EBITDA_5YR_ANN_CAGR", IQ_LTM,$B$1,$L$4, $L$3, $L$5, $L$6)/100))</f>
        <v>#NAME?</v>
      </c>
      <c r="BR14" s="48" t="str">
        <f ca="1">IFERROR((_xll.ciqfunctions.udf.CIQ($A14, "IQ_DA_CF", IQ_LTM, $B$1, $L$4, $L$3, $L$5, $L$6)/Q14),"NM")</f>
        <v>NM</v>
      </c>
      <c r="BS14" s="72">
        <f>'Capital IQ Sheet-GPC'!BS14</f>
        <v>0.80200000000000005</v>
      </c>
      <c r="BT14" s="72">
        <f>'Capital IQ Sheet-GPC'!BT14</f>
        <v>0.73</v>
      </c>
      <c r="BU14" s="72">
        <f>'Capital IQ Sheet-GPC'!BU14</f>
        <v>0.755</v>
      </c>
      <c r="BV14" s="72">
        <f>'Capital IQ Sheet-GPC'!BV14</f>
        <v>0.78400000000000003</v>
      </c>
      <c r="BW14" s="72">
        <f>'Capital IQ Sheet-GPC'!BW14</f>
        <v>0.78400000000000003</v>
      </c>
      <c r="BX14" s="72">
        <f>'Capital IQ Sheet-GPC'!BX14</f>
        <v>0.78300000000000003</v>
      </c>
      <c r="BY14" s="72" t="str">
        <f>'Capital IQ Sheet-GPC'!BY14</f>
        <v>n/a</v>
      </c>
      <c r="BZ14" s="72" t="str">
        <f>'Capital IQ Sheet-GPC'!BZ14</f>
        <v>n/a</v>
      </c>
      <c r="CB14" s="44">
        <v>2</v>
      </c>
      <c r="CC14" s="112" t="s">
        <v>269</v>
      </c>
      <c r="CD14" s="112" t="s">
        <v>268</v>
      </c>
      <c r="CE14" s="46">
        <f t="shared" ref="CE14:CE42" si="0">$B$1-365*CB14</f>
        <v>42766</v>
      </c>
    </row>
    <row r="15" spans="1:86" s="44" customFormat="1" ht="12.75">
      <c r="A15" s="45" t="e">
        <f ca="1">_xll.ciqfunctions.udf.CIQ($B15,"IQ_COMPANY_TICKER")</f>
        <v>#NAME?</v>
      </c>
      <c r="B15" s="67" t="str">
        <f>'Capital IQ Sheet-GPC'!B15</f>
        <v>IQ263675832</v>
      </c>
      <c r="C15" s="45" t="e">
        <f ca="1">_xll.ciqfunctions.udf.CIQ($A15,"IQ_COMPANY_NAME")</f>
        <v>#NAME?</v>
      </c>
      <c r="D15" s="45" t="e">
        <f ca="1">_xll.ciqfunctions.udf.CIQ($A15, "IQ_EXCHANGE")</f>
        <v>#NAME?</v>
      </c>
      <c r="E15" s="66" t="e">
        <f ca="1">_xll.ciqfunctions.udf.CIQ($A15, "IQ_PERIODDATE_IS", IQ_FY)</f>
        <v>#NAME?</v>
      </c>
      <c r="F15" s="66" t="e">
        <f ca="1">_xll.ciqfunctions.udf.CIQ(A15, "IQ_PERIODDATE_IS", IQ_LTM, $B$1,$L$4,$L$3)</f>
        <v>#NAME?</v>
      </c>
      <c r="G15" s="66" t="e">
        <f ca="1">_xll.ciqfunctions.udf.CIQ($A15, "IQ_FIRSTPRICINGDATE")</f>
        <v>#NAME?</v>
      </c>
      <c r="H15" s="68" t="e">
        <f ca="1">_xll.ciqfunctions.udf.CIQ($A15, "IQ_TEV", $L$2, $L$5, $L$6)</f>
        <v>#NAME?</v>
      </c>
      <c r="I15" s="68" t="e">
        <f ca="1">_xll.ciqfunctions.udf.CIQ(A15, "IQ_LASTSALEPRICE", $B$1,$L$5)</f>
        <v>#NAME?</v>
      </c>
      <c r="J15" s="68" t="e">
        <f ca="1">_xll.ciqfunctions.udf.CIQ($A15, "IQ_MARKETCAP", $L$2, $L$5, $L$6)</f>
        <v>#NAME?</v>
      </c>
      <c r="K15" s="68" t="e">
        <f ca="1">_xll.ciqfunctions.udf.CIQ($A15, "IQ_TOTAL_DEBT", IQ_LTM, $L$2,$L$4, $L$3, $L$5, $L$6)</f>
        <v>#NAME?</v>
      </c>
      <c r="L15" s="68" t="e">
        <f ca="1">_xll.ciqfunctions.udf.CIQ($A15, "IQ_PREF_EQUITY", IQ_LTM, $L$2, $L$4, $L$3, $L$5, $L$6)</f>
        <v>#NAME?</v>
      </c>
      <c r="M15" s="68" t="e">
        <f ca="1">_xll.ciqfunctions.udf.CIQ($A15, "IQ_MINORITY_INTEREST_TOTAL", IQ_LTM, $L$2, $L$4, $L$3, $L$5, $L$6)</f>
        <v>#NAME?</v>
      </c>
      <c r="N15" s="68" t="e">
        <f ca="1">_xll.ciqfunctions.udf.CIQ($A15, "IQ_CASH_ST_INVEST", IQ_LTM, $L$2, $L$4, $L$3, $L$5, $L$6)</f>
        <v>#NAME?</v>
      </c>
      <c r="O15" s="68" t="e">
        <f ca="1">_xll.ciqfunctions.udf.CIQ($A15, "IQ_TOTAL_REV", IQ_LTM-8, $L$2, $L$4, $L$3, $L$5, $L$6)</f>
        <v>#NAME?</v>
      </c>
      <c r="P15" s="68" t="e">
        <f ca="1">_xll.ciqfunctions.udf.CIQ($A15, "IQ_TOTAL_REV", IQ_LTM - 4, $L$2, $L$4, $L$3, $L$5,$L$6)</f>
        <v>#NAME?</v>
      </c>
      <c r="Q15" s="68" t="e">
        <f ca="1">_xll.ciqfunctions.udf.CIQ($A15, "IQ_TOTAL_REV", IQ_LTM, $L$2, $L$4, $L$3, $L$5, $L$6)</f>
        <v>#NAME?</v>
      </c>
      <c r="R15" s="68" t="e">
        <f ca="1">_xll.ciqfunctions.udf.CIQ($A15, "IQ_TOTAL_REV", $B$2, $L$2, $L$4, $L$3, $L$5, $L$6)</f>
        <v>#NAME?</v>
      </c>
      <c r="S15" s="68" t="e">
        <f ca="1">IF(_xll.ciqfunctions.udf.CIQ($A15, "IQ_TOTAL_REV", $B$3, $L$2,$L$4, $L$3, $L$5, $L$6)=0,Q15,_xll.ciqfunctions.udf.CIQ($A15, "IQ_TOTAL_REV", $B$3, $L$2,$L$4, $L$3, $L$5, $L$6))</f>
        <v>#NAME?</v>
      </c>
      <c r="T15" s="68" t="e">
        <f ca="1">IF(_xll.ciqfunctions.udf.CIQ($A15, "IQ_REVENUE_EST",$B$4, $L$2, "CON", $L$3, $L$5, $L$6)=0,"n/a",_xll.ciqfunctions.udf.CIQ($A15, "IQ_REVENUE_EST",$B$4, $L$2, "CON", $L$3, $L$5, $L$6))</f>
        <v>#NAME?</v>
      </c>
      <c r="U15" s="68" t="e">
        <f ca="1">IF(_xll.ciqfunctions.udf.CIQ($A15, "IQ_REVENUE_EST",$B$5, $L$2, "CON", $L$3, $L$5, $L$6)=0,"n/a",_xll.ciqfunctions.udf.CIQ($A15, "IQ_REVENUE_EST",$B$5, $L$2, "CON", $L$3, $L$5, $L$6))</f>
        <v>#NAME?</v>
      </c>
      <c r="V15" s="68" t="e">
        <f ca="1">IF(_xll.ciqfunctions.udf.CIQ($A15, "IQ_REVENUE_EST",$B$6, $L$2, "CON", $L$3, $L$5, $L$6)=0,"n/a",_xll.ciqfunctions.udf.CIQ($A15, "IQ_REVENUE_EST",$B$6, $L$2, "CON", $L$3, $L$5, $L$6))</f>
        <v>#NAME?</v>
      </c>
      <c r="W15" s="68" t="e">
        <f ca="1">IF(_xll.ciqfunctions.udf.CIQ($A15, "IQ_REVENUE_EST", $B$7, $L$2, "CON", $L$3, $L$5, $L$6)=0,"n/a",_xll.ciqfunctions.udf.CIQ($A15, "IQ_REVENUE_EST",$B$7, $L$2, "CON", $L$3, $L$5, $L$6))</f>
        <v>#NAME?</v>
      </c>
      <c r="X15" s="68" t="e">
        <f ca="1">_xll.ciqfunctions.udf.CIQ($A15, "IQ_EBITDA", IQ_LTM-8, $L$2, $L$4, $L$3, $L$5, $L$6)</f>
        <v>#NAME?</v>
      </c>
      <c r="Y15" s="68" t="e">
        <f ca="1">_xll.ciqfunctions.udf.CIQ($A15, "IQ_EBITDA", IQ_LTM-4, $L$2,$L$4, $L$3, $L$5, $L$6)</f>
        <v>#NAME?</v>
      </c>
      <c r="Z15" s="68" t="e">
        <f ca="1">_xll.ciqfunctions.udf.CIQ($A15, "IQ_EBITDA", IQ_LTM, $L$2, $L$4, $L$3, $L$5, $L$6)</f>
        <v>#NAME?</v>
      </c>
      <c r="AA15" s="68" t="e">
        <f ca="1">_xll.ciqfunctions.udf.CIQ($A15, "IQ_EBITDA", $B$2, $L$2, $L$4, $L$3, $L$5, $L$6)</f>
        <v>#NAME?</v>
      </c>
      <c r="AB15" s="68" t="e">
        <f ca="1">IF(_xll.ciqfunctions.udf.CIQ($A15, "IQ_EBITDA", $B$3, $L$2,$L$4, $L$3, $L$5, $L$6)=0,Z15,_xll.ciqfunctions.udf.CIQ($A15, "IQ_EBITDA", $B$3, $L$2,$L$4, $L$3, $L$5, $L$6))</f>
        <v>#NAME?</v>
      </c>
      <c r="AC15" s="68" t="e">
        <f ca="1">IF(_xll.ciqfunctions.udf.CIQ($A15, "IQ_EBITDA_EST",$B$4, $L$2, "CON", $L$3, $L$5, $L$6)=0,"n/a",_xll.ciqfunctions.udf.CIQ($A15, "IQ_EBITDA_EST",$B$4, $L$2, "CON", $L$3, $L$5, $L$6))</f>
        <v>#NAME?</v>
      </c>
      <c r="AD15" s="68" t="e">
        <f ca="1">IF(_xll.ciqfunctions.udf.CIQ($A15, "IQ_EBITDA_EST",$B$5, $L$2, "CON", $L$3, $L$5, $L$6)=0,"n/a",_xll.ciqfunctions.udf.CIQ($A15, "IQ_EBITDA_EST",$B$5, $L$2, "CON", $L$3, $L$5, $L$6))</f>
        <v>#NAME?</v>
      </c>
      <c r="AE15" s="68" t="e">
        <f ca="1">IF(_xll.ciqfunctions.udf.CIQ($A15, "IQ_EBITDA_EST",$B$6, $L$2, "CON", $L$3, $L$5, $L$6)=0,"n/a",_xll.ciqfunctions.udf.CIQ($A15, "IQ_EBITDA_EST",$B$6, $L$2, "CON", $L$3, $L$5, $L$6))</f>
        <v>#NAME?</v>
      </c>
      <c r="AF15" s="69" t="str">
        <f ca="1">IF(ISERROR(_xll.ciqfunctions.udf.CIQ($A15, "IQ_GROSS_MARGIN", IQ_LTM, $L$2,$L$4, $L$3, $L$5, $L$6)/100), "n/a", _xll.ciqfunctions.udf.CIQ($A15,  "IQ_GROSS_MARGIN", IQ_LTM, $L$2, $L$4, $L$3, $L$5, $L$6)/100)</f>
        <v>n/a</v>
      </c>
      <c r="AG15" s="69" t="str">
        <f ca="1">IF(ISERROR(_xll.ciqfunctions.udf.CIQ($A15,"IQ_EBITDA_MARGIN", IQ_LTM, $L$2, $L$4, $L$3, $L$5, $L$6)/100), "n/a", _xll.ciqfunctions.udf.CIQ($A15, "IQ_EBITDA_MARGIN", IQ_LTM, $L$2, $L$4, $L$3, $L$5, $L$6)/100)</f>
        <v>n/a</v>
      </c>
      <c r="AH15" s="69" t="str">
        <f ca="1">IF(ISERROR(_xll.ciqfunctions.udf.CIQ($A15,"IQ_EBIT_MARGIN", IQ_LTM, $L$2, $L$4, $L$3, $L$5, $L$6)/100), "n/a", _xll.ciqfunctions.udf.CIQ($A15, "IQ_EBIT_MARGIN", IQ_LTM, $L$2, $L$4, $L$3, $L$5, $L$6)/100)</f>
        <v>n/a</v>
      </c>
      <c r="AI15" s="69" t="str">
        <f ca="1">IF(ISERROR(_xll.ciqfunctions.udf.CIQ($A15,"IQ_NI_MARGIN", IQ_LTM, $L$2, $L$4, $L$3, $L$5, $L$6)/100), "n/a", _xll.ciqfunctions.udf.CIQ($A15, "IQ_NI_MARGIN", IQ_LTM, $L$2, $L$4, $L$3, $L$5, $L$6)/100)</f>
        <v>n/a</v>
      </c>
      <c r="AJ15" s="68" t="str">
        <f ca="1">IF(ISERROR(_xll.ciqfunctions.udf.CIQ($A15, "IQ_NET_WORKING_CAP", IQ_LTM-8, $L$2, $L$4, $L$3, $L$5, $L$6)), "n/a", _xll.ciqfunctions.udf.CIQ($A15, "IQ_NET_WORKING_CAP", IQ_LTM-8, $L$2, $L$4, $L$3, $L$5, $L$6))</f>
        <v>n/a</v>
      </c>
      <c r="AK15" s="68" t="str">
        <f ca="1">IF(ISERROR(_xll.ciqfunctions.udf.CIQ($A15, "IQ_NET_WORKING_CAP", IQ_LTM-4, $L$2, $L$4, $L$3, $L$5, $L$6)), "n/a", _xll.ciqfunctions.udf.CIQ($A15, "IQ_NET_WORKING_CAP", IQ_LTM-4, $L$2, $L$4, $L$3, $L$5, $L$6))</f>
        <v>n/a</v>
      </c>
      <c r="AL15" s="68" t="str">
        <f ca="1">IF(ISERROR(_xll.ciqfunctions.udf.CIQ($A15, "IQ_NET_WORKING_CAP", IQ_LTM, $L$2,$L$4, $L$3, $L$5, $L$6)), "n/a", _xll.ciqfunctions.udf.CIQ($A15, "IQ_NET_WORKING_CAP", IQ_LTM, $L$2, $L$4, $L$3, $L$5, $L$6))</f>
        <v>n/a</v>
      </c>
      <c r="AM15" s="68" t="str">
        <f ca="1">IF(ISERROR(_xll.ciqfunctions.udf.CIQ($A15, "IQ_Capex", IQ_LTM-8, $L$2,$L$4, $L$3, $L$5, $L$6)), "n/a", _xll.ciqfunctions.udf.CIQ($A15, "IQ_Capex", IQ_LTM-8, $L$2, $L$4, $L$3, $L$5, $L$6))</f>
        <v>n/a</v>
      </c>
      <c r="AN15" s="68" t="str">
        <f ca="1">IF(ISERROR(_xll.ciqfunctions.udf.CIQ($A15, "IQ_Capex", IQ_LTM-4, $L$2,$L$4, $L$3, $L$5, $L$6)), "n/a", _xll.ciqfunctions.udf.CIQ($A15, "IQ_Capex", IQ_LTM-4, $L$2,$L$4, $L$3, $L$5, $L$6))</f>
        <v>n/a</v>
      </c>
      <c r="AO15" s="68" t="str">
        <f ca="1">IF(ISERROR(_xll.ciqfunctions.udf.CIQ($A15, "IQ_Capex", IQ_LTM, $L$2, $L$4, $L$3, $L$5, $L$6)), "n/a", _xll.ciqfunctions.udf.CIQ($A15, "IQ_Capex", IQ_LTM, $L$2, $L$4, $L$3, $L$5, $L$6))</f>
        <v>n/a</v>
      </c>
      <c r="AP15" s="70" t="e">
        <f ca="1">_xll.ciqfunctions.udf.CIQ(A15, "IQ_BUSINESS_DESCRIPTION")</f>
        <v>#NAME?</v>
      </c>
      <c r="AQ15" s="71" t="e">
        <f ca="1">_xll.ciqfunctions.udf.CIQ($A15, "IQ_BETA_1YR", $B$1)</f>
        <v>#NAME?</v>
      </c>
      <c r="AR15" s="71" t="e">
        <f ca="1">_xll.ciqfunctions.udf.CIQ($A15, "IQ_BETA_2YR", $B$1)</f>
        <v>#NAME?</v>
      </c>
      <c r="AS15" s="71" t="e">
        <f ca="1">_xll.ciqfunctions.udf.CIQ($A15, "IQ_BETA_5YR", $B$1)</f>
        <v>#NAME?</v>
      </c>
      <c r="AT15" s="69" t="e">
        <f ca="1">_xll.ciqfunctions.udf.CIQ($A15, "IQ_DIVIDEND_YIELD", $B$1)/100</f>
        <v>#NAME?</v>
      </c>
      <c r="AU15" s="68" t="e">
        <f ca="1">_xll.ciqfunctions.udf.CIQ($A15, "IQ_EARNING_CO", IQ_LTM-8, $L$2, $L$4, $L$3, $L$5, $L$6)</f>
        <v>#NAME?</v>
      </c>
      <c r="AV15" s="68" t="e">
        <f ca="1">_xll.ciqfunctions.udf.CIQ($A15, "IQ_EARNING_CO", IQ_LTM-4, $L$2, $L$4, $L$3, $L$5, $L$6)</f>
        <v>#NAME?</v>
      </c>
      <c r="AW15" s="68" t="e">
        <f ca="1">_xll.ciqfunctions.udf.CIQ($A15, "IQ_EARNING_CO", IQ_LTM, $L$2, $L$4, $L$3, $L$5, $L$6)</f>
        <v>#NAME?</v>
      </c>
      <c r="AX15" s="68" t="e">
        <f ca="1">_xll.ciqfunctions.udf.CIQ($A15, "IQ_EARNING_CO", $B$2, $L$2, $L$4, $L$3, $L$5, $L$6)</f>
        <v>#NAME?</v>
      </c>
      <c r="AY15" s="68" t="e">
        <f ca="1">IF(_xll.ciqfunctions.udf.CIQ($A15, "IQ_EARNING_CO", $B$3, $L$2,$L$4, $L$3, $L$5, $L$6)=0,AW15,_xll.ciqfunctions.udf.CIQ($A15, "IQ_EARNING_CO", $B$3, $L$2,$L$4, $L$3, $L$5, $L$6))</f>
        <v>#NAME?</v>
      </c>
      <c r="AZ15" s="68" t="e">
        <f ca="1">_xll.ciqfunctions.udf.CIQ($A15, "IQ_TOTAL_EQUITY", IQ_LTM-8, $L$2, $L$4, $L$3, $L$5, $L$6)</f>
        <v>#NAME?</v>
      </c>
      <c r="BA15" s="68" t="e">
        <f ca="1">_xll.ciqfunctions.udf.CIQ($A15, "IQ_TOTAL_EQUITY", IQ_LTM-4, $L$2, $L$4, $L$3, $L$5, $L$6)</f>
        <v>#NAME?</v>
      </c>
      <c r="BB15" s="68" t="e">
        <f ca="1">_xll.ciqfunctions.udf.CIQ($A15, "IQ_TOTAL_EQUITY", IQ_LTM, $L$2, $L$4, $L$3, $L$5, $L$6)</f>
        <v>#NAME?</v>
      </c>
      <c r="BC15" s="68" t="e">
        <f ca="1">_xll.ciqfunctions.udf.CIQ($A15, "IQ_TOTAL_EQUITY", $B$2, $L$2, $L$4, $L$3, $L$5, $L$6)</f>
        <v>#NAME?</v>
      </c>
      <c r="BD15" s="68" t="e">
        <f ca="1">IF(_xll.ciqfunctions.udf.CIQ($A15, "IQ_TOTAL_EQUITY", $B$3, $L$2,$L$4, $L$3, $L$5, $L$6)=0,BB15,_xll.ciqfunctions.udf.CIQ($A15, "IQ_TOTAL_EQUITY", $B$3, $L$2,$L$4, $L$3, $L$5, $L$6))</f>
        <v>#NAME?</v>
      </c>
      <c r="BE15" s="68" t="e">
        <f ca="1">_xll.ciqfunctions.udf.CIQ(A15, "IQ_LASTSALEPRICE", $B$8)</f>
        <v>#NAME?</v>
      </c>
      <c r="BF15" s="68" t="e">
        <f ca="1">_xll.ciqfunctions.udf.CIQ($A15, "IQ_MARKETCAP", $B$8, $L$5, $L$6)</f>
        <v>#NAME?</v>
      </c>
      <c r="BG15" s="68" t="e">
        <f ca="1">_xll.ciqfunctions.udf.CIQ($A15, "IQ_TOTAL_DEBT", IQ_LTM, $B$8,$L$4, $L$3, $L$5, $L$6)</f>
        <v>#NAME?</v>
      </c>
      <c r="BH15" s="44" t="e">
        <f ca="1">_xll.ciqfunctions.udf.CIQ($A15,"IQ_PREF_EQUITY",IQ_LTM,$B$8,$L$4,$L$3,$L$5,$L$6)</f>
        <v>#NAME?</v>
      </c>
      <c r="BI15" s="44" t="e">
        <f ca="1">_xll.ciqfunctions.udf.CIQ($A15, "IQ_MINORITY_INTEREST_TOTAL", IQ_LTM,$B$8,$L$4,$L$3,$L$5,$L$6)</f>
        <v>#NAME?</v>
      </c>
      <c r="BJ15" s="68" t="e">
        <f ca="1">_xll.ciqfunctions.udf.CIQ($A15, "IQ_CASH_ST_INVEST", IQ_LTM, $B$8, $L$4, $L$3, $L$5, $L$6)</f>
        <v>#NAME?</v>
      </c>
      <c r="BK15" s="44" t="e">
        <f ca="1">_xll.ciqfunctions.udf.CIQ($A15, "IQ_EFFECT_TAX_RATE")</f>
        <v>#NAME?</v>
      </c>
      <c r="BL15" s="44" t="e">
        <f ca="1">IF(_xll.ciqfunctions.udf.CIQ($A15, "IQ_TOTAL_REV_2YR_ANN_CAGR", IQ_LTM, $B$1,$L$4, $L$3, $L$5, $L$6)="NM","n/a",(_xll.ciqfunctions.udf.CIQ($A15, "IQ_TOTAL_REV_2YR_ANN_CAGR", IQ_LTM, $B$1,$L$4, $L$3, $L$5, $L$6)/100))</f>
        <v>#NAME?</v>
      </c>
      <c r="BM15" s="44" t="e">
        <f ca="1">IF(_xll.ciqfunctions.udf.CIQ($A15, "IQ_TOTAL_REV_3YR_ANN_CAGR", IQ_LTM, $B$1,$L$4, $L$3, $L$5, $L$6)="NM","n/a",(_xll.ciqfunctions.udf.CIQ($A15, "IQ_TOTAL_REV_3YR_ANN_CAGR", IQ_LTM, $B$1,$L$4, $L$3, $L$5, $L$6)/100))</f>
        <v>#NAME?</v>
      </c>
      <c r="BN15" s="44" t="e">
        <f ca="1">IF(_xll.ciqfunctions.udf.CIQ($A15, "IQ_TOTAL_REV_5YR_ANN_CAGR", IQ_LTM, $B$1,$L$4, $L$3, $L$5, $L$6)="NM","n/a",(_xll.ciqfunctions.udf.CIQ($A15, "IQ_TOTAL_REV_5YR_ANN_CAGR", IQ_LTM, $B$1,$L$4, $L$3, $L$5, $L$6)/100))</f>
        <v>#NAME?</v>
      </c>
      <c r="BO15" s="44" t="e">
        <f ca="1">IF(_xll.ciqfunctions.udf.CIQ($A15,"IQ_EBITDA_2YR_ANN_CAGR", IQ_LTM,$B$1,$L$4, $L$3, $L$5, $L$6)="NM","n/a",(_xll.ciqfunctions.udf.CIQ($A15,"IQ_EBITDA_2YR_ANN_CAGR", IQ_LTM,$B$1,$L$4, $L$3, $L$5, $L$6)/100))</f>
        <v>#NAME?</v>
      </c>
      <c r="BP15" s="44" t="e">
        <f ca="1">IF(_xll.ciqfunctions.udf.CIQ($A15,"IQ_EBITDA_3YR_ANN_CAGR", IQ_LTM,$B$1,$L$4, $L$3, $L$5, $L$6)="NM","n/a",(_xll.ciqfunctions.udf.CIQ($A15,"IQ_EBITDA_3YR_ANN_CAGR", IQ_LTM,$B$1,$L$4, $L$3, $L$5, $L$6)/100))</f>
        <v>#NAME?</v>
      </c>
      <c r="BQ15" s="44" t="e">
        <f ca="1">IF(_xll.ciqfunctions.udf.CIQ($A15,"IQ_EBITDA_5YR_ANN_CAGR", IQ_LTM,$B$1,$L$4, $L$3, $L$5, $L$6)="NM","n/a",(_xll.ciqfunctions.udf.CIQ($A15,"IQ_EBITDA_5YR_ANN_CAGR", IQ_LTM,$B$1,$L$4, $L$3, $L$5, $L$6)/100))</f>
        <v>#NAME?</v>
      </c>
      <c r="BR15" s="48" t="str">
        <f ca="1">IFERROR((_xll.ciqfunctions.udf.CIQ($A15, "IQ_DA_CF", IQ_LTM, $B$1, $L$4, $L$3, $L$5, $L$6)/Q15),"NM")</f>
        <v>NM</v>
      </c>
      <c r="BS15" s="72">
        <f>'Capital IQ Sheet-GPC'!BS15</f>
        <v>0.97299999999999998</v>
      </c>
      <c r="BT15" s="72" t="str">
        <f>'Capital IQ Sheet-GPC'!BT15</f>
        <v>n/a</v>
      </c>
      <c r="BU15" s="72" t="str">
        <f>'Capital IQ Sheet-GPC'!BU15</f>
        <v>n/a</v>
      </c>
      <c r="BV15" s="72" t="str">
        <f>'Capital IQ Sheet-GPC'!BV15</f>
        <v>n/a</v>
      </c>
      <c r="BW15" s="72" t="str">
        <f>'Capital IQ Sheet-GPC'!BW15</f>
        <v>n/a</v>
      </c>
      <c r="BX15" s="72" t="str">
        <f>'Capital IQ Sheet-GPC'!BX15</f>
        <v>n/a</v>
      </c>
      <c r="BY15" s="72" t="str">
        <f>'Capital IQ Sheet-GPC'!BY15</f>
        <v>n/a</v>
      </c>
      <c r="BZ15" s="72" t="str">
        <f>'Capital IQ Sheet-GPC'!BZ15</f>
        <v>n/a</v>
      </c>
      <c r="CB15" s="44">
        <v>2</v>
      </c>
      <c r="CC15" s="112" t="s">
        <v>269</v>
      </c>
      <c r="CD15" s="112" t="s">
        <v>268</v>
      </c>
      <c r="CE15" s="46">
        <f t="shared" si="0"/>
        <v>42766</v>
      </c>
    </row>
    <row r="16" spans="1:86" s="44" customFormat="1" ht="12.75">
      <c r="A16" s="45" t="e">
        <f ca="1">_xll.ciqfunctions.udf.CIQ($B16,"IQ_COMPANY_TICKER")</f>
        <v>#NAME?</v>
      </c>
      <c r="B16" s="67" t="str">
        <f>'Capital IQ Sheet-GPC'!B16</f>
        <v>IQ11686323</v>
      </c>
      <c r="C16" s="45" t="e">
        <f ca="1">_xll.ciqfunctions.udf.CIQ($A16,"IQ_COMPANY_NAME")</f>
        <v>#NAME?</v>
      </c>
      <c r="D16" s="45" t="e">
        <f ca="1">_xll.ciqfunctions.udf.CIQ($A16, "IQ_EXCHANGE")</f>
        <v>#NAME?</v>
      </c>
      <c r="E16" s="66" t="e">
        <f ca="1">_xll.ciqfunctions.udf.CIQ($A16, "IQ_PERIODDATE_IS", IQ_FY)</f>
        <v>#NAME?</v>
      </c>
      <c r="F16" s="66" t="e">
        <f ca="1">_xll.ciqfunctions.udf.CIQ(A16, "IQ_PERIODDATE_IS", IQ_LTM, $B$1,$L$4,$L$3)</f>
        <v>#NAME?</v>
      </c>
      <c r="G16" s="66" t="e">
        <f ca="1">_xll.ciqfunctions.udf.CIQ($A16, "IQ_FIRSTPRICINGDATE")</f>
        <v>#NAME?</v>
      </c>
      <c r="H16" s="68" t="e">
        <f ca="1">_xll.ciqfunctions.udf.CIQ($A16, "IQ_TEV", $L$2, $L$5, $L$6)</f>
        <v>#NAME?</v>
      </c>
      <c r="I16" s="68" t="e">
        <f ca="1">_xll.ciqfunctions.udf.CIQ(A16, "IQ_LASTSALEPRICE", $B$1,$L$5)</f>
        <v>#NAME?</v>
      </c>
      <c r="J16" s="68" t="e">
        <f ca="1">_xll.ciqfunctions.udf.CIQ($A16, "IQ_MARKETCAP", $L$2, $L$5, $L$6)</f>
        <v>#NAME?</v>
      </c>
      <c r="K16" s="68" t="e">
        <f ca="1">_xll.ciqfunctions.udf.CIQ($A16, "IQ_TOTAL_DEBT", IQ_LTM, $L$2,$L$4, $L$3, $L$5, $L$6)</f>
        <v>#NAME?</v>
      </c>
      <c r="L16" s="68" t="e">
        <f ca="1">_xll.ciqfunctions.udf.CIQ($A16, "IQ_PREF_EQUITY", IQ_LTM, $L$2, $L$4, $L$3, $L$5, $L$6)</f>
        <v>#NAME?</v>
      </c>
      <c r="M16" s="68" t="e">
        <f ca="1">_xll.ciqfunctions.udf.CIQ($A16, "IQ_MINORITY_INTEREST_TOTAL", IQ_LTM, $L$2, $L$4, $L$3, $L$5, $L$6)</f>
        <v>#NAME?</v>
      </c>
      <c r="N16" s="68" t="e">
        <f ca="1">_xll.ciqfunctions.udf.CIQ($A16, "IQ_CASH_ST_INVEST", IQ_LTM, $L$2, $L$4, $L$3, $L$5, $L$6)</f>
        <v>#NAME?</v>
      </c>
      <c r="O16" s="68" t="e">
        <f ca="1">_xll.ciqfunctions.udf.CIQ($A16, "IQ_TOTAL_REV", IQ_LTM-8, $L$2, $L$4, $L$3, $L$5, $L$6)</f>
        <v>#NAME?</v>
      </c>
      <c r="P16" s="68" t="e">
        <f ca="1">_xll.ciqfunctions.udf.CIQ($A16, "IQ_TOTAL_REV", IQ_LTM - 4, $L$2, $L$4, $L$3, $L$5,$L$6)</f>
        <v>#NAME?</v>
      </c>
      <c r="Q16" s="68" t="e">
        <f ca="1">_xll.ciqfunctions.udf.CIQ($A16, "IQ_TOTAL_REV", IQ_LTM, $L$2, $L$4, $L$3, $L$5, $L$6)</f>
        <v>#NAME?</v>
      </c>
      <c r="R16" s="68" t="e">
        <f ca="1">_xll.ciqfunctions.udf.CIQ($A16, "IQ_TOTAL_REV", $B$2, $L$2, $L$4, $L$3, $L$5, $L$6)</f>
        <v>#NAME?</v>
      </c>
      <c r="S16" s="68" t="e">
        <f ca="1">IF(_xll.ciqfunctions.udf.CIQ($A16, "IQ_TOTAL_REV", $B$3, $L$2,$L$4, $L$3, $L$5, $L$6)=0,Q16,_xll.ciqfunctions.udf.CIQ($A16, "IQ_TOTAL_REV", $B$3, $L$2,$L$4, $L$3, $L$5, $L$6))</f>
        <v>#NAME?</v>
      </c>
      <c r="T16" s="68" t="e">
        <f ca="1">IF(_xll.ciqfunctions.udf.CIQ($A16, "IQ_REVENUE_EST",$B$4, $L$2, "CON", $L$3, $L$5, $L$6)=0,"n/a",_xll.ciqfunctions.udf.CIQ($A16, "IQ_REVENUE_EST",$B$4, $L$2, "CON", $L$3, $L$5, $L$6))</f>
        <v>#NAME?</v>
      </c>
      <c r="U16" s="68" t="e">
        <f ca="1">IF(_xll.ciqfunctions.udf.CIQ($A16, "IQ_REVENUE_EST",$B$5, $L$2, "CON", $L$3, $L$5, $L$6)=0,"n/a",_xll.ciqfunctions.udf.CIQ($A16, "IQ_REVENUE_EST",$B$5, $L$2, "CON", $L$3, $L$5, $L$6))</f>
        <v>#NAME?</v>
      </c>
      <c r="V16" s="68" t="e">
        <f ca="1">IF(_xll.ciqfunctions.udf.CIQ($A16, "IQ_REVENUE_EST",$B$6, $L$2, "CON", $L$3, $L$5, $L$6)=0,"n/a",_xll.ciqfunctions.udf.CIQ($A16, "IQ_REVENUE_EST",$B$6, $L$2, "CON", $L$3, $L$5, $L$6))</f>
        <v>#NAME?</v>
      </c>
      <c r="W16" s="68" t="e">
        <f ca="1">IF(_xll.ciqfunctions.udf.CIQ($A16, "IQ_REVENUE_EST", $B$7, $L$2, "CON", $L$3, $L$5, $L$6)=0,"n/a",_xll.ciqfunctions.udf.CIQ($A16, "IQ_REVENUE_EST",$B$7, $L$2, "CON", $L$3, $L$5, $L$6))</f>
        <v>#NAME?</v>
      </c>
      <c r="X16" s="68" t="e">
        <f ca="1">_xll.ciqfunctions.udf.CIQ($A16, "IQ_EBITDA", IQ_LTM-8, $L$2, $L$4, $L$3, $L$5, $L$6)</f>
        <v>#NAME?</v>
      </c>
      <c r="Y16" s="68" t="e">
        <f ca="1">_xll.ciqfunctions.udf.CIQ($A16, "IQ_EBITDA", IQ_LTM-4, $L$2,$L$4, $L$3, $L$5, $L$6)</f>
        <v>#NAME?</v>
      </c>
      <c r="Z16" s="68" t="e">
        <f ca="1">_xll.ciqfunctions.udf.CIQ($A16, "IQ_EBITDA", IQ_LTM, $L$2, $L$4, $L$3, $L$5, $L$6)</f>
        <v>#NAME?</v>
      </c>
      <c r="AA16" s="68" t="e">
        <f ca="1">_xll.ciqfunctions.udf.CIQ($A16, "IQ_EBITDA", $B$2, $L$2, $L$4, $L$3, $L$5, $L$6)</f>
        <v>#NAME?</v>
      </c>
      <c r="AB16" s="68" t="e">
        <f ca="1">IF(_xll.ciqfunctions.udf.CIQ($A16, "IQ_EBITDA", $B$3, $L$2,$L$4, $L$3, $L$5, $L$6)=0,Z16,_xll.ciqfunctions.udf.CIQ($A16, "IQ_EBITDA", $B$3, $L$2,$L$4, $L$3, $L$5, $L$6))</f>
        <v>#NAME?</v>
      </c>
      <c r="AC16" s="68" t="e">
        <f ca="1">IF(_xll.ciqfunctions.udf.CIQ($A16, "IQ_EBITDA_EST",$B$4, $L$2, "CON", $L$3, $L$5, $L$6)=0,"n/a",_xll.ciqfunctions.udf.CIQ($A16, "IQ_EBITDA_EST",$B$4, $L$2, "CON", $L$3, $L$5, $L$6))</f>
        <v>#NAME?</v>
      </c>
      <c r="AD16" s="68" t="e">
        <f ca="1">IF(_xll.ciqfunctions.udf.CIQ($A16, "IQ_EBITDA_EST",$B$5, $L$2, "CON", $L$3, $L$5, $L$6)=0,"n/a",_xll.ciqfunctions.udf.CIQ($A16, "IQ_EBITDA_EST",$B$5, $L$2, "CON", $L$3, $L$5, $L$6))</f>
        <v>#NAME?</v>
      </c>
      <c r="AE16" s="68" t="e">
        <f ca="1">IF(_xll.ciqfunctions.udf.CIQ($A16, "IQ_EBITDA_EST",$B$6, $L$2, "CON", $L$3, $L$5, $L$6)=0,"n/a",_xll.ciqfunctions.udf.CIQ($A16, "IQ_EBITDA_EST",$B$6, $L$2, "CON", $L$3, $L$5, $L$6))</f>
        <v>#NAME?</v>
      </c>
      <c r="AF16" s="69" t="str">
        <f ca="1">IF(ISERROR(_xll.ciqfunctions.udf.CIQ($A16, "IQ_GROSS_MARGIN", IQ_LTM, $L$2,$L$4, $L$3, $L$5, $L$6)/100), "n/a", _xll.ciqfunctions.udf.CIQ($A16,  "IQ_GROSS_MARGIN", IQ_LTM, $L$2, $L$4, $L$3, $L$5, $L$6)/100)</f>
        <v>n/a</v>
      </c>
      <c r="AG16" s="69" t="str">
        <f ca="1">IF(ISERROR(_xll.ciqfunctions.udf.CIQ($A16,"IQ_EBITDA_MARGIN", IQ_LTM, $L$2, $L$4, $L$3, $L$5, $L$6)/100), "n/a", _xll.ciqfunctions.udf.CIQ($A16, "IQ_EBITDA_MARGIN", IQ_LTM, $L$2, $L$4, $L$3, $L$5, $L$6)/100)</f>
        <v>n/a</v>
      </c>
      <c r="AH16" s="69" t="str">
        <f ca="1">IF(ISERROR(_xll.ciqfunctions.udf.CIQ($A16,"IQ_EBIT_MARGIN", IQ_LTM, $L$2, $L$4, $L$3, $L$5, $L$6)/100), "n/a", _xll.ciqfunctions.udf.CIQ($A16, "IQ_EBIT_MARGIN", IQ_LTM, $L$2, $L$4, $L$3, $L$5, $L$6)/100)</f>
        <v>n/a</v>
      </c>
      <c r="AI16" s="69" t="str">
        <f ca="1">IF(ISERROR(_xll.ciqfunctions.udf.CIQ($A16,"IQ_NI_MARGIN", IQ_LTM, $L$2, $L$4, $L$3, $L$5, $L$6)/100), "n/a", _xll.ciqfunctions.udf.CIQ($A16, "IQ_NI_MARGIN", IQ_LTM, $L$2, $L$4, $L$3, $L$5, $L$6)/100)</f>
        <v>n/a</v>
      </c>
      <c r="AJ16" s="68" t="str">
        <f ca="1">IF(ISERROR(_xll.ciqfunctions.udf.CIQ($A16, "IQ_NET_WORKING_CAP", IQ_LTM-8, $L$2, $L$4, $L$3, $L$5, $L$6)), "n/a", _xll.ciqfunctions.udf.CIQ($A16, "IQ_NET_WORKING_CAP", IQ_LTM-8, $L$2, $L$4, $L$3, $L$5, $L$6))</f>
        <v>n/a</v>
      </c>
      <c r="AK16" s="68" t="str">
        <f ca="1">IF(ISERROR(_xll.ciqfunctions.udf.CIQ($A16, "IQ_NET_WORKING_CAP", IQ_LTM-4, $L$2, $L$4, $L$3, $L$5, $L$6)), "n/a", _xll.ciqfunctions.udf.CIQ($A16, "IQ_NET_WORKING_CAP", IQ_LTM-4, $L$2, $L$4, $L$3, $L$5, $L$6))</f>
        <v>n/a</v>
      </c>
      <c r="AL16" s="68" t="str">
        <f ca="1">IF(ISERROR(_xll.ciqfunctions.udf.CIQ($A16, "IQ_NET_WORKING_CAP", IQ_LTM, $L$2,$L$4, $L$3, $L$5, $L$6)), "n/a", _xll.ciqfunctions.udf.CIQ($A16, "IQ_NET_WORKING_CAP", IQ_LTM, $L$2, $L$4, $L$3, $L$5, $L$6))</f>
        <v>n/a</v>
      </c>
      <c r="AM16" s="68" t="str">
        <f ca="1">IF(ISERROR(_xll.ciqfunctions.udf.CIQ($A16, "IQ_Capex", IQ_LTM-8, $L$2,$L$4, $L$3, $L$5, $L$6)), "n/a", _xll.ciqfunctions.udf.CIQ($A16, "IQ_Capex", IQ_LTM-8, $L$2, $L$4, $L$3, $L$5, $L$6))</f>
        <v>n/a</v>
      </c>
      <c r="AN16" s="68" t="str">
        <f ca="1">IF(ISERROR(_xll.ciqfunctions.udf.CIQ($A16, "IQ_Capex", IQ_LTM-4, $L$2,$L$4, $L$3, $L$5, $L$6)), "n/a", _xll.ciqfunctions.udf.CIQ($A16, "IQ_Capex", IQ_LTM-4, $L$2,$L$4, $L$3, $L$5, $L$6))</f>
        <v>n/a</v>
      </c>
      <c r="AO16" s="68" t="str">
        <f ca="1">IF(ISERROR(_xll.ciqfunctions.udf.CIQ($A16, "IQ_Capex", IQ_LTM, $L$2, $L$4, $L$3, $L$5, $L$6)), "n/a", _xll.ciqfunctions.udf.CIQ($A16, "IQ_Capex", IQ_LTM, $L$2, $L$4, $L$3, $L$5, $L$6))</f>
        <v>n/a</v>
      </c>
      <c r="AP16" s="70" t="e">
        <f ca="1">_xll.ciqfunctions.udf.CIQ(A16, "IQ_BUSINESS_DESCRIPTION")</f>
        <v>#NAME?</v>
      </c>
      <c r="AQ16" s="71" t="e">
        <f ca="1">_xll.ciqfunctions.udf.CIQ($A16, "IQ_BETA_1YR", $B$1)</f>
        <v>#NAME?</v>
      </c>
      <c r="AR16" s="71" t="e">
        <f ca="1">_xll.ciqfunctions.udf.CIQ($A16, "IQ_BETA_2YR", $B$1)</f>
        <v>#NAME?</v>
      </c>
      <c r="AS16" s="71" t="e">
        <f ca="1">_xll.ciqfunctions.udf.CIQ($A16, "IQ_BETA_5YR", $B$1)</f>
        <v>#NAME?</v>
      </c>
      <c r="AT16" s="69" t="e">
        <f ca="1">_xll.ciqfunctions.udf.CIQ($A16, "IQ_DIVIDEND_YIELD", $B$1)/100</f>
        <v>#NAME?</v>
      </c>
      <c r="AU16" s="68" t="e">
        <f ca="1">_xll.ciqfunctions.udf.CIQ($A16, "IQ_EARNING_CO", IQ_LTM-8, $L$2, $L$4, $L$3, $L$5, $L$6)</f>
        <v>#NAME?</v>
      </c>
      <c r="AV16" s="68" t="e">
        <f ca="1">_xll.ciqfunctions.udf.CIQ($A16, "IQ_EARNING_CO", IQ_LTM-4, $L$2, $L$4, $L$3, $L$5, $L$6)</f>
        <v>#NAME?</v>
      </c>
      <c r="AW16" s="68" t="e">
        <f ca="1">_xll.ciqfunctions.udf.CIQ($A16, "IQ_EARNING_CO", IQ_LTM, $L$2, $L$4, $L$3, $L$5, $L$6)</f>
        <v>#NAME?</v>
      </c>
      <c r="AX16" s="68" t="e">
        <f ca="1">_xll.ciqfunctions.udf.CIQ($A16, "IQ_EARNING_CO", $B$2, $L$2, $L$4, $L$3, $L$5, $L$6)</f>
        <v>#NAME?</v>
      </c>
      <c r="AY16" s="68" t="e">
        <f ca="1">IF(_xll.ciqfunctions.udf.CIQ($A16, "IQ_EARNING_CO", $B$3, $L$2,$L$4, $L$3, $L$5, $L$6)=0,AW16,_xll.ciqfunctions.udf.CIQ($A16, "IQ_EARNING_CO", $B$3, $L$2,$L$4, $L$3, $L$5, $L$6))</f>
        <v>#NAME?</v>
      </c>
      <c r="AZ16" s="68" t="e">
        <f ca="1">_xll.ciqfunctions.udf.CIQ($A16, "IQ_TOTAL_EQUITY", IQ_LTM-8, $L$2, $L$4, $L$3, $L$5, $L$6)</f>
        <v>#NAME?</v>
      </c>
      <c r="BA16" s="68" t="e">
        <f ca="1">_xll.ciqfunctions.udf.CIQ($A16, "IQ_TOTAL_EQUITY", IQ_LTM-4, $L$2, $L$4, $L$3, $L$5, $L$6)</f>
        <v>#NAME?</v>
      </c>
      <c r="BB16" s="68" t="e">
        <f ca="1">_xll.ciqfunctions.udf.CIQ($A16, "IQ_TOTAL_EQUITY", IQ_LTM, $L$2, $L$4, $L$3, $L$5, $L$6)</f>
        <v>#NAME?</v>
      </c>
      <c r="BC16" s="68" t="e">
        <f ca="1">_xll.ciqfunctions.udf.CIQ($A16, "IQ_TOTAL_EQUITY", $B$2, $L$2, $L$4, $L$3, $L$5, $L$6)</f>
        <v>#NAME?</v>
      </c>
      <c r="BD16" s="68" t="e">
        <f ca="1">IF(_xll.ciqfunctions.udf.CIQ($A16, "IQ_TOTAL_EQUITY", $B$3, $L$2,$L$4, $L$3, $L$5, $L$6)=0,BB16,_xll.ciqfunctions.udf.CIQ($A16, "IQ_TOTAL_EQUITY", $B$3, $L$2,$L$4, $L$3, $L$5, $L$6))</f>
        <v>#NAME?</v>
      </c>
      <c r="BE16" s="68" t="e">
        <f ca="1">_xll.ciqfunctions.udf.CIQ(A16, "IQ_LASTSALEPRICE", $B$8)</f>
        <v>#NAME?</v>
      </c>
      <c r="BF16" s="68" t="e">
        <f ca="1">_xll.ciqfunctions.udf.CIQ($A16, "IQ_MARKETCAP", $B$8, $L$5, $L$6)</f>
        <v>#NAME?</v>
      </c>
      <c r="BG16" s="68" t="e">
        <f ca="1">_xll.ciqfunctions.udf.CIQ($A16, "IQ_TOTAL_DEBT", IQ_LTM, $B$8,$L$4, $L$3, $L$5, $L$6)</f>
        <v>#NAME?</v>
      </c>
      <c r="BH16" s="44" t="e">
        <f ca="1">_xll.ciqfunctions.udf.CIQ($A16,"IQ_PREF_EQUITY",IQ_LTM,$B$8,$L$4,$L$3,$L$5,$L$6)</f>
        <v>#NAME?</v>
      </c>
      <c r="BI16" s="44" t="e">
        <f ca="1">_xll.ciqfunctions.udf.CIQ($A16, "IQ_MINORITY_INTEREST_TOTAL", IQ_LTM,$B$8,$L$4,$L$3,$L$5,$L$6)</f>
        <v>#NAME?</v>
      </c>
      <c r="BJ16" s="68" t="e">
        <f ca="1">_xll.ciqfunctions.udf.CIQ($A16, "IQ_CASH_ST_INVEST", IQ_LTM, $B$8, $L$4, $L$3, $L$5, $L$6)</f>
        <v>#NAME?</v>
      </c>
      <c r="BK16" s="44" t="e">
        <f ca="1">_xll.ciqfunctions.udf.CIQ($A16, "IQ_EFFECT_TAX_RATE")</f>
        <v>#NAME?</v>
      </c>
      <c r="BL16" s="44" t="e">
        <f ca="1">IF(_xll.ciqfunctions.udf.CIQ($A16, "IQ_TOTAL_REV_2YR_ANN_CAGR", IQ_LTM, $B$1,$L$4, $L$3, $L$5, $L$6)="NM","n/a",(_xll.ciqfunctions.udf.CIQ($A16, "IQ_TOTAL_REV_2YR_ANN_CAGR", IQ_LTM, $B$1,$L$4, $L$3, $L$5, $L$6)/100))</f>
        <v>#NAME?</v>
      </c>
      <c r="BM16" s="44" t="e">
        <f ca="1">IF(_xll.ciqfunctions.udf.CIQ($A16, "IQ_TOTAL_REV_3YR_ANN_CAGR", IQ_LTM, $B$1,$L$4, $L$3, $L$5, $L$6)="NM","n/a",(_xll.ciqfunctions.udf.CIQ($A16, "IQ_TOTAL_REV_3YR_ANN_CAGR", IQ_LTM, $B$1,$L$4, $L$3, $L$5, $L$6)/100))</f>
        <v>#NAME?</v>
      </c>
      <c r="BN16" s="44" t="e">
        <f ca="1">IF(_xll.ciqfunctions.udf.CIQ($A16, "IQ_TOTAL_REV_5YR_ANN_CAGR", IQ_LTM, $B$1,$L$4, $L$3, $L$5, $L$6)="NM","n/a",(_xll.ciqfunctions.udf.CIQ($A16, "IQ_TOTAL_REV_5YR_ANN_CAGR", IQ_LTM, $B$1,$L$4, $L$3, $L$5, $L$6)/100))</f>
        <v>#NAME?</v>
      </c>
      <c r="BO16" s="44" t="e">
        <f ca="1">IF(_xll.ciqfunctions.udf.CIQ($A16,"IQ_EBITDA_2YR_ANN_CAGR", IQ_LTM,$B$1,$L$4, $L$3, $L$5, $L$6)="NM","n/a",(_xll.ciqfunctions.udf.CIQ($A16,"IQ_EBITDA_2YR_ANN_CAGR", IQ_LTM,$B$1,$L$4, $L$3, $L$5, $L$6)/100))</f>
        <v>#NAME?</v>
      </c>
      <c r="BP16" s="44" t="e">
        <f ca="1">IF(_xll.ciqfunctions.udf.CIQ($A16,"IQ_EBITDA_3YR_ANN_CAGR", IQ_LTM,$B$1,$L$4, $L$3, $L$5, $L$6)="NM","n/a",(_xll.ciqfunctions.udf.CIQ($A16,"IQ_EBITDA_3YR_ANN_CAGR", IQ_LTM,$B$1,$L$4, $L$3, $L$5, $L$6)/100))</f>
        <v>#NAME?</v>
      </c>
      <c r="BQ16" s="44" t="e">
        <f ca="1">IF(_xll.ciqfunctions.udf.CIQ($A16,"IQ_EBITDA_5YR_ANN_CAGR", IQ_LTM,$B$1,$L$4, $L$3, $L$5, $L$6)="NM","n/a",(_xll.ciqfunctions.udf.CIQ($A16,"IQ_EBITDA_5YR_ANN_CAGR", IQ_LTM,$B$1,$L$4, $L$3, $L$5, $L$6)/100))</f>
        <v>#NAME?</v>
      </c>
      <c r="BR16" s="48" t="str">
        <f ca="1">IFERROR((_xll.ciqfunctions.udf.CIQ($A16, "IQ_DA_CF", IQ_LTM, $B$1, $L$4, $L$3, $L$5, $L$6)/Q16),"NM")</f>
        <v>NM</v>
      </c>
      <c r="BS16" s="72">
        <f>'Capital IQ Sheet-GPC'!BS16</f>
        <v>0.80300000000000005</v>
      </c>
      <c r="BT16" s="72">
        <f>'Capital IQ Sheet-GPC'!BT16</f>
        <v>0.69699999999999995</v>
      </c>
      <c r="BU16" s="72">
        <f>'Capital IQ Sheet-GPC'!BU16</f>
        <v>0.69399999999999995</v>
      </c>
      <c r="BV16" s="72">
        <f>'Capital IQ Sheet-GPC'!BV16</f>
        <v>0.70599999999999996</v>
      </c>
      <c r="BW16" s="72">
        <f>'Capital IQ Sheet-GPC'!BW16</f>
        <v>0.73</v>
      </c>
      <c r="BX16" s="72">
        <f>'Capital IQ Sheet-GPC'!BX16</f>
        <v>0.85399999999999998</v>
      </c>
      <c r="BY16" s="72">
        <f>'Capital IQ Sheet-GPC'!BY16</f>
        <v>0.80800000000000005</v>
      </c>
      <c r="BZ16" s="72">
        <f>'Capital IQ Sheet-GPC'!BZ16</f>
        <v>0.78</v>
      </c>
      <c r="CB16" s="44">
        <v>2</v>
      </c>
      <c r="CC16" s="112" t="s">
        <v>269</v>
      </c>
      <c r="CD16" s="112" t="s">
        <v>268</v>
      </c>
      <c r="CE16" s="46">
        <f t="shared" si="0"/>
        <v>42766</v>
      </c>
    </row>
    <row r="17" spans="1:83" s="44" customFormat="1" ht="12.75">
      <c r="A17" s="45" t="e">
        <f ca="1">_xll.ciqfunctions.udf.CIQ($B17,"IQ_COMPANY_TICKER")</f>
        <v>#NAME?</v>
      </c>
      <c r="B17" s="67" t="str">
        <f>'Capital IQ Sheet-GPC'!B17</f>
        <v>IQ10332207</v>
      </c>
      <c r="C17" s="45" t="e">
        <f ca="1">_xll.ciqfunctions.udf.CIQ($A17,"IQ_COMPANY_NAME")</f>
        <v>#NAME?</v>
      </c>
      <c r="D17" s="45" t="e">
        <f ca="1">_xll.ciqfunctions.udf.CIQ($A17, "IQ_EXCHANGE")</f>
        <v>#NAME?</v>
      </c>
      <c r="E17" s="66" t="e">
        <f ca="1">_xll.ciqfunctions.udf.CIQ($A17, "IQ_PERIODDATE_IS", IQ_FY)</f>
        <v>#NAME?</v>
      </c>
      <c r="F17" s="66" t="e">
        <f ca="1">_xll.ciqfunctions.udf.CIQ(A17, "IQ_PERIODDATE_IS", IQ_LTM, $B$1,$L$4,$L$3)</f>
        <v>#NAME?</v>
      </c>
      <c r="G17" s="66" t="e">
        <f ca="1">_xll.ciqfunctions.udf.CIQ($A17, "IQ_FIRSTPRICINGDATE")</f>
        <v>#NAME?</v>
      </c>
      <c r="H17" s="68" t="e">
        <f ca="1">_xll.ciqfunctions.udf.CIQ($A17, "IQ_TEV", $L$2, $L$5, $L$6)</f>
        <v>#NAME?</v>
      </c>
      <c r="I17" s="68" t="e">
        <f ca="1">_xll.ciqfunctions.udf.CIQ(A17, "IQ_LASTSALEPRICE", $B$1,$L$5)</f>
        <v>#NAME?</v>
      </c>
      <c r="J17" s="68" t="e">
        <f ca="1">_xll.ciqfunctions.udf.CIQ($A17, "IQ_MARKETCAP", $L$2, $L$5, $L$6)</f>
        <v>#NAME?</v>
      </c>
      <c r="K17" s="68" t="e">
        <f ca="1">_xll.ciqfunctions.udf.CIQ($A17, "IQ_TOTAL_DEBT", IQ_LTM, $L$2,$L$4, $L$3, $L$5, $L$6)</f>
        <v>#NAME?</v>
      </c>
      <c r="L17" s="68" t="e">
        <f ca="1">_xll.ciqfunctions.udf.CIQ($A17, "IQ_PREF_EQUITY", IQ_LTM, $L$2, $L$4, $L$3, $L$5, $L$6)</f>
        <v>#NAME?</v>
      </c>
      <c r="M17" s="68" t="e">
        <f ca="1">_xll.ciqfunctions.udf.CIQ($A17, "IQ_MINORITY_INTEREST_TOTAL", IQ_LTM, $L$2, $L$4, $L$3, $L$5, $L$6)</f>
        <v>#NAME?</v>
      </c>
      <c r="N17" s="68" t="e">
        <f ca="1">_xll.ciqfunctions.udf.CIQ($A17, "IQ_CASH_ST_INVEST", IQ_LTM, $L$2, $L$4, $L$3, $L$5, $L$6)</f>
        <v>#NAME?</v>
      </c>
      <c r="O17" s="68" t="e">
        <f ca="1">_xll.ciqfunctions.udf.CIQ($A17, "IQ_TOTAL_REV", IQ_LTM-8, $L$2, $L$4, $L$3, $L$5, $L$6)</f>
        <v>#NAME?</v>
      </c>
      <c r="P17" s="68" t="e">
        <f ca="1">_xll.ciqfunctions.udf.CIQ($A17, "IQ_TOTAL_REV", IQ_LTM - 4, $L$2, $L$4, $L$3, $L$5,$L$6)</f>
        <v>#NAME?</v>
      </c>
      <c r="Q17" s="68" t="e">
        <f ca="1">_xll.ciqfunctions.udf.CIQ($A17, "IQ_TOTAL_REV", IQ_LTM, $L$2, $L$4, $L$3, $L$5, $L$6)</f>
        <v>#NAME?</v>
      </c>
      <c r="R17" s="68" t="e">
        <f ca="1">_xll.ciqfunctions.udf.CIQ($A17, "IQ_TOTAL_REV", $B$2, $L$2, $L$4, $L$3, $L$5, $L$6)</f>
        <v>#NAME?</v>
      </c>
      <c r="S17" s="68" t="e">
        <f ca="1">IF(_xll.ciqfunctions.udf.CIQ($A17, "IQ_TOTAL_REV", $B$3, $L$2,$L$4, $L$3, $L$5, $L$6)=0,Q17,_xll.ciqfunctions.udf.CIQ($A17, "IQ_TOTAL_REV", $B$3, $L$2,$L$4, $L$3, $L$5, $L$6))</f>
        <v>#NAME?</v>
      </c>
      <c r="T17" s="68" t="e">
        <f ca="1">IF(_xll.ciqfunctions.udf.CIQ($A17, "IQ_REVENUE_EST",$B$4, $L$2, "CON", $L$3, $L$5, $L$6)=0,"n/a",_xll.ciqfunctions.udf.CIQ($A17, "IQ_REVENUE_EST",$B$4, $L$2, "CON", $L$3, $L$5, $L$6))</f>
        <v>#NAME?</v>
      </c>
      <c r="U17" s="68" t="e">
        <f ca="1">IF(_xll.ciqfunctions.udf.CIQ($A17, "IQ_REVENUE_EST",$B$5, $L$2, "CON", $L$3, $L$5, $L$6)=0,"n/a",_xll.ciqfunctions.udf.CIQ($A17, "IQ_REVENUE_EST",$B$5, $L$2, "CON", $L$3, $L$5, $L$6))</f>
        <v>#NAME?</v>
      </c>
      <c r="V17" s="68" t="e">
        <f ca="1">IF(_xll.ciqfunctions.udf.CIQ($A17, "IQ_REVENUE_EST",$B$6, $L$2, "CON", $L$3, $L$5, $L$6)=0,"n/a",_xll.ciqfunctions.udf.CIQ($A17, "IQ_REVENUE_EST",$B$6, $L$2, "CON", $L$3, $L$5, $L$6))</f>
        <v>#NAME?</v>
      </c>
      <c r="W17" s="68" t="e">
        <f ca="1">IF(_xll.ciqfunctions.udf.CIQ($A17, "IQ_REVENUE_EST", $B$7, $L$2, "CON", $L$3, $L$5, $L$6)=0,"n/a",_xll.ciqfunctions.udf.CIQ($A17, "IQ_REVENUE_EST",$B$7, $L$2, "CON", $L$3, $L$5, $L$6))</f>
        <v>#NAME?</v>
      </c>
      <c r="X17" s="68" t="e">
        <f ca="1">_xll.ciqfunctions.udf.CIQ($A17, "IQ_EBITDA", IQ_LTM-8, $L$2, $L$4, $L$3, $L$5, $L$6)</f>
        <v>#NAME?</v>
      </c>
      <c r="Y17" s="68" t="e">
        <f ca="1">_xll.ciqfunctions.udf.CIQ($A17, "IQ_EBITDA", IQ_LTM-4, $L$2,$L$4, $L$3, $L$5, $L$6)</f>
        <v>#NAME?</v>
      </c>
      <c r="Z17" s="68" t="e">
        <f ca="1">_xll.ciqfunctions.udf.CIQ($A17, "IQ_EBITDA", IQ_LTM, $L$2, $L$4, $L$3, $L$5, $L$6)</f>
        <v>#NAME?</v>
      </c>
      <c r="AA17" s="68" t="e">
        <f ca="1">_xll.ciqfunctions.udf.CIQ($A17, "IQ_EBITDA", $B$2, $L$2, $L$4, $L$3, $L$5, $L$6)</f>
        <v>#NAME?</v>
      </c>
      <c r="AB17" s="68" t="e">
        <f ca="1">IF(_xll.ciqfunctions.udf.CIQ($A17, "IQ_EBITDA", $B$3, $L$2,$L$4, $L$3, $L$5, $L$6)=0,Z17,_xll.ciqfunctions.udf.CIQ($A17, "IQ_EBITDA", $B$3, $L$2,$L$4, $L$3, $L$5, $L$6))</f>
        <v>#NAME?</v>
      </c>
      <c r="AC17" s="68" t="e">
        <f ca="1">IF(_xll.ciqfunctions.udf.CIQ($A17, "IQ_EBITDA_EST",$B$4, $L$2, "CON", $L$3, $L$5, $L$6)=0,"n/a",_xll.ciqfunctions.udf.CIQ($A17, "IQ_EBITDA_EST",$B$4, $L$2, "CON", $L$3, $L$5, $L$6))</f>
        <v>#NAME?</v>
      </c>
      <c r="AD17" s="68" t="e">
        <f ca="1">IF(_xll.ciqfunctions.udf.CIQ($A17, "IQ_EBITDA_EST",$B$5, $L$2, "CON", $L$3, $L$5, $L$6)=0,"n/a",_xll.ciqfunctions.udf.CIQ($A17, "IQ_EBITDA_EST",$B$5, $L$2, "CON", $L$3, $L$5, $L$6))</f>
        <v>#NAME?</v>
      </c>
      <c r="AE17" s="68" t="e">
        <f ca="1">IF(_xll.ciqfunctions.udf.CIQ($A17, "IQ_EBITDA_EST",$B$6, $L$2, "CON", $L$3, $L$5, $L$6)=0,"n/a",_xll.ciqfunctions.udf.CIQ($A17, "IQ_EBITDA_EST",$B$6, $L$2, "CON", $L$3, $L$5, $L$6))</f>
        <v>#NAME?</v>
      </c>
      <c r="AF17" s="69" t="str">
        <f ca="1">IF(ISERROR(_xll.ciqfunctions.udf.CIQ($A17, "IQ_GROSS_MARGIN", IQ_LTM, $L$2,$L$4, $L$3, $L$5, $L$6)/100), "n/a", _xll.ciqfunctions.udf.CIQ($A17,  "IQ_GROSS_MARGIN", IQ_LTM, $L$2, $L$4, $L$3, $L$5, $L$6)/100)</f>
        <v>n/a</v>
      </c>
      <c r="AG17" s="69" t="str">
        <f ca="1">IF(ISERROR(_xll.ciqfunctions.udf.CIQ($A17,"IQ_EBITDA_MARGIN", IQ_LTM, $L$2, $L$4, $L$3, $L$5, $L$6)/100), "n/a", _xll.ciqfunctions.udf.CIQ($A17, "IQ_EBITDA_MARGIN", IQ_LTM, $L$2, $L$4, $L$3, $L$5, $L$6)/100)</f>
        <v>n/a</v>
      </c>
      <c r="AH17" s="69" t="str">
        <f ca="1">IF(ISERROR(_xll.ciqfunctions.udf.CIQ($A17,"IQ_EBIT_MARGIN", IQ_LTM, $L$2, $L$4, $L$3, $L$5, $L$6)/100), "n/a", _xll.ciqfunctions.udf.CIQ($A17, "IQ_EBIT_MARGIN", IQ_LTM, $L$2, $L$4, $L$3, $L$5, $L$6)/100)</f>
        <v>n/a</v>
      </c>
      <c r="AI17" s="69" t="str">
        <f ca="1">IF(ISERROR(_xll.ciqfunctions.udf.CIQ($A17,"IQ_NI_MARGIN", IQ_LTM, $L$2, $L$4, $L$3, $L$5, $L$6)/100), "n/a", _xll.ciqfunctions.udf.CIQ($A17, "IQ_NI_MARGIN", IQ_LTM, $L$2, $L$4, $L$3, $L$5, $L$6)/100)</f>
        <v>n/a</v>
      </c>
      <c r="AJ17" s="68" t="str">
        <f ca="1">IF(ISERROR(_xll.ciqfunctions.udf.CIQ($A17, "IQ_NET_WORKING_CAP", IQ_LTM-8, $L$2, $L$4, $L$3, $L$5, $L$6)), "n/a", _xll.ciqfunctions.udf.CIQ($A17, "IQ_NET_WORKING_CAP", IQ_LTM-8, $L$2, $L$4, $L$3, $L$5, $L$6))</f>
        <v>n/a</v>
      </c>
      <c r="AK17" s="68" t="str">
        <f ca="1">IF(ISERROR(_xll.ciqfunctions.udf.CIQ($A17, "IQ_NET_WORKING_CAP", IQ_LTM-4, $L$2, $L$4, $L$3, $L$5, $L$6)), "n/a", _xll.ciqfunctions.udf.CIQ($A17, "IQ_NET_WORKING_CAP", IQ_LTM-4, $L$2, $L$4, $L$3, $L$5, $L$6))</f>
        <v>n/a</v>
      </c>
      <c r="AL17" s="68" t="str">
        <f ca="1">IF(ISERROR(_xll.ciqfunctions.udf.CIQ($A17, "IQ_NET_WORKING_CAP", IQ_LTM, $L$2,$L$4, $L$3, $L$5, $L$6)), "n/a", _xll.ciqfunctions.udf.CIQ($A17, "IQ_NET_WORKING_CAP", IQ_LTM, $L$2, $L$4, $L$3, $L$5, $L$6))</f>
        <v>n/a</v>
      </c>
      <c r="AM17" s="68" t="str">
        <f ca="1">IF(ISERROR(_xll.ciqfunctions.udf.CIQ($A17, "IQ_Capex", IQ_LTM-8, $L$2,$L$4, $L$3, $L$5, $L$6)), "n/a", _xll.ciqfunctions.udf.CIQ($A17, "IQ_Capex", IQ_LTM-8, $L$2, $L$4, $L$3, $L$5, $L$6))</f>
        <v>n/a</v>
      </c>
      <c r="AN17" s="68" t="str">
        <f ca="1">IF(ISERROR(_xll.ciqfunctions.udf.CIQ($A17, "IQ_Capex", IQ_LTM-4, $L$2,$L$4, $L$3, $L$5, $L$6)), "n/a", _xll.ciqfunctions.udf.CIQ($A17, "IQ_Capex", IQ_LTM-4, $L$2,$L$4, $L$3, $L$5, $L$6))</f>
        <v>n/a</v>
      </c>
      <c r="AO17" s="68" t="str">
        <f ca="1">IF(ISERROR(_xll.ciqfunctions.udf.CIQ($A17, "IQ_Capex", IQ_LTM, $L$2, $L$4, $L$3, $L$5, $L$6)), "n/a", _xll.ciqfunctions.udf.CIQ($A17, "IQ_Capex", IQ_LTM, $L$2, $L$4, $L$3, $L$5, $L$6))</f>
        <v>n/a</v>
      </c>
      <c r="AP17" s="70" t="e">
        <f ca="1">_xll.ciqfunctions.udf.CIQ(A17, "IQ_BUSINESS_DESCRIPTION")</f>
        <v>#NAME?</v>
      </c>
      <c r="AQ17" s="71" t="e">
        <f ca="1">_xll.ciqfunctions.udf.CIQ($A17, "IQ_BETA_1YR", $B$1)</f>
        <v>#NAME?</v>
      </c>
      <c r="AR17" s="71" t="e">
        <f ca="1">_xll.ciqfunctions.udf.CIQ($A17, "IQ_BETA_2YR", $B$1)</f>
        <v>#NAME?</v>
      </c>
      <c r="AS17" s="71" t="e">
        <f ca="1">_xll.ciqfunctions.udf.CIQ($A17, "IQ_BETA_5YR", $B$1)</f>
        <v>#NAME?</v>
      </c>
      <c r="AT17" s="69" t="e">
        <f ca="1">_xll.ciqfunctions.udf.CIQ($A17, "IQ_DIVIDEND_YIELD", $B$1)/100</f>
        <v>#NAME?</v>
      </c>
      <c r="AU17" s="68" t="e">
        <f ca="1">_xll.ciqfunctions.udf.CIQ($A17, "IQ_EARNING_CO", IQ_LTM-8, $L$2, $L$4, $L$3, $L$5, $L$6)</f>
        <v>#NAME?</v>
      </c>
      <c r="AV17" s="68" t="e">
        <f ca="1">_xll.ciqfunctions.udf.CIQ($A17, "IQ_EARNING_CO", IQ_LTM-4, $L$2, $L$4, $L$3, $L$5, $L$6)</f>
        <v>#NAME?</v>
      </c>
      <c r="AW17" s="68" t="e">
        <f ca="1">_xll.ciqfunctions.udf.CIQ($A17, "IQ_EARNING_CO", IQ_LTM, $L$2, $L$4, $L$3, $L$5, $L$6)</f>
        <v>#NAME?</v>
      </c>
      <c r="AX17" s="68" t="e">
        <f ca="1">_xll.ciqfunctions.udf.CIQ($A17, "IQ_EARNING_CO", $B$2, $L$2, $L$4, $L$3, $L$5, $L$6)</f>
        <v>#NAME?</v>
      </c>
      <c r="AY17" s="68" t="e">
        <f ca="1">IF(_xll.ciqfunctions.udf.CIQ($A17, "IQ_EARNING_CO", $B$3, $L$2,$L$4, $L$3, $L$5, $L$6)=0,AW17,_xll.ciqfunctions.udf.CIQ($A17, "IQ_EARNING_CO", $B$3, $L$2,$L$4, $L$3, $L$5, $L$6))</f>
        <v>#NAME?</v>
      </c>
      <c r="AZ17" s="68" t="e">
        <f ca="1">_xll.ciqfunctions.udf.CIQ($A17, "IQ_TOTAL_EQUITY", IQ_LTM-8, $L$2, $L$4, $L$3, $L$5, $L$6)</f>
        <v>#NAME?</v>
      </c>
      <c r="BA17" s="68" t="e">
        <f ca="1">_xll.ciqfunctions.udf.CIQ($A17, "IQ_TOTAL_EQUITY", IQ_LTM-4, $L$2, $L$4, $L$3, $L$5, $L$6)</f>
        <v>#NAME?</v>
      </c>
      <c r="BB17" s="68" t="e">
        <f ca="1">_xll.ciqfunctions.udf.CIQ($A17, "IQ_TOTAL_EQUITY", IQ_LTM, $L$2, $L$4, $L$3, $L$5, $L$6)</f>
        <v>#NAME?</v>
      </c>
      <c r="BC17" s="68" t="e">
        <f ca="1">_xll.ciqfunctions.udf.CIQ($A17, "IQ_TOTAL_EQUITY", $B$2, $L$2, $L$4, $L$3, $L$5, $L$6)</f>
        <v>#NAME?</v>
      </c>
      <c r="BD17" s="68" t="e">
        <f ca="1">IF(_xll.ciqfunctions.udf.CIQ($A17, "IQ_TOTAL_EQUITY", $B$3, $L$2,$L$4, $L$3, $L$5, $L$6)=0,BB17,_xll.ciqfunctions.udf.CIQ($A17, "IQ_TOTAL_EQUITY", $B$3, $L$2,$L$4, $L$3, $L$5, $L$6))</f>
        <v>#NAME?</v>
      </c>
      <c r="BE17" s="68" t="e">
        <f ca="1">_xll.ciqfunctions.udf.CIQ(A17, "IQ_LASTSALEPRICE", $B$8)</f>
        <v>#NAME?</v>
      </c>
      <c r="BF17" s="68" t="e">
        <f ca="1">_xll.ciqfunctions.udf.CIQ($A17, "IQ_MARKETCAP", $B$8, $L$5, $L$6)</f>
        <v>#NAME?</v>
      </c>
      <c r="BG17" s="68" t="e">
        <f ca="1">_xll.ciqfunctions.udf.CIQ($A17, "IQ_TOTAL_DEBT", IQ_LTM, $B$8,$L$4, $L$3, $L$5, $L$6)</f>
        <v>#NAME?</v>
      </c>
      <c r="BH17" s="44" t="e">
        <f ca="1">_xll.ciqfunctions.udf.CIQ($A17,"IQ_PREF_EQUITY",IQ_LTM,$B$8,$L$4,$L$3,$L$5,$L$6)</f>
        <v>#NAME?</v>
      </c>
      <c r="BI17" s="44" t="e">
        <f ca="1">_xll.ciqfunctions.udf.CIQ($A17, "IQ_MINORITY_INTEREST_TOTAL", IQ_LTM,$B$8,$L$4,$L$3,$L$5,$L$6)</f>
        <v>#NAME?</v>
      </c>
      <c r="BJ17" s="68" t="e">
        <f ca="1">_xll.ciqfunctions.udf.CIQ($A17, "IQ_CASH_ST_INVEST", IQ_LTM, $B$8, $L$4, $L$3, $L$5, $L$6)</f>
        <v>#NAME?</v>
      </c>
      <c r="BK17" s="44" t="e">
        <f ca="1">_xll.ciqfunctions.udf.CIQ($A17, "IQ_EFFECT_TAX_RATE")</f>
        <v>#NAME?</v>
      </c>
      <c r="BL17" s="44" t="e">
        <f ca="1">IF(_xll.ciqfunctions.udf.CIQ($A17, "IQ_TOTAL_REV_2YR_ANN_CAGR", IQ_LTM, $B$1,$L$4, $L$3, $L$5, $L$6)="NM","n/a",(_xll.ciqfunctions.udf.CIQ($A17, "IQ_TOTAL_REV_2YR_ANN_CAGR", IQ_LTM, $B$1,$L$4, $L$3, $L$5, $L$6)/100))</f>
        <v>#NAME?</v>
      </c>
      <c r="BM17" s="44" t="e">
        <f ca="1">IF(_xll.ciqfunctions.udf.CIQ($A17, "IQ_TOTAL_REV_3YR_ANN_CAGR", IQ_LTM, $B$1,$L$4, $L$3, $L$5, $L$6)="NM","n/a",(_xll.ciqfunctions.udf.CIQ($A17, "IQ_TOTAL_REV_3YR_ANN_CAGR", IQ_LTM, $B$1,$L$4, $L$3, $L$5, $L$6)/100))</f>
        <v>#NAME?</v>
      </c>
      <c r="BN17" s="44" t="e">
        <f ca="1">IF(_xll.ciqfunctions.udf.CIQ($A17, "IQ_TOTAL_REV_5YR_ANN_CAGR", IQ_LTM, $B$1,$L$4, $L$3, $L$5, $L$6)="NM","n/a",(_xll.ciqfunctions.udf.CIQ($A17, "IQ_TOTAL_REV_5YR_ANN_CAGR", IQ_LTM, $B$1,$L$4, $L$3, $L$5, $L$6)/100))</f>
        <v>#NAME?</v>
      </c>
      <c r="BO17" s="44" t="e">
        <f ca="1">IF(_xll.ciqfunctions.udf.CIQ($A17,"IQ_EBITDA_2YR_ANN_CAGR", IQ_LTM,$B$1,$L$4, $L$3, $L$5, $L$6)="NM","n/a",(_xll.ciqfunctions.udf.CIQ($A17,"IQ_EBITDA_2YR_ANN_CAGR", IQ_LTM,$B$1,$L$4, $L$3, $L$5, $L$6)/100))</f>
        <v>#NAME?</v>
      </c>
      <c r="BP17" s="44" t="e">
        <f ca="1">IF(_xll.ciqfunctions.udf.CIQ($A17,"IQ_EBITDA_3YR_ANN_CAGR", IQ_LTM,$B$1,$L$4, $L$3, $L$5, $L$6)="NM","n/a",(_xll.ciqfunctions.udf.CIQ($A17,"IQ_EBITDA_3YR_ANN_CAGR", IQ_LTM,$B$1,$L$4, $L$3, $L$5, $L$6)/100))</f>
        <v>#NAME?</v>
      </c>
      <c r="BQ17" s="44" t="e">
        <f ca="1">IF(_xll.ciqfunctions.udf.CIQ($A17,"IQ_EBITDA_5YR_ANN_CAGR", IQ_LTM,$B$1,$L$4, $L$3, $L$5, $L$6)="NM","n/a",(_xll.ciqfunctions.udf.CIQ($A17,"IQ_EBITDA_5YR_ANN_CAGR", IQ_LTM,$B$1,$L$4, $L$3, $L$5, $L$6)/100))</f>
        <v>#NAME?</v>
      </c>
      <c r="BR17" s="48" t="str">
        <f ca="1">IFERROR((_xll.ciqfunctions.udf.CIQ($A17, "IQ_DA_CF", IQ_LTM, $B$1, $L$4, $L$3, $L$5, $L$6)/Q17),"NM")</f>
        <v>NM</v>
      </c>
      <c r="BS17" s="72">
        <f>'Capital IQ Sheet-GPC'!BS17</f>
        <v>0.54700000000000004</v>
      </c>
      <c r="BT17" s="72">
        <f>'Capital IQ Sheet-GPC'!BT17</f>
        <v>0.69699999999999995</v>
      </c>
      <c r="BU17" s="72">
        <f>'Capital IQ Sheet-GPC'!BU17</f>
        <v>0.68500000000000005</v>
      </c>
      <c r="BV17" s="72">
        <f>'Capital IQ Sheet-GPC'!BV17</f>
        <v>0.66600000000000004</v>
      </c>
      <c r="BW17" s="72">
        <f>'Capital IQ Sheet-GPC'!BW17</f>
        <v>0.67200000000000004</v>
      </c>
      <c r="BX17" s="72">
        <f>'Capital IQ Sheet-GPC'!BX17</f>
        <v>0.70299999999999996</v>
      </c>
      <c r="BY17" s="72" t="str">
        <f>'Capital IQ Sheet-GPC'!BY17</f>
        <v>n/a</v>
      </c>
      <c r="BZ17" s="72" t="str">
        <f>'Capital IQ Sheet-GPC'!BZ17</f>
        <v>n/a</v>
      </c>
      <c r="CB17" s="44">
        <v>2</v>
      </c>
      <c r="CC17" s="112" t="s">
        <v>269</v>
      </c>
      <c r="CD17" s="112" t="s">
        <v>268</v>
      </c>
      <c r="CE17" s="46">
        <f t="shared" si="0"/>
        <v>42766</v>
      </c>
    </row>
    <row r="18" spans="1:83" s="44" customFormat="1" ht="12.75">
      <c r="A18" s="45" t="e">
        <f ca="1">_xll.ciqfunctions.udf.CIQ($B18,"IQ_COMPANY_TICKER")</f>
        <v>#NAME?</v>
      </c>
      <c r="B18" s="67" t="str">
        <f>'Capital IQ Sheet-GPC'!B18</f>
        <v>IQ143627354</v>
      </c>
      <c r="C18" s="45" t="e">
        <f ca="1">_xll.ciqfunctions.udf.CIQ($A18,"IQ_COMPANY_NAME")</f>
        <v>#NAME?</v>
      </c>
      <c r="D18" s="45" t="e">
        <f ca="1">_xll.ciqfunctions.udf.CIQ($A18, "IQ_EXCHANGE")</f>
        <v>#NAME?</v>
      </c>
      <c r="E18" s="66" t="e">
        <f ca="1">_xll.ciqfunctions.udf.CIQ($A18, "IQ_PERIODDATE_IS", IQ_FY)</f>
        <v>#NAME?</v>
      </c>
      <c r="F18" s="66" t="e">
        <f ca="1">_xll.ciqfunctions.udf.CIQ(A18, "IQ_PERIODDATE_IS", IQ_LTM, $B$1,$L$4,$L$3)</f>
        <v>#NAME?</v>
      </c>
      <c r="G18" s="66" t="e">
        <f ca="1">_xll.ciqfunctions.udf.CIQ($A18, "IQ_FIRSTPRICINGDATE")</f>
        <v>#NAME?</v>
      </c>
      <c r="H18" s="68" t="e">
        <f ca="1">_xll.ciqfunctions.udf.CIQ($A18, "IQ_TEV", $L$2, $L$5, $L$6)</f>
        <v>#NAME?</v>
      </c>
      <c r="I18" s="68" t="e">
        <f ca="1">_xll.ciqfunctions.udf.CIQ(A18, "IQ_LASTSALEPRICE", $B$1,$L$5)</f>
        <v>#NAME?</v>
      </c>
      <c r="J18" s="68" t="e">
        <f ca="1">_xll.ciqfunctions.udf.CIQ($A18, "IQ_MARKETCAP", $L$2, $L$5, $L$6)</f>
        <v>#NAME?</v>
      </c>
      <c r="K18" s="68" t="e">
        <f ca="1">_xll.ciqfunctions.udf.CIQ($A18, "IQ_TOTAL_DEBT", IQ_LTM, $L$2,$L$4, $L$3, $L$5, $L$6)</f>
        <v>#NAME?</v>
      </c>
      <c r="L18" s="68" t="e">
        <f ca="1">_xll.ciqfunctions.udf.CIQ($A18, "IQ_PREF_EQUITY", IQ_LTM, $L$2, $L$4, $L$3, $L$5, $L$6)</f>
        <v>#NAME?</v>
      </c>
      <c r="M18" s="68" t="e">
        <f ca="1">_xll.ciqfunctions.udf.CIQ($A18, "IQ_MINORITY_INTEREST_TOTAL", IQ_LTM, $L$2, $L$4, $L$3, $L$5, $L$6)</f>
        <v>#NAME?</v>
      </c>
      <c r="N18" s="68" t="e">
        <f ca="1">_xll.ciqfunctions.udf.CIQ($A18, "IQ_CASH_ST_INVEST", IQ_LTM, $L$2, $L$4, $L$3, $L$5, $L$6)</f>
        <v>#NAME?</v>
      </c>
      <c r="O18" s="68" t="e">
        <f ca="1">_xll.ciqfunctions.udf.CIQ($A18, "IQ_TOTAL_REV", IQ_LTM-8, $L$2, $L$4, $L$3, $L$5, $L$6)</f>
        <v>#NAME?</v>
      </c>
      <c r="P18" s="68" t="e">
        <f ca="1">_xll.ciqfunctions.udf.CIQ($A18, "IQ_TOTAL_REV", IQ_LTM - 4, $L$2, $L$4, $L$3, $L$5,$L$6)</f>
        <v>#NAME?</v>
      </c>
      <c r="Q18" s="68" t="e">
        <f ca="1">_xll.ciqfunctions.udf.CIQ($A18, "IQ_TOTAL_REV", IQ_LTM, $L$2, $L$4, $L$3, $L$5, $L$6)</f>
        <v>#NAME?</v>
      </c>
      <c r="R18" s="68" t="e">
        <f ca="1">_xll.ciqfunctions.udf.CIQ($A18, "IQ_TOTAL_REV", $B$2, $L$2, $L$4, $L$3, $L$5, $L$6)</f>
        <v>#NAME?</v>
      </c>
      <c r="S18" s="68" t="e">
        <f ca="1">IF(_xll.ciqfunctions.udf.CIQ($A18, "IQ_TOTAL_REV", $B$3, $L$2,$L$4, $L$3, $L$5, $L$6)=0,Q18,_xll.ciqfunctions.udf.CIQ($A18, "IQ_TOTAL_REV", $B$3, $L$2,$L$4, $L$3, $L$5, $L$6))</f>
        <v>#NAME?</v>
      </c>
      <c r="T18" s="68" t="e">
        <f ca="1">IF(_xll.ciqfunctions.udf.CIQ($A18, "IQ_REVENUE_EST",$B$4, $L$2, "CON", $L$3, $L$5, $L$6)=0,"n/a",_xll.ciqfunctions.udf.CIQ($A18, "IQ_REVENUE_EST",$B$4, $L$2, "CON", $L$3, $L$5, $L$6))</f>
        <v>#NAME?</v>
      </c>
      <c r="U18" s="68" t="e">
        <f ca="1">IF(_xll.ciqfunctions.udf.CIQ($A18, "IQ_REVENUE_EST",$B$5, $L$2, "CON", $L$3, $L$5, $L$6)=0,"n/a",_xll.ciqfunctions.udf.CIQ($A18, "IQ_REVENUE_EST",$B$5, $L$2, "CON", $L$3, $L$5, $L$6))</f>
        <v>#NAME?</v>
      </c>
      <c r="V18" s="68" t="e">
        <f ca="1">IF(_xll.ciqfunctions.udf.CIQ($A18, "IQ_REVENUE_EST",$B$6, $L$2, "CON", $L$3, $L$5, $L$6)=0,"n/a",_xll.ciqfunctions.udf.CIQ($A18, "IQ_REVENUE_EST",$B$6, $L$2, "CON", $L$3, $L$5, $L$6))</f>
        <v>#NAME?</v>
      </c>
      <c r="W18" s="68" t="e">
        <f ca="1">IF(_xll.ciqfunctions.udf.CIQ($A18, "IQ_REVENUE_EST", $B$7, $L$2, "CON", $L$3, $L$5, $L$6)=0,"n/a",_xll.ciqfunctions.udf.CIQ($A18, "IQ_REVENUE_EST",$B$7, $L$2, "CON", $L$3, $L$5, $L$6))</f>
        <v>#NAME?</v>
      </c>
      <c r="X18" s="68" t="e">
        <f ca="1">_xll.ciqfunctions.udf.CIQ($A18, "IQ_EBITDA", IQ_LTM-8, $L$2, $L$4, $L$3, $L$5, $L$6)</f>
        <v>#NAME?</v>
      </c>
      <c r="Y18" s="68" t="e">
        <f ca="1">_xll.ciqfunctions.udf.CIQ($A18, "IQ_EBITDA", IQ_LTM-4, $L$2,$L$4, $L$3, $L$5, $L$6)</f>
        <v>#NAME?</v>
      </c>
      <c r="Z18" s="68" t="e">
        <f ca="1">_xll.ciqfunctions.udf.CIQ($A18, "IQ_EBITDA", IQ_LTM, $L$2, $L$4, $L$3, $L$5, $L$6)</f>
        <v>#NAME?</v>
      </c>
      <c r="AA18" s="68" t="e">
        <f ca="1">_xll.ciqfunctions.udf.CIQ($A18, "IQ_EBITDA", $B$2, $L$2, $L$4, $L$3, $L$5, $L$6)</f>
        <v>#NAME?</v>
      </c>
      <c r="AB18" s="68" t="e">
        <f ca="1">IF(_xll.ciqfunctions.udf.CIQ($A18, "IQ_EBITDA", $B$3, $L$2,$L$4, $L$3, $L$5, $L$6)=0,Z18,_xll.ciqfunctions.udf.CIQ($A18, "IQ_EBITDA", $B$3, $L$2,$L$4, $L$3, $L$5, $L$6))</f>
        <v>#NAME?</v>
      </c>
      <c r="AC18" s="68" t="e">
        <f ca="1">IF(_xll.ciqfunctions.udf.CIQ($A18, "IQ_EBITDA_EST",$B$4, $L$2, "CON", $L$3, $L$5, $L$6)=0,"n/a",_xll.ciqfunctions.udf.CIQ($A18, "IQ_EBITDA_EST",$B$4, $L$2, "CON", $L$3, $L$5, $L$6))</f>
        <v>#NAME?</v>
      </c>
      <c r="AD18" s="68" t="e">
        <f ca="1">IF(_xll.ciqfunctions.udf.CIQ($A18, "IQ_EBITDA_EST",$B$5, $L$2, "CON", $L$3, $L$5, $L$6)=0,"n/a",_xll.ciqfunctions.udf.CIQ($A18, "IQ_EBITDA_EST",$B$5, $L$2, "CON", $L$3, $L$5, $L$6))</f>
        <v>#NAME?</v>
      </c>
      <c r="AE18" s="68" t="e">
        <f ca="1">IF(_xll.ciqfunctions.udf.CIQ($A18, "IQ_EBITDA_EST",$B$6, $L$2, "CON", $L$3, $L$5, $L$6)=0,"n/a",_xll.ciqfunctions.udf.CIQ($A18, "IQ_EBITDA_EST",$B$6, $L$2, "CON", $L$3, $L$5, $L$6))</f>
        <v>#NAME?</v>
      </c>
      <c r="AF18" s="69" t="str">
        <f ca="1">IF(ISERROR(_xll.ciqfunctions.udf.CIQ($A18, "IQ_GROSS_MARGIN", IQ_LTM, $L$2,$L$4, $L$3, $L$5, $L$6)/100), "n/a", _xll.ciqfunctions.udf.CIQ($A18,  "IQ_GROSS_MARGIN", IQ_LTM, $L$2, $L$4, $L$3, $L$5, $L$6)/100)</f>
        <v>n/a</v>
      </c>
      <c r="AG18" s="69" t="str">
        <f ca="1">IF(ISERROR(_xll.ciqfunctions.udf.CIQ($A18,"IQ_EBITDA_MARGIN", IQ_LTM, $L$2, $L$4, $L$3, $L$5, $L$6)/100), "n/a", _xll.ciqfunctions.udf.CIQ($A18, "IQ_EBITDA_MARGIN", IQ_LTM, $L$2, $L$4, $L$3, $L$5, $L$6)/100)</f>
        <v>n/a</v>
      </c>
      <c r="AH18" s="69" t="str">
        <f ca="1">IF(ISERROR(_xll.ciqfunctions.udf.CIQ($A18,"IQ_EBIT_MARGIN", IQ_LTM, $L$2, $L$4, $L$3, $L$5, $L$6)/100), "n/a", _xll.ciqfunctions.udf.CIQ($A18, "IQ_EBIT_MARGIN", IQ_LTM, $L$2, $L$4, $L$3, $L$5, $L$6)/100)</f>
        <v>n/a</v>
      </c>
      <c r="AI18" s="69" t="str">
        <f ca="1">IF(ISERROR(_xll.ciqfunctions.udf.CIQ($A18,"IQ_NI_MARGIN", IQ_LTM, $L$2, $L$4, $L$3, $L$5, $L$6)/100), "n/a", _xll.ciqfunctions.udf.CIQ($A18, "IQ_NI_MARGIN", IQ_LTM, $L$2, $L$4, $L$3, $L$5, $L$6)/100)</f>
        <v>n/a</v>
      </c>
      <c r="AJ18" s="68" t="str">
        <f ca="1">IF(ISERROR(_xll.ciqfunctions.udf.CIQ($A18, "IQ_NET_WORKING_CAP", IQ_LTM-8, $L$2, $L$4, $L$3, $L$5, $L$6)), "n/a", _xll.ciqfunctions.udf.CIQ($A18, "IQ_NET_WORKING_CAP", IQ_LTM-8, $L$2, $L$4, $L$3, $L$5, $L$6))</f>
        <v>n/a</v>
      </c>
      <c r="AK18" s="68" t="str">
        <f ca="1">IF(ISERROR(_xll.ciqfunctions.udf.CIQ($A18, "IQ_NET_WORKING_CAP", IQ_LTM-4, $L$2, $L$4, $L$3, $L$5, $L$6)), "n/a", _xll.ciqfunctions.udf.CIQ($A18, "IQ_NET_WORKING_CAP", IQ_LTM-4, $L$2, $L$4, $L$3, $L$5, $L$6))</f>
        <v>n/a</v>
      </c>
      <c r="AL18" s="68" t="str">
        <f ca="1">IF(ISERROR(_xll.ciqfunctions.udf.CIQ($A18, "IQ_NET_WORKING_CAP", IQ_LTM, $L$2,$L$4, $L$3, $L$5, $L$6)), "n/a", _xll.ciqfunctions.udf.CIQ($A18, "IQ_NET_WORKING_CAP", IQ_LTM, $L$2, $L$4, $L$3, $L$5, $L$6))</f>
        <v>n/a</v>
      </c>
      <c r="AM18" s="68" t="str">
        <f ca="1">IF(ISERROR(_xll.ciqfunctions.udf.CIQ($A18, "IQ_Capex", IQ_LTM-8, $L$2,$L$4, $L$3, $L$5, $L$6)), "n/a", _xll.ciqfunctions.udf.CIQ($A18, "IQ_Capex", IQ_LTM-8, $L$2, $L$4, $L$3, $L$5, $L$6))</f>
        <v>n/a</v>
      </c>
      <c r="AN18" s="68" t="str">
        <f ca="1">IF(ISERROR(_xll.ciqfunctions.udf.CIQ($A18, "IQ_Capex", IQ_LTM-4, $L$2,$L$4, $L$3, $L$5, $L$6)), "n/a", _xll.ciqfunctions.udf.CIQ($A18, "IQ_Capex", IQ_LTM-4, $L$2,$L$4, $L$3, $L$5, $L$6))</f>
        <v>n/a</v>
      </c>
      <c r="AO18" s="68" t="str">
        <f ca="1">IF(ISERROR(_xll.ciqfunctions.udf.CIQ($A18, "IQ_Capex", IQ_LTM, $L$2, $L$4, $L$3, $L$5, $L$6)), "n/a", _xll.ciqfunctions.udf.CIQ($A18, "IQ_Capex", IQ_LTM, $L$2, $L$4, $L$3, $L$5, $L$6))</f>
        <v>n/a</v>
      </c>
      <c r="AP18" s="70" t="e">
        <f ca="1">_xll.ciqfunctions.udf.CIQ(A18, "IQ_BUSINESS_DESCRIPTION")</f>
        <v>#NAME?</v>
      </c>
      <c r="AQ18" s="71" t="e">
        <f ca="1">_xll.ciqfunctions.udf.CIQ($A18, "IQ_BETA_1YR", $B$1)</f>
        <v>#NAME?</v>
      </c>
      <c r="AR18" s="71" t="e">
        <f ca="1">_xll.ciqfunctions.udf.CIQ($A18, "IQ_BETA_2YR", $B$1)</f>
        <v>#NAME?</v>
      </c>
      <c r="AS18" s="71" t="e">
        <f ca="1">_xll.ciqfunctions.udf.CIQ($A18, "IQ_BETA_5YR", $B$1)</f>
        <v>#NAME?</v>
      </c>
      <c r="AT18" s="69" t="e">
        <f ca="1">_xll.ciqfunctions.udf.CIQ($A18, "IQ_DIVIDEND_YIELD", $B$1)/100</f>
        <v>#NAME?</v>
      </c>
      <c r="AU18" s="68" t="e">
        <f ca="1">_xll.ciqfunctions.udf.CIQ($A18, "IQ_EARNING_CO", IQ_LTM-8, $L$2, $L$4, $L$3, $L$5, $L$6)</f>
        <v>#NAME?</v>
      </c>
      <c r="AV18" s="68" t="e">
        <f ca="1">_xll.ciqfunctions.udf.CIQ($A18, "IQ_EARNING_CO", IQ_LTM-4, $L$2, $L$4, $L$3, $L$5, $L$6)</f>
        <v>#NAME?</v>
      </c>
      <c r="AW18" s="68" t="e">
        <f ca="1">_xll.ciqfunctions.udf.CIQ($A18, "IQ_EARNING_CO", IQ_LTM, $L$2, $L$4, $L$3, $L$5, $L$6)</f>
        <v>#NAME?</v>
      </c>
      <c r="AX18" s="68" t="e">
        <f ca="1">_xll.ciqfunctions.udf.CIQ($A18, "IQ_EARNING_CO", $B$2, $L$2, $L$4, $L$3, $L$5, $L$6)</f>
        <v>#NAME?</v>
      </c>
      <c r="AY18" s="68" t="e">
        <f ca="1">IF(_xll.ciqfunctions.udf.CIQ($A18, "IQ_EARNING_CO", $B$3, $L$2,$L$4, $L$3, $L$5, $L$6)=0,AW18,_xll.ciqfunctions.udf.CIQ($A18, "IQ_EARNING_CO", $B$3, $L$2,$L$4, $L$3, $L$5, $L$6))</f>
        <v>#NAME?</v>
      </c>
      <c r="AZ18" s="68" t="e">
        <f ca="1">_xll.ciqfunctions.udf.CIQ($A18, "IQ_TOTAL_EQUITY", IQ_LTM-8, $L$2, $L$4, $L$3, $L$5, $L$6)</f>
        <v>#NAME?</v>
      </c>
      <c r="BA18" s="68" t="e">
        <f ca="1">_xll.ciqfunctions.udf.CIQ($A18, "IQ_TOTAL_EQUITY", IQ_LTM-4, $L$2, $L$4, $L$3, $L$5, $L$6)</f>
        <v>#NAME?</v>
      </c>
      <c r="BB18" s="68" t="e">
        <f ca="1">_xll.ciqfunctions.udf.CIQ($A18, "IQ_TOTAL_EQUITY", IQ_LTM, $L$2, $L$4, $L$3, $L$5, $L$6)</f>
        <v>#NAME?</v>
      </c>
      <c r="BC18" s="68" t="e">
        <f ca="1">_xll.ciqfunctions.udf.CIQ($A18, "IQ_TOTAL_EQUITY", $B$2, $L$2, $L$4, $L$3, $L$5, $L$6)</f>
        <v>#NAME?</v>
      </c>
      <c r="BD18" s="68" t="e">
        <f ca="1">IF(_xll.ciqfunctions.udf.CIQ($A18, "IQ_TOTAL_EQUITY", $B$3, $L$2,$L$4, $L$3, $L$5, $L$6)=0,BB18,_xll.ciqfunctions.udf.CIQ($A18, "IQ_TOTAL_EQUITY", $B$3, $L$2,$L$4, $L$3, $L$5, $L$6))</f>
        <v>#NAME?</v>
      </c>
      <c r="BE18" s="68" t="e">
        <f ca="1">_xll.ciqfunctions.udf.CIQ(A18, "IQ_LASTSALEPRICE", $B$8)</f>
        <v>#NAME?</v>
      </c>
      <c r="BF18" s="68" t="e">
        <f ca="1">_xll.ciqfunctions.udf.CIQ($A18, "IQ_MARKETCAP", $B$8, $L$5, $L$6)</f>
        <v>#NAME?</v>
      </c>
      <c r="BG18" s="68" t="e">
        <f ca="1">_xll.ciqfunctions.udf.CIQ($A18, "IQ_TOTAL_DEBT", IQ_LTM, $B$8,$L$4, $L$3, $L$5, $L$6)</f>
        <v>#NAME?</v>
      </c>
      <c r="BH18" s="44" t="e">
        <f ca="1">_xll.ciqfunctions.udf.CIQ($A18,"IQ_PREF_EQUITY",IQ_LTM,$B$8,$L$4,$L$3,$L$5,$L$6)</f>
        <v>#NAME?</v>
      </c>
      <c r="BI18" s="44" t="e">
        <f ca="1">_xll.ciqfunctions.udf.CIQ($A18, "IQ_MINORITY_INTEREST_TOTAL", IQ_LTM,$B$8,$L$4,$L$3,$L$5,$L$6)</f>
        <v>#NAME?</v>
      </c>
      <c r="BJ18" s="68" t="e">
        <f ca="1">_xll.ciqfunctions.udf.CIQ($A18, "IQ_CASH_ST_INVEST", IQ_LTM, $B$8, $L$4, $L$3, $L$5, $L$6)</f>
        <v>#NAME?</v>
      </c>
      <c r="BK18" s="44" t="e">
        <f ca="1">_xll.ciqfunctions.udf.CIQ($A18, "IQ_EFFECT_TAX_RATE")</f>
        <v>#NAME?</v>
      </c>
      <c r="BL18" s="44" t="e">
        <f ca="1">IF(_xll.ciqfunctions.udf.CIQ($A18, "IQ_TOTAL_REV_2YR_ANN_CAGR", IQ_LTM, $B$1,$L$4, $L$3, $L$5, $L$6)="NM","n/a",(_xll.ciqfunctions.udf.CIQ($A18, "IQ_TOTAL_REV_2YR_ANN_CAGR", IQ_LTM, $B$1,$L$4, $L$3, $L$5, $L$6)/100))</f>
        <v>#NAME?</v>
      </c>
      <c r="BM18" s="44" t="e">
        <f ca="1">IF(_xll.ciqfunctions.udf.CIQ($A18, "IQ_TOTAL_REV_3YR_ANN_CAGR", IQ_LTM, $B$1,$L$4, $L$3, $L$5, $L$6)="NM","n/a",(_xll.ciqfunctions.udf.CIQ($A18, "IQ_TOTAL_REV_3YR_ANN_CAGR", IQ_LTM, $B$1,$L$4, $L$3, $L$5, $L$6)/100))</f>
        <v>#NAME?</v>
      </c>
      <c r="BN18" s="44" t="e">
        <f ca="1">IF(_xll.ciqfunctions.udf.CIQ($A18, "IQ_TOTAL_REV_5YR_ANN_CAGR", IQ_LTM, $B$1,$L$4, $L$3, $L$5, $L$6)="NM","n/a",(_xll.ciqfunctions.udf.CIQ($A18, "IQ_TOTAL_REV_5YR_ANN_CAGR", IQ_LTM, $B$1,$L$4, $L$3, $L$5, $L$6)/100))</f>
        <v>#NAME?</v>
      </c>
      <c r="BO18" s="44" t="e">
        <f ca="1">IF(_xll.ciqfunctions.udf.CIQ($A18,"IQ_EBITDA_2YR_ANN_CAGR", IQ_LTM,$B$1,$L$4, $L$3, $L$5, $L$6)="NM","n/a",(_xll.ciqfunctions.udf.CIQ($A18,"IQ_EBITDA_2YR_ANN_CAGR", IQ_LTM,$B$1,$L$4, $L$3, $L$5, $L$6)/100))</f>
        <v>#NAME?</v>
      </c>
      <c r="BP18" s="44" t="e">
        <f ca="1">IF(_xll.ciqfunctions.udf.CIQ($A18,"IQ_EBITDA_3YR_ANN_CAGR", IQ_LTM,$B$1,$L$4, $L$3, $L$5, $L$6)="NM","n/a",(_xll.ciqfunctions.udf.CIQ($A18,"IQ_EBITDA_3YR_ANN_CAGR", IQ_LTM,$B$1,$L$4, $L$3, $L$5, $L$6)/100))</f>
        <v>#NAME?</v>
      </c>
      <c r="BQ18" s="44" t="e">
        <f ca="1">IF(_xll.ciqfunctions.udf.CIQ($A18,"IQ_EBITDA_5YR_ANN_CAGR", IQ_LTM,$B$1,$L$4, $L$3, $L$5, $L$6)="NM","n/a",(_xll.ciqfunctions.udf.CIQ($A18,"IQ_EBITDA_5YR_ANN_CAGR", IQ_LTM,$B$1,$L$4, $L$3, $L$5, $L$6)/100))</f>
        <v>#NAME?</v>
      </c>
      <c r="BR18" s="48" t="str">
        <f ca="1">IFERROR((_xll.ciqfunctions.udf.CIQ($A18, "IQ_DA_CF", IQ_LTM, $B$1, $L$4, $L$3, $L$5, $L$6)/Q18),"NM")</f>
        <v>NM</v>
      </c>
      <c r="BS18" s="72">
        <f>'Capital IQ Sheet-GPC'!BS18</f>
        <v>0.83</v>
      </c>
      <c r="BT18" s="72">
        <f>'Capital IQ Sheet-GPC'!BT18</f>
        <v>0.89700000000000002</v>
      </c>
      <c r="BU18" s="72">
        <f>'Capital IQ Sheet-GPC'!BU18</f>
        <v>0.82799999999999996</v>
      </c>
      <c r="BV18" s="72">
        <f>'Capital IQ Sheet-GPC'!BV18</f>
        <v>0.79400000000000004</v>
      </c>
      <c r="BW18" s="72">
        <f>'Capital IQ Sheet-GPC'!BW18</f>
        <v>0.79200000000000004</v>
      </c>
      <c r="BX18" s="72">
        <f>'Capital IQ Sheet-GPC'!BX18</f>
        <v>0.77200000000000002</v>
      </c>
      <c r="BY18" s="72">
        <f>'Capital IQ Sheet-GPC'!BY18</f>
        <v>0.94099999999999995</v>
      </c>
      <c r="BZ18" s="72">
        <f>'Capital IQ Sheet-GPC'!BZ18</f>
        <v>0.94099999999999995</v>
      </c>
      <c r="CB18" s="44">
        <v>2</v>
      </c>
      <c r="CC18" s="112" t="s">
        <v>269</v>
      </c>
      <c r="CD18" s="112" t="s">
        <v>268</v>
      </c>
      <c r="CE18" s="46">
        <f t="shared" si="0"/>
        <v>42766</v>
      </c>
    </row>
    <row r="19" spans="1:83" s="44" customFormat="1" ht="12.75">
      <c r="A19" s="45" t="e">
        <f ca="1">_xll.ciqfunctions.udf.CIQ($B19,"IQ_COMPANY_TICKER")</f>
        <v>#NAME?</v>
      </c>
      <c r="B19" s="67" t="str">
        <f>'Capital IQ Sheet-GPC'!B19</f>
        <v>IQ36769</v>
      </c>
      <c r="C19" s="45" t="e">
        <f ca="1">_xll.ciqfunctions.udf.CIQ($A19,"IQ_COMPANY_NAME")</f>
        <v>#NAME?</v>
      </c>
      <c r="D19" s="45" t="e">
        <f ca="1">_xll.ciqfunctions.udf.CIQ($A19, "IQ_EXCHANGE")</f>
        <v>#NAME?</v>
      </c>
      <c r="E19" s="66" t="e">
        <f ca="1">_xll.ciqfunctions.udf.CIQ($A19, "IQ_PERIODDATE_IS", IQ_FY)</f>
        <v>#NAME?</v>
      </c>
      <c r="F19" s="66" t="e">
        <f ca="1">_xll.ciqfunctions.udf.CIQ(A19, "IQ_PERIODDATE_IS", IQ_LTM, $B$1,$L$4,$L$3)</f>
        <v>#NAME?</v>
      </c>
      <c r="G19" s="66" t="e">
        <f ca="1">_xll.ciqfunctions.udf.CIQ($A19, "IQ_FIRSTPRICINGDATE")</f>
        <v>#NAME?</v>
      </c>
      <c r="H19" s="68" t="e">
        <f ca="1">_xll.ciqfunctions.udf.CIQ($A19, "IQ_TEV", $L$2, $L$5, $L$6)</f>
        <v>#NAME?</v>
      </c>
      <c r="I19" s="68" t="e">
        <f ca="1">_xll.ciqfunctions.udf.CIQ(A19, "IQ_LASTSALEPRICE", $B$1,$L$5)</f>
        <v>#NAME?</v>
      </c>
      <c r="J19" s="68" t="e">
        <f ca="1">_xll.ciqfunctions.udf.CIQ($A19, "IQ_MARKETCAP", $L$2, $L$5, $L$6)</f>
        <v>#NAME?</v>
      </c>
      <c r="K19" s="68" t="e">
        <f ca="1">_xll.ciqfunctions.udf.CIQ($A19, "IQ_TOTAL_DEBT", IQ_LTM, $L$2,$L$4, $L$3, $L$5, $L$6)</f>
        <v>#NAME?</v>
      </c>
      <c r="L19" s="68" t="e">
        <f ca="1">_xll.ciqfunctions.udf.CIQ($A19, "IQ_PREF_EQUITY", IQ_LTM, $L$2, $L$4, $L$3, $L$5, $L$6)</f>
        <v>#NAME?</v>
      </c>
      <c r="M19" s="68" t="e">
        <f ca="1">_xll.ciqfunctions.udf.CIQ($A19, "IQ_MINORITY_INTEREST_TOTAL", IQ_LTM, $L$2, $L$4, $L$3, $L$5, $L$6)</f>
        <v>#NAME?</v>
      </c>
      <c r="N19" s="68" t="e">
        <f ca="1">_xll.ciqfunctions.udf.CIQ($A19, "IQ_CASH_ST_INVEST", IQ_LTM, $L$2, $L$4, $L$3, $L$5, $L$6)</f>
        <v>#NAME?</v>
      </c>
      <c r="O19" s="68" t="e">
        <f ca="1">_xll.ciqfunctions.udf.CIQ($A19, "IQ_TOTAL_REV", IQ_LTM-8, $L$2, $L$4, $L$3, $L$5, $L$6)</f>
        <v>#NAME?</v>
      </c>
      <c r="P19" s="68" t="e">
        <f ca="1">_xll.ciqfunctions.udf.CIQ($A19, "IQ_TOTAL_REV", IQ_LTM - 4, $L$2, $L$4, $L$3, $L$5,$L$6)</f>
        <v>#NAME?</v>
      </c>
      <c r="Q19" s="68" t="e">
        <f ca="1">_xll.ciqfunctions.udf.CIQ($A19, "IQ_TOTAL_REV", IQ_LTM, $L$2, $L$4, $L$3, $L$5, $L$6)</f>
        <v>#NAME?</v>
      </c>
      <c r="R19" s="68" t="e">
        <f ca="1">_xll.ciqfunctions.udf.CIQ($A19, "IQ_TOTAL_REV", $B$2, $L$2, $L$4, $L$3, $L$5, $L$6)</f>
        <v>#NAME?</v>
      </c>
      <c r="S19" s="68" t="e">
        <f ca="1">IF(_xll.ciqfunctions.udf.CIQ($A19, "IQ_TOTAL_REV", $B$3, $L$2,$L$4, $L$3, $L$5, $L$6)=0,Q19,_xll.ciqfunctions.udf.CIQ($A19, "IQ_TOTAL_REV", $B$3, $L$2,$L$4, $L$3, $L$5, $L$6))</f>
        <v>#NAME?</v>
      </c>
      <c r="T19" s="68" t="e">
        <f ca="1">IF(_xll.ciqfunctions.udf.CIQ($A19, "IQ_REVENUE_EST",$B$4, $L$2, "CON", $L$3, $L$5, $L$6)=0,"n/a",_xll.ciqfunctions.udf.CIQ($A19, "IQ_REVENUE_EST",$B$4, $L$2, "CON", $L$3, $L$5, $L$6))</f>
        <v>#NAME?</v>
      </c>
      <c r="U19" s="68" t="e">
        <f ca="1">IF(_xll.ciqfunctions.udf.CIQ($A19, "IQ_REVENUE_EST",$B$5, $L$2, "CON", $L$3, $L$5, $L$6)=0,"n/a",_xll.ciqfunctions.udf.CIQ($A19, "IQ_REVENUE_EST",$B$5, $L$2, "CON", $L$3, $L$5, $L$6))</f>
        <v>#NAME?</v>
      </c>
      <c r="V19" s="68" t="e">
        <f ca="1">IF(_xll.ciqfunctions.udf.CIQ($A19, "IQ_REVENUE_EST",$B$6, $L$2, "CON", $L$3, $L$5, $L$6)=0,"n/a",_xll.ciqfunctions.udf.CIQ($A19, "IQ_REVENUE_EST",$B$6, $L$2, "CON", $L$3, $L$5, $L$6))</f>
        <v>#NAME?</v>
      </c>
      <c r="W19" s="68" t="e">
        <f ca="1">IF(_xll.ciqfunctions.udf.CIQ($A19, "IQ_REVENUE_EST", $B$7, $L$2, "CON", $L$3, $L$5, $L$6)=0,"n/a",_xll.ciqfunctions.udf.CIQ($A19, "IQ_REVENUE_EST",$B$7, $L$2, "CON", $L$3, $L$5, $L$6))</f>
        <v>#NAME?</v>
      </c>
      <c r="X19" s="68" t="e">
        <f ca="1">_xll.ciqfunctions.udf.CIQ($A19, "IQ_EBITDA", IQ_LTM-8, $L$2, $L$4, $L$3, $L$5, $L$6)</f>
        <v>#NAME?</v>
      </c>
      <c r="Y19" s="68" t="e">
        <f ca="1">_xll.ciqfunctions.udf.CIQ($A19, "IQ_EBITDA", IQ_LTM-4, $L$2,$L$4, $L$3, $L$5, $L$6)</f>
        <v>#NAME?</v>
      </c>
      <c r="Z19" s="68" t="e">
        <f ca="1">_xll.ciqfunctions.udf.CIQ($A19, "IQ_EBITDA", IQ_LTM, $L$2, $L$4, $L$3, $L$5, $L$6)</f>
        <v>#NAME?</v>
      </c>
      <c r="AA19" s="68" t="e">
        <f ca="1">_xll.ciqfunctions.udf.CIQ($A19, "IQ_EBITDA", $B$2, $L$2, $L$4, $L$3, $L$5, $L$6)</f>
        <v>#NAME?</v>
      </c>
      <c r="AB19" s="68" t="e">
        <f ca="1">IF(_xll.ciqfunctions.udf.CIQ($A19, "IQ_EBITDA", $B$3, $L$2,$L$4, $L$3, $L$5, $L$6)=0,Z19,_xll.ciqfunctions.udf.CIQ($A19, "IQ_EBITDA", $B$3, $L$2,$L$4, $L$3, $L$5, $L$6))</f>
        <v>#NAME?</v>
      </c>
      <c r="AC19" s="68" t="e">
        <f ca="1">IF(_xll.ciqfunctions.udf.CIQ($A19, "IQ_EBITDA_EST",$B$4, $L$2, "CON", $L$3, $L$5, $L$6)=0,"n/a",_xll.ciqfunctions.udf.CIQ($A19, "IQ_EBITDA_EST",$B$4, $L$2, "CON", $L$3, $L$5, $L$6))</f>
        <v>#NAME?</v>
      </c>
      <c r="AD19" s="68" t="e">
        <f ca="1">IF(_xll.ciqfunctions.udf.CIQ($A19, "IQ_EBITDA_EST",$B$5, $L$2, "CON", $L$3, $L$5, $L$6)=0,"n/a",_xll.ciqfunctions.udf.CIQ($A19, "IQ_EBITDA_EST",$B$5, $L$2, "CON", $L$3, $L$5, $L$6))</f>
        <v>#NAME?</v>
      </c>
      <c r="AE19" s="68" t="e">
        <f ca="1">IF(_xll.ciqfunctions.udf.CIQ($A19, "IQ_EBITDA_EST",$B$6, $L$2, "CON", $L$3, $L$5, $L$6)=0,"n/a",_xll.ciqfunctions.udf.CIQ($A19, "IQ_EBITDA_EST",$B$6, $L$2, "CON", $L$3, $L$5, $L$6))</f>
        <v>#NAME?</v>
      </c>
      <c r="AF19" s="69" t="str">
        <f ca="1">IF(ISERROR(_xll.ciqfunctions.udf.CIQ($A19, "IQ_GROSS_MARGIN", IQ_LTM, $L$2,$L$4, $L$3, $L$5, $L$6)/100), "n/a", _xll.ciqfunctions.udf.CIQ($A19,  "IQ_GROSS_MARGIN", IQ_LTM, $L$2, $L$4, $L$3, $L$5, $L$6)/100)</f>
        <v>n/a</v>
      </c>
      <c r="AG19" s="69" t="str">
        <f ca="1">IF(ISERROR(_xll.ciqfunctions.udf.CIQ($A19,"IQ_EBITDA_MARGIN", IQ_LTM, $L$2, $L$4, $L$3, $L$5, $L$6)/100), "n/a", _xll.ciqfunctions.udf.CIQ($A19, "IQ_EBITDA_MARGIN", IQ_LTM, $L$2, $L$4, $L$3, $L$5, $L$6)/100)</f>
        <v>n/a</v>
      </c>
      <c r="AH19" s="69" t="str">
        <f ca="1">IF(ISERROR(_xll.ciqfunctions.udf.CIQ($A19,"IQ_EBIT_MARGIN", IQ_LTM, $L$2, $L$4, $L$3, $L$5, $L$6)/100), "n/a", _xll.ciqfunctions.udf.CIQ($A19, "IQ_EBIT_MARGIN", IQ_LTM, $L$2, $L$4, $L$3, $L$5, $L$6)/100)</f>
        <v>n/a</v>
      </c>
      <c r="AI19" s="69" t="str">
        <f ca="1">IF(ISERROR(_xll.ciqfunctions.udf.CIQ($A19,"IQ_NI_MARGIN", IQ_LTM, $L$2, $L$4, $L$3, $L$5, $L$6)/100), "n/a", _xll.ciqfunctions.udf.CIQ($A19, "IQ_NI_MARGIN", IQ_LTM, $L$2, $L$4, $L$3, $L$5, $L$6)/100)</f>
        <v>n/a</v>
      </c>
      <c r="AJ19" s="68" t="str">
        <f ca="1">IF(ISERROR(_xll.ciqfunctions.udf.CIQ($A19, "IQ_NET_WORKING_CAP", IQ_LTM-8, $L$2, $L$4, $L$3, $L$5, $L$6)), "n/a", _xll.ciqfunctions.udf.CIQ($A19, "IQ_NET_WORKING_CAP", IQ_LTM-8, $L$2, $L$4, $L$3, $L$5, $L$6))</f>
        <v>n/a</v>
      </c>
      <c r="AK19" s="68" t="str">
        <f ca="1">IF(ISERROR(_xll.ciqfunctions.udf.CIQ($A19, "IQ_NET_WORKING_CAP", IQ_LTM-4, $L$2, $L$4, $L$3, $L$5, $L$6)), "n/a", _xll.ciqfunctions.udf.CIQ($A19, "IQ_NET_WORKING_CAP", IQ_LTM-4, $L$2, $L$4, $L$3, $L$5, $L$6))</f>
        <v>n/a</v>
      </c>
      <c r="AL19" s="68" t="str">
        <f ca="1">IF(ISERROR(_xll.ciqfunctions.udf.CIQ($A19, "IQ_NET_WORKING_CAP", IQ_LTM, $L$2,$L$4, $L$3, $L$5, $L$6)), "n/a", _xll.ciqfunctions.udf.CIQ($A19, "IQ_NET_WORKING_CAP", IQ_LTM, $L$2, $L$4, $L$3, $L$5, $L$6))</f>
        <v>n/a</v>
      </c>
      <c r="AM19" s="68" t="str">
        <f ca="1">IF(ISERROR(_xll.ciqfunctions.udf.CIQ($A19, "IQ_Capex", IQ_LTM-8, $L$2,$L$4, $L$3, $L$5, $L$6)), "n/a", _xll.ciqfunctions.udf.CIQ($A19, "IQ_Capex", IQ_LTM-8, $L$2, $L$4, $L$3, $L$5, $L$6))</f>
        <v>n/a</v>
      </c>
      <c r="AN19" s="68" t="str">
        <f ca="1">IF(ISERROR(_xll.ciqfunctions.udf.CIQ($A19, "IQ_Capex", IQ_LTM-4, $L$2,$L$4, $L$3, $L$5, $L$6)), "n/a", _xll.ciqfunctions.udf.CIQ($A19, "IQ_Capex", IQ_LTM-4, $L$2,$L$4, $L$3, $L$5, $L$6))</f>
        <v>n/a</v>
      </c>
      <c r="AO19" s="68" t="str">
        <f ca="1">IF(ISERROR(_xll.ciqfunctions.udf.CIQ($A19, "IQ_Capex", IQ_LTM, $L$2, $L$4, $L$3, $L$5, $L$6)), "n/a", _xll.ciqfunctions.udf.CIQ($A19, "IQ_Capex", IQ_LTM, $L$2, $L$4, $L$3, $L$5, $L$6))</f>
        <v>n/a</v>
      </c>
      <c r="AP19" s="70" t="e">
        <f ca="1">_xll.ciqfunctions.udf.CIQ(A19, "IQ_BUSINESS_DESCRIPTION")</f>
        <v>#NAME?</v>
      </c>
      <c r="AQ19" s="71" t="e">
        <f ca="1">_xll.ciqfunctions.udf.CIQ($A19, "IQ_BETA_1YR", $B$1)</f>
        <v>#NAME?</v>
      </c>
      <c r="AR19" s="71" t="e">
        <f ca="1">_xll.ciqfunctions.udf.CIQ($A19, "IQ_BETA_2YR", $B$1)</f>
        <v>#NAME?</v>
      </c>
      <c r="AS19" s="71" t="e">
        <f ca="1">_xll.ciqfunctions.udf.CIQ($A19, "IQ_BETA_5YR", $B$1)</f>
        <v>#NAME?</v>
      </c>
      <c r="AT19" s="69" t="e">
        <f ca="1">_xll.ciqfunctions.udf.CIQ($A19, "IQ_DIVIDEND_YIELD", $B$1)/100</f>
        <v>#NAME?</v>
      </c>
      <c r="AU19" s="68" t="e">
        <f ca="1">_xll.ciqfunctions.udf.CIQ($A19, "IQ_EARNING_CO", IQ_LTM-8, $L$2, $L$4, $L$3, $L$5, $L$6)</f>
        <v>#NAME?</v>
      </c>
      <c r="AV19" s="68" t="e">
        <f ca="1">_xll.ciqfunctions.udf.CIQ($A19, "IQ_EARNING_CO", IQ_LTM-4, $L$2, $L$4, $L$3, $L$5, $L$6)</f>
        <v>#NAME?</v>
      </c>
      <c r="AW19" s="68" t="e">
        <f ca="1">_xll.ciqfunctions.udf.CIQ($A19, "IQ_EARNING_CO", IQ_LTM, $L$2, $L$4, $L$3, $L$5, $L$6)</f>
        <v>#NAME?</v>
      </c>
      <c r="AX19" s="68" t="e">
        <f ca="1">_xll.ciqfunctions.udf.CIQ($A19, "IQ_EARNING_CO", $B$2, $L$2, $L$4, $L$3, $L$5, $L$6)</f>
        <v>#NAME?</v>
      </c>
      <c r="AY19" s="68" t="e">
        <f ca="1">IF(_xll.ciqfunctions.udf.CIQ($A19, "IQ_EARNING_CO", $B$3, $L$2,$L$4, $L$3, $L$5, $L$6)=0,AW19,_xll.ciqfunctions.udf.CIQ($A19, "IQ_EARNING_CO", $B$3, $L$2,$L$4, $L$3, $L$5, $L$6))</f>
        <v>#NAME?</v>
      </c>
      <c r="AZ19" s="68" t="e">
        <f ca="1">_xll.ciqfunctions.udf.CIQ($A19, "IQ_TOTAL_EQUITY", IQ_LTM-8, $L$2, $L$4, $L$3, $L$5, $L$6)</f>
        <v>#NAME?</v>
      </c>
      <c r="BA19" s="68" t="e">
        <f ca="1">_xll.ciqfunctions.udf.CIQ($A19, "IQ_TOTAL_EQUITY", IQ_LTM-4, $L$2, $L$4, $L$3, $L$5, $L$6)</f>
        <v>#NAME?</v>
      </c>
      <c r="BB19" s="68" t="e">
        <f ca="1">_xll.ciqfunctions.udf.CIQ($A19, "IQ_TOTAL_EQUITY", IQ_LTM, $L$2, $L$4, $L$3, $L$5, $L$6)</f>
        <v>#NAME?</v>
      </c>
      <c r="BC19" s="68" t="e">
        <f ca="1">_xll.ciqfunctions.udf.CIQ($A19, "IQ_TOTAL_EQUITY", $B$2, $L$2, $L$4, $L$3, $L$5, $L$6)</f>
        <v>#NAME?</v>
      </c>
      <c r="BD19" s="68" t="e">
        <f ca="1">IF(_xll.ciqfunctions.udf.CIQ($A19, "IQ_TOTAL_EQUITY", $B$3, $L$2,$L$4, $L$3, $L$5, $L$6)=0,BB19,_xll.ciqfunctions.udf.CIQ($A19, "IQ_TOTAL_EQUITY", $B$3, $L$2,$L$4, $L$3, $L$5, $L$6))</f>
        <v>#NAME?</v>
      </c>
      <c r="BE19" s="68" t="e">
        <f ca="1">_xll.ciqfunctions.udf.CIQ(A19, "IQ_LASTSALEPRICE", $B$8)</f>
        <v>#NAME?</v>
      </c>
      <c r="BF19" s="68" t="e">
        <f ca="1">_xll.ciqfunctions.udf.CIQ($A19, "IQ_MARKETCAP", $B$8, $L$5, $L$6)</f>
        <v>#NAME?</v>
      </c>
      <c r="BG19" s="68" t="e">
        <f ca="1">_xll.ciqfunctions.udf.CIQ($A19, "IQ_TOTAL_DEBT", IQ_LTM, $B$8,$L$4, $L$3, $L$5, $L$6)</f>
        <v>#NAME?</v>
      </c>
      <c r="BH19" s="44" t="e">
        <f ca="1">_xll.ciqfunctions.udf.CIQ($A19,"IQ_PREF_EQUITY",IQ_LTM,$B$8,$L$4,$L$3,$L$5,$L$6)</f>
        <v>#NAME?</v>
      </c>
      <c r="BI19" s="44" t="e">
        <f ca="1">_xll.ciqfunctions.udf.CIQ($A19, "IQ_MINORITY_INTEREST_TOTAL", IQ_LTM,$B$8,$L$4,$L$3,$L$5,$L$6)</f>
        <v>#NAME?</v>
      </c>
      <c r="BJ19" s="68" t="e">
        <f ca="1">_xll.ciqfunctions.udf.CIQ($A19, "IQ_CASH_ST_INVEST", IQ_LTM, $B$8, $L$4, $L$3, $L$5, $L$6)</f>
        <v>#NAME?</v>
      </c>
      <c r="BK19" s="44" t="e">
        <f ca="1">_xll.ciqfunctions.udf.CIQ($A19, "IQ_EFFECT_TAX_RATE")</f>
        <v>#NAME?</v>
      </c>
      <c r="BL19" s="44" t="e">
        <f ca="1">IF(_xll.ciqfunctions.udf.CIQ($A19, "IQ_TOTAL_REV_2YR_ANN_CAGR", IQ_LTM, $B$1,$L$4, $L$3, $L$5, $L$6)="NM","n/a",(_xll.ciqfunctions.udf.CIQ($A19, "IQ_TOTAL_REV_2YR_ANN_CAGR", IQ_LTM, $B$1,$L$4, $L$3, $L$5, $L$6)/100))</f>
        <v>#NAME?</v>
      </c>
      <c r="BM19" s="44" t="e">
        <f ca="1">IF(_xll.ciqfunctions.udf.CIQ($A19, "IQ_TOTAL_REV_3YR_ANN_CAGR", IQ_LTM, $B$1,$L$4, $L$3, $L$5, $L$6)="NM","n/a",(_xll.ciqfunctions.udf.CIQ($A19, "IQ_TOTAL_REV_3YR_ANN_CAGR", IQ_LTM, $B$1,$L$4, $L$3, $L$5, $L$6)/100))</f>
        <v>#NAME?</v>
      </c>
      <c r="BN19" s="44" t="e">
        <f ca="1">IF(_xll.ciqfunctions.udf.CIQ($A19, "IQ_TOTAL_REV_5YR_ANN_CAGR", IQ_LTM, $B$1,$L$4, $L$3, $L$5, $L$6)="NM","n/a",(_xll.ciqfunctions.udf.CIQ($A19, "IQ_TOTAL_REV_5YR_ANN_CAGR", IQ_LTM, $B$1,$L$4, $L$3, $L$5, $L$6)/100))</f>
        <v>#NAME?</v>
      </c>
      <c r="BO19" s="44" t="e">
        <f ca="1">IF(_xll.ciqfunctions.udf.CIQ($A19,"IQ_EBITDA_2YR_ANN_CAGR", IQ_LTM,$B$1,$L$4, $L$3, $L$5, $L$6)="NM","n/a",(_xll.ciqfunctions.udf.CIQ($A19,"IQ_EBITDA_2YR_ANN_CAGR", IQ_LTM,$B$1,$L$4, $L$3, $L$5, $L$6)/100))</f>
        <v>#NAME?</v>
      </c>
      <c r="BP19" s="44" t="e">
        <f ca="1">IF(_xll.ciqfunctions.udf.CIQ($A19,"IQ_EBITDA_3YR_ANN_CAGR", IQ_LTM,$B$1,$L$4, $L$3, $L$5, $L$6)="NM","n/a",(_xll.ciqfunctions.udf.CIQ($A19,"IQ_EBITDA_3YR_ANN_CAGR", IQ_LTM,$B$1,$L$4, $L$3, $L$5, $L$6)/100))</f>
        <v>#NAME?</v>
      </c>
      <c r="BQ19" s="44" t="e">
        <f ca="1">IF(_xll.ciqfunctions.udf.CIQ($A19,"IQ_EBITDA_5YR_ANN_CAGR", IQ_LTM,$B$1,$L$4, $L$3, $L$5, $L$6)="NM","n/a",(_xll.ciqfunctions.udf.CIQ($A19,"IQ_EBITDA_5YR_ANN_CAGR", IQ_LTM,$B$1,$L$4, $L$3, $L$5, $L$6)/100))</f>
        <v>#NAME?</v>
      </c>
      <c r="BR19" s="48" t="str">
        <f ca="1">IFERROR((_xll.ciqfunctions.udf.CIQ($A19, "IQ_DA_CF", IQ_LTM, $B$1, $L$4, $L$3, $L$5, $L$6)/Q19),"NM")</f>
        <v>NM</v>
      </c>
      <c r="BS19" s="72">
        <f>'Capital IQ Sheet-GPC'!BS19</f>
        <v>0.75800000000000001</v>
      </c>
      <c r="BT19" s="72">
        <f>'Capital IQ Sheet-GPC'!BT19</f>
        <v>0.78100000000000003</v>
      </c>
      <c r="BU19" s="72">
        <f>'Capital IQ Sheet-GPC'!BU19</f>
        <v>0.76700000000000002</v>
      </c>
      <c r="BV19" s="72">
        <f>'Capital IQ Sheet-GPC'!BV19</f>
        <v>1.117</v>
      </c>
      <c r="BW19" s="72">
        <f>'Capital IQ Sheet-GPC'!BW19</f>
        <v>1.054</v>
      </c>
      <c r="BX19" s="72">
        <f>'Capital IQ Sheet-GPC'!BX19</f>
        <v>1.004</v>
      </c>
      <c r="BY19" s="72">
        <f>'Capital IQ Sheet-GPC'!BY19</f>
        <v>0.96199999999999997</v>
      </c>
      <c r="BZ19" s="72">
        <f>'Capital IQ Sheet-GPC'!BZ19</f>
        <v>0.94699999999999995</v>
      </c>
      <c r="CB19" s="44">
        <v>2</v>
      </c>
      <c r="CC19" s="112" t="s">
        <v>269</v>
      </c>
      <c r="CD19" s="112" t="s">
        <v>268</v>
      </c>
      <c r="CE19" s="46">
        <f t="shared" si="0"/>
        <v>42766</v>
      </c>
    </row>
    <row r="20" spans="1:83" s="44" customFormat="1" ht="12.75">
      <c r="A20" s="45" t="e">
        <f ca="1">_xll.ciqfunctions.udf.CIQ($B20,"IQ_COMPANY_TICKER")</f>
        <v>#NAME?</v>
      </c>
      <c r="B20" s="67" t="str">
        <f>'Capital IQ Sheet-GPC'!B20</f>
        <v>IQ3366199</v>
      </c>
      <c r="C20" s="45" t="e">
        <f ca="1">_xll.ciqfunctions.udf.CIQ($A20,"IQ_COMPANY_NAME")</f>
        <v>#NAME?</v>
      </c>
      <c r="D20" s="45" t="e">
        <f ca="1">_xll.ciqfunctions.udf.CIQ($A20, "IQ_EXCHANGE")</f>
        <v>#NAME?</v>
      </c>
      <c r="E20" s="66" t="e">
        <f ca="1">_xll.ciqfunctions.udf.CIQ($A20, "IQ_PERIODDATE_IS", IQ_FY)</f>
        <v>#NAME?</v>
      </c>
      <c r="F20" s="66" t="e">
        <f ca="1">_xll.ciqfunctions.udf.CIQ(A20, "IQ_PERIODDATE_IS", IQ_LTM, $B$1,$L$4,$L$3)</f>
        <v>#NAME?</v>
      </c>
      <c r="G20" s="66" t="e">
        <f ca="1">_xll.ciqfunctions.udf.CIQ($A20, "IQ_FIRSTPRICINGDATE")</f>
        <v>#NAME?</v>
      </c>
      <c r="H20" s="68" t="e">
        <f ca="1">_xll.ciqfunctions.udf.CIQ($A20, "IQ_TEV", $L$2, $L$5, $L$6)</f>
        <v>#NAME?</v>
      </c>
      <c r="I20" s="68" t="e">
        <f ca="1">_xll.ciqfunctions.udf.CIQ(A20, "IQ_LASTSALEPRICE", $B$1,$L$5)</f>
        <v>#NAME?</v>
      </c>
      <c r="J20" s="68" t="e">
        <f ca="1">_xll.ciqfunctions.udf.CIQ($A20, "IQ_MARKETCAP", $L$2, $L$5, $L$6)</f>
        <v>#NAME?</v>
      </c>
      <c r="K20" s="68" t="e">
        <f ca="1">_xll.ciqfunctions.udf.CIQ($A20, "IQ_TOTAL_DEBT", IQ_LTM, $L$2,$L$4, $L$3, $L$5, $L$6)</f>
        <v>#NAME?</v>
      </c>
      <c r="L20" s="68" t="e">
        <f ca="1">_xll.ciqfunctions.udf.CIQ($A20, "IQ_PREF_EQUITY", IQ_LTM, $L$2, $L$4, $L$3, $L$5, $L$6)</f>
        <v>#NAME?</v>
      </c>
      <c r="M20" s="68" t="e">
        <f ca="1">_xll.ciqfunctions.udf.CIQ($A20, "IQ_MINORITY_INTEREST_TOTAL", IQ_LTM, $L$2, $L$4, $L$3, $L$5, $L$6)</f>
        <v>#NAME?</v>
      </c>
      <c r="N20" s="68" t="e">
        <f ca="1">_xll.ciqfunctions.udf.CIQ($A20, "IQ_CASH_ST_INVEST", IQ_LTM, $L$2, $L$4, $L$3, $L$5, $L$6)</f>
        <v>#NAME?</v>
      </c>
      <c r="O20" s="68" t="e">
        <f ca="1">_xll.ciqfunctions.udf.CIQ($A20, "IQ_TOTAL_REV", IQ_LTM-8, $L$2, $L$4, $L$3, $L$5, $L$6)</f>
        <v>#NAME?</v>
      </c>
      <c r="P20" s="68" t="e">
        <f ca="1">_xll.ciqfunctions.udf.CIQ($A20, "IQ_TOTAL_REV", IQ_LTM - 4, $L$2, $L$4, $L$3, $L$5,$L$6)</f>
        <v>#NAME?</v>
      </c>
      <c r="Q20" s="68" t="e">
        <f ca="1">_xll.ciqfunctions.udf.CIQ($A20, "IQ_TOTAL_REV", IQ_LTM, $L$2, $L$4, $L$3, $L$5, $L$6)</f>
        <v>#NAME?</v>
      </c>
      <c r="R20" s="68" t="e">
        <f ca="1">_xll.ciqfunctions.udf.CIQ($A20, "IQ_TOTAL_REV", $B$2, $L$2, $L$4, $L$3, $L$5, $L$6)</f>
        <v>#NAME?</v>
      </c>
      <c r="S20" s="68" t="e">
        <f ca="1">IF(_xll.ciqfunctions.udf.CIQ($A20, "IQ_TOTAL_REV", $B$3, $L$2,$L$4, $L$3, $L$5, $L$6)=0,Q20,_xll.ciqfunctions.udf.CIQ($A20, "IQ_TOTAL_REV", $B$3, $L$2,$L$4, $L$3, $L$5, $L$6))</f>
        <v>#NAME?</v>
      </c>
      <c r="T20" s="68" t="e">
        <f ca="1">IF(_xll.ciqfunctions.udf.CIQ($A20, "IQ_REVENUE_EST",$B$4, $L$2, "CON", $L$3, $L$5, $L$6)=0,"n/a",_xll.ciqfunctions.udf.CIQ($A20, "IQ_REVENUE_EST",$B$4, $L$2, "CON", $L$3, $L$5, $L$6))</f>
        <v>#NAME?</v>
      </c>
      <c r="U20" s="68" t="e">
        <f ca="1">IF(_xll.ciqfunctions.udf.CIQ($A20, "IQ_REVENUE_EST",$B$5, $L$2, "CON", $L$3, $L$5, $L$6)=0,"n/a",_xll.ciqfunctions.udf.CIQ($A20, "IQ_REVENUE_EST",$B$5, $L$2, "CON", $L$3, $L$5, $L$6))</f>
        <v>#NAME?</v>
      </c>
      <c r="V20" s="68" t="e">
        <f ca="1">IF(_xll.ciqfunctions.udf.CIQ($A20, "IQ_REVENUE_EST",$B$6, $L$2, "CON", $L$3, $L$5, $L$6)=0,"n/a",_xll.ciqfunctions.udf.CIQ($A20, "IQ_REVENUE_EST",$B$6, $L$2, "CON", $L$3, $L$5, $L$6))</f>
        <v>#NAME?</v>
      </c>
      <c r="W20" s="68" t="e">
        <f ca="1">IF(_xll.ciqfunctions.udf.CIQ($A20, "IQ_REVENUE_EST", $B$7, $L$2, "CON", $L$3, $L$5, $L$6)=0,"n/a",_xll.ciqfunctions.udf.CIQ($A20, "IQ_REVENUE_EST",$B$7, $L$2, "CON", $L$3, $L$5, $L$6))</f>
        <v>#NAME?</v>
      </c>
      <c r="X20" s="68" t="e">
        <f ca="1">_xll.ciqfunctions.udf.CIQ($A20, "IQ_EBITDA", IQ_LTM-8, $L$2, $L$4, $L$3, $L$5, $L$6)</f>
        <v>#NAME?</v>
      </c>
      <c r="Y20" s="68" t="e">
        <f ca="1">_xll.ciqfunctions.udf.CIQ($A20, "IQ_EBITDA", IQ_LTM-4, $L$2,$L$4, $L$3, $L$5, $L$6)</f>
        <v>#NAME?</v>
      </c>
      <c r="Z20" s="68" t="e">
        <f ca="1">_xll.ciqfunctions.udf.CIQ($A20, "IQ_EBITDA", IQ_LTM, $L$2, $L$4, $L$3, $L$5, $L$6)</f>
        <v>#NAME?</v>
      </c>
      <c r="AA20" s="68" t="e">
        <f ca="1">_xll.ciqfunctions.udf.CIQ($A20, "IQ_EBITDA", $B$2, $L$2, $L$4, $L$3, $L$5, $L$6)</f>
        <v>#NAME?</v>
      </c>
      <c r="AB20" s="68" t="e">
        <f ca="1">IF(_xll.ciqfunctions.udf.CIQ($A20, "IQ_EBITDA", $B$3, $L$2,$L$4, $L$3, $L$5, $L$6)=0,Z20,_xll.ciqfunctions.udf.CIQ($A20, "IQ_EBITDA", $B$3, $L$2,$L$4, $L$3, $L$5, $L$6))</f>
        <v>#NAME?</v>
      </c>
      <c r="AC20" s="68" t="e">
        <f ca="1">IF(_xll.ciqfunctions.udf.CIQ($A20, "IQ_EBITDA_EST",$B$4, $L$2, "CON", $L$3, $L$5, $L$6)=0,"n/a",_xll.ciqfunctions.udf.CIQ($A20, "IQ_EBITDA_EST",$B$4, $L$2, "CON", $L$3, $L$5, $L$6))</f>
        <v>#NAME?</v>
      </c>
      <c r="AD20" s="68" t="e">
        <f ca="1">IF(_xll.ciqfunctions.udf.CIQ($A20, "IQ_EBITDA_EST",$B$5, $L$2, "CON", $L$3, $L$5, $L$6)=0,"n/a",_xll.ciqfunctions.udf.CIQ($A20, "IQ_EBITDA_EST",$B$5, $L$2, "CON", $L$3, $L$5, $L$6))</f>
        <v>#NAME?</v>
      </c>
      <c r="AE20" s="68" t="e">
        <f ca="1">IF(_xll.ciqfunctions.udf.CIQ($A20, "IQ_EBITDA_EST",$B$6, $L$2, "CON", $L$3, $L$5, $L$6)=0,"n/a",_xll.ciqfunctions.udf.CIQ($A20, "IQ_EBITDA_EST",$B$6, $L$2, "CON", $L$3, $L$5, $L$6))</f>
        <v>#NAME?</v>
      </c>
      <c r="AF20" s="69" t="str">
        <f ca="1">IF(ISERROR(_xll.ciqfunctions.udf.CIQ($A20, "IQ_GROSS_MARGIN", IQ_LTM, $L$2,$L$4, $L$3, $L$5, $L$6)/100), "n/a", _xll.ciqfunctions.udf.CIQ($A20,  "IQ_GROSS_MARGIN", IQ_LTM, $L$2, $L$4, $L$3, $L$5, $L$6)/100)</f>
        <v>n/a</v>
      </c>
      <c r="AG20" s="69" t="str">
        <f ca="1">IF(ISERROR(_xll.ciqfunctions.udf.CIQ($A20,"IQ_EBITDA_MARGIN", IQ_LTM, $L$2, $L$4, $L$3, $L$5, $L$6)/100), "n/a", _xll.ciqfunctions.udf.CIQ($A20, "IQ_EBITDA_MARGIN", IQ_LTM, $L$2, $L$4, $L$3, $L$5, $L$6)/100)</f>
        <v>n/a</v>
      </c>
      <c r="AH20" s="69" t="str">
        <f ca="1">IF(ISERROR(_xll.ciqfunctions.udf.CIQ($A20,"IQ_EBIT_MARGIN", IQ_LTM, $L$2, $L$4, $L$3, $L$5, $L$6)/100), "n/a", _xll.ciqfunctions.udf.CIQ($A20, "IQ_EBIT_MARGIN", IQ_LTM, $L$2, $L$4, $L$3, $L$5, $L$6)/100)</f>
        <v>n/a</v>
      </c>
      <c r="AI20" s="69" t="str">
        <f ca="1">IF(ISERROR(_xll.ciqfunctions.udf.CIQ($A20,"IQ_NI_MARGIN", IQ_LTM, $L$2, $L$4, $L$3, $L$5, $L$6)/100), "n/a", _xll.ciqfunctions.udf.CIQ($A20, "IQ_NI_MARGIN", IQ_LTM, $L$2, $L$4, $L$3, $L$5, $L$6)/100)</f>
        <v>n/a</v>
      </c>
      <c r="AJ20" s="68" t="str">
        <f ca="1">IF(ISERROR(_xll.ciqfunctions.udf.CIQ($A20, "IQ_NET_WORKING_CAP", IQ_LTM-8, $L$2, $L$4, $L$3, $L$5, $L$6)), "n/a", _xll.ciqfunctions.udf.CIQ($A20, "IQ_NET_WORKING_CAP", IQ_LTM-8, $L$2, $L$4, $L$3, $L$5, $L$6))</f>
        <v>n/a</v>
      </c>
      <c r="AK20" s="68" t="str">
        <f ca="1">IF(ISERROR(_xll.ciqfunctions.udf.CIQ($A20, "IQ_NET_WORKING_CAP", IQ_LTM-4, $L$2, $L$4, $L$3, $L$5, $L$6)), "n/a", _xll.ciqfunctions.udf.CIQ($A20, "IQ_NET_WORKING_CAP", IQ_LTM-4, $L$2, $L$4, $L$3, $L$5, $L$6))</f>
        <v>n/a</v>
      </c>
      <c r="AL20" s="68" t="str">
        <f ca="1">IF(ISERROR(_xll.ciqfunctions.udf.CIQ($A20, "IQ_NET_WORKING_CAP", IQ_LTM, $L$2,$L$4, $L$3, $L$5, $L$6)), "n/a", _xll.ciqfunctions.udf.CIQ($A20, "IQ_NET_WORKING_CAP", IQ_LTM, $L$2, $L$4, $L$3, $L$5, $L$6))</f>
        <v>n/a</v>
      </c>
      <c r="AM20" s="68" t="str">
        <f ca="1">IF(ISERROR(_xll.ciqfunctions.udf.CIQ($A20, "IQ_Capex", IQ_LTM-8, $L$2,$L$4, $L$3, $L$5, $L$6)), "n/a", _xll.ciqfunctions.udf.CIQ($A20, "IQ_Capex", IQ_LTM-8, $L$2, $L$4, $L$3, $L$5, $L$6))</f>
        <v>n/a</v>
      </c>
      <c r="AN20" s="68" t="str">
        <f ca="1">IF(ISERROR(_xll.ciqfunctions.udf.CIQ($A20, "IQ_Capex", IQ_LTM-4, $L$2,$L$4, $L$3, $L$5, $L$6)), "n/a", _xll.ciqfunctions.udf.CIQ($A20, "IQ_Capex", IQ_LTM-4, $L$2,$L$4, $L$3, $L$5, $L$6))</f>
        <v>n/a</v>
      </c>
      <c r="AO20" s="68" t="str">
        <f ca="1">IF(ISERROR(_xll.ciqfunctions.udf.CIQ($A20, "IQ_Capex", IQ_LTM, $L$2, $L$4, $L$3, $L$5, $L$6)), "n/a", _xll.ciqfunctions.udf.CIQ($A20, "IQ_Capex", IQ_LTM, $L$2, $L$4, $L$3, $L$5, $L$6))</f>
        <v>n/a</v>
      </c>
      <c r="AP20" s="70" t="e">
        <f ca="1">_xll.ciqfunctions.udf.CIQ(A20, "IQ_BUSINESS_DESCRIPTION")</f>
        <v>#NAME?</v>
      </c>
      <c r="AQ20" s="71" t="e">
        <f ca="1">_xll.ciqfunctions.udf.CIQ($A20, "IQ_BETA_1YR", $B$1)</f>
        <v>#NAME?</v>
      </c>
      <c r="AR20" s="71" t="e">
        <f ca="1">_xll.ciqfunctions.udf.CIQ($A20, "IQ_BETA_2YR", $B$1)</f>
        <v>#NAME?</v>
      </c>
      <c r="AS20" s="71" t="e">
        <f ca="1">_xll.ciqfunctions.udf.CIQ($A20, "IQ_BETA_5YR", $B$1)</f>
        <v>#NAME?</v>
      </c>
      <c r="AT20" s="69" t="e">
        <f ca="1">_xll.ciqfunctions.udf.CIQ($A20, "IQ_DIVIDEND_YIELD", $B$1)/100</f>
        <v>#NAME?</v>
      </c>
      <c r="AU20" s="68" t="e">
        <f ca="1">_xll.ciqfunctions.udf.CIQ($A20, "IQ_EARNING_CO", IQ_LTM-8, $L$2, $L$4, $L$3, $L$5, $L$6)</f>
        <v>#NAME?</v>
      </c>
      <c r="AV20" s="68" t="e">
        <f ca="1">_xll.ciqfunctions.udf.CIQ($A20, "IQ_EARNING_CO", IQ_LTM-4, $L$2, $L$4, $L$3, $L$5, $L$6)</f>
        <v>#NAME?</v>
      </c>
      <c r="AW20" s="68" t="e">
        <f ca="1">_xll.ciqfunctions.udf.CIQ($A20, "IQ_EARNING_CO", IQ_LTM, $L$2, $L$4, $L$3, $L$5, $L$6)</f>
        <v>#NAME?</v>
      </c>
      <c r="AX20" s="68" t="e">
        <f ca="1">_xll.ciqfunctions.udf.CIQ($A20, "IQ_EARNING_CO", $B$2, $L$2, $L$4, $L$3, $L$5, $L$6)</f>
        <v>#NAME?</v>
      </c>
      <c r="AY20" s="68" t="e">
        <f ca="1">IF(_xll.ciqfunctions.udf.CIQ($A20, "IQ_EARNING_CO", $B$3, $L$2,$L$4, $L$3, $L$5, $L$6)=0,AW20,_xll.ciqfunctions.udf.CIQ($A20, "IQ_EARNING_CO", $B$3, $L$2,$L$4, $L$3, $L$5, $L$6))</f>
        <v>#NAME?</v>
      </c>
      <c r="AZ20" s="68" t="e">
        <f ca="1">_xll.ciqfunctions.udf.CIQ($A20, "IQ_TOTAL_EQUITY", IQ_LTM-8, $L$2, $L$4, $L$3, $L$5, $L$6)</f>
        <v>#NAME?</v>
      </c>
      <c r="BA20" s="68" t="e">
        <f ca="1">_xll.ciqfunctions.udf.CIQ($A20, "IQ_TOTAL_EQUITY", IQ_LTM-4, $L$2, $L$4, $L$3, $L$5, $L$6)</f>
        <v>#NAME?</v>
      </c>
      <c r="BB20" s="68" t="e">
        <f ca="1">_xll.ciqfunctions.udf.CIQ($A20, "IQ_TOTAL_EQUITY", IQ_LTM, $L$2, $L$4, $L$3, $L$5, $L$6)</f>
        <v>#NAME?</v>
      </c>
      <c r="BC20" s="68" t="e">
        <f ca="1">_xll.ciqfunctions.udf.CIQ($A20, "IQ_TOTAL_EQUITY", $B$2, $L$2, $L$4, $L$3, $L$5, $L$6)</f>
        <v>#NAME?</v>
      </c>
      <c r="BD20" s="68" t="e">
        <f ca="1">IF(_xll.ciqfunctions.udf.CIQ($A20, "IQ_TOTAL_EQUITY", $B$3, $L$2,$L$4, $L$3, $L$5, $L$6)=0,BB20,_xll.ciqfunctions.udf.CIQ($A20, "IQ_TOTAL_EQUITY", $B$3, $L$2,$L$4, $L$3, $L$5, $L$6))</f>
        <v>#NAME?</v>
      </c>
      <c r="BE20" s="68" t="e">
        <f ca="1">_xll.ciqfunctions.udf.CIQ(A20, "IQ_LASTSALEPRICE", $B$8)</f>
        <v>#NAME?</v>
      </c>
      <c r="BF20" s="68" t="e">
        <f ca="1">_xll.ciqfunctions.udf.CIQ($A20, "IQ_MARKETCAP", $B$8, $L$5, $L$6)</f>
        <v>#NAME?</v>
      </c>
      <c r="BG20" s="68" t="e">
        <f ca="1">_xll.ciqfunctions.udf.CIQ($A20, "IQ_TOTAL_DEBT", IQ_LTM, $B$8,$L$4, $L$3, $L$5, $L$6)</f>
        <v>#NAME?</v>
      </c>
      <c r="BH20" s="44" t="e">
        <f ca="1">_xll.ciqfunctions.udf.CIQ($A20,"IQ_PREF_EQUITY",IQ_LTM,$B$8,$L$4,$L$3,$L$5,$L$6)</f>
        <v>#NAME?</v>
      </c>
      <c r="BI20" s="44" t="e">
        <f ca="1">_xll.ciqfunctions.udf.CIQ($A20, "IQ_MINORITY_INTEREST_TOTAL", IQ_LTM,$B$8,$L$4,$L$3,$L$5,$L$6)</f>
        <v>#NAME?</v>
      </c>
      <c r="BJ20" s="68" t="e">
        <f ca="1">_xll.ciqfunctions.udf.CIQ($A20, "IQ_CASH_ST_INVEST", IQ_LTM, $B$8, $L$4, $L$3, $L$5, $L$6)</f>
        <v>#NAME?</v>
      </c>
      <c r="BK20" s="44" t="e">
        <f ca="1">_xll.ciqfunctions.udf.CIQ($A20, "IQ_EFFECT_TAX_RATE")</f>
        <v>#NAME?</v>
      </c>
      <c r="BL20" s="44" t="e">
        <f ca="1">IF(_xll.ciqfunctions.udf.CIQ($A20, "IQ_TOTAL_REV_2YR_ANN_CAGR", IQ_LTM, $B$1,$L$4, $L$3, $L$5, $L$6)="NM","n/a",(_xll.ciqfunctions.udf.CIQ($A20, "IQ_TOTAL_REV_2YR_ANN_CAGR", IQ_LTM, $B$1,$L$4, $L$3, $L$5, $L$6)/100))</f>
        <v>#NAME?</v>
      </c>
      <c r="BM20" s="44" t="e">
        <f ca="1">IF(_xll.ciqfunctions.udf.CIQ($A20, "IQ_TOTAL_REV_3YR_ANN_CAGR", IQ_LTM, $B$1,$L$4, $L$3, $L$5, $L$6)="NM","n/a",(_xll.ciqfunctions.udf.CIQ($A20, "IQ_TOTAL_REV_3YR_ANN_CAGR", IQ_LTM, $B$1,$L$4, $L$3, $L$5, $L$6)/100))</f>
        <v>#NAME?</v>
      </c>
      <c r="BN20" s="44" t="e">
        <f ca="1">IF(_xll.ciqfunctions.udf.CIQ($A20, "IQ_TOTAL_REV_5YR_ANN_CAGR", IQ_LTM, $B$1,$L$4, $L$3, $L$5, $L$6)="NM","n/a",(_xll.ciqfunctions.udf.CIQ($A20, "IQ_TOTAL_REV_5YR_ANN_CAGR", IQ_LTM, $B$1,$L$4, $L$3, $L$5, $L$6)/100))</f>
        <v>#NAME?</v>
      </c>
      <c r="BO20" s="44" t="e">
        <f ca="1">IF(_xll.ciqfunctions.udf.CIQ($A20,"IQ_EBITDA_2YR_ANN_CAGR", IQ_LTM,$B$1,$L$4, $L$3, $L$5, $L$6)="NM","n/a",(_xll.ciqfunctions.udf.CIQ($A20,"IQ_EBITDA_2YR_ANN_CAGR", IQ_LTM,$B$1,$L$4, $L$3, $L$5, $L$6)/100))</f>
        <v>#NAME?</v>
      </c>
      <c r="BP20" s="44" t="e">
        <f ca="1">IF(_xll.ciqfunctions.udf.CIQ($A20,"IQ_EBITDA_3YR_ANN_CAGR", IQ_LTM,$B$1,$L$4, $L$3, $L$5, $L$6)="NM","n/a",(_xll.ciqfunctions.udf.CIQ($A20,"IQ_EBITDA_3YR_ANN_CAGR", IQ_LTM,$B$1,$L$4, $L$3, $L$5, $L$6)/100))</f>
        <v>#NAME?</v>
      </c>
      <c r="BQ20" s="44" t="e">
        <f ca="1">IF(_xll.ciqfunctions.udf.CIQ($A20,"IQ_EBITDA_5YR_ANN_CAGR", IQ_LTM,$B$1,$L$4, $L$3, $L$5, $L$6)="NM","n/a",(_xll.ciqfunctions.udf.CIQ($A20,"IQ_EBITDA_5YR_ANN_CAGR", IQ_LTM,$B$1,$L$4, $L$3, $L$5, $L$6)/100))</f>
        <v>#NAME?</v>
      </c>
      <c r="BR20" s="48" t="str">
        <f ca="1">IFERROR((_xll.ciqfunctions.udf.CIQ($A20, "IQ_DA_CF", IQ_LTM, $B$1, $L$4, $L$3, $L$5, $L$6)/Q20),"NM")</f>
        <v>NM</v>
      </c>
      <c r="BS20" s="72">
        <f>'Capital IQ Sheet-GPC'!BS20</f>
        <v>0.59599999999999997</v>
      </c>
      <c r="BT20" s="72">
        <f>'Capital IQ Sheet-GPC'!BT20</f>
        <v>0.67</v>
      </c>
      <c r="BU20" s="72">
        <f>'Capital IQ Sheet-GPC'!BU20</f>
        <v>0.625</v>
      </c>
      <c r="BV20" s="72">
        <f>'Capital IQ Sheet-GPC'!BV20</f>
        <v>0.67</v>
      </c>
      <c r="BW20" s="72">
        <f>'Capital IQ Sheet-GPC'!BW20</f>
        <v>0.67600000000000005</v>
      </c>
      <c r="BX20" s="72">
        <f>'Capital IQ Sheet-GPC'!BX20</f>
        <v>0.68200000000000005</v>
      </c>
      <c r="BY20" s="72" t="str">
        <f>'Capital IQ Sheet-GPC'!BY20</f>
        <v>n/a</v>
      </c>
      <c r="BZ20" s="72" t="str">
        <f>'Capital IQ Sheet-GPC'!BZ20</f>
        <v>n/a</v>
      </c>
      <c r="CB20" s="44">
        <v>2</v>
      </c>
      <c r="CC20" s="112" t="s">
        <v>269</v>
      </c>
      <c r="CD20" s="112" t="s">
        <v>268</v>
      </c>
      <c r="CE20" s="46">
        <f t="shared" si="0"/>
        <v>42766</v>
      </c>
    </row>
    <row r="21" spans="1:83" s="44" customFormat="1" ht="12.75">
      <c r="A21" s="45" t="e">
        <f ca="1">_xll.ciqfunctions.udf.CIQ($B21,"IQ_COMPANY_TICKER")</f>
        <v>#NAME?</v>
      </c>
      <c r="B21" s="67" t="str">
        <f>'Capital IQ Sheet-GPC'!B21</f>
        <v>IQ417883814</v>
      </c>
      <c r="C21" s="45" t="e">
        <f ca="1">_xll.ciqfunctions.udf.CIQ($A21,"IQ_COMPANY_NAME")</f>
        <v>#NAME?</v>
      </c>
      <c r="D21" s="45" t="e">
        <f ca="1">_xll.ciqfunctions.udf.CIQ($A21, "IQ_EXCHANGE")</f>
        <v>#NAME?</v>
      </c>
      <c r="E21" s="66" t="e">
        <f ca="1">_xll.ciqfunctions.udf.CIQ($A21, "IQ_PERIODDATE_IS", IQ_FY)</f>
        <v>#NAME?</v>
      </c>
      <c r="F21" s="66" t="e">
        <f ca="1">_xll.ciqfunctions.udf.CIQ(A21, "IQ_PERIODDATE_IS", IQ_LTM, $B$1,$L$4,$L$3)</f>
        <v>#NAME?</v>
      </c>
      <c r="G21" s="66" t="e">
        <f ca="1">_xll.ciqfunctions.udf.CIQ($A21, "IQ_FIRSTPRICINGDATE")</f>
        <v>#NAME?</v>
      </c>
      <c r="H21" s="68" t="e">
        <f ca="1">_xll.ciqfunctions.udf.CIQ($A21, "IQ_TEV", $L$2, $L$5, $L$6)</f>
        <v>#NAME?</v>
      </c>
      <c r="I21" s="68" t="e">
        <f ca="1">_xll.ciqfunctions.udf.CIQ(A21, "IQ_LASTSALEPRICE", $B$1,$L$5)</f>
        <v>#NAME?</v>
      </c>
      <c r="J21" s="68" t="e">
        <f ca="1">_xll.ciqfunctions.udf.CIQ($A21, "IQ_MARKETCAP", $L$2, $L$5, $L$6)</f>
        <v>#NAME?</v>
      </c>
      <c r="K21" s="68" t="e">
        <f ca="1">_xll.ciqfunctions.udf.CIQ($A21, "IQ_TOTAL_DEBT", IQ_LTM, $L$2,$L$4, $L$3, $L$5, $L$6)</f>
        <v>#NAME?</v>
      </c>
      <c r="L21" s="68" t="e">
        <f ca="1">_xll.ciqfunctions.udf.CIQ($A21, "IQ_PREF_EQUITY", IQ_LTM, $L$2, $L$4, $L$3, $L$5, $L$6)</f>
        <v>#NAME?</v>
      </c>
      <c r="M21" s="68" t="e">
        <f ca="1">_xll.ciqfunctions.udf.CIQ($A21, "IQ_MINORITY_INTEREST_TOTAL", IQ_LTM, $L$2, $L$4, $L$3, $L$5, $L$6)</f>
        <v>#NAME?</v>
      </c>
      <c r="N21" s="68" t="e">
        <f ca="1">_xll.ciqfunctions.udf.CIQ($A21, "IQ_CASH_ST_INVEST", IQ_LTM, $L$2, $L$4, $L$3, $L$5, $L$6)</f>
        <v>#NAME?</v>
      </c>
      <c r="O21" s="68" t="e">
        <f ca="1">_xll.ciqfunctions.udf.CIQ($A21, "IQ_TOTAL_REV", IQ_LTM-8, $L$2, $L$4, $L$3, $L$5, $L$6)</f>
        <v>#NAME?</v>
      </c>
      <c r="P21" s="68" t="e">
        <f ca="1">_xll.ciqfunctions.udf.CIQ($A21, "IQ_TOTAL_REV", IQ_LTM - 4, $L$2, $L$4, $L$3, $L$5,$L$6)</f>
        <v>#NAME?</v>
      </c>
      <c r="Q21" s="68" t="e">
        <f ca="1">_xll.ciqfunctions.udf.CIQ($A21, "IQ_TOTAL_REV", IQ_LTM, $L$2, $L$4, $L$3, $L$5, $L$6)</f>
        <v>#NAME?</v>
      </c>
      <c r="R21" s="68" t="e">
        <f ca="1">_xll.ciqfunctions.udf.CIQ($A21, "IQ_TOTAL_REV", $B$2, $L$2, $L$4, $L$3, $L$5, $L$6)</f>
        <v>#NAME?</v>
      </c>
      <c r="S21" s="68" t="e">
        <f ca="1">IF(_xll.ciqfunctions.udf.CIQ($A21, "IQ_TOTAL_REV", $B$3, $L$2,$L$4, $L$3, $L$5, $L$6)=0,Q21,_xll.ciqfunctions.udf.CIQ($A21, "IQ_TOTAL_REV", $B$3, $L$2,$L$4, $L$3, $L$5, $L$6))</f>
        <v>#NAME?</v>
      </c>
      <c r="T21" s="68" t="e">
        <f ca="1">IF(_xll.ciqfunctions.udf.CIQ($A21, "IQ_REVENUE_EST",$B$4, $L$2, "CON", $L$3, $L$5, $L$6)=0,"n/a",_xll.ciqfunctions.udf.CIQ($A21, "IQ_REVENUE_EST",$B$4, $L$2, "CON", $L$3, $L$5, $L$6))</f>
        <v>#NAME?</v>
      </c>
      <c r="U21" s="68" t="e">
        <f ca="1">IF(_xll.ciqfunctions.udf.CIQ($A21, "IQ_REVENUE_EST",$B$5, $L$2, "CON", $L$3, $L$5, $L$6)=0,"n/a",_xll.ciqfunctions.udf.CIQ($A21, "IQ_REVENUE_EST",$B$5, $L$2, "CON", $L$3, $L$5, $L$6))</f>
        <v>#NAME?</v>
      </c>
      <c r="V21" s="68" t="e">
        <f ca="1">IF(_xll.ciqfunctions.udf.CIQ($A21, "IQ_REVENUE_EST",$B$6, $L$2, "CON", $L$3, $L$5, $L$6)=0,"n/a",_xll.ciqfunctions.udf.CIQ($A21, "IQ_REVENUE_EST",$B$6, $L$2, "CON", $L$3, $L$5, $L$6))</f>
        <v>#NAME?</v>
      </c>
      <c r="W21" s="68" t="e">
        <f ca="1">IF(_xll.ciqfunctions.udf.CIQ($A21, "IQ_REVENUE_EST", $B$7, $L$2, "CON", $L$3, $L$5, $L$6)=0,"n/a",_xll.ciqfunctions.udf.CIQ($A21, "IQ_REVENUE_EST",$B$7, $L$2, "CON", $L$3, $L$5, $L$6))</f>
        <v>#NAME?</v>
      </c>
      <c r="X21" s="68" t="e">
        <f ca="1">_xll.ciqfunctions.udf.CIQ($A21, "IQ_EBITDA", IQ_LTM-8, $L$2, $L$4, $L$3, $L$5, $L$6)</f>
        <v>#NAME?</v>
      </c>
      <c r="Y21" s="68" t="e">
        <f ca="1">_xll.ciqfunctions.udf.CIQ($A21, "IQ_EBITDA", IQ_LTM-4, $L$2,$L$4, $L$3, $L$5, $L$6)</f>
        <v>#NAME?</v>
      </c>
      <c r="Z21" s="68" t="e">
        <f ca="1">_xll.ciqfunctions.udf.CIQ($A21, "IQ_EBITDA", IQ_LTM, $L$2, $L$4, $L$3, $L$5, $L$6)</f>
        <v>#NAME?</v>
      </c>
      <c r="AA21" s="68" t="e">
        <f ca="1">_xll.ciqfunctions.udf.CIQ($A21, "IQ_EBITDA", $B$2, $L$2, $L$4, $L$3, $L$5, $L$6)</f>
        <v>#NAME?</v>
      </c>
      <c r="AB21" s="68" t="e">
        <f ca="1">IF(_xll.ciqfunctions.udf.CIQ($A21, "IQ_EBITDA", $B$3, $L$2,$L$4, $L$3, $L$5, $L$6)=0,Z21,_xll.ciqfunctions.udf.CIQ($A21, "IQ_EBITDA", $B$3, $L$2,$L$4, $L$3, $L$5, $L$6))</f>
        <v>#NAME?</v>
      </c>
      <c r="AC21" s="68" t="e">
        <f ca="1">IF(_xll.ciqfunctions.udf.CIQ($A21, "IQ_EBITDA_EST",$B$4, $L$2, "CON", $L$3, $L$5, $L$6)=0,"n/a",_xll.ciqfunctions.udf.CIQ($A21, "IQ_EBITDA_EST",$B$4, $L$2, "CON", $L$3, $L$5, $L$6))</f>
        <v>#NAME?</v>
      </c>
      <c r="AD21" s="68" t="e">
        <f ca="1">IF(_xll.ciqfunctions.udf.CIQ($A21, "IQ_EBITDA_EST",$B$5, $L$2, "CON", $L$3, $L$5, $L$6)=0,"n/a",_xll.ciqfunctions.udf.CIQ($A21, "IQ_EBITDA_EST",$B$5, $L$2, "CON", $L$3, $L$5, $L$6))</f>
        <v>#NAME?</v>
      </c>
      <c r="AE21" s="68" t="e">
        <f ca="1">IF(_xll.ciqfunctions.udf.CIQ($A21, "IQ_EBITDA_EST",$B$6, $L$2, "CON", $L$3, $L$5, $L$6)=0,"n/a",_xll.ciqfunctions.udf.CIQ($A21, "IQ_EBITDA_EST",$B$6, $L$2, "CON", $L$3, $L$5, $L$6))</f>
        <v>#NAME?</v>
      </c>
      <c r="AF21" s="69" t="str">
        <f ca="1">IF(ISERROR(_xll.ciqfunctions.udf.CIQ($A21, "IQ_GROSS_MARGIN", IQ_LTM, $L$2,$L$4, $L$3, $L$5, $L$6)/100), "n/a", _xll.ciqfunctions.udf.CIQ($A21,  "IQ_GROSS_MARGIN", IQ_LTM, $L$2, $L$4, $L$3, $L$5, $L$6)/100)</f>
        <v>n/a</v>
      </c>
      <c r="AG21" s="69" t="str">
        <f ca="1">IF(ISERROR(_xll.ciqfunctions.udf.CIQ($A21,"IQ_EBITDA_MARGIN", IQ_LTM, $L$2, $L$4, $L$3, $L$5, $L$6)/100), "n/a", _xll.ciqfunctions.udf.CIQ($A21, "IQ_EBITDA_MARGIN", IQ_LTM, $L$2, $L$4, $L$3, $L$5, $L$6)/100)</f>
        <v>n/a</v>
      </c>
      <c r="AH21" s="69" t="str">
        <f ca="1">IF(ISERROR(_xll.ciqfunctions.udf.CIQ($A21,"IQ_EBIT_MARGIN", IQ_LTM, $L$2, $L$4, $L$3, $L$5, $L$6)/100), "n/a", _xll.ciqfunctions.udf.CIQ($A21, "IQ_EBIT_MARGIN", IQ_LTM, $L$2, $L$4, $L$3, $L$5, $L$6)/100)</f>
        <v>n/a</v>
      </c>
      <c r="AI21" s="69" t="str">
        <f ca="1">IF(ISERROR(_xll.ciqfunctions.udf.CIQ($A21,"IQ_NI_MARGIN", IQ_LTM, $L$2, $L$4, $L$3, $L$5, $L$6)/100), "n/a", _xll.ciqfunctions.udf.CIQ($A21, "IQ_NI_MARGIN", IQ_LTM, $L$2, $L$4, $L$3, $L$5, $L$6)/100)</f>
        <v>n/a</v>
      </c>
      <c r="AJ21" s="68" t="str">
        <f ca="1">IF(ISERROR(_xll.ciqfunctions.udf.CIQ($A21, "IQ_NET_WORKING_CAP", IQ_LTM-8, $L$2, $L$4, $L$3, $L$5, $L$6)), "n/a", _xll.ciqfunctions.udf.CIQ($A21, "IQ_NET_WORKING_CAP", IQ_LTM-8, $L$2, $L$4, $L$3, $L$5, $L$6))</f>
        <v>n/a</v>
      </c>
      <c r="AK21" s="68" t="str">
        <f ca="1">IF(ISERROR(_xll.ciqfunctions.udf.CIQ($A21, "IQ_NET_WORKING_CAP", IQ_LTM-4, $L$2, $L$4, $L$3, $L$5, $L$6)), "n/a", _xll.ciqfunctions.udf.CIQ($A21, "IQ_NET_WORKING_CAP", IQ_LTM-4, $L$2, $L$4, $L$3, $L$5, $L$6))</f>
        <v>n/a</v>
      </c>
      <c r="AL21" s="68" t="str">
        <f ca="1">IF(ISERROR(_xll.ciqfunctions.udf.CIQ($A21, "IQ_NET_WORKING_CAP", IQ_LTM, $L$2,$L$4, $L$3, $L$5, $L$6)), "n/a", _xll.ciqfunctions.udf.CIQ($A21, "IQ_NET_WORKING_CAP", IQ_LTM, $L$2, $L$4, $L$3, $L$5, $L$6))</f>
        <v>n/a</v>
      </c>
      <c r="AM21" s="68" t="str">
        <f ca="1">IF(ISERROR(_xll.ciqfunctions.udf.CIQ($A21, "IQ_Capex", IQ_LTM-8, $L$2,$L$4, $L$3, $L$5, $L$6)), "n/a", _xll.ciqfunctions.udf.CIQ($A21, "IQ_Capex", IQ_LTM-8, $L$2, $L$4, $L$3, $L$5, $L$6))</f>
        <v>n/a</v>
      </c>
      <c r="AN21" s="68" t="str">
        <f ca="1">IF(ISERROR(_xll.ciqfunctions.udf.CIQ($A21, "IQ_Capex", IQ_LTM-4, $L$2,$L$4, $L$3, $L$5, $L$6)), "n/a", _xll.ciqfunctions.udf.CIQ($A21, "IQ_Capex", IQ_LTM-4, $L$2,$L$4, $L$3, $L$5, $L$6))</f>
        <v>n/a</v>
      </c>
      <c r="AO21" s="68" t="str">
        <f ca="1">IF(ISERROR(_xll.ciqfunctions.udf.CIQ($A21, "IQ_Capex", IQ_LTM, $L$2, $L$4, $L$3, $L$5, $L$6)), "n/a", _xll.ciqfunctions.udf.CIQ($A21, "IQ_Capex", IQ_LTM, $L$2, $L$4, $L$3, $L$5, $L$6))</f>
        <v>n/a</v>
      </c>
      <c r="AP21" s="70" t="e">
        <f ca="1">_xll.ciqfunctions.udf.CIQ(A21, "IQ_BUSINESS_DESCRIPTION")</f>
        <v>#NAME?</v>
      </c>
      <c r="AQ21" s="71" t="e">
        <f ca="1">_xll.ciqfunctions.udf.CIQ($A21, "IQ_BETA_1YR", $B$1)</f>
        <v>#NAME?</v>
      </c>
      <c r="AR21" s="71" t="e">
        <f ca="1">_xll.ciqfunctions.udf.CIQ($A21, "IQ_BETA_2YR", $B$1)</f>
        <v>#NAME?</v>
      </c>
      <c r="AS21" s="71" t="e">
        <f ca="1">_xll.ciqfunctions.udf.CIQ($A21, "IQ_BETA_5YR", $B$1)</f>
        <v>#NAME?</v>
      </c>
      <c r="AT21" s="69" t="e">
        <f ca="1">_xll.ciqfunctions.udf.CIQ($A21, "IQ_DIVIDEND_YIELD", $B$1)/100</f>
        <v>#NAME?</v>
      </c>
      <c r="AU21" s="68" t="e">
        <f ca="1">_xll.ciqfunctions.udf.CIQ($A21, "IQ_EARNING_CO", IQ_LTM-8, $L$2, $L$4, $L$3, $L$5, $L$6)</f>
        <v>#NAME?</v>
      </c>
      <c r="AV21" s="68" t="e">
        <f ca="1">_xll.ciqfunctions.udf.CIQ($A21, "IQ_EARNING_CO", IQ_LTM-4, $L$2, $L$4, $L$3, $L$5, $L$6)</f>
        <v>#NAME?</v>
      </c>
      <c r="AW21" s="68" t="e">
        <f ca="1">_xll.ciqfunctions.udf.CIQ($A21, "IQ_EARNING_CO", IQ_LTM, $L$2, $L$4, $L$3, $L$5, $L$6)</f>
        <v>#NAME?</v>
      </c>
      <c r="AX21" s="68" t="e">
        <f ca="1">_xll.ciqfunctions.udf.CIQ($A21, "IQ_EARNING_CO", $B$2, $L$2, $L$4, $L$3, $L$5, $L$6)</f>
        <v>#NAME?</v>
      </c>
      <c r="AY21" s="68" t="e">
        <f ca="1">IF(_xll.ciqfunctions.udf.CIQ($A21, "IQ_EARNING_CO", $B$3, $L$2,$L$4, $L$3, $L$5, $L$6)=0,AW21,_xll.ciqfunctions.udf.CIQ($A21, "IQ_EARNING_CO", $B$3, $L$2,$L$4, $L$3, $L$5, $L$6))</f>
        <v>#NAME?</v>
      </c>
      <c r="AZ21" s="68" t="e">
        <f ca="1">_xll.ciqfunctions.udf.CIQ($A21, "IQ_TOTAL_EQUITY", IQ_LTM-8, $L$2, $L$4, $L$3, $L$5, $L$6)</f>
        <v>#NAME?</v>
      </c>
      <c r="BA21" s="68" t="e">
        <f ca="1">_xll.ciqfunctions.udf.CIQ($A21, "IQ_TOTAL_EQUITY", IQ_LTM-4, $L$2, $L$4, $L$3, $L$5, $L$6)</f>
        <v>#NAME?</v>
      </c>
      <c r="BB21" s="68" t="e">
        <f ca="1">_xll.ciqfunctions.udf.CIQ($A21, "IQ_TOTAL_EQUITY", IQ_LTM, $L$2, $L$4, $L$3, $L$5, $L$6)</f>
        <v>#NAME?</v>
      </c>
      <c r="BC21" s="68" t="e">
        <f ca="1">_xll.ciqfunctions.udf.CIQ($A21, "IQ_TOTAL_EQUITY", $B$2, $L$2, $L$4, $L$3, $L$5, $L$6)</f>
        <v>#NAME?</v>
      </c>
      <c r="BD21" s="68" t="e">
        <f ca="1">IF(_xll.ciqfunctions.udf.CIQ($A21, "IQ_TOTAL_EQUITY", $B$3, $L$2,$L$4, $L$3, $L$5, $L$6)=0,BB21,_xll.ciqfunctions.udf.CIQ($A21, "IQ_TOTAL_EQUITY", $B$3, $L$2,$L$4, $L$3, $L$5, $L$6))</f>
        <v>#NAME?</v>
      </c>
      <c r="BE21" s="68" t="e">
        <f ca="1">_xll.ciqfunctions.udf.CIQ(A21, "IQ_LASTSALEPRICE", $B$8)</f>
        <v>#NAME?</v>
      </c>
      <c r="BF21" s="68" t="e">
        <f ca="1">_xll.ciqfunctions.udf.CIQ($A21, "IQ_MARKETCAP", $B$8, $L$5, $L$6)</f>
        <v>#NAME?</v>
      </c>
      <c r="BG21" s="68" t="e">
        <f ca="1">_xll.ciqfunctions.udf.CIQ($A21, "IQ_TOTAL_DEBT", IQ_LTM, $B$8,$L$4, $L$3, $L$5, $L$6)</f>
        <v>#NAME?</v>
      </c>
      <c r="BH21" s="44" t="e">
        <f ca="1">_xll.ciqfunctions.udf.CIQ($A21,"IQ_PREF_EQUITY",IQ_LTM,$B$8,$L$4,$L$3,$L$5,$L$6)</f>
        <v>#NAME?</v>
      </c>
      <c r="BI21" s="44" t="e">
        <f ca="1">_xll.ciqfunctions.udf.CIQ($A21, "IQ_MINORITY_INTEREST_TOTAL", IQ_LTM,$B$8,$L$4,$L$3,$L$5,$L$6)</f>
        <v>#NAME?</v>
      </c>
      <c r="BJ21" s="68" t="e">
        <f ca="1">_xll.ciqfunctions.udf.CIQ($A21, "IQ_CASH_ST_INVEST", IQ_LTM, $B$8, $L$4, $L$3, $L$5, $L$6)</f>
        <v>#NAME?</v>
      </c>
      <c r="BK21" s="44" t="e">
        <f ca="1">_xll.ciqfunctions.udf.CIQ($A21, "IQ_EFFECT_TAX_RATE")</f>
        <v>#NAME?</v>
      </c>
      <c r="BL21" s="44" t="e">
        <f ca="1">IF(_xll.ciqfunctions.udf.CIQ($A21, "IQ_TOTAL_REV_2YR_ANN_CAGR", IQ_LTM, $B$1,$L$4, $L$3, $L$5, $L$6)="NM","n/a",(_xll.ciqfunctions.udf.CIQ($A21, "IQ_TOTAL_REV_2YR_ANN_CAGR", IQ_LTM, $B$1,$L$4, $L$3, $L$5, $L$6)/100))</f>
        <v>#NAME?</v>
      </c>
      <c r="BM21" s="44" t="e">
        <f ca="1">IF(_xll.ciqfunctions.udf.CIQ($A21, "IQ_TOTAL_REV_3YR_ANN_CAGR", IQ_LTM, $B$1,$L$4, $L$3, $L$5, $L$6)="NM","n/a",(_xll.ciqfunctions.udf.CIQ($A21, "IQ_TOTAL_REV_3YR_ANN_CAGR", IQ_LTM, $B$1,$L$4, $L$3, $L$5, $L$6)/100))</f>
        <v>#NAME?</v>
      </c>
      <c r="BN21" s="44" t="e">
        <f ca="1">IF(_xll.ciqfunctions.udf.CIQ($A21, "IQ_TOTAL_REV_5YR_ANN_CAGR", IQ_LTM, $B$1,$L$4, $L$3, $L$5, $L$6)="NM","n/a",(_xll.ciqfunctions.udf.CIQ($A21, "IQ_TOTAL_REV_5YR_ANN_CAGR", IQ_LTM, $B$1,$L$4, $L$3, $L$5, $L$6)/100))</f>
        <v>#NAME?</v>
      </c>
      <c r="BO21" s="44" t="e">
        <f ca="1">IF(_xll.ciqfunctions.udf.CIQ($A21,"IQ_EBITDA_2YR_ANN_CAGR", IQ_LTM,$B$1,$L$4, $L$3, $L$5, $L$6)="NM","n/a",(_xll.ciqfunctions.udf.CIQ($A21,"IQ_EBITDA_2YR_ANN_CAGR", IQ_LTM,$B$1,$L$4, $L$3, $L$5, $L$6)/100))</f>
        <v>#NAME?</v>
      </c>
      <c r="BP21" s="44" t="e">
        <f ca="1">IF(_xll.ciqfunctions.udf.CIQ($A21,"IQ_EBITDA_3YR_ANN_CAGR", IQ_LTM,$B$1,$L$4, $L$3, $L$5, $L$6)="NM","n/a",(_xll.ciqfunctions.udf.CIQ($A21,"IQ_EBITDA_3YR_ANN_CAGR", IQ_LTM,$B$1,$L$4, $L$3, $L$5, $L$6)/100))</f>
        <v>#NAME?</v>
      </c>
      <c r="BQ21" s="44" t="e">
        <f ca="1">IF(_xll.ciqfunctions.udf.CIQ($A21,"IQ_EBITDA_5YR_ANN_CAGR", IQ_LTM,$B$1,$L$4, $L$3, $L$5, $L$6)="NM","n/a",(_xll.ciqfunctions.udf.CIQ($A21,"IQ_EBITDA_5YR_ANN_CAGR", IQ_LTM,$B$1,$L$4, $L$3, $L$5, $L$6)/100))</f>
        <v>#NAME?</v>
      </c>
      <c r="BR21" s="48" t="str">
        <f ca="1">IFERROR((_xll.ciqfunctions.udf.CIQ($A21, "IQ_DA_CF", IQ_LTM, $B$1, $L$4, $L$3, $L$5, $L$6)/Q21),"NM")</f>
        <v>NM</v>
      </c>
      <c r="BS21" s="72">
        <f>'Capital IQ Sheet-GPC'!BS21</f>
        <v>0.64700000000000002</v>
      </c>
      <c r="BT21" s="72">
        <f>'Capital IQ Sheet-GPC'!BT21</f>
        <v>0.65</v>
      </c>
      <c r="BU21" s="72" t="str">
        <f>'Capital IQ Sheet-GPC'!BU21</f>
        <v>n/a</v>
      </c>
      <c r="BV21" s="72" t="str">
        <f>'Capital IQ Sheet-GPC'!BV21</f>
        <v>n/a</v>
      </c>
      <c r="BW21" s="72" t="str">
        <f>'Capital IQ Sheet-GPC'!BW21</f>
        <v>n/a</v>
      </c>
      <c r="BX21" s="72" t="str">
        <f>'Capital IQ Sheet-GPC'!BX21</f>
        <v>n/a</v>
      </c>
      <c r="BY21" s="72" t="str">
        <f>'Capital IQ Sheet-GPC'!BY21</f>
        <v>n/a</v>
      </c>
      <c r="BZ21" s="72" t="str">
        <f>'Capital IQ Sheet-GPC'!BZ21</f>
        <v>n/a</v>
      </c>
      <c r="CB21" s="44">
        <v>2</v>
      </c>
      <c r="CC21" s="112" t="s">
        <v>269</v>
      </c>
      <c r="CD21" s="112" t="s">
        <v>268</v>
      </c>
      <c r="CE21" s="46">
        <f t="shared" si="0"/>
        <v>42766</v>
      </c>
    </row>
    <row r="22" spans="1:83" s="44" customFormat="1" ht="12.75">
      <c r="A22" s="45" t="e">
        <f ca="1">_xll.ciqfunctions.udf.CIQ($B22,"IQ_COMPANY_TICKER")</f>
        <v>#NAME?</v>
      </c>
      <c r="B22" s="67" t="str">
        <f>'Capital IQ Sheet-GPC'!B22</f>
        <v>IQ47899619</v>
      </c>
      <c r="C22" s="45" t="e">
        <f ca="1">_xll.ciqfunctions.udf.CIQ($A22,"IQ_COMPANY_NAME")</f>
        <v>#NAME?</v>
      </c>
      <c r="D22" s="45" t="e">
        <f ca="1">_xll.ciqfunctions.udf.CIQ($A22, "IQ_EXCHANGE")</f>
        <v>#NAME?</v>
      </c>
      <c r="E22" s="66" t="e">
        <f ca="1">_xll.ciqfunctions.udf.CIQ($A22, "IQ_PERIODDATE_IS", IQ_FY)</f>
        <v>#NAME?</v>
      </c>
      <c r="F22" s="66" t="e">
        <f ca="1">_xll.ciqfunctions.udf.CIQ(A22, "IQ_PERIODDATE_IS", IQ_LTM, $B$1,$L$4,$L$3)</f>
        <v>#NAME?</v>
      </c>
      <c r="G22" s="66" t="e">
        <f ca="1">_xll.ciqfunctions.udf.CIQ($A22, "IQ_FIRSTPRICINGDATE")</f>
        <v>#NAME?</v>
      </c>
      <c r="H22" s="68" t="e">
        <f ca="1">_xll.ciqfunctions.udf.CIQ($A22, "IQ_TEV", $L$2, $L$5, $L$6)</f>
        <v>#NAME?</v>
      </c>
      <c r="I22" s="68" t="e">
        <f ca="1">_xll.ciqfunctions.udf.CIQ(A22, "IQ_LASTSALEPRICE", $B$1,$L$5)</f>
        <v>#NAME?</v>
      </c>
      <c r="J22" s="68" t="e">
        <f ca="1">_xll.ciqfunctions.udf.CIQ($A22, "IQ_MARKETCAP", $L$2, $L$5, $L$6)</f>
        <v>#NAME?</v>
      </c>
      <c r="K22" s="68" t="e">
        <f ca="1">_xll.ciqfunctions.udf.CIQ($A22, "IQ_TOTAL_DEBT", IQ_LTM, $L$2,$L$4, $L$3, $L$5, $L$6)</f>
        <v>#NAME?</v>
      </c>
      <c r="L22" s="68" t="e">
        <f ca="1">_xll.ciqfunctions.udf.CIQ($A22, "IQ_PREF_EQUITY", IQ_LTM, $L$2, $L$4, $L$3, $L$5, $L$6)</f>
        <v>#NAME?</v>
      </c>
      <c r="M22" s="68" t="e">
        <f ca="1">_xll.ciqfunctions.udf.CIQ($A22, "IQ_MINORITY_INTEREST_TOTAL", IQ_LTM, $L$2, $L$4, $L$3, $L$5, $L$6)</f>
        <v>#NAME?</v>
      </c>
      <c r="N22" s="68" t="e">
        <f ca="1">_xll.ciqfunctions.udf.CIQ($A22, "IQ_CASH_ST_INVEST", IQ_LTM, $L$2, $L$4, $L$3, $L$5, $L$6)</f>
        <v>#NAME?</v>
      </c>
      <c r="O22" s="68" t="e">
        <f ca="1">_xll.ciqfunctions.udf.CIQ($A22, "IQ_TOTAL_REV", IQ_LTM-8, $L$2, $L$4, $L$3, $L$5, $L$6)</f>
        <v>#NAME?</v>
      </c>
      <c r="P22" s="68" t="e">
        <f ca="1">_xll.ciqfunctions.udf.CIQ($A22, "IQ_TOTAL_REV", IQ_LTM - 4, $L$2, $L$4, $L$3, $L$5,$L$6)</f>
        <v>#NAME?</v>
      </c>
      <c r="Q22" s="68" t="e">
        <f ca="1">_xll.ciqfunctions.udf.CIQ($A22, "IQ_TOTAL_REV", IQ_LTM, $L$2, $L$4, $L$3, $L$5, $L$6)</f>
        <v>#NAME?</v>
      </c>
      <c r="R22" s="68" t="e">
        <f ca="1">_xll.ciqfunctions.udf.CIQ($A22, "IQ_TOTAL_REV", $B$2, $L$2, $L$4, $L$3, $L$5, $L$6)</f>
        <v>#NAME?</v>
      </c>
      <c r="S22" s="68" t="e">
        <f ca="1">IF(_xll.ciqfunctions.udf.CIQ($A22, "IQ_TOTAL_REV", $B$3, $L$2,$L$4, $L$3, $L$5, $L$6)=0,Q22,_xll.ciqfunctions.udf.CIQ($A22, "IQ_TOTAL_REV", $B$3, $L$2,$L$4, $L$3, $L$5, $L$6))</f>
        <v>#NAME?</v>
      </c>
      <c r="T22" s="68" t="e">
        <f ca="1">IF(_xll.ciqfunctions.udf.CIQ($A22, "IQ_REVENUE_EST",$B$4, $L$2, "CON", $L$3, $L$5, $L$6)=0,"n/a",_xll.ciqfunctions.udf.CIQ($A22, "IQ_REVENUE_EST",$B$4, $L$2, "CON", $L$3, $L$5, $L$6))</f>
        <v>#NAME?</v>
      </c>
      <c r="U22" s="68" t="e">
        <f ca="1">IF(_xll.ciqfunctions.udf.CIQ($A22, "IQ_REVENUE_EST",$B$5, $L$2, "CON", $L$3, $L$5, $L$6)=0,"n/a",_xll.ciqfunctions.udf.CIQ($A22, "IQ_REVENUE_EST",$B$5, $L$2, "CON", $L$3, $L$5, $L$6))</f>
        <v>#NAME?</v>
      </c>
      <c r="V22" s="68" t="e">
        <f ca="1">IF(_xll.ciqfunctions.udf.CIQ($A22, "IQ_REVENUE_EST",$B$6, $L$2, "CON", $L$3, $L$5, $L$6)=0,"n/a",_xll.ciqfunctions.udf.CIQ($A22, "IQ_REVENUE_EST",$B$6, $L$2, "CON", $L$3, $L$5, $L$6))</f>
        <v>#NAME?</v>
      </c>
      <c r="W22" s="68" t="e">
        <f ca="1">IF(_xll.ciqfunctions.udf.CIQ($A22, "IQ_REVENUE_EST", $B$7, $L$2, "CON", $L$3, $L$5, $L$6)=0,"n/a",_xll.ciqfunctions.udf.CIQ($A22, "IQ_REVENUE_EST",$B$7, $L$2, "CON", $L$3, $L$5, $L$6))</f>
        <v>#NAME?</v>
      </c>
      <c r="X22" s="68" t="e">
        <f ca="1">_xll.ciqfunctions.udf.CIQ($A22, "IQ_EBITDA", IQ_LTM-8, $L$2, $L$4, $L$3, $L$5, $L$6)</f>
        <v>#NAME?</v>
      </c>
      <c r="Y22" s="68" t="e">
        <f ca="1">_xll.ciqfunctions.udf.CIQ($A22, "IQ_EBITDA", IQ_LTM-4, $L$2,$L$4, $L$3, $L$5, $L$6)</f>
        <v>#NAME?</v>
      </c>
      <c r="Z22" s="68" t="e">
        <f ca="1">_xll.ciqfunctions.udf.CIQ($A22, "IQ_EBITDA", IQ_LTM, $L$2, $L$4, $L$3, $L$5, $L$6)</f>
        <v>#NAME?</v>
      </c>
      <c r="AA22" s="68" t="e">
        <f ca="1">_xll.ciqfunctions.udf.CIQ($A22, "IQ_EBITDA", $B$2, $L$2, $L$4, $L$3, $L$5, $L$6)</f>
        <v>#NAME?</v>
      </c>
      <c r="AB22" s="68" t="e">
        <f ca="1">IF(_xll.ciqfunctions.udf.CIQ($A22, "IQ_EBITDA", $B$3, $L$2,$L$4, $L$3, $L$5, $L$6)=0,Z22,_xll.ciqfunctions.udf.CIQ($A22, "IQ_EBITDA", $B$3, $L$2,$L$4, $L$3, $L$5, $L$6))</f>
        <v>#NAME?</v>
      </c>
      <c r="AC22" s="68" t="e">
        <f ca="1">IF(_xll.ciqfunctions.udf.CIQ($A22, "IQ_EBITDA_EST",$B$4, $L$2, "CON", $L$3, $L$5, $L$6)=0,"n/a",_xll.ciqfunctions.udf.CIQ($A22, "IQ_EBITDA_EST",$B$4, $L$2, "CON", $L$3, $L$5, $L$6))</f>
        <v>#NAME?</v>
      </c>
      <c r="AD22" s="68" t="e">
        <f ca="1">IF(_xll.ciqfunctions.udf.CIQ($A22, "IQ_EBITDA_EST",$B$5, $L$2, "CON", $L$3, $L$5, $L$6)=0,"n/a",_xll.ciqfunctions.udf.CIQ($A22, "IQ_EBITDA_EST",$B$5, $L$2, "CON", $L$3, $L$5, $L$6))</f>
        <v>#NAME?</v>
      </c>
      <c r="AE22" s="68" t="e">
        <f ca="1">IF(_xll.ciqfunctions.udf.CIQ($A22, "IQ_EBITDA_EST",$B$6, $L$2, "CON", $L$3, $L$5, $L$6)=0,"n/a",_xll.ciqfunctions.udf.CIQ($A22, "IQ_EBITDA_EST",$B$6, $L$2, "CON", $L$3, $L$5, $L$6))</f>
        <v>#NAME?</v>
      </c>
      <c r="AF22" s="69" t="str">
        <f ca="1">IF(ISERROR(_xll.ciqfunctions.udf.CIQ($A22, "IQ_GROSS_MARGIN", IQ_LTM, $L$2,$L$4, $L$3, $L$5, $L$6)/100), "n/a", _xll.ciqfunctions.udf.CIQ($A22,  "IQ_GROSS_MARGIN", IQ_LTM, $L$2, $L$4, $L$3, $L$5, $L$6)/100)</f>
        <v>n/a</v>
      </c>
      <c r="AG22" s="69" t="str">
        <f ca="1">IF(ISERROR(_xll.ciqfunctions.udf.CIQ($A22,"IQ_EBITDA_MARGIN", IQ_LTM, $L$2, $L$4, $L$3, $L$5, $L$6)/100), "n/a", _xll.ciqfunctions.udf.CIQ($A22, "IQ_EBITDA_MARGIN", IQ_LTM, $L$2, $L$4, $L$3, $L$5, $L$6)/100)</f>
        <v>n/a</v>
      </c>
      <c r="AH22" s="69" t="str">
        <f ca="1">IF(ISERROR(_xll.ciqfunctions.udf.CIQ($A22,"IQ_EBIT_MARGIN", IQ_LTM, $L$2, $L$4, $L$3, $L$5, $L$6)/100), "n/a", _xll.ciqfunctions.udf.CIQ($A22, "IQ_EBIT_MARGIN", IQ_LTM, $L$2, $L$4, $L$3, $L$5, $L$6)/100)</f>
        <v>n/a</v>
      </c>
      <c r="AI22" s="69" t="str">
        <f ca="1">IF(ISERROR(_xll.ciqfunctions.udf.CIQ($A22,"IQ_NI_MARGIN", IQ_LTM, $L$2, $L$4, $L$3, $L$5, $L$6)/100), "n/a", _xll.ciqfunctions.udf.CIQ($A22, "IQ_NI_MARGIN", IQ_LTM, $L$2, $L$4, $L$3, $L$5, $L$6)/100)</f>
        <v>n/a</v>
      </c>
      <c r="AJ22" s="68" t="str">
        <f ca="1">IF(ISERROR(_xll.ciqfunctions.udf.CIQ($A22, "IQ_NET_WORKING_CAP", IQ_LTM-8, $L$2, $L$4, $L$3, $L$5, $L$6)), "n/a", _xll.ciqfunctions.udf.CIQ($A22, "IQ_NET_WORKING_CAP", IQ_LTM-8, $L$2, $L$4, $L$3, $L$5, $L$6))</f>
        <v>n/a</v>
      </c>
      <c r="AK22" s="68" t="str">
        <f ca="1">IF(ISERROR(_xll.ciqfunctions.udf.CIQ($A22, "IQ_NET_WORKING_CAP", IQ_LTM-4, $L$2, $L$4, $L$3, $L$5, $L$6)), "n/a", _xll.ciqfunctions.udf.CIQ($A22, "IQ_NET_WORKING_CAP", IQ_LTM-4, $L$2, $L$4, $L$3, $L$5, $L$6))</f>
        <v>n/a</v>
      </c>
      <c r="AL22" s="68" t="str">
        <f ca="1">IF(ISERROR(_xll.ciqfunctions.udf.CIQ($A22, "IQ_NET_WORKING_CAP", IQ_LTM, $L$2,$L$4, $L$3, $L$5, $L$6)), "n/a", _xll.ciqfunctions.udf.CIQ($A22, "IQ_NET_WORKING_CAP", IQ_LTM, $L$2, $L$4, $L$3, $L$5, $L$6))</f>
        <v>n/a</v>
      </c>
      <c r="AM22" s="68" t="str">
        <f ca="1">IF(ISERROR(_xll.ciqfunctions.udf.CIQ($A22, "IQ_Capex", IQ_LTM-8, $L$2,$L$4, $L$3, $L$5, $L$6)), "n/a", _xll.ciqfunctions.udf.CIQ($A22, "IQ_Capex", IQ_LTM-8, $L$2, $L$4, $L$3, $L$5, $L$6))</f>
        <v>n/a</v>
      </c>
      <c r="AN22" s="68" t="str">
        <f ca="1">IF(ISERROR(_xll.ciqfunctions.udf.CIQ($A22, "IQ_Capex", IQ_LTM-4, $L$2,$L$4, $L$3, $L$5, $L$6)), "n/a", _xll.ciqfunctions.udf.CIQ($A22, "IQ_Capex", IQ_LTM-4, $L$2,$L$4, $L$3, $L$5, $L$6))</f>
        <v>n/a</v>
      </c>
      <c r="AO22" s="68" t="str">
        <f ca="1">IF(ISERROR(_xll.ciqfunctions.udf.CIQ($A22, "IQ_Capex", IQ_LTM, $L$2, $L$4, $L$3, $L$5, $L$6)), "n/a", _xll.ciqfunctions.udf.CIQ($A22, "IQ_Capex", IQ_LTM, $L$2, $L$4, $L$3, $L$5, $L$6))</f>
        <v>n/a</v>
      </c>
      <c r="AP22" s="70" t="e">
        <f ca="1">_xll.ciqfunctions.udf.CIQ(A22, "IQ_BUSINESS_DESCRIPTION")</f>
        <v>#NAME?</v>
      </c>
      <c r="AQ22" s="71" t="e">
        <f ca="1">_xll.ciqfunctions.udf.CIQ($A22, "IQ_BETA_1YR", $B$1)</f>
        <v>#NAME?</v>
      </c>
      <c r="AR22" s="71" t="e">
        <f ca="1">_xll.ciqfunctions.udf.CIQ($A22, "IQ_BETA_2YR", $B$1)</f>
        <v>#NAME?</v>
      </c>
      <c r="AS22" s="71" t="e">
        <f ca="1">_xll.ciqfunctions.udf.CIQ($A22, "IQ_BETA_5YR", $B$1)</f>
        <v>#NAME?</v>
      </c>
      <c r="AT22" s="69" t="e">
        <f ca="1">_xll.ciqfunctions.udf.CIQ($A22, "IQ_DIVIDEND_YIELD", $B$1)/100</f>
        <v>#NAME?</v>
      </c>
      <c r="AU22" s="68" t="e">
        <f ca="1">_xll.ciqfunctions.udf.CIQ($A22, "IQ_EARNING_CO", IQ_LTM-8, $L$2, $L$4, $L$3, $L$5, $L$6)</f>
        <v>#NAME?</v>
      </c>
      <c r="AV22" s="68" t="e">
        <f ca="1">_xll.ciqfunctions.udf.CIQ($A22, "IQ_EARNING_CO", IQ_LTM-4, $L$2, $L$4, $L$3, $L$5, $L$6)</f>
        <v>#NAME?</v>
      </c>
      <c r="AW22" s="68" t="e">
        <f ca="1">_xll.ciqfunctions.udf.CIQ($A22, "IQ_EARNING_CO", IQ_LTM, $L$2, $L$4, $L$3, $L$5, $L$6)</f>
        <v>#NAME?</v>
      </c>
      <c r="AX22" s="68" t="e">
        <f ca="1">_xll.ciqfunctions.udf.CIQ($A22, "IQ_EARNING_CO", $B$2, $L$2, $L$4, $L$3, $L$5, $L$6)</f>
        <v>#NAME?</v>
      </c>
      <c r="AY22" s="68" t="e">
        <f ca="1">IF(_xll.ciqfunctions.udf.CIQ($A22, "IQ_EARNING_CO", $B$3, $L$2,$L$4, $L$3, $L$5, $L$6)=0,AW22,_xll.ciqfunctions.udf.CIQ($A22, "IQ_EARNING_CO", $B$3, $L$2,$L$4, $L$3, $L$5, $L$6))</f>
        <v>#NAME?</v>
      </c>
      <c r="AZ22" s="68" t="e">
        <f ca="1">_xll.ciqfunctions.udf.CIQ($A22, "IQ_TOTAL_EQUITY", IQ_LTM-8, $L$2, $L$4, $L$3, $L$5, $L$6)</f>
        <v>#NAME?</v>
      </c>
      <c r="BA22" s="68" t="e">
        <f ca="1">_xll.ciqfunctions.udf.CIQ($A22, "IQ_TOTAL_EQUITY", IQ_LTM-4, $L$2, $L$4, $L$3, $L$5, $L$6)</f>
        <v>#NAME?</v>
      </c>
      <c r="BB22" s="68" t="e">
        <f ca="1">_xll.ciqfunctions.udf.CIQ($A22, "IQ_TOTAL_EQUITY", IQ_LTM, $L$2, $L$4, $L$3, $L$5, $L$6)</f>
        <v>#NAME?</v>
      </c>
      <c r="BC22" s="68" t="e">
        <f ca="1">_xll.ciqfunctions.udf.CIQ($A22, "IQ_TOTAL_EQUITY", $B$2, $L$2, $L$4, $L$3, $L$5, $L$6)</f>
        <v>#NAME?</v>
      </c>
      <c r="BD22" s="68" t="e">
        <f ca="1">IF(_xll.ciqfunctions.udf.CIQ($A22, "IQ_TOTAL_EQUITY", $B$3, $L$2,$L$4, $L$3, $L$5, $L$6)=0,BB22,_xll.ciqfunctions.udf.CIQ($A22, "IQ_TOTAL_EQUITY", $B$3, $L$2,$L$4, $L$3, $L$5, $L$6))</f>
        <v>#NAME?</v>
      </c>
      <c r="BE22" s="68" t="e">
        <f ca="1">_xll.ciqfunctions.udf.CIQ(A22, "IQ_LASTSALEPRICE", $B$8)</f>
        <v>#NAME?</v>
      </c>
      <c r="BF22" s="68" t="e">
        <f ca="1">_xll.ciqfunctions.udf.CIQ($A22, "IQ_MARKETCAP", $B$8, $L$5, $L$6)</f>
        <v>#NAME?</v>
      </c>
      <c r="BG22" s="68" t="e">
        <f ca="1">_xll.ciqfunctions.udf.CIQ($A22, "IQ_TOTAL_DEBT", IQ_LTM, $B$8,$L$4, $L$3, $L$5, $L$6)</f>
        <v>#NAME?</v>
      </c>
      <c r="BH22" s="44" t="e">
        <f ca="1">_xll.ciqfunctions.udf.CIQ($A22,"IQ_PREF_EQUITY",IQ_LTM,$B$8,$L$4,$L$3,$L$5,$L$6)</f>
        <v>#NAME?</v>
      </c>
      <c r="BI22" s="44" t="e">
        <f ca="1">_xll.ciqfunctions.udf.CIQ($A22, "IQ_MINORITY_INTEREST_TOTAL", IQ_LTM,$B$8,$L$4,$L$3,$L$5,$L$6)</f>
        <v>#NAME?</v>
      </c>
      <c r="BJ22" s="68" t="e">
        <f ca="1">_xll.ciqfunctions.udf.CIQ($A22, "IQ_CASH_ST_INVEST", IQ_LTM, $B$8, $L$4, $L$3, $L$5, $L$6)</f>
        <v>#NAME?</v>
      </c>
      <c r="BK22" s="44" t="e">
        <f ca="1">_xll.ciqfunctions.udf.CIQ($A22, "IQ_EFFECT_TAX_RATE")</f>
        <v>#NAME?</v>
      </c>
      <c r="BL22" s="44" t="e">
        <f ca="1">IF(_xll.ciqfunctions.udf.CIQ($A22, "IQ_TOTAL_REV_2YR_ANN_CAGR", IQ_LTM, $B$1,$L$4, $L$3, $L$5, $L$6)="NM","n/a",(_xll.ciqfunctions.udf.CIQ($A22, "IQ_TOTAL_REV_2YR_ANN_CAGR", IQ_LTM, $B$1,$L$4, $L$3, $L$5, $L$6)/100))</f>
        <v>#NAME?</v>
      </c>
      <c r="BM22" s="44" t="e">
        <f ca="1">IF(_xll.ciqfunctions.udf.CIQ($A22, "IQ_TOTAL_REV_3YR_ANN_CAGR", IQ_LTM, $B$1,$L$4, $L$3, $L$5, $L$6)="NM","n/a",(_xll.ciqfunctions.udf.CIQ($A22, "IQ_TOTAL_REV_3YR_ANN_CAGR", IQ_LTM, $B$1,$L$4, $L$3, $L$5, $L$6)/100))</f>
        <v>#NAME?</v>
      </c>
      <c r="BN22" s="44" t="e">
        <f ca="1">IF(_xll.ciqfunctions.udf.CIQ($A22, "IQ_TOTAL_REV_5YR_ANN_CAGR", IQ_LTM, $B$1,$L$4, $L$3, $L$5, $L$6)="NM","n/a",(_xll.ciqfunctions.udf.CIQ($A22, "IQ_TOTAL_REV_5YR_ANN_CAGR", IQ_LTM, $B$1,$L$4, $L$3, $L$5, $L$6)/100))</f>
        <v>#NAME?</v>
      </c>
      <c r="BO22" s="44" t="e">
        <f ca="1">IF(_xll.ciqfunctions.udf.CIQ($A22,"IQ_EBITDA_2YR_ANN_CAGR", IQ_LTM,$B$1,$L$4, $L$3, $L$5, $L$6)="NM","n/a",(_xll.ciqfunctions.udf.CIQ($A22,"IQ_EBITDA_2YR_ANN_CAGR", IQ_LTM,$B$1,$L$4, $L$3, $L$5, $L$6)/100))</f>
        <v>#NAME?</v>
      </c>
      <c r="BP22" s="44" t="e">
        <f ca="1">IF(_xll.ciqfunctions.udf.CIQ($A22,"IQ_EBITDA_3YR_ANN_CAGR", IQ_LTM,$B$1,$L$4, $L$3, $L$5, $L$6)="NM","n/a",(_xll.ciqfunctions.udf.CIQ($A22,"IQ_EBITDA_3YR_ANN_CAGR", IQ_LTM,$B$1,$L$4, $L$3, $L$5, $L$6)/100))</f>
        <v>#NAME?</v>
      </c>
      <c r="BQ22" s="44" t="e">
        <f ca="1">IF(_xll.ciqfunctions.udf.CIQ($A22,"IQ_EBITDA_5YR_ANN_CAGR", IQ_LTM,$B$1,$L$4, $L$3, $L$5, $L$6)="NM","n/a",(_xll.ciqfunctions.udf.CIQ($A22,"IQ_EBITDA_5YR_ANN_CAGR", IQ_LTM,$B$1,$L$4, $L$3, $L$5, $L$6)/100))</f>
        <v>#NAME?</v>
      </c>
      <c r="BR22" s="48" t="str">
        <f ca="1">IFERROR((_xll.ciqfunctions.udf.CIQ($A22, "IQ_DA_CF", IQ_LTM, $B$1, $L$4, $L$3, $L$5, $L$6)/Q22),"NM")</f>
        <v>NM</v>
      </c>
      <c r="BS22" s="72">
        <f>'Capital IQ Sheet-GPC'!BS22</f>
        <v>1</v>
      </c>
      <c r="BT22" s="72">
        <f>'Capital IQ Sheet-GPC'!BT22</f>
        <v>0.91400000000000003</v>
      </c>
      <c r="BU22" s="72">
        <f>'Capital IQ Sheet-GPC'!BU22</f>
        <v>0.82799999999999996</v>
      </c>
      <c r="BV22" s="72">
        <f>'Capital IQ Sheet-GPC'!BV22</f>
        <v>0.81899999999999995</v>
      </c>
      <c r="BW22" s="72">
        <f>'Capital IQ Sheet-GPC'!BW22</f>
        <v>0.81499999999999995</v>
      </c>
      <c r="BX22" s="72">
        <f>'Capital IQ Sheet-GPC'!BX22</f>
        <v>0.79200000000000004</v>
      </c>
      <c r="BY22" s="72">
        <f>'Capital IQ Sheet-GPC'!BY22</f>
        <v>0.85499999999999998</v>
      </c>
      <c r="BZ22" s="72">
        <f>'Capital IQ Sheet-GPC'!BZ22</f>
        <v>0.93300000000000005</v>
      </c>
      <c r="CB22" s="44">
        <v>2</v>
      </c>
      <c r="CC22" s="112" t="s">
        <v>269</v>
      </c>
      <c r="CD22" s="112" t="s">
        <v>268</v>
      </c>
      <c r="CE22" s="46">
        <f t="shared" si="0"/>
        <v>42766</v>
      </c>
    </row>
    <row r="23" spans="1:83" s="44" customFormat="1" ht="12.75">
      <c r="A23" s="45" t="e">
        <f ca="1">_xll.ciqfunctions.udf.CIQ($B23,"IQ_COMPANY_TICKER")</f>
        <v>#NAME?</v>
      </c>
      <c r="B23" s="67" t="str">
        <f>'Capital IQ Sheet-GPC'!B23</f>
        <v>IQ262241549</v>
      </c>
      <c r="C23" s="45" t="e">
        <f ca="1">_xll.ciqfunctions.udf.CIQ($A23,"IQ_COMPANY_NAME")</f>
        <v>#NAME?</v>
      </c>
      <c r="D23" s="45" t="e">
        <f ca="1">_xll.ciqfunctions.udf.CIQ($A23, "IQ_EXCHANGE")</f>
        <v>#NAME?</v>
      </c>
      <c r="E23" s="66" t="e">
        <f ca="1">_xll.ciqfunctions.udf.CIQ($A23, "IQ_PERIODDATE_IS", IQ_FY)</f>
        <v>#NAME?</v>
      </c>
      <c r="F23" s="66" t="e">
        <f ca="1">_xll.ciqfunctions.udf.CIQ(A23, "IQ_PERIODDATE_IS", IQ_LTM, $B$1,$L$4,$L$3)</f>
        <v>#NAME?</v>
      </c>
      <c r="G23" s="66" t="e">
        <f ca="1">_xll.ciqfunctions.udf.CIQ($A23, "IQ_FIRSTPRICINGDATE")</f>
        <v>#NAME?</v>
      </c>
      <c r="H23" s="68" t="e">
        <f ca="1">_xll.ciqfunctions.udf.CIQ($A23, "IQ_TEV", $L$2, $L$5, $L$6)</f>
        <v>#NAME?</v>
      </c>
      <c r="I23" s="68" t="e">
        <f ca="1">_xll.ciqfunctions.udf.CIQ(A23, "IQ_LASTSALEPRICE", $B$1,$L$5)</f>
        <v>#NAME?</v>
      </c>
      <c r="J23" s="68" t="e">
        <f ca="1">_xll.ciqfunctions.udf.CIQ($A23, "IQ_MARKETCAP", $L$2, $L$5, $L$6)</f>
        <v>#NAME?</v>
      </c>
      <c r="K23" s="68" t="e">
        <f ca="1">_xll.ciqfunctions.udf.CIQ($A23, "IQ_TOTAL_DEBT", IQ_LTM, $L$2,$L$4, $L$3, $L$5, $L$6)</f>
        <v>#NAME?</v>
      </c>
      <c r="L23" s="68" t="e">
        <f ca="1">_xll.ciqfunctions.udf.CIQ($A23, "IQ_PREF_EQUITY", IQ_LTM, $L$2, $L$4, $L$3, $L$5, $L$6)</f>
        <v>#NAME?</v>
      </c>
      <c r="M23" s="68" t="e">
        <f ca="1">_xll.ciqfunctions.udf.CIQ($A23, "IQ_MINORITY_INTEREST_TOTAL", IQ_LTM, $L$2, $L$4, $L$3, $L$5, $L$6)</f>
        <v>#NAME?</v>
      </c>
      <c r="N23" s="68" t="e">
        <f ca="1">_xll.ciqfunctions.udf.CIQ($A23, "IQ_CASH_ST_INVEST", IQ_LTM, $L$2, $L$4, $L$3, $L$5, $L$6)</f>
        <v>#NAME?</v>
      </c>
      <c r="O23" s="68" t="e">
        <f ca="1">_xll.ciqfunctions.udf.CIQ($A23, "IQ_TOTAL_REV", IQ_LTM-8, $L$2, $L$4, $L$3, $L$5, $L$6)</f>
        <v>#NAME?</v>
      </c>
      <c r="P23" s="68" t="e">
        <f ca="1">_xll.ciqfunctions.udf.CIQ($A23, "IQ_TOTAL_REV", IQ_LTM - 4, $L$2, $L$4, $L$3, $L$5,$L$6)</f>
        <v>#NAME?</v>
      </c>
      <c r="Q23" s="68" t="e">
        <f ca="1">_xll.ciqfunctions.udf.CIQ($A23, "IQ_TOTAL_REV", IQ_LTM, $L$2, $L$4, $L$3, $L$5, $L$6)</f>
        <v>#NAME?</v>
      </c>
      <c r="R23" s="68" t="e">
        <f ca="1">_xll.ciqfunctions.udf.CIQ($A23, "IQ_TOTAL_REV", $B$2, $L$2, $L$4, $L$3, $L$5, $L$6)</f>
        <v>#NAME?</v>
      </c>
      <c r="S23" s="68" t="e">
        <f ca="1">IF(_xll.ciqfunctions.udf.CIQ($A23, "IQ_TOTAL_REV", $B$3, $L$2,$L$4, $L$3, $L$5, $L$6)=0,Q23,_xll.ciqfunctions.udf.CIQ($A23, "IQ_TOTAL_REV", $B$3, $L$2,$L$4, $L$3, $L$5, $L$6))</f>
        <v>#NAME?</v>
      </c>
      <c r="T23" s="68" t="e">
        <f ca="1">IF(_xll.ciqfunctions.udf.CIQ($A23, "IQ_REVENUE_EST",$B$4, $L$2, "CON", $L$3, $L$5, $L$6)=0,"n/a",_xll.ciqfunctions.udf.CIQ($A23, "IQ_REVENUE_EST",$B$4, $L$2, "CON", $L$3, $L$5, $L$6))</f>
        <v>#NAME?</v>
      </c>
      <c r="U23" s="68" t="e">
        <f ca="1">IF(_xll.ciqfunctions.udf.CIQ($A23, "IQ_REVENUE_EST",$B$5, $L$2, "CON", $L$3, $L$5, $L$6)=0,"n/a",_xll.ciqfunctions.udf.CIQ($A23, "IQ_REVENUE_EST",$B$5, $L$2, "CON", $L$3, $L$5, $L$6))</f>
        <v>#NAME?</v>
      </c>
      <c r="V23" s="68" t="e">
        <f ca="1">IF(_xll.ciqfunctions.udf.CIQ($A23, "IQ_REVENUE_EST",$B$6, $L$2, "CON", $L$3, $L$5, $L$6)=0,"n/a",_xll.ciqfunctions.udf.CIQ($A23, "IQ_REVENUE_EST",$B$6, $L$2, "CON", $L$3, $L$5, $L$6))</f>
        <v>#NAME?</v>
      </c>
      <c r="W23" s="68" t="e">
        <f ca="1">IF(_xll.ciqfunctions.udf.CIQ($A23, "IQ_REVENUE_EST", $B$7, $L$2, "CON", $L$3, $L$5, $L$6)=0,"n/a",_xll.ciqfunctions.udf.CIQ($A23, "IQ_REVENUE_EST",$B$7, $L$2, "CON", $L$3, $L$5, $L$6))</f>
        <v>#NAME?</v>
      </c>
      <c r="X23" s="68" t="e">
        <f ca="1">_xll.ciqfunctions.udf.CIQ($A23, "IQ_EBITDA", IQ_LTM-8, $L$2, $L$4, $L$3, $L$5, $L$6)</f>
        <v>#NAME?</v>
      </c>
      <c r="Y23" s="68" t="e">
        <f ca="1">_xll.ciqfunctions.udf.CIQ($A23, "IQ_EBITDA", IQ_LTM-4, $L$2,$L$4, $L$3, $L$5, $L$6)</f>
        <v>#NAME?</v>
      </c>
      <c r="Z23" s="68" t="e">
        <f ca="1">_xll.ciqfunctions.udf.CIQ($A23, "IQ_EBITDA", IQ_LTM, $L$2, $L$4, $L$3, $L$5, $L$6)</f>
        <v>#NAME?</v>
      </c>
      <c r="AA23" s="68" t="e">
        <f ca="1">_xll.ciqfunctions.udf.CIQ($A23, "IQ_EBITDA", $B$2, $L$2, $L$4, $L$3, $L$5, $L$6)</f>
        <v>#NAME?</v>
      </c>
      <c r="AB23" s="68" t="e">
        <f ca="1">IF(_xll.ciqfunctions.udf.CIQ($A23, "IQ_EBITDA", $B$3, $L$2,$L$4, $L$3, $L$5, $L$6)=0,Z23,_xll.ciqfunctions.udf.CIQ($A23, "IQ_EBITDA", $B$3, $L$2,$L$4, $L$3, $L$5, $L$6))</f>
        <v>#NAME?</v>
      </c>
      <c r="AC23" s="68" t="e">
        <f ca="1">IF(_xll.ciqfunctions.udf.CIQ($A23, "IQ_EBITDA_EST",$B$4, $L$2, "CON", $L$3, $L$5, $L$6)=0,"n/a",_xll.ciqfunctions.udf.CIQ($A23, "IQ_EBITDA_EST",$B$4, $L$2, "CON", $L$3, $L$5, $L$6))</f>
        <v>#NAME?</v>
      </c>
      <c r="AD23" s="68" t="e">
        <f ca="1">IF(_xll.ciqfunctions.udf.CIQ($A23, "IQ_EBITDA_EST",$B$5, $L$2, "CON", $L$3, $L$5, $L$6)=0,"n/a",_xll.ciqfunctions.udf.CIQ($A23, "IQ_EBITDA_EST",$B$5, $L$2, "CON", $L$3, $L$5, $L$6))</f>
        <v>#NAME?</v>
      </c>
      <c r="AE23" s="68" t="e">
        <f ca="1">IF(_xll.ciqfunctions.udf.CIQ($A23, "IQ_EBITDA_EST",$B$6, $L$2, "CON", $L$3, $L$5, $L$6)=0,"n/a",_xll.ciqfunctions.udf.CIQ($A23, "IQ_EBITDA_EST",$B$6, $L$2, "CON", $L$3, $L$5, $L$6))</f>
        <v>#NAME?</v>
      </c>
      <c r="AF23" s="69" t="str">
        <f ca="1">IF(ISERROR(_xll.ciqfunctions.udf.CIQ($A23, "IQ_GROSS_MARGIN", IQ_LTM, $L$2,$L$4, $L$3, $L$5, $L$6)/100), "n/a", _xll.ciqfunctions.udf.CIQ($A23,  "IQ_GROSS_MARGIN", IQ_LTM, $L$2, $L$4, $L$3, $L$5, $L$6)/100)</f>
        <v>n/a</v>
      </c>
      <c r="AG23" s="69" t="str">
        <f ca="1">IF(ISERROR(_xll.ciqfunctions.udf.CIQ($A23,"IQ_EBITDA_MARGIN", IQ_LTM, $L$2, $L$4, $L$3, $L$5, $L$6)/100), "n/a", _xll.ciqfunctions.udf.CIQ($A23, "IQ_EBITDA_MARGIN", IQ_LTM, $L$2, $L$4, $L$3, $L$5, $L$6)/100)</f>
        <v>n/a</v>
      </c>
      <c r="AH23" s="69" t="str">
        <f ca="1">IF(ISERROR(_xll.ciqfunctions.udf.CIQ($A23,"IQ_EBIT_MARGIN", IQ_LTM, $L$2, $L$4, $L$3, $L$5, $L$6)/100), "n/a", _xll.ciqfunctions.udf.CIQ($A23, "IQ_EBIT_MARGIN", IQ_LTM, $L$2, $L$4, $L$3, $L$5, $L$6)/100)</f>
        <v>n/a</v>
      </c>
      <c r="AI23" s="69" t="str">
        <f ca="1">IF(ISERROR(_xll.ciqfunctions.udf.CIQ($A23,"IQ_NI_MARGIN", IQ_LTM, $L$2, $L$4, $L$3, $L$5, $L$6)/100), "n/a", _xll.ciqfunctions.udf.CIQ($A23, "IQ_NI_MARGIN", IQ_LTM, $L$2, $L$4, $L$3, $L$5, $L$6)/100)</f>
        <v>n/a</v>
      </c>
      <c r="AJ23" s="68" t="str">
        <f ca="1">IF(ISERROR(_xll.ciqfunctions.udf.CIQ($A23, "IQ_NET_WORKING_CAP", IQ_LTM-8, $L$2, $L$4, $L$3, $L$5, $L$6)), "n/a", _xll.ciqfunctions.udf.CIQ($A23, "IQ_NET_WORKING_CAP", IQ_LTM-8, $L$2, $L$4, $L$3, $L$5, $L$6))</f>
        <v>n/a</v>
      </c>
      <c r="AK23" s="68" t="str">
        <f ca="1">IF(ISERROR(_xll.ciqfunctions.udf.CIQ($A23, "IQ_NET_WORKING_CAP", IQ_LTM-4, $L$2, $L$4, $L$3, $L$5, $L$6)), "n/a", _xll.ciqfunctions.udf.CIQ($A23, "IQ_NET_WORKING_CAP", IQ_LTM-4, $L$2, $L$4, $L$3, $L$5, $L$6))</f>
        <v>n/a</v>
      </c>
      <c r="AL23" s="68" t="str">
        <f ca="1">IF(ISERROR(_xll.ciqfunctions.udf.CIQ($A23, "IQ_NET_WORKING_CAP", IQ_LTM, $L$2,$L$4, $L$3, $L$5, $L$6)), "n/a", _xll.ciqfunctions.udf.CIQ($A23, "IQ_NET_WORKING_CAP", IQ_LTM, $L$2, $L$4, $L$3, $L$5, $L$6))</f>
        <v>n/a</v>
      </c>
      <c r="AM23" s="68" t="str">
        <f ca="1">IF(ISERROR(_xll.ciqfunctions.udf.CIQ($A23, "IQ_Capex", IQ_LTM-8, $L$2,$L$4, $L$3, $L$5, $L$6)), "n/a", _xll.ciqfunctions.udf.CIQ($A23, "IQ_Capex", IQ_LTM-8, $L$2, $L$4, $L$3, $L$5, $L$6))</f>
        <v>n/a</v>
      </c>
      <c r="AN23" s="68" t="str">
        <f ca="1">IF(ISERROR(_xll.ciqfunctions.udf.CIQ($A23, "IQ_Capex", IQ_LTM-4, $L$2,$L$4, $L$3, $L$5, $L$6)), "n/a", _xll.ciqfunctions.udf.CIQ($A23, "IQ_Capex", IQ_LTM-4, $L$2,$L$4, $L$3, $L$5, $L$6))</f>
        <v>n/a</v>
      </c>
      <c r="AO23" s="68" t="str">
        <f ca="1">IF(ISERROR(_xll.ciqfunctions.udf.CIQ($A23, "IQ_Capex", IQ_LTM, $L$2, $L$4, $L$3, $L$5, $L$6)), "n/a", _xll.ciqfunctions.udf.CIQ($A23, "IQ_Capex", IQ_LTM, $L$2, $L$4, $L$3, $L$5, $L$6))</f>
        <v>n/a</v>
      </c>
      <c r="AP23" s="70" t="e">
        <f ca="1">_xll.ciqfunctions.udf.CIQ(A23, "IQ_BUSINESS_DESCRIPTION")</f>
        <v>#NAME?</v>
      </c>
      <c r="AQ23" s="71" t="e">
        <f ca="1">_xll.ciqfunctions.udf.CIQ($A23, "IQ_BETA_1YR", $B$1)</f>
        <v>#NAME?</v>
      </c>
      <c r="AR23" s="71" t="e">
        <f ca="1">_xll.ciqfunctions.udf.CIQ($A23, "IQ_BETA_2YR", $B$1)</f>
        <v>#NAME?</v>
      </c>
      <c r="AS23" s="71" t="e">
        <f ca="1">_xll.ciqfunctions.udf.CIQ($A23, "IQ_BETA_5YR", $B$1)</f>
        <v>#NAME?</v>
      </c>
      <c r="AT23" s="69" t="e">
        <f ca="1">_xll.ciqfunctions.udf.CIQ($A23, "IQ_DIVIDEND_YIELD", $B$1)/100</f>
        <v>#NAME?</v>
      </c>
      <c r="AU23" s="68" t="e">
        <f ca="1">_xll.ciqfunctions.udf.CIQ($A23, "IQ_EARNING_CO", IQ_LTM-8, $L$2, $L$4, $L$3, $L$5, $L$6)</f>
        <v>#NAME?</v>
      </c>
      <c r="AV23" s="68" t="e">
        <f ca="1">_xll.ciqfunctions.udf.CIQ($A23, "IQ_EARNING_CO", IQ_LTM-4, $L$2, $L$4, $L$3, $L$5, $L$6)</f>
        <v>#NAME?</v>
      </c>
      <c r="AW23" s="68" t="e">
        <f ca="1">_xll.ciqfunctions.udf.CIQ($A23, "IQ_EARNING_CO", IQ_LTM, $L$2, $L$4, $L$3, $L$5, $L$6)</f>
        <v>#NAME?</v>
      </c>
      <c r="AX23" s="68" t="e">
        <f ca="1">_xll.ciqfunctions.udf.CIQ($A23, "IQ_EARNING_CO", $B$2, $L$2, $L$4, $L$3, $L$5, $L$6)</f>
        <v>#NAME?</v>
      </c>
      <c r="AY23" s="68" t="e">
        <f ca="1">IF(_xll.ciqfunctions.udf.CIQ($A23, "IQ_EARNING_CO", $B$3, $L$2,$L$4, $L$3, $L$5, $L$6)=0,AW23,_xll.ciqfunctions.udf.CIQ($A23, "IQ_EARNING_CO", $B$3, $L$2,$L$4, $L$3, $L$5, $L$6))</f>
        <v>#NAME?</v>
      </c>
      <c r="AZ23" s="68" t="e">
        <f ca="1">_xll.ciqfunctions.udf.CIQ($A23, "IQ_TOTAL_EQUITY", IQ_LTM-8, $L$2, $L$4, $L$3, $L$5, $L$6)</f>
        <v>#NAME?</v>
      </c>
      <c r="BA23" s="68" t="e">
        <f ca="1">_xll.ciqfunctions.udf.CIQ($A23, "IQ_TOTAL_EQUITY", IQ_LTM-4, $L$2, $L$4, $L$3, $L$5, $L$6)</f>
        <v>#NAME?</v>
      </c>
      <c r="BB23" s="68" t="e">
        <f ca="1">_xll.ciqfunctions.udf.CIQ($A23, "IQ_TOTAL_EQUITY", IQ_LTM, $L$2, $L$4, $L$3, $L$5, $L$6)</f>
        <v>#NAME?</v>
      </c>
      <c r="BC23" s="68" t="e">
        <f ca="1">_xll.ciqfunctions.udf.CIQ($A23, "IQ_TOTAL_EQUITY", $B$2, $L$2, $L$4, $L$3, $L$5, $L$6)</f>
        <v>#NAME?</v>
      </c>
      <c r="BD23" s="68" t="e">
        <f ca="1">IF(_xll.ciqfunctions.udf.CIQ($A23, "IQ_TOTAL_EQUITY", $B$3, $L$2,$L$4, $L$3, $L$5, $L$6)=0,BB23,_xll.ciqfunctions.udf.CIQ($A23, "IQ_TOTAL_EQUITY", $B$3, $L$2,$L$4, $L$3, $L$5, $L$6))</f>
        <v>#NAME?</v>
      </c>
      <c r="BE23" s="68" t="e">
        <f ca="1">_xll.ciqfunctions.udf.CIQ(A23, "IQ_LASTSALEPRICE", $B$8)</f>
        <v>#NAME?</v>
      </c>
      <c r="BF23" s="68" t="e">
        <f ca="1">_xll.ciqfunctions.udf.CIQ($A23, "IQ_MARKETCAP", $B$8, $L$5, $L$6)</f>
        <v>#NAME?</v>
      </c>
      <c r="BG23" s="68" t="e">
        <f ca="1">_xll.ciqfunctions.udf.CIQ($A23, "IQ_TOTAL_DEBT", IQ_LTM, $B$8,$L$4, $L$3, $L$5, $L$6)</f>
        <v>#NAME?</v>
      </c>
      <c r="BH23" s="44" t="e">
        <f ca="1">_xll.ciqfunctions.udf.CIQ($A23,"IQ_PREF_EQUITY",IQ_LTM,$B$8,$L$4,$L$3,$L$5,$L$6)</f>
        <v>#NAME?</v>
      </c>
      <c r="BI23" s="44" t="e">
        <f ca="1">_xll.ciqfunctions.udf.CIQ($A23, "IQ_MINORITY_INTEREST_TOTAL", IQ_LTM,$B$8,$L$4,$L$3,$L$5,$L$6)</f>
        <v>#NAME?</v>
      </c>
      <c r="BJ23" s="68" t="e">
        <f ca="1">_xll.ciqfunctions.udf.CIQ($A23, "IQ_CASH_ST_INVEST", IQ_LTM, $B$8, $L$4, $L$3, $L$5, $L$6)</f>
        <v>#NAME?</v>
      </c>
      <c r="BK23" s="44" t="e">
        <f ca="1">_xll.ciqfunctions.udf.CIQ($A23, "IQ_EFFECT_TAX_RATE")</f>
        <v>#NAME?</v>
      </c>
      <c r="BL23" s="44" t="e">
        <f ca="1">IF(_xll.ciqfunctions.udf.CIQ($A23, "IQ_TOTAL_REV_2YR_ANN_CAGR", IQ_LTM, $B$1,$L$4, $L$3, $L$5, $L$6)="NM","n/a",(_xll.ciqfunctions.udf.CIQ($A23, "IQ_TOTAL_REV_2YR_ANN_CAGR", IQ_LTM, $B$1,$L$4, $L$3, $L$5, $L$6)/100))</f>
        <v>#NAME?</v>
      </c>
      <c r="BM23" s="44" t="e">
        <f ca="1">IF(_xll.ciqfunctions.udf.CIQ($A23, "IQ_TOTAL_REV_3YR_ANN_CAGR", IQ_LTM, $B$1,$L$4, $L$3, $L$5, $L$6)="NM","n/a",(_xll.ciqfunctions.udf.CIQ($A23, "IQ_TOTAL_REV_3YR_ANN_CAGR", IQ_LTM, $B$1,$L$4, $L$3, $L$5, $L$6)/100))</f>
        <v>#NAME?</v>
      </c>
      <c r="BN23" s="44" t="e">
        <f ca="1">IF(_xll.ciqfunctions.udf.CIQ($A23, "IQ_TOTAL_REV_5YR_ANN_CAGR", IQ_LTM, $B$1,$L$4, $L$3, $L$5, $L$6)="NM","n/a",(_xll.ciqfunctions.udf.CIQ($A23, "IQ_TOTAL_REV_5YR_ANN_CAGR", IQ_LTM, $B$1,$L$4, $L$3, $L$5, $L$6)/100))</f>
        <v>#NAME?</v>
      </c>
      <c r="BO23" s="44" t="e">
        <f ca="1">IF(_xll.ciqfunctions.udf.CIQ($A23,"IQ_EBITDA_2YR_ANN_CAGR", IQ_LTM,$B$1,$L$4, $L$3, $L$5, $L$6)="NM","n/a",(_xll.ciqfunctions.udf.CIQ($A23,"IQ_EBITDA_2YR_ANN_CAGR", IQ_LTM,$B$1,$L$4, $L$3, $L$5, $L$6)/100))</f>
        <v>#NAME?</v>
      </c>
      <c r="BP23" s="44" t="e">
        <f ca="1">IF(_xll.ciqfunctions.udf.CIQ($A23,"IQ_EBITDA_3YR_ANN_CAGR", IQ_LTM,$B$1,$L$4, $L$3, $L$5, $L$6)="NM","n/a",(_xll.ciqfunctions.udf.CIQ($A23,"IQ_EBITDA_3YR_ANN_CAGR", IQ_LTM,$B$1,$L$4, $L$3, $L$5, $L$6)/100))</f>
        <v>#NAME?</v>
      </c>
      <c r="BQ23" s="44" t="e">
        <f ca="1">IF(_xll.ciqfunctions.udf.CIQ($A23,"IQ_EBITDA_5YR_ANN_CAGR", IQ_LTM,$B$1,$L$4, $L$3, $L$5, $L$6)="NM","n/a",(_xll.ciqfunctions.udf.CIQ($A23,"IQ_EBITDA_5YR_ANN_CAGR", IQ_LTM,$B$1,$L$4, $L$3, $L$5, $L$6)/100))</f>
        <v>#NAME?</v>
      </c>
      <c r="BR23" s="48" t="str">
        <f ca="1">IFERROR((_xll.ciqfunctions.udf.CIQ($A23, "IQ_DA_CF", IQ_LTM, $B$1, $L$4, $L$3, $L$5, $L$6)/Q23),"NM")</f>
        <v>NM</v>
      </c>
      <c r="BS23" s="72">
        <f>'Capital IQ Sheet-GPC'!BS23</f>
        <v>0.85099999999999998</v>
      </c>
      <c r="BT23" s="72">
        <f>'Capital IQ Sheet-GPC'!BT23</f>
        <v>0.80700000000000005</v>
      </c>
      <c r="BU23" s="72">
        <f>'Capital IQ Sheet-GPC'!BU23</f>
        <v>0.79300000000000004</v>
      </c>
      <c r="BV23" s="72">
        <f>'Capital IQ Sheet-GPC'!BV23</f>
        <v>0.82299999999999995</v>
      </c>
      <c r="BW23" s="72" t="str">
        <f>'Capital IQ Sheet-GPC'!BW23</f>
        <v>n/a</v>
      </c>
      <c r="BX23" s="72" t="str">
        <f>'Capital IQ Sheet-GPC'!BX23</f>
        <v>n/a</v>
      </c>
      <c r="BY23" s="72" t="str">
        <f>'Capital IQ Sheet-GPC'!BY23</f>
        <v>n/a</v>
      </c>
      <c r="BZ23" s="72" t="str">
        <f>'Capital IQ Sheet-GPC'!BZ23</f>
        <v>n/a</v>
      </c>
      <c r="CB23" s="44">
        <v>2</v>
      </c>
      <c r="CC23" s="112" t="s">
        <v>269</v>
      </c>
      <c r="CD23" s="112" t="s">
        <v>268</v>
      </c>
      <c r="CE23" s="46">
        <f t="shared" si="0"/>
        <v>42766</v>
      </c>
    </row>
    <row r="24" spans="1:83" s="44" customFormat="1" ht="12.75">
      <c r="A24" s="45" t="e">
        <f ca="1">_xll.ciqfunctions.udf.CIQ($B24,"IQ_COMPANY_TICKER")</f>
        <v>#NAME?</v>
      </c>
      <c r="B24" s="67" t="str">
        <f>'Capital IQ Sheet-GPC'!B24</f>
        <v>IQ279359732</v>
      </c>
      <c r="C24" s="45" t="e">
        <f ca="1">_xll.ciqfunctions.udf.CIQ($A24,"IQ_COMPANY_NAME")</f>
        <v>#NAME?</v>
      </c>
      <c r="D24" s="45" t="e">
        <f ca="1">_xll.ciqfunctions.udf.CIQ($A24, "IQ_EXCHANGE")</f>
        <v>#NAME?</v>
      </c>
      <c r="E24" s="66" t="e">
        <f ca="1">_xll.ciqfunctions.udf.CIQ($A24, "IQ_PERIODDATE_IS", IQ_FY)</f>
        <v>#NAME?</v>
      </c>
      <c r="F24" s="66" t="e">
        <f ca="1">_xll.ciqfunctions.udf.CIQ(A24, "IQ_PERIODDATE_IS", IQ_LTM, $B$1,$L$4,$L$3)</f>
        <v>#NAME?</v>
      </c>
      <c r="G24" s="66" t="e">
        <f ca="1">_xll.ciqfunctions.udf.CIQ($A24, "IQ_FIRSTPRICINGDATE")</f>
        <v>#NAME?</v>
      </c>
      <c r="H24" s="68" t="e">
        <f ca="1">_xll.ciqfunctions.udf.CIQ($A24, "IQ_TEV", $L$2, $L$5, $L$6)</f>
        <v>#NAME?</v>
      </c>
      <c r="I24" s="68" t="e">
        <f ca="1">_xll.ciqfunctions.udf.CIQ(A24, "IQ_LASTSALEPRICE", $B$1,$L$5)</f>
        <v>#NAME?</v>
      </c>
      <c r="J24" s="68" t="e">
        <f ca="1">_xll.ciqfunctions.udf.CIQ($A24, "IQ_MARKETCAP", $L$2, $L$5, $L$6)</f>
        <v>#NAME?</v>
      </c>
      <c r="K24" s="68" t="e">
        <f ca="1">_xll.ciqfunctions.udf.CIQ($A24, "IQ_TOTAL_DEBT", IQ_LTM, $L$2,$L$4, $L$3, $L$5, $L$6)</f>
        <v>#NAME?</v>
      </c>
      <c r="L24" s="68" t="e">
        <f ca="1">_xll.ciqfunctions.udf.CIQ($A24, "IQ_PREF_EQUITY", IQ_LTM, $L$2, $L$4, $L$3, $L$5, $L$6)</f>
        <v>#NAME?</v>
      </c>
      <c r="M24" s="68" t="e">
        <f ca="1">_xll.ciqfunctions.udf.CIQ($A24, "IQ_MINORITY_INTEREST_TOTAL", IQ_LTM, $L$2, $L$4, $L$3, $L$5, $L$6)</f>
        <v>#NAME?</v>
      </c>
      <c r="N24" s="68" t="e">
        <f ca="1">_xll.ciqfunctions.udf.CIQ($A24, "IQ_CASH_ST_INVEST", IQ_LTM, $L$2, $L$4, $L$3, $L$5, $L$6)</f>
        <v>#NAME?</v>
      </c>
      <c r="O24" s="68" t="e">
        <f ca="1">_xll.ciqfunctions.udf.CIQ($A24, "IQ_TOTAL_REV", IQ_LTM-8, $L$2, $L$4, $L$3, $L$5, $L$6)</f>
        <v>#NAME?</v>
      </c>
      <c r="P24" s="68" t="e">
        <f ca="1">_xll.ciqfunctions.udf.CIQ($A24, "IQ_TOTAL_REV", IQ_LTM - 4, $L$2, $L$4, $L$3, $L$5,$L$6)</f>
        <v>#NAME?</v>
      </c>
      <c r="Q24" s="68" t="e">
        <f ca="1">_xll.ciqfunctions.udf.CIQ($A24, "IQ_TOTAL_REV", IQ_LTM, $L$2, $L$4, $L$3, $L$5, $L$6)</f>
        <v>#NAME?</v>
      </c>
      <c r="R24" s="68" t="e">
        <f ca="1">_xll.ciqfunctions.udf.CIQ($A24, "IQ_TOTAL_REV", $B$2, $L$2, $L$4, $L$3, $L$5, $L$6)</f>
        <v>#NAME?</v>
      </c>
      <c r="S24" s="68" t="e">
        <f ca="1">IF(_xll.ciqfunctions.udf.CIQ($A24, "IQ_TOTAL_REV", $B$3, $L$2,$L$4, $L$3, $L$5, $L$6)=0,Q24,_xll.ciqfunctions.udf.CIQ($A24, "IQ_TOTAL_REV", $B$3, $L$2,$L$4, $L$3, $L$5, $L$6))</f>
        <v>#NAME?</v>
      </c>
      <c r="T24" s="68" t="e">
        <f ca="1">IF(_xll.ciqfunctions.udf.CIQ($A24, "IQ_REVENUE_EST",$B$4, $L$2, "CON", $L$3, $L$5, $L$6)=0,"n/a",_xll.ciqfunctions.udf.CIQ($A24, "IQ_REVENUE_EST",$B$4, $L$2, "CON", $L$3, $L$5, $L$6))</f>
        <v>#NAME?</v>
      </c>
      <c r="U24" s="68" t="e">
        <f ca="1">IF(_xll.ciqfunctions.udf.CIQ($A24, "IQ_REVENUE_EST",$B$5, $L$2, "CON", $L$3, $L$5, $L$6)=0,"n/a",_xll.ciqfunctions.udf.CIQ($A24, "IQ_REVENUE_EST",$B$5, $L$2, "CON", $L$3, $L$5, $L$6))</f>
        <v>#NAME?</v>
      </c>
      <c r="V24" s="68" t="e">
        <f ca="1">IF(_xll.ciqfunctions.udf.CIQ($A24, "IQ_REVENUE_EST",$B$6, $L$2, "CON", $L$3, $L$5, $L$6)=0,"n/a",_xll.ciqfunctions.udf.CIQ($A24, "IQ_REVENUE_EST",$B$6, $L$2, "CON", $L$3, $L$5, $L$6))</f>
        <v>#NAME?</v>
      </c>
      <c r="W24" s="68" t="e">
        <f ca="1">IF(_xll.ciqfunctions.udf.CIQ($A24, "IQ_REVENUE_EST", $B$7, $L$2, "CON", $L$3, $L$5, $L$6)=0,"n/a",_xll.ciqfunctions.udf.CIQ($A24, "IQ_REVENUE_EST",$B$7, $L$2, "CON", $L$3, $L$5, $L$6))</f>
        <v>#NAME?</v>
      </c>
      <c r="X24" s="68" t="e">
        <f ca="1">_xll.ciqfunctions.udf.CIQ($A24, "IQ_EBITDA", IQ_LTM-8, $L$2, $L$4, $L$3, $L$5, $L$6)</f>
        <v>#NAME?</v>
      </c>
      <c r="Y24" s="68" t="e">
        <f ca="1">_xll.ciqfunctions.udf.CIQ($A24, "IQ_EBITDA", IQ_LTM-4, $L$2,$L$4, $L$3, $L$5, $L$6)</f>
        <v>#NAME?</v>
      </c>
      <c r="Z24" s="68" t="e">
        <f ca="1">_xll.ciqfunctions.udf.CIQ($A24, "IQ_EBITDA", IQ_LTM, $L$2, $L$4, $L$3, $L$5, $L$6)</f>
        <v>#NAME?</v>
      </c>
      <c r="AA24" s="68" t="e">
        <f ca="1">_xll.ciqfunctions.udf.CIQ($A24, "IQ_EBITDA", $B$2, $L$2, $L$4, $L$3, $L$5, $L$6)</f>
        <v>#NAME?</v>
      </c>
      <c r="AB24" s="68" t="e">
        <f ca="1">IF(_xll.ciqfunctions.udf.CIQ($A24, "IQ_EBITDA", $B$3, $L$2,$L$4, $L$3, $L$5, $L$6)=0,Z24,_xll.ciqfunctions.udf.CIQ($A24, "IQ_EBITDA", $B$3, $L$2,$L$4, $L$3, $L$5, $L$6))</f>
        <v>#NAME?</v>
      </c>
      <c r="AC24" s="68" t="e">
        <f ca="1">IF(_xll.ciqfunctions.udf.CIQ($A24, "IQ_EBITDA_EST",$B$4, $L$2, "CON", $L$3, $L$5, $L$6)=0,"n/a",_xll.ciqfunctions.udf.CIQ($A24, "IQ_EBITDA_EST",$B$4, $L$2, "CON", $L$3, $L$5, $L$6))</f>
        <v>#NAME?</v>
      </c>
      <c r="AD24" s="68" t="e">
        <f ca="1">IF(_xll.ciqfunctions.udf.CIQ($A24, "IQ_EBITDA_EST",$B$5, $L$2, "CON", $L$3, $L$5, $L$6)=0,"n/a",_xll.ciqfunctions.udf.CIQ($A24, "IQ_EBITDA_EST",$B$5, $L$2, "CON", $L$3, $L$5, $L$6))</f>
        <v>#NAME?</v>
      </c>
      <c r="AE24" s="68" t="e">
        <f ca="1">IF(_xll.ciqfunctions.udf.CIQ($A24, "IQ_EBITDA_EST",$B$6, $L$2, "CON", $L$3, $L$5, $L$6)=0,"n/a",_xll.ciqfunctions.udf.CIQ($A24, "IQ_EBITDA_EST",$B$6, $L$2, "CON", $L$3, $L$5, $L$6))</f>
        <v>#NAME?</v>
      </c>
      <c r="AF24" s="69" t="str">
        <f ca="1">IF(ISERROR(_xll.ciqfunctions.udf.CIQ($A24, "IQ_GROSS_MARGIN", IQ_LTM, $L$2,$L$4, $L$3, $L$5, $L$6)/100), "n/a", _xll.ciqfunctions.udf.CIQ($A24,  "IQ_GROSS_MARGIN", IQ_LTM, $L$2, $L$4, $L$3, $L$5, $L$6)/100)</f>
        <v>n/a</v>
      </c>
      <c r="AG24" s="69" t="str">
        <f ca="1">IF(ISERROR(_xll.ciqfunctions.udf.CIQ($A24,"IQ_EBITDA_MARGIN", IQ_LTM, $L$2, $L$4, $L$3, $L$5, $L$6)/100), "n/a", _xll.ciqfunctions.udf.CIQ($A24, "IQ_EBITDA_MARGIN", IQ_LTM, $L$2, $L$4, $L$3, $L$5, $L$6)/100)</f>
        <v>n/a</v>
      </c>
      <c r="AH24" s="69" t="str">
        <f ca="1">IF(ISERROR(_xll.ciqfunctions.udf.CIQ($A24,"IQ_EBIT_MARGIN", IQ_LTM, $L$2, $L$4, $L$3, $L$5, $L$6)/100), "n/a", _xll.ciqfunctions.udf.CIQ($A24, "IQ_EBIT_MARGIN", IQ_LTM, $L$2, $L$4, $L$3, $L$5, $L$6)/100)</f>
        <v>n/a</v>
      </c>
      <c r="AI24" s="69" t="str">
        <f ca="1">IF(ISERROR(_xll.ciqfunctions.udf.CIQ($A24,"IQ_NI_MARGIN", IQ_LTM, $L$2, $L$4, $L$3, $L$5, $L$6)/100), "n/a", _xll.ciqfunctions.udf.CIQ($A24, "IQ_NI_MARGIN", IQ_LTM, $L$2, $L$4, $L$3, $L$5, $L$6)/100)</f>
        <v>n/a</v>
      </c>
      <c r="AJ24" s="68" t="str">
        <f ca="1">IF(ISERROR(_xll.ciqfunctions.udf.CIQ($A24, "IQ_NET_WORKING_CAP", IQ_LTM-8, $L$2, $L$4, $L$3, $L$5, $L$6)), "n/a", _xll.ciqfunctions.udf.CIQ($A24, "IQ_NET_WORKING_CAP", IQ_LTM-8, $L$2, $L$4, $L$3, $L$5, $L$6))</f>
        <v>n/a</v>
      </c>
      <c r="AK24" s="68" t="str">
        <f ca="1">IF(ISERROR(_xll.ciqfunctions.udf.CIQ($A24, "IQ_NET_WORKING_CAP", IQ_LTM-4, $L$2, $L$4, $L$3, $L$5, $L$6)), "n/a", _xll.ciqfunctions.udf.CIQ($A24, "IQ_NET_WORKING_CAP", IQ_LTM-4, $L$2, $L$4, $L$3, $L$5, $L$6))</f>
        <v>n/a</v>
      </c>
      <c r="AL24" s="68" t="str">
        <f ca="1">IF(ISERROR(_xll.ciqfunctions.udf.CIQ($A24, "IQ_NET_WORKING_CAP", IQ_LTM, $L$2,$L$4, $L$3, $L$5, $L$6)), "n/a", _xll.ciqfunctions.udf.CIQ($A24, "IQ_NET_WORKING_CAP", IQ_LTM, $L$2, $L$4, $L$3, $L$5, $L$6))</f>
        <v>n/a</v>
      </c>
      <c r="AM24" s="68" t="str">
        <f ca="1">IF(ISERROR(_xll.ciqfunctions.udf.CIQ($A24, "IQ_Capex", IQ_LTM-8, $L$2,$L$4, $L$3, $L$5, $L$6)), "n/a", _xll.ciqfunctions.udf.CIQ($A24, "IQ_Capex", IQ_LTM-8, $L$2, $L$4, $L$3, $L$5, $L$6))</f>
        <v>n/a</v>
      </c>
      <c r="AN24" s="68" t="str">
        <f ca="1">IF(ISERROR(_xll.ciqfunctions.udf.CIQ($A24, "IQ_Capex", IQ_LTM-4, $L$2,$L$4, $L$3, $L$5, $L$6)), "n/a", _xll.ciqfunctions.udf.CIQ($A24, "IQ_Capex", IQ_LTM-4, $L$2,$L$4, $L$3, $L$5, $L$6))</f>
        <v>n/a</v>
      </c>
      <c r="AO24" s="68" t="str">
        <f ca="1">IF(ISERROR(_xll.ciqfunctions.udf.CIQ($A24, "IQ_Capex", IQ_LTM, $L$2, $L$4, $L$3, $L$5, $L$6)), "n/a", _xll.ciqfunctions.udf.CIQ($A24, "IQ_Capex", IQ_LTM, $L$2, $L$4, $L$3, $L$5, $L$6))</f>
        <v>n/a</v>
      </c>
      <c r="AP24" s="70" t="e">
        <f ca="1">_xll.ciqfunctions.udf.CIQ(A24, "IQ_BUSINESS_DESCRIPTION")</f>
        <v>#NAME?</v>
      </c>
      <c r="AQ24" s="71" t="e">
        <f ca="1">_xll.ciqfunctions.udf.CIQ($A24, "IQ_BETA_1YR", $B$1)</f>
        <v>#NAME?</v>
      </c>
      <c r="AR24" s="71" t="e">
        <f ca="1">_xll.ciqfunctions.udf.CIQ($A24, "IQ_BETA_2YR", $B$1)</f>
        <v>#NAME?</v>
      </c>
      <c r="AS24" s="71" t="e">
        <f ca="1">_xll.ciqfunctions.udf.CIQ($A24, "IQ_BETA_5YR", $B$1)</f>
        <v>#NAME?</v>
      </c>
      <c r="AT24" s="69" t="e">
        <f ca="1">_xll.ciqfunctions.udf.CIQ($A24, "IQ_DIVIDEND_YIELD", $B$1)/100</f>
        <v>#NAME?</v>
      </c>
      <c r="AU24" s="68" t="e">
        <f ca="1">_xll.ciqfunctions.udf.CIQ($A24, "IQ_EARNING_CO", IQ_LTM-8, $L$2, $L$4, $L$3, $L$5, $L$6)</f>
        <v>#NAME?</v>
      </c>
      <c r="AV24" s="68" t="e">
        <f ca="1">_xll.ciqfunctions.udf.CIQ($A24, "IQ_EARNING_CO", IQ_LTM-4, $L$2, $L$4, $L$3, $L$5, $L$6)</f>
        <v>#NAME?</v>
      </c>
      <c r="AW24" s="68" t="e">
        <f ca="1">_xll.ciqfunctions.udf.CIQ($A24, "IQ_EARNING_CO", IQ_LTM, $L$2, $L$4, $L$3, $L$5, $L$6)</f>
        <v>#NAME?</v>
      </c>
      <c r="AX24" s="68" t="e">
        <f ca="1">_xll.ciqfunctions.udf.CIQ($A24, "IQ_EARNING_CO", $B$2, $L$2, $L$4, $L$3, $L$5, $L$6)</f>
        <v>#NAME?</v>
      </c>
      <c r="AY24" s="68" t="e">
        <f ca="1">IF(_xll.ciqfunctions.udf.CIQ($A24, "IQ_EARNING_CO", $B$3, $L$2,$L$4, $L$3, $L$5, $L$6)=0,AW24,_xll.ciqfunctions.udf.CIQ($A24, "IQ_EARNING_CO", $B$3, $L$2,$L$4, $L$3, $L$5, $L$6))</f>
        <v>#NAME?</v>
      </c>
      <c r="AZ24" s="68" t="e">
        <f ca="1">_xll.ciqfunctions.udf.CIQ($A24, "IQ_TOTAL_EQUITY", IQ_LTM-8, $L$2, $L$4, $L$3, $L$5, $L$6)</f>
        <v>#NAME?</v>
      </c>
      <c r="BA24" s="68" t="e">
        <f ca="1">_xll.ciqfunctions.udf.CIQ($A24, "IQ_TOTAL_EQUITY", IQ_LTM-4, $L$2, $L$4, $L$3, $L$5, $L$6)</f>
        <v>#NAME?</v>
      </c>
      <c r="BB24" s="68" t="e">
        <f ca="1">_xll.ciqfunctions.udf.CIQ($A24, "IQ_TOTAL_EQUITY", IQ_LTM, $L$2, $L$4, $L$3, $L$5, $L$6)</f>
        <v>#NAME?</v>
      </c>
      <c r="BC24" s="68" t="e">
        <f ca="1">_xll.ciqfunctions.udf.CIQ($A24, "IQ_TOTAL_EQUITY", $B$2, $L$2, $L$4, $L$3, $L$5, $L$6)</f>
        <v>#NAME?</v>
      </c>
      <c r="BD24" s="68" t="e">
        <f ca="1">IF(_xll.ciqfunctions.udf.CIQ($A24, "IQ_TOTAL_EQUITY", $B$3, $L$2,$L$4, $L$3, $L$5, $L$6)=0,BB24,_xll.ciqfunctions.udf.CIQ($A24, "IQ_TOTAL_EQUITY", $B$3, $L$2,$L$4, $L$3, $L$5, $L$6))</f>
        <v>#NAME?</v>
      </c>
      <c r="BE24" s="68" t="e">
        <f ca="1">_xll.ciqfunctions.udf.CIQ(A24, "IQ_LASTSALEPRICE", $B$8)</f>
        <v>#NAME?</v>
      </c>
      <c r="BF24" s="68" t="e">
        <f ca="1">_xll.ciqfunctions.udf.CIQ($A24, "IQ_MARKETCAP", $B$8, $L$5, $L$6)</f>
        <v>#NAME?</v>
      </c>
      <c r="BG24" s="68" t="e">
        <f ca="1">_xll.ciqfunctions.udf.CIQ($A24, "IQ_TOTAL_DEBT", IQ_LTM, $B$8,$L$4, $L$3, $L$5, $L$6)</f>
        <v>#NAME?</v>
      </c>
      <c r="BH24" s="44" t="e">
        <f ca="1">_xll.ciqfunctions.udf.CIQ($A24,"IQ_PREF_EQUITY",IQ_LTM,$B$8,$L$4,$L$3,$L$5,$L$6)</f>
        <v>#NAME?</v>
      </c>
      <c r="BI24" s="44" t="e">
        <f ca="1">_xll.ciqfunctions.udf.CIQ($A24, "IQ_MINORITY_INTEREST_TOTAL", IQ_LTM,$B$8,$L$4,$L$3,$L$5,$L$6)</f>
        <v>#NAME?</v>
      </c>
      <c r="BJ24" s="68" t="e">
        <f ca="1">_xll.ciqfunctions.udf.CIQ($A24, "IQ_CASH_ST_INVEST", IQ_LTM, $B$8, $L$4, $L$3, $L$5, $L$6)</f>
        <v>#NAME?</v>
      </c>
      <c r="BK24" s="44" t="e">
        <f ca="1">_xll.ciqfunctions.udf.CIQ($A24, "IQ_EFFECT_TAX_RATE")</f>
        <v>#NAME?</v>
      </c>
      <c r="BL24" s="44" t="e">
        <f ca="1">IF(_xll.ciqfunctions.udf.CIQ($A24, "IQ_TOTAL_REV_2YR_ANN_CAGR", IQ_LTM, $B$1,$L$4, $L$3, $L$5, $L$6)="NM","n/a",(_xll.ciqfunctions.udf.CIQ($A24, "IQ_TOTAL_REV_2YR_ANN_CAGR", IQ_LTM, $B$1,$L$4, $L$3, $L$5, $L$6)/100))</f>
        <v>#NAME?</v>
      </c>
      <c r="BM24" s="44" t="e">
        <f ca="1">IF(_xll.ciqfunctions.udf.CIQ($A24, "IQ_TOTAL_REV_3YR_ANN_CAGR", IQ_LTM, $B$1,$L$4, $L$3, $L$5, $L$6)="NM","n/a",(_xll.ciqfunctions.udf.CIQ($A24, "IQ_TOTAL_REV_3YR_ANN_CAGR", IQ_LTM, $B$1,$L$4, $L$3, $L$5, $L$6)/100))</f>
        <v>#NAME?</v>
      </c>
      <c r="BN24" s="44" t="e">
        <f ca="1">IF(_xll.ciqfunctions.udf.CIQ($A24, "IQ_TOTAL_REV_5YR_ANN_CAGR", IQ_LTM, $B$1,$L$4, $L$3, $L$5, $L$6)="NM","n/a",(_xll.ciqfunctions.udf.CIQ($A24, "IQ_TOTAL_REV_5YR_ANN_CAGR", IQ_LTM, $B$1,$L$4, $L$3, $L$5, $L$6)/100))</f>
        <v>#NAME?</v>
      </c>
      <c r="BO24" s="44" t="e">
        <f ca="1">IF(_xll.ciqfunctions.udf.CIQ($A24,"IQ_EBITDA_2YR_ANN_CAGR", IQ_LTM,$B$1,$L$4, $L$3, $L$5, $L$6)="NM","n/a",(_xll.ciqfunctions.udf.CIQ($A24,"IQ_EBITDA_2YR_ANN_CAGR", IQ_LTM,$B$1,$L$4, $L$3, $L$5, $L$6)/100))</f>
        <v>#NAME?</v>
      </c>
      <c r="BP24" s="44" t="e">
        <f ca="1">IF(_xll.ciqfunctions.udf.CIQ($A24,"IQ_EBITDA_3YR_ANN_CAGR", IQ_LTM,$B$1,$L$4, $L$3, $L$5, $L$6)="NM","n/a",(_xll.ciqfunctions.udf.CIQ($A24,"IQ_EBITDA_3YR_ANN_CAGR", IQ_LTM,$B$1,$L$4, $L$3, $L$5, $L$6)/100))</f>
        <v>#NAME?</v>
      </c>
      <c r="BQ24" s="44" t="e">
        <f ca="1">IF(_xll.ciqfunctions.udf.CIQ($A24,"IQ_EBITDA_5YR_ANN_CAGR", IQ_LTM,$B$1,$L$4, $L$3, $L$5, $L$6)="NM","n/a",(_xll.ciqfunctions.udf.CIQ($A24,"IQ_EBITDA_5YR_ANN_CAGR", IQ_LTM,$B$1,$L$4, $L$3, $L$5, $L$6)/100))</f>
        <v>#NAME?</v>
      </c>
      <c r="BR24" s="48" t="str">
        <f ca="1">IFERROR((_xll.ciqfunctions.udf.CIQ($A24, "IQ_DA_CF", IQ_LTM, $B$1, $L$4, $L$3, $L$5, $L$6)/Q24),"NM")</f>
        <v>NM</v>
      </c>
      <c r="BS24" s="72">
        <f>'Capital IQ Sheet-GPC'!BS24</f>
        <v>0.65300000000000002</v>
      </c>
      <c r="BT24" s="72">
        <f>'Capital IQ Sheet-GPC'!BT24</f>
        <v>0.76900000000000002</v>
      </c>
      <c r="BU24" s="72">
        <f>'Capital IQ Sheet-GPC'!BU24</f>
        <v>0.69</v>
      </c>
      <c r="BV24" s="72" t="str">
        <f>'Capital IQ Sheet-GPC'!BV24</f>
        <v>n/a</v>
      </c>
      <c r="BW24" s="72" t="str">
        <f>'Capital IQ Sheet-GPC'!BW24</f>
        <v>n/a</v>
      </c>
      <c r="BX24" s="72" t="str">
        <f>'Capital IQ Sheet-GPC'!BX24</f>
        <v>n/a</v>
      </c>
      <c r="BY24" s="72" t="str">
        <f>'Capital IQ Sheet-GPC'!BY24</f>
        <v>n/a</v>
      </c>
      <c r="BZ24" s="72" t="str">
        <f>'Capital IQ Sheet-GPC'!BZ24</f>
        <v>n/a</v>
      </c>
      <c r="CB24" s="44">
        <v>2</v>
      </c>
      <c r="CC24" s="112" t="s">
        <v>269</v>
      </c>
      <c r="CD24" s="112" t="s">
        <v>268</v>
      </c>
      <c r="CE24" s="46">
        <f t="shared" ref="CE24:CE34" si="1">$B$1-365*CB24</f>
        <v>42766</v>
      </c>
    </row>
    <row r="25" spans="1:83" s="44" customFormat="1" ht="12.75">
      <c r="A25" s="45" t="e">
        <f ca="1">_xll.ciqfunctions.udf.CIQ($B25,"IQ_COMPANY_TICKER")</f>
        <v>#NAME?</v>
      </c>
      <c r="B25" s="67" t="str">
        <f>'Capital IQ Sheet-GPC'!B25</f>
        <v>IQ281487796</v>
      </c>
      <c r="C25" s="45" t="e">
        <f ca="1">_xll.ciqfunctions.udf.CIQ($A25,"IQ_COMPANY_NAME")</f>
        <v>#NAME?</v>
      </c>
      <c r="D25" s="45" t="e">
        <f ca="1">_xll.ciqfunctions.udf.CIQ($A25, "IQ_EXCHANGE")</f>
        <v>#NAME?</v>
      </c>
      <c r="E25" s="66" t="e">
        <f ca="1">_xll.ciqfunctions.udf.CIQ($A25, "IQ_PERIODDATE_IS", IQ_FY)</f>
        <v>#NAME?</v>
      </c>
      <c r="F25" s="66" t="e">
        <f ca="1">_xll.ciqfunctions.udf.CIQ(A25, "IQ_PERIODDATE_IS", IQ_LTM, $B$1,$L$4,$L$3)</f>
        <v>#NAME?</v>
      </c>
      <c r="G25" s="66" t="e">
        <f ca="1">_xll.ciqfunctions.udf.CIQ($A25, "IQ_FIRSTPRICINGDATE")</f>
        <v>#NAME?</v>
      </c>
      <c r="H25" s="68" t="e">
        <f ca="1">_xll.ciqfunctions.udf.CIQ($A25, "IQ_TEV", $L$2, $L$5, $L$6)</f>
        <v>#NAME?</v>
      </c>
      <c r="I25" s="68" t="e">
        <f ca="1">_xll.ciqfunctions.udf.CIQ(A25, "IQ_LASTSALEPRICE", $B$1,$L$5)</f>
        <v>#NAME?</v>
      </c>
      <c r="J25" s="68" t="e">
        <f ca="1">_xll.ciqfunctions.udf.CIQ($A25, "IQ_MARKETCAP", $L$2, $L$5, $L$6)</f>
        <v>#NAME?</v>
      </c>
      <c r="K25" s="68" t="e">
        <f ca="1">_xll.ciqfunctions.udf.CIQ($A25, "IQ_TOTAL_DEBT", IQ_LTM, $L$2,$L$4, $L$3, $L$5, $L$6)</f>
        <v>#NAME?</v>
      </c>
      <c r="L25" s="68" t="e">
        <f ca="1">_xll.ciqfunctions.udf.CIQ($A25, "IQ_PREF_EQUITY", IQ_LTM, $L$2, $L$4, $L$3, $L$5, $L$6)</f>
        <v>#NAME?</v>
      </c>
      <c r="M25" s="68" t="e">
        <f ca="1">_xll.ciqfunctions.udf.CIQ($A25, "IQ_MINORITY_INTEREST_TOTAL", IQ_LTM, $L$2, $L$4, $L$3, $L$5, $L$6)</f>
        <v>#NAME?</v>
      </c>
      <c r="N25" s="68" t="e">
        <f ca="1">_xll.ciqfunctions.udf.CIQ($A25, "IQ_CASH_ST_INVEST", IQ_LTM, $L$2, $L$4, $L$3, $L$5, $L$6)</f>
        <v>#NAME?</v>
      </c>
      <c r="O25" s="68" t="e">
        <f ca="1">_xll.ciqfunctions.udf.CIQ($A25, "IQ_TOTAL_REV", IQ_LTM-8, $L$2, $L$4, $L$3, $L$5, $L$6)</f>
        <v>#NAME?</v>
      </c>
      <c r="P25" s="68" t="e">
        <f ca="1">_xll.ciqfunctions.udf.CIQ($A25, "IQ_TOTAL_REV", IQ_LTM - 4, $L$2, $L$4, $L$3, $L$5,$L$6)</f>
        <v>#NAME?</v>
      </c>
      <c r="Q25" s="68" t="e">
        <f ca="1">_xll.ciqfunctions.udf.CIQ($A25, "IQ_TOTAL_REV", IQ_LTM, $L$2, $L$4, $L$3, $L$5, $L$6)</f>
        <v>#NAME?</v>
      </c>
      <c r="R25" s="68" t="e">
        <f ca="1">_xll.ciqfunctions.udf.CIQ($A25, "IQ_TOTAL_REV", $B$2, $L$2, $L$4, $L$3, $L$5, $L$6)</f>
        <v>#NAME?</v>
      </c>
      <c r="S25" s="68" t="e">
        <f ca="1">IF(_xll.ciqfunctions.udf.CIQ($A25, "IQ_TOTAL_REV", $B$3, $L$2,$L$4, $L$3, $L$5, $L$6)=0,Q25,_xll.ciqfunctions.udf.CIQ($A25, "IQ_TOTAL_REV", $B$3, $L$2,$L$4, $L$3, $L$5, $L$6))</f>
        <v>#NAME?</v>
      </c>
      <c r="T25" s="68" t="e">
        <f ca="1">IF(_xll.ciqfunctions.udf.CIQ($A25, "IQ_REVENUE_EST",$B$4, $L$2, "CON", $L$3, $L$5, $L$6)=0,"n/a",_xll.ciqfunctions.udf.CIQ($A25, "IQ_REVENUE_EST",$B$4, $L$2, "CON", $L$3, $L$5, $L$6))</f>
        <v>#NAME?</v>
      </c>
      <c r="U25" s="68" t="e">
        <f ca="1">IF(_xll.ciqfunctions.udf.CIQ($A25, "IQ_REVENUE_EST",$B$5, $L$2, "CON", $L$3, $L$5, $L$6)=0,"n/a",_xll.ciqfunctions.udf.CIQ($A25, "IQ_REVENUE_EST",$B$5, $L$2, "CON", $L$3, $L$5, $L$6))</f>
        <v>#NAME?</v>
      </c>
      <c r="V25" s="68" t="e">
        <f ca="1">IF(_xll.ciqfunctions.udf.CIQ($A25, "IQ_REVENUE_EST",$B$6, $L$2, "CON", $L$3, $L$5, $L$6)=0,"n/a",_xll.ciqfunctions.udf.CIQ($A25, "IQ_REVENUE_EST",$B$6, $L$2, "CON", $L$3, $L$5, $L$6))</f>
        <v>#NAME?</v>
      </c>
      <c r="W25" s="68" t="e">
        <f ca="1">IF(_xll.ciqfunctions.udf.CIQ($A25, "IQ_REVENUE_EST", $B$7, $L$2, "CON", $L$3, $L$5, $L$6)=0,"n/a",_xll.ciqfunctions.udf.CIQ($A25, "IQ_REVENUE_EST",$B$7, $L$2, "CON", $L$3, $L$5, $L$6))</f>
        <v>#NAME?</v>
      </c>
      <c r="X25" s="68" t="e">
        <f ca="1">_xll.ciqfunctions.udf.CIQ($A25, "IQ_EBITDA", IQ_LTM-8, $L$2, $L$4, $L$3, $L$5, $L$6)</f>
        <v>#NAME?</v>
      </c>
      <c r="Y25" s="68" t="e">
        <f ca="1">_xll.ciqfunctions.udf.CIQ($A25, "IQ_EBITDA", IQ_LTM-4, $L$2,$L$4, $L$3, $L$5, $L$6)</f>
        <v>#NAME?</v>
      </c>
      <c r="Z25" s="68" t="e">
        <f ca="1">_xll.ciqfunctions.udf.CIQ($A25, "IQ_EBITDA", IQ_LTM, $L$2, $L$4, $L$3, $L$5, $L$6)</f>
        <v>#NAME?</v>
      </c>
      <c r="AA25" s="68" t="e">
        <f ca="1">_xll.ciqfunctions.udf.CIQ($A25, "IQ_EBITDA", $B$2, $L$2, $L$4, $L$3, $L$5, $L$6)</f>
        <v>#NAME?</v>
      </c>
      <c r="AB25" s="68" t="e">
        <f ca="1">IF(_xll.ciqfunctions.udf.CIQ($A25, "IQ_EBITDA", $B$3, $L$2,$L$4, $L$3, $L$5, $L$6)=0,Z25,_xll.ciqfunctions.udf.CIQ($A25, "IQ_EBITDA", $B$3, $L$2,$L$4, $L$3, $L$5, $L$6))</f>
        <v>#NAME?</v>
      </c>
      <c r="AC25" s="68" t="e">
        <f ca="1">IF(_xll.ciqfunctions.udf.CIQ($A25, "IQ_EBITDA_EST",$B$4, $L$2, "CON", $L$3, $L$5, $L$6)=0,"n/a",_xll.ciqfunctions.udf.CIQ($A25, "IQ_EBITDA_EST",$B$4, $L$2, "CON", $L$3, $L$5, $L$6))</f>
        <v>#NAME?</v>
      </c>
      <c r="AD25" s="68" t="e">
        <f ca="1">IF(_xll.ciqfunctions.udf.CIQ($A25, "IQ_EBITDA_EST",$B$5, $L$2, "CON", $L$3, $L$5, $L$6)=0,"n/a",_xll.ciqfunctions.udf.CIQ($A25, "IQ_EBITDA_EST",$B$5, $L$2, "CON", $L$3, $L$5, $L$6))</f>
        <v>#NAME?</v>
      </c>
      <c r="AE25" s="68" t="e">
        <f ca="1">IF(_xll.ciqfunctions.udf.CIQ($A25, "IQ_EBITDA_EST",$B$6, $L$2, "CON", $L$3, $L$5, $L$6)=0,"n/a",_xll.ciqfunctions.udf.CIQ($A25, "IQ_EBITDA_EST",$B$6, $L$2, "CON", $L$3, $L$5, $L$6))</f>
        <v>#NAME?</v>
      </c>
      <c r="AF25" s="69" t="str">
        <f ca="1">IF(ISERROR(_xll.ciqfunctions.udf.CIQ($A25, "IQ_GROSS_MARGIN", IQ_LTM, $L$2,$L$4, $L$3, $L$5, $L$6)/100), "n/a", _xll.ciqfunctions.udf.CIQ($A25,  "IQ_GROSS_MARGIN", IQ_LTM, $L$2, $L$4, $L$3, $L$5, $L$6)/100)</f>
        <v>n/a</v>
      </c>
      <c r="AG25" s="69" t="str">
        <f ca="1">IF(ISERROR(_xll.ciqfunctions.udf.CIQ($A25,"IQ_EBITDA_MARGIN", IQ_LTM, $L$2, $L$4, $L$3, $L$5, $L$6)/100), "n/a", _xll.ciqfunctions.udf.CIQ($A25, "IQ_EBITDA_MARGIN", IQ_LTM, $L$2, $L$4, $L$3, $L$5, $L$6)/100)</f>
        <v>n/a</v>
      </c>
      <c r="AH25" s="69" t="str">
        <f ca="1">IF(ISERROR(_xll.ciqfunctions.udf.CIQ($A25,"IQ_EBIT_MARGIN", IQ_LTM, $L$2, $L$4, $L$3, $L$5, $L$6)/100), "n/a", _xll.ciqfunctions.udf.CIQ($A25, "IQ_EBIT_MARGIN", IQ_LTM, $L$2, $L$4, $L$3, $L$5, $L$6)/100)</f>
        <v>n/a</v>
      </c>
      <c r="AI25" s="69" t="str">
        <f ca="1">IF(ISERROR(_xll.ciqfunctions.udf.CIQ($A25,"IQ_NI_MARGIN", IQ_LTM, $L$2, $L$4, $L$3, $L$5, $L$6)/100), "n/a", _xll.ciqfunctions.udf.CIQ($A25, "IQ_NI_MARGIN", IQ_LTM, $L$2, $L$4, $L$3, $L$5, $L$6)/100)</f>
        <v>n/a</v>
      </c>
      <c r="AJ25" s="68" t="str">
        <f ca="1">IF(ISERROR(_xll.ciqfunctions.udf.CIQ($A25, "IQ_NET_WORKING_CAP", IQ_LTM-8, $L$2, $L$4, $L$3, $L$5, $L$6)), "n/a", _xll.ciqfunctions.udf.CIQ($A25, "IQ_NET_WORKING_CAP", IQ_LTM-8, $L$2, $L$4, $L$3, $L$5, $L$6))</f>
        <v>n/a</v>
      </c>
      <c r="AK25" s="68" t="str">
        <f ca="1">IF(ISERROR(_xll.ciqfunctions.udf.CIQ($A25, "IQ_NET_WORKING_CAP", IQ_LTM-4, $L$2, $L$4, $L$3, $L$5, $L$6)), "n/a", _xll.ciqfunctions.udf.CIQ($A25, "IQ_NET_WORKING_CAP", IQ_LTM-4, $L$2, $L$4, $L$3, $L$5, $L$6))</f>
        <v>n/a</v>
      </c>
      <c r="AL25" s="68" t="str">
        <f ca="1">IF(ISERROR(_xll.ciqfunctions.udf.CIQ($A25, "IQ_NET_WORKING_CAP", IQ_LTM, $L$2,$L$4, $L$3, $L$5, $L$6)), "n/a", _xll.ciqfunctions.udf.CIQ($A25, "IQ_NET_WORKING_CAP", IQ_LTM, $L$2, $L$4, $L$3, $L$5, $L$6))</f>
        <v>n/a</v>
      </c>
      <c r="AM25" s="68" t="str">
        <f ca="1">IF(ISERROR(_xll.ciqfunctions.udf.CIQ($A25, "IQ_Capex", IQ_LTM-8, $L$2,$L$4, $L$3, $L$5, $L$6)), "n/a", _xll.ciqfunctions.udf.CIQ($A25, "IQ_Capex", IQ_LTM-8, $L$2, $L$4, $L$3, $L$5, $L$6))</f>
        <v>n/a</v>
      </c>
      <c r="AN25" s="68" t="str">
        <f ca="1">IF(ISERROR(_xll.ciqfunctions.udf.CIQ($A25, "IQ_Capex", IQ_LTM-4, $L$2,$L$4, $L$3, $L$5, $L$6)), "n/a", _xll.ciqfunctions.udf.CIQ($A25, "IQ_Capex", IQ_LTM-4, $L$2,$L$4, $L$3, $L$5, $L$6))</f>
        <v>n/a</v>
      </c>
      <c r="AO25" s="68" t="str">
        <f ca="1">IF(ISERROR(_xll.ciqfunctions.udf.CIQ($A25, "IQ_Capex", IQ_LTM, $L$2, $L$4, $L$3, $L$5, $L$6)), "n/a", _xll.ciqfunctions.udf.CIQ($A25, "IQ_Capex", IQ_LTM, $L$2, $L$4, $L$3, $L$5, $L$6))</f>
        <v>n/a</v>
      </c>
      <c r="AP25" s="70" t="e">
        <f ca="1">_xll.ciqfunctions.udf.CIQ(A25, "IQ_BUSINESS_DESCRIPTION")</f>
        <v>#NAME?</v>
      </c>
      <c r="AQ25" s="71" t="e">
        <f ca="1">_xll.ciqfunctions.udf.CIQ($A25, "IQ_BETA_1YR", $B$1)</f>
        <v>#NAME?</v>
      </c>
      <c r="AR25" s="71" t="e">
        <f ca="1">_xll.ciqfunctions.udf.CIQ($A25, "IQ_BETA_2YR", $B$1)</f>
        <v>#NAME?</v>
      </c>
      <c r="AS25" s="71" t="e">
        <f ca="1">_xll.ciqfunctions.udf.CIQ($A25, "IQ_BETA_5YR", $B$1)</f>
        <v>#NAME?</v>
      </c>
      <c r="AT25" s="69" t="e">
        <f ca="1">_xll.ciqfunctions.udf.CIQ($A25, "IQ_DIVIDEND_YIELD", $B$1)/100</f>
        <v>#NAME?</v>
      </c>
      <c r="AU25" s="68" t="e">
        <f ca="1">_xll.ciqfunctions.udf.CIQ($A25, "IQ_EARNING_CO", IQ_LTM-8, $L$2, $L$4, $L$3, $L$5, $L$6)</f>
        <v>#NAME?</v>
      </c>
      <c r="AV25" s="68" t="e">
        <f ca="1">_xll.ciqfunctions.udf.CIQ($A25, "IQ_EARNING_CO", IQ_LTM-4, $L$2, $L$4, $L$3, $L$5, $L$6)</f>
        <v>#NAME?</v>
      </c>
      <c r="AW25" s="68" t="e">
        <f ca="1">_xll.ciqfunctions.udf.CIQ($A25, "IQ_EARNING_CO", IQ_LTM, $L$2, $L$4, $L$3, $L$5, $L$6)</f>
        <v>#NAME?</v>
      </c>
      <c r="AX25" s="68" t="e">
        <f ca="1">_xll.ciqfunctions.udf.CIQ($A25, "IQ_EARNING_CO", $B$2, $L$2, $L$4, $L$3, $L$5, $L$6)</f>
        <v>#NAME?</v>
      </c>
      <c r="AY25" s="68" t="e">
        <f ca="1">IF(_xll.ciqfunctions.udf.CIQ($A25, "IQ_EARNING_CO", $B$3, $L$2,$L$4, $L$3, $L$5, $L$6)=0,AW25,_xll.ciqfunctions.udf.CIQ($A25, "IQ_EARNING_CO", $B$3, $L$2,$L$4, $L$3, $L$5, $L$6))</f>
        <v>#NAME?</v>
      </c>
      <c r="AZ25" s="68" t="e">
        <f ca="1">_xll.ciqfunctions.udf.CIQ($A25, "IQ_TOTAL_EQUITY", IQ_LTM-8, $L$2, $L$4, $L$3, $L$5, $L$6)</f>
        <v>#NAME?</v>
      </c>
      <c r="BA25" s="68" t="e">
        <f ca="1">_xll.ciqfunctions.udf.CIQ($A25, "IQ_TOTAL_EQUITY", IQ_LTM-4, $L$2, $L$4, $L$3, $L$5, $L$6)</f>
        <v>#NAME?</v>
      </c>
      <c r="BB25" s="68" t="e">
        <f ca="1">_xll.ciqfunctions.udf.CIQ($A25, "IQ_TOTAL_EQUITY", IQ_LTM, $L$2, $L$4, $L$3, $L$5, $L$6)</f>
        <v>#NAME?</v>
      </c>
      <c r="BC25" s="68" t="e">
        <f ca="1">_xll.ciqfunctions.udf.CIQ($A25, "IQ_TOTAL_EQUITY", $B$2, $L$2, $L$4, $L$3, $L$5, $L$6)</f>
        <v>#NAME?</v>
      </c>
      <c r="BD25" s="68" t="e">
        <f ca="1">IF(_xll.ciqfunctions.udf.CIQ($A25, "IQ_TOTAL_EQUITY", $B$3, $L$2,$L$4, $L$3, $L$5, $L$6)=0,BB25,_xll.ciqfunctions.udf.CIQ($A25, "IQ_TOTAL_EQUITY", $B$3, $L$2,$L$4, $L$3, $L$5, $L$6))</f>
        <v>#NAME?</v>
      </c>
      <c r="BE25" s="68" t="e">
        <f ca="1">_xll.ciqfunctions.udf.CIQ(A25, "IQ_LASTSALEPRICE", $B$8)</f>
        <v>#NAME?</v>
      </c>
      <c r="BF25" s="68" t="e">
        <f ca="1">_xll.ciqfunctions.udf.CIQ($A25, "IQ_MARKETCAP", $B$8, $L$5, $L$6)</f>
        <v>#NAME?</v>
      </c>
      <c r="BG25" s="68" t="e">
        <f ca="1">_xll.ciqfunctions.udf.CIQ($A25, "IQ_TOTAL_DEBT", IQ_LTM, $B$8,$L$4, $L$3, $L$5, $L$6)</f>
        <v>#NAME?</v>
      </c>
      <c r="BH25" s="44" t="e">
        <f ca="1">_xll.ciqfunctions.udf.CIQ($A25,"IQ_PREF_EQUITY",IQ_LTM,$B$8,$L$4,$L$3,$L$5,$L$6)</f>
        <v>#NAME?</v>
      </c>
      <c r="BI25" s="44" t="e">
        <f ca="1">_xll.ciqfunctions.udf.CIQ($A25, "IQ_MINORITY_INTEREST_TOTAL", IQ_LTM,$B$8,$L$4,$L$3,$L$5,$L$6)</f>
        <v>#NAME?</v>
      </c>
      <c r="BJ25" s="68" t="e">
        <f ca="1">_xll.ciqfunctions.udf.CIQ($A25, "IQ_CASH_ST_INVEST", IQ_LTM, $B$8, $L$4, $L$3, $L$5, $L$6)</f>
        <v>#NAME?</v>
      </c>
      <c r="BK25" s="44" t="e">
        <f ca="1">_xll.ciqfunctions.udf.CIQ($A25, "IQ_EFFECT_TAX_RATE")</f>
        <v>#NAME?</v>
      </c>
      <c r="BL25" s="44" t="e">
        <f ca="1">IF(_xll.ciqfunctions.udf.CIQ($A25, "IQ_TOTAL_REV_2YR_ANN_CAGR", IQ_LTM, $B$1,$L$4, $L$3, $L$5, $L$6)="NM","n/a",(_xll.ciqfunctions.udf.CIQ($A25, "IQ_TOTAL_REV_2YR_ANN_CAGR", IQ_LTM, $B$1,$L$4, $L$3, $L$5, $L$6)/100))</f>
        <v>#NAME?</v>
      </c>
      <c r="BM25" s="44" t="e">
        <f ca="1">IF(_xll.ciqfunctions.udf.CIQ($A25, "IQ_TOTAL_REV_3YR_ANN_CAGR", IQ_LTM, $B$1,$L$4, $L$3, $L$5, $L$6)="NM","n/a",(_xll.ciqfunctions.udf.CIQ($A25, "IQ_TOTAL_REV_3YR_ANN_CAGR", IQ_LTM, $B$1,$L$4, $L$3, $L$5, $L$6)/100))</f>
        <v>#NAME?</v>
      </c>
      <c r="BN25" s="44" t="e">
        <f ca="1">IF(_xll.ciqfunctions.udf.CIQ($A25, "IQ_TOTAL_REV_5YR_ANN_CAGR", IQ_LTM, $B$1,$L$4, $L$3, $L$5, $L$6)="NM","n/a",(_xll.ciqfunctions.udf.CIQ($A25, "IQ_TOTAL_REV_5YR_ANN_CAGR", IQ_LTM, $B$1,$L$4, $L$3, $L$5, $L$6)/100))</f>
        <v>#NAME?</v>
      </c>
      <c r="BO25" s="44" t="e">
        <f ca="1">IF(_xll.ciqfunctions.udf.CIQ($A25,"IQ_EBITDA_2YR_ANN_CAGR", IQ_LTM,$B$1,$L$4, $L$3, $L$5, $L$6)="NM","n/a",(_xll.ciqfunctions.udf.CIQ($A25,"IQ_EBITDA_2YR_ANN_CAGR", IQ_LTM,$B$1,$L$4, $L$3, $L$5, $L$6)/100))</f>
        <v>#NAME?</v>
      </c>
      <c r="BP25" s="44" t="e">
        <f ca="1">IF(_xll.ciqfunctions.udf.CIQ($A25,"IQ_EBITDA_3YR_ANN_CAGR", IQ_LTM,$B$1,$L$4, $L$3, $L$5, $L$6)="NM","n/a",(_xll.ciqfunctions.udf.CIQ($A25,"IQ_EBITDA_3YR_ANN_CAGR", IQ_LTM,$B$1,$L$4, $L$3, $L$5, $L$6)/100))</f>
        <v>#NAME?</v>
      </c>
      <c r="BQ25" s="44" t="e">
        <f ca="1">IF(_xll.ciqfunctions.udf.CIQ($A25,"IQ_EBITDA_5YR_ANN_CAGR", IQ_LTM,$B$1,$L$4, $L$3, $L$5, $L$6)="NM","n/a",(_xll.ciqfunctions.udf.CIQ($A25,"IQ_EBITDA_5YR_ANN_CAGR", IQ_LTM,$B$1,$L$4, $L$3, $L$5, $L$6)/100))</f>
        <v>#NAME?</v>
      </c>
      <c r="BR25" s="48" t="str">
        <f ca="1">IFERROR((_xll.ciqfunctions.udf.CIQ($A25, "IQ_DA_CF", IQ_LTM, $B$1, $L$4, $L$3, $L$5, $L$6)/Q25),"NM")</f>
        <v>NM</v>
      </c>
      <c r="BS25" s="72">
        <f>'Capital IQ Sheet-GPC'!BS25</f>
        <v>1.026</v>
      </c>
      <c r="BT25" s="72" t="str">
        <f>'Capital IQ Sheet-GPC'!BT25</f>
        <v>n/a</v>
      </c>
      <c r="BU25" s="72" t="str">
        <f>'Capital IQ Sheet-GPC'!BU25</f>
        <v>n/a</v>
      </c>
      <c r="BV25" s="72" t="str">
        <f>'Capital IQ Sheet-GPC'!BV25</f>
        <v>n/a</v>
      </c>
      <c r="BW25" s="72" t="str">
        <f>'Capital IQ Sheet-GPC'!BW25</f>
        <v>n/a</v>
      </c>
      <c r="BX25" s="72" t="str">
        <f>'Capital IQ Sheet-GPC'!BX25</f>
        <v>n/a</v>
      </c>
      <c r="BY25" s="72" t="str">
        <f>'Capital IQ Sheet-GPC'!BY25</f>
        <v>n/a</v>
      </c>
      <c r="BZ25" s="72" t="str">
        <f>'Capital IQ Sheet-GPC'!BZ25</f>
        <v>n/a</v>
      </c>
      <c r="CB25" s="44">
        <v>2</v>
      </c>
      <c r="CC25" s="112" t="s">
        <v>269</v>
      </c>
      <c r="CD25" s="112" t="s">
        <v>268</v>
      </c>
      <c r="CE25" s="46">
        <f t="shared" si="1"/>
        <v>42766</v>
      </c>
    </row>
    <row r="26" spans="1:83" s="44" customFormat="1" ht="12.75">
      <c r="A26" s="45" t="e">
        <f ca="1">_xll.ciqfunctions.udf.CIQ($B26,"IQ_COMPANY_TICKER")</f>
        <v>#NAME?</v>
      </c>
      <c r="B26" s="67" t="str">
        <f>'Capital IQ Sheet-GPC'!B26</f>
        <v>(Invalid Identifier)</v>
      </c>
      <c r="C26" s="45" t="e">
        <f ca="1">_xll.ciqfunctions.udf.CIQ($A26,"IQ_COMPANY_NAME")</f>
        <v>#NAME?</v>
      </c>
      <c r="D26" s="45" t="e">
        <f ca="1">_xll.ciqfunctions.udf.CIQ($A26, "IQ_EXCHANGE")</f>
        <v>#NAME?</v>
      </c>
      <c r="E26" s="66" t="e">
        <f ca="1">_xll.ciqfunctions.udf.CIQ($A26, "IQ_PERIODDATE_IS", IQ_FY)</f>
        <v>#NAME?</v>
      </c>
      <c r="F26" s="66" t="e">
        <f ca="1">_xll.ciqfunctions.udf.CIQ(A26, "IQ_PERIODDATE_IS", IQ_LTM, $B$1,$L$4,$L$3)</f>
        <v>#NAME?</v>
      </c>
      <c r="G26" s="66" t="e">
        <f ca="1">_xll.ciqfunctions.udf.CIQ($A26, "IQ_FIRSTPRICINGDATE")</f>
        <v>#NAME?</v>
      </c>
      <c r="H26" s="68" t="e">
        <f ca="1">_xll.ciqfunctions.udf.CIQ($A26, "IQ_TEV", $L$2, $L$5, $L$6)</f>
        <v>#NAME?</v>
      </c>
      <c r="I26" s="68" t="e">
        <f ca="1">_xll.ciqfunctions.udf.CIQ(A26, "IQ_LASTSALEPRICE", $B$1,$L$5)</f>
        <v>#NAME?</v>
      </c>
      <c r="J26" s="68" t="e">
        <f ca="1">_xll.ciqfunctions.udf.CIQ($A26, "IQ_MARKETCAP", $L$2, $L$5, $L$6)</f>
        <v>#NAME?</v>
      </c>
      <c r="K26" s="68" t="e">
        <f ca="1">_xll.ciqfunctions.udf.CIQ($A26, "IQ_TOTAL_DEBT", IQ_LTM, $L$2,$L$4, $L$3, $L$5, $L$6)</f>
        <v>#NAME?</v>
      </c>
      <c r="L26" s="68" t="e">
        <f ca="1">_xll.ciqfunctions.udf.CIQ($A26, "IQ_PREF_EQUITY", IQ_LTM, $L$2, $L$4, $L$3, $L$5, $L$6)</f>
        <v>#NAME?</v>
      </c>
      <c r="M26" s="68" t="e">
        <f ca="1">_xll.ciqfunctions.udf.CIQ($A26, "IQ_MINORITY_INTEREST_TOTAL", IQ_LTM, $L$2, $L$4, $L$3, $L$5, $L$6)</f>
        <v>#NAME?</v>
      </c>
      <c r="N26" s="68" t="e">
        <f ca="1">_xll.ciqfunctions.udf.CIQ($A26, "IQ_CASH_ST_INVEST", IQ_LTM, $L$2, $L$4, $L$3, $L$5, $L$6)</f>
        <v>#NAME?</v>
      </c>
      <c r="O26" s="68" t="e">
        <f ca="1">_xll.ciqfunctions.udf.CIQ($A26, "IQ_TOTAL_REV", IQ_LTM-8, $L$2, $L$4, $L$3, $L$5, $L$6)</f>
        <v>#NAME?</v>
      </c>
      <c r="P26" s="68" t="e">
        <f ca="1">_xll.ciqfunctions.udf.CIQ($A26, "IQ_TOTAL_REV", IQ_LTM - 4, $L$2, $L$4, $L$3, $L$5,$L$6)</f>
        <v>#NAME?</v>
      </c>
      <c r="Q26" s="68" t="e">
        <f ca="1">_xll.ciqfunctions.udf.CIQ($A26, "IQ_TOTAL_REV", IQ_LTM, $L$2, $L$4, $L$3, $L$5, $L$6)</f>
        <v>#NAME?</v>
      </c>
      <c r="R26" s="68" t="e">
        <f ca="1">_xll.ciqfunctions.udf.CIQ($A26, "IQ_TOTAL_REV", $B$2, $L$2, $L$4, $L$3, $L$5, $L$6)</f>
        <v>#NAME?</v>
      </c>
      <c r="S26" s="68" t="e">
        <f ca="1">IF(_xll.ciqfunctions.udf.CIQ($A26, "IQ_TOTAL_REV", $B$3, $L$2,$L$4, $L$3, $L$5, $L$6)=0,Q26,_xll.ciqfunctions.udf.CIQ($A26, "IQ_TOTAL_REV", $B$3, $L$2,$L$4, $L$3, $L$5, $L$6))</f>
        <v>#NAME?</v>
      </c>
      <c r="T26" s="68" t="e">
        <f ca="1">IF(_xll.ciqfunctions.udf.CIQ($A26, "IQ_REVENUE_EST",$B$4, $L$2, "CON", $L$3, $L$5, $L$6)=0,"n/a",_xll.ciqfunctions.udf.CIQ($A26, "IQ_REVENUE_EST",$B$4, $L$2, "CON", $L$3, $L$5, $L$6))</f>
        <v>#NAME?</v>
      </c>
      <c r="U26" s="68" t="e">
        <f ca="1">IF(_xll.ciqfunctions.udf.CIQ($A26, "IQ_REVENUE_EST",$B$5, $L$2, "CON", $L$3, $L$5, $L$6)=0,"n/a",_xll.ciqfunctions.udf.CIQ($A26, "IQ_REVENUE_EST",$B$5, $L$2, "CON", $L$3, $L$5, $L$6))</f>
        <v>#NAME?</v>
      </c>
      <c r="V26" s="68" t="e">
        <f ca="1">IF(_xll.ciqfunctions.udf.CIQ($A26, "IQ_REVENUE_EST",$B$6, $L$2, "CON", $L$3, $L$5, $L$6)=0,"n/a",_xll.ciqfunctions.udf.CIQ($A26, "IQ_REVENUE_EST",$B$6, $L$2, "CON", $L$3, $L$5, $L$6))</f>
        <v>#NAME?</v>
      </c>
      <c r="W26" s="68" t="e">
        <f ca="1">IF(_xll.ciqfunctions.udf.CIQ($A26, "IQ_REVENUE_EST", $B$7, $L$2, "CON", $L$3, $L$5, $L$6)=0,"n/a",_xll.ciqfunctions.udf.CIQ($A26, "IQ_REVENUE_EST",$B$7, $L$2, "CON", $L$3, $L$5, $L$6))</f>
        <v>#NAME?</v>
      </c>
      <c r="X26" s="68" t="e">
        <f ca="1">_xll.ciqfunctions.udf.CIQ($A26, "IQ_EBITDA", IQ_LTM-8, $L$2, $L$4, $L$3, $L$5, $L$6)</f>
        <v>#NAME?</v>
      </c>
      <c r="Y26" s="68" t="e">
        <f ca="1">_xll.ciqfunctions.udf.CIQ($A26, "IQ_EBITDA", IQ_LTM-4, $L$2,$L$4, $L$3, $L$5, $L$6)</f>
        <v>#NAME?</v>
      </c>
      <c r="Z26" s="68" t="e">
        <f ca="1">_xll.ciqfunctions.udf.CIQ($A26, "IQ_EBITDA", IQ_LTM, $L$2, $L$4, $L$3, $L$5, $L$6)</f>
        <v>#NAME?</v>
      </c>
      <c r="AA26" s="68" t="e">
        <f ca="1">_xll.ciqfunctions.udf.CIQ($A26, "IQ_EBITDA", $B$2, $L$2, $L$4, $L$3, $L$5, $L$6)</f>
        <v>#NAME?</v>
      </c>
      <c r="AB26" s="68" t="e">
        <f ca="1">IF(_xll.ciqfunctions.udf.CIQ($A26, "IQ_EBITDA", $B$3, $L$2,$L$4, $L$3, $L$5, $L$6)=0,Z26,_xll.ciqfunctions.udf.CIQ($A26, "IQ_EBITDA", $B$3, $L$2,$L$4, $L$3, $L$5, $L$6))</f>
        <v>#NAME?</v>
      </c>
      <c r="AC26" s="68" t="e">
        <f ca="1">IF(_xll.ciqfunctions.udf.CIQ($A26, "IQ_EBITDA_EST",$B$4, $L$2, "CON", $L$3, $L$5, $L$6)=0,"n/a",_xll.ciqfunctions.udf.CIQ($A26, "IQ_EBITDA_EST",$B$4, $L$2, "CON", $L$3, $L$5, $L$6))</f>
        <v>#NAME?</v>
      </c>
      <c r="AD26" s="68" t="e">
        <f ca="1">IF(_xll.ciqfunctions.udf.CIQ($A26, "IQ_EBITDA_EST",$B$5, $L$2, "CON", $L$3, $L$5, $L$6)=0,"n/a",_xll.ciqfunctions.udf.CIQ($A26, "IQ_EBITDA_EST",$B$5, $L$2, "CON", $L$3, $L$5, $L$6))</f>
        <v>#NAME?</v>
      </c>
      <c r="AE26" s="68" t="e">
        <f ca="1">IF(_xll.ciqfunctions.udf.CIQ($A26, "IQ_EBITDA_EST",$B$6, $L$2, "CON", $L$3, $L$5, $L$6)=0,"n/a",_xll.ciqfunctions.udf.CIQ($A26, "IQ_EBITDA_EST",$B$6, $L$2, "CON", $L$3, $L$5, $L$6))</f>
        <v>#NAME?</v>
      </c>
      <c r="AF26" s="69" t="str">
        <f ca="1">IF(ISERROR(_xll.ciqfunctions.udf.CIQ($A26, "IQ_GROSS_MARGIN", IQ_LTM, $L$2,$L$4, $L$3, $L$5, $L$6)/100), "n/a", _xll.ciqfunctions.udf.CIQ($A26,  "IQ_GROSS_MARGIN", IQ_LTM, $L$2, $L$4, $L$3, $L$5, $L$6)/100)</f>
        <v>n/a</v>
      </c>
      <c r="AG26" s="69" t="str">
        <f ca="1">IF(ISERROR(_xll.ciqfunctions.udf.CIQ($A26,"IQ_EBITDA_MARGIN", IQ_LTM, $L$2, $L$4, $L$3, $L$5, $L$6)/100), "n/a", _xll.ciqfunctions.udf.CIQ($A26, "IQ_EBITDA_MARGIN", IQ_LTM, $L$2, $L$4, $L$3, $L$5, $L$6)/100)</f>
        <v>n/a</v>
      </c>
      <c r="AH26" s="69" t="str">
        <f ca="1">IF(ISERROR(_xll.ciqfunctions.udf.CIQ($A26,"IQ_EBIT_MARGIN", IQ_LTM, $L$2, $L$4, $L$3, $L$5, $L$6)/100), "n/a", _xll.ciqfunctions.udf.CIQ($A26, "IQ_EBIT_MARGIN", IQ_LTM, $L$2, $L$4, $L$3, $L$5, $L$6)/100)</f>
        <v>n/a</v>
      </c>
      <c r="AI26" s="69" t="str">
        <f ca="1">IF(ISERROR(_xll.ciqfunctions.udf.CIQ($A26,"IQ_NI_MARGIN", IQ_LTM, $L$2, $L$4, $L$3, $L$5, $L$6)/100), "n/a", _xll.ciqfunctions.udf.CIQ($A26, "IQ_NI_MARGIN", IQ_LTM, $L$2, $L$4, $L$3, $L$5, $L$6)/100)</f>
        <v>n/a</v>
      </c>
      <c r="AJ26" s="68" t="str">
        <f ca="1">IF(ISERROR(_xll.ciqfunctions.udf.CIQ($A26, "IQ_NET_WORKING_CAP", IQ_LTM-8, $L$2, $L$4, $L$3, $L$5, $L$6)), "n/a", _xll.ciqfunctions.udf.CIQ($A26, "IQ_NET_WORKING_CAP", IQ_LTM-8, $L$2, $L$4, $L$3, $L$5, $L$6))</f>
        <v>n/a</v>
      </c>
      <c r="AK26" s="68" t="str">
        <f ca="1">IF(ISERROR(_xll.ciqfunctions.udf.CIQ($A26, "IQ_NET_WORKING_CAP", IQ_LTM-4, $L$2, $L$4, $L$3, $L$5, $L$6)), "n/a", _xll.ciqfunctions.udf.CIQ($A26, "IQ_NET_WORKING_CAP", IQ_LTM-4, $L$2, $L$4, $L$3, $L$5, $L$6))</f>
        <v>n/a</v>
      </c>
      <c r="AL26" s="68" t="str">
        <f ca="1">IF(ISERROR(_xll.ciqfunctions.udf.CIQ($A26, "IQ_NET_WORKING_CAP", IQ_LTM, $L$2,$L$4, $L$3, $L$5, $L$6)), "n/a", _xll.ciqfunctions.udf.CIQ($A26, "IQ_NET_WORKING_CAP", IQ_LTM, $L$2, $L$4, $L$3, $L$5, $L$6))</f>
        <v>n/a</v>
      </c>
      <c r="AM26" s="68" t="str">
        <f ca="1">IF(ISERROR(_xll.ciqfunctions.udf.CIQ($A26, "IQ_Capex", IQ_LTM-8, $L$2,$L$4, $L$3, $L$5, $L$6)), "n/a", _xll.ciqfunctions.udf.CIQ($A26, "IQ_Capex", IQ_LTM-8, $L$2, $L$4, $L$3, $L$5, $L$6))</f>
        <v>n/a</v>
      </c>
      <c r="AN26" s="68" t="str">
        <f ca="1">IF(ISERROR(_xll.ciqfunctions.udf.CIQ($A26, "IQ_Capex", IQ_LTM-4, $L$2,$L$4, $L$3, $L$5, $L$6)), "n/a", _xll.ciqfunctions.udf.CIQ($A26, "IQ_Capex", IQ_LTM-4, $L$2,$L$4, $L$3, $L$5, $L$6))</f>
        <v>n/a</v>
      </c>
      <c r="AO26" s="68" t="str">
        <f ca="1">IF(ISERROR(_xll.ciqfunctions.udf.CIQ($A26, "IQ_Capex", IQ_LTM, $L$2, $L$4, $L$3, $L$5, $L$6)), "n/a", _xll.ciqfunctions.udf.CIQ($A26, "IQ_Capex", IQ_LTM, $L$2, $L$4, $L$3, $L$5, $L$6))</f>
        <v>n/a</v>
      </c>
      <c r="AP26" s="70" t="e">
        <f ca="1">_xll.ciqfunctions.udf.CIQ(A26, "IQ_BUSINESS_DESCRIPTION")</f>
        <v>#NAME?</v>
      </c>
      <c r="AQ26" s="71" t="e">
        <f ca="1">_xll.ciqfunctions.udf.CIQ($A26, "IQ_BETA_1YR", $B$1)</f>
        <v>#NAME?</v>
      </c>
      <c r="AR26" s="71" t="e">
        <f ca="1">_xll.ciqfunctions.udf.CIQ($A26, "IQ_BETA_2YR", $B$1)</f>
        <v>#NAME?</v>
      </c>
      <c r="AS26" s="71" t="e">
        <f ca="1">_xll.ciqfunctions.udf.CIQ($A26, "IQ_BETA_5YR", $B$1)</f>
        <v>#NAME?</v>
      </c>
      <c r="AT26" s="69" t="e">
        <f ca="1">_xll.ciqfunctions.udf.CIQ($A26, "IQ_DIVIDEND_YIELD", $B$1)/100</f>
        <v>#NAME?</v>
      </c>
      <c r="AU26" s="68" t="e">
        <f ca="1">_xll.ciqfunctions.udf.CIQ($A26, "IQ_EARNING_CO", IQ_LTM-8, $L$2, $L$4, $L$3, $L$5, $L$6)</f>
        <v>#NAME?</v>
      </c>
      <c r="AV26" s="68" t="e">
        <f ca="1">_xll.ciqfunctions.udf.CIQ($A26, "IQ_EARNING_CO", IQ_LTM-4, $L$2, $L$4, $L$3, $L$5, $L$6)</f>
        <v>#NAME?</v>
      </c>
      <c r="AW26" s="68" t="e">
        <f ca="1">_xll.ciqfunctions.udf.CIQ($A26, "IQ_EARNING_CO", IQ_LTM, $L$2, $L$4, $L$3, $L$5, $L$6)</f>
        <v>#NAME?</v>
      </c>
      <c r="AX26" s="68" t="e">
        <f ca="1">_xll.ciqfunctions.udf.CIQ($A26, "IQ_EARNING_CO", $B$2, $L$2, $L$4, $L$3, $L$5, $L$6)</f>
        <v>#NAME?</v>
      </c>
      <c r="AY26" s="68" t="e">
        <f ca="1">IF(_xll.ciqfunctions.udf.CIQ($A26, "IQ_EARNING_CO", $B$3, $L$2,$L$4, $L$3, $L$5, $L$6)=0,AW26,_xll.ciqfunctions.udf.CIQ($A26, "IQ_EARNING_CO", $B$3, $L$2,$L$4, $L$3, $L$5, $L$6))</f>
        <v>#NAME?</v>
      </c>
      <c r="AZ26" s="68" t="e">
        <f ca="1">_xll.ciqfunctions.udf.CIQ($A26, "IQ_TOTAL_EQUITY", IQ_LTM-8, $L$2, $L$4, $L$3, $L$5, $L$6)</f>
        <v>#NAME?</v>
      </c>
      <c r="BA26" s="68" t="e">
        <f ca="1">_xll.ciqfunctions.udf.CIQ($A26, "IQ_TOTAL_EQUITY", IQ_LTM-4, $L$2, $L$4, $L$3, $L$5, $L$6)</f>
        <v>#NAME?</v>
      </c>
      <c r="BB26" s="68" t="e">
        <f ca="1">_xll.ciqfunctions.udf.CIQ($A26, "IQ_TOTAL_EQUITY", IQ_LTM, $L$2, $L$4, $L$3, $L$5, $L$6)</f>
        <v>#NAME?</v>
      </c>
      <c r="BC26" s="68" t="e">
        <f ca="1">_xll.ciqfunctions.udf.CIQ($A26, "IQ_TOTAL_EQUITY", $B$2, $L$2, $L$4, $L$3, $L$5, $L$6)</f>
        <v>#NAME?</v>
      </c>
      <c r="BD26" s="68" t="e">
        <f ca="1">IF(_xll.ciqfunctions.udf.CIQ($A26, "IQ_TOTAL_EQUITY", $B$3, $L$2,$L$4, $L$3, $L$5, $L$6)=0,BB26,_xll.ciqfunctions.udf.CIQ($A26, "IQ_TOTAL_EQUITY", $B$3, $L$2,$L$4, $L$3, $L$5, $L$6))</f>
        <v>#NAME?</v>
      </c>
      <c r="BE26" s="68" t="e">
        <f ca="1">_xll.ciqfunctions.udf.CIQ(A26, "IQ_LASTSALEPRICE", $B$8)</f>
        <v>#NAME?</v>
      </c>
      <c r="BF26" s="68" t="e">
        <f ca="1">_xll.ciqfunctions.udf.CIQ($A26, "IQ_MARKETCAP", $B$8, $L$5, $L$6)</f>
        <v>#NAME?</v>
      </c>
      <c r="BG26" s="68" t="e">
        <f ca="1">_xll.ciqfunctions.udf.CIQ($A26, "IQ_TOTAL_DEBT", IQ_LTM, $B$8,$L$4, $L$3, $L$5, $L$6)</f>
        <v>#NAME?</v>
      </c>
      <c r="BH26" s="44" t="e">
        <f ca="1">_xll.ciqfunctions.udf.CIQ($A26,"IQ_PREF_EQUITY",IQ_LTM,$B$8,$L$4,$L$3,$L$5,$L$6)</f>
        <v>#NAME?</v>
      </c>
      <c r="BI26" s="44" t="e">
        <f ca="1">_xll.ciqfunctions.udf.CIQ($A26, "IQ_MINORITY_INTEREST_TOTAL", IQ_LTM,$B$8,$L$4,$L$3,$L$5,$L$6)</f>
        <v>#NAME?</v>
      </c>
      <c r="BJ26" s="68" t="e">
        <f ca="1">_xll.ciqfunctions.udf.CIQ($A26, "IQ_CASH_ST_INVEST", IQ_LTM, $B$8, $L$4, $L$3, $L$5, $L$6)</f>
        <v>#NAME?</v>
      </c>
      <c r="BK26" s="44" t="e">
        <f ca="1">_xll.ciqfunctions.udf.CIQ($A26, "IQ_EFFECT_TAX_RATE")</f>
        <v>#NAME?</v>
      </c>
      <c r="BL26" s="44" t="e">
        <f ca="1">IF(_xll.ciqfunctions.udf.CIQ($A26, "IQ_TOTAL_REV_2YR_ANN_CAGR", IQ_LTM, $B$1,$L$4, $L$3, $L$5, $L$6)="NM","n/a",(_xll.ciqfunctions.udf.CIQ($A26, "IQ_TOTAL_REV_2YR_ANN_CAGR", IQ_LTM, $B$1,$L$4, $L$3, $L$5, $L$6)/100))</f>
        <v>#NAME?</v>
      </c>
      <c r="BM26" s="44" t="e">
        <f ca="1">IF(_xll.ciqfunctions.udf.CIQ($A26, "IQ_TOTAL_REV_3YR_ANN_CAGR", IQ_LTM, $B$1,$L$4, $L$3, $L$5, $L$6)="NM","n/a",(_xll.ciqfunctions.udf.CIQ($A26, "IQ_TOTAL_REV_3YR_ANN_CAGR", IQ_LTM, $B$1,$L$4, $L$3, $L$5, $L$6)/100))</f>
        <v>#NAME?</v>
      </c>
      <c r="BN26" s="44" t="e">
        <f ca="1">IF(_xll.ciqfunctions.udf.CIQ($A26, "IQ_TOTAL_REV_5YR_ANN_CAGR", IQ_LTM, $B$1,$L$4, $L$3, $L$5, $L$6)="NM","n/a",(_xll.ciqfunctions.udf.CIQ($A26, "IQ_TOTAL_REV_5YR_ANN_CAGR", IQ_LTM, $B$1,$L$4, $L$3, $L$5, $L$6)/100))</f>
        <v>#NAME?</v>
      </c>
      <c r="BO26" s="44" t="e">
        <f ca="1">IF(_xll.ciqfunctions.udf.CIQ($A26,"IQ_EBITDA_2YR_ANN_CAGR", IQ_LTM,$B$1,$L$4, $L$3, $L$5, $L$6)="NM","n/a",(_xll.ciqfunctions.udf.CIQ($A26,"IQ_EBITDA_2YR_ANN_CAGR", IQ_LTM,$B$1,$L$4, $L$3, $L$5, $L$6)/100))</f>
        <v>#NAME?</v>
      </c>
      <c r="BP26" s="44" t="e">
        <f ca="1">IF(_xll.ciqfunctions.udf.CIQ($A26,"IQ_EBITDA_3YR_ANN_CAGR", IQ_LTM,$B$1,$L$4, $L$3, $L$5, $L$6)="NM","n/a",(_xll.ciqfunctions.udf.CIQ($A26,"IQ_EBITDA_3YR_ANN_CAGR", IQ_LTM,$B$1,$L$4, $L$3, $L$5, $L$6)/100))</f>
        <v>#NAME?</v>
      </c>
      <c r="BQ26" s="44" t="e">
        <f ca="1">IF(_xll.ciqfunctions.udf.CIQ($A26,"IQ_EBITDA_5YR_ANN_CAGR", IQ_LTM,$B$1,$L$4, $L$3, $L$5, $L$6)="NM","n/a",(_xll.ciqfunctions.udf.CIQ($A26,"IQ_EBITDA_5YR_ANN_CAGR", IQ_LTM,$B$1,$L$4, $L$3, $L$5, $L$6)/100))</f>
        <v>#NAME?</v>
      </c>
      <c r="BR26" s="48" t="str">
        <f ca="1">IFERROR((_xll.ciqfunctions.udf.CIQ($A26, "IQ_DA_CF", IQ_LTM, $B$1, $L$4, $L$3, $L$5, $L$6)/Q26),"NM")</f>
        <v>NM</v>
      </c>
      <c r="BS26" s="72" t="e">
        <f>'Capital IQ Sheet-GPC'!BS26</f>
        <v>#VALUE!</v>
      </c>
      <c r="BT26" s="72" t="e">
        <f>'Capital IQ Sheet-GPC'!BT26</f>
        <v>#VALUE!</v>
      </c>
      <c r="BU26" s="72" t="e">
        <f>'Capital IQ Sheet-GPC'!BU26</f>
        <v>#VALUE!</v>
      </c>
      <c r="BV26" s="72" t="e">
        <f>'Capital IQ Sheet-GPC'!BV26</f>
        <v>#VALUE!</v>
      </c>
      <c r="BW26" s="72" t="e">
        <f>'Capital IQ Sheet-GPC'!BW26</f>
        <v>#VALUE!</v>
      </c>
      <c r="BX26" s="72" t="e">
        <f>'Capital IQ Sheet-GPC'!BX26</f>
        <v>#VALUE!</v>
      </c>
      <c r="BY26" s="72" t="e">
        <f>'Capital IQ Sheet-GPC'!BY26</f>
        <v>#VALUE!</v>
      </c>
      <c r="BZ26" s="72" t="e">
        <f>'Capital IQ Sheet-GPC'!BZ26</f>
        <v>#VALUE!</v>
      </c>
      <c r="CB26" s="44">
        <v>2</v>
      </c>
      <c r="CC26" s="112" t="s">
        <v>269</v>
      </c>
      <c r="CD26" s="112" t="s">
        <v>268</v>
      </c>
      <c r="CE26" s="46">
        <f t="shared" si="1"/>
        <v>42766</v>
      </c>
    </row>
    <row r="27" spans="1:83" s="44" customFormat="1" ht="12.75">
      <c r="A27" s="45" t="e">
        <f ca="1">_xll.ciqfunctions.udf.CIQ($B27,"IQ_COMPANY_TICKER")</f>
        <v>#NAME?</v>
      </c>
      <c r="B27" s="67" t="str">
        <f>'Capital IQ Sheet-GPC'!B27</f>
        <v>(Invalid Identifier)</v>
      </c>
      <c r="C27" s="45" t="e">
        <f ca="1">_xll.ciqfunctions.udf.CIQ($A27,"IQ_COMPANY_NAME")</f>
        <v>#NAME?</v>
      </c>
      <c r="D27" s="45" t="e">
        <f ca="1">_xll.ciqfunctions.udf.CIQ($A27, "IQ_EXCHANGE")</f>
        <v>#NAME?</v>
      </c>
      <c r="E27" s="66" t="e">
        <f ca="1">_xll.ciqfunctions.udf.CIQ($A27, "IQ_PERIODDATE_IS", IQ_FY)</f>
        <v>#NAME?</v>
      </c>
      <c r="F27" s="66" t="e">
        <f ca="1">_xll.ciqfunctions.udf.CIQ(A27, "IQ_PERIODDATE_IS", IQ_LTM, $B$1,$L$4,$L$3)</f>
        <v>#NAME?</v>
      </c>
      <c r="G27" s="66" t="e">
        <f ca="1">_xll.ciqfunctions.udf.CIQ($A27, "IQ_FIRSTPRICINGDATE")</f>
        <v>#NAME?</v>
      </c>
      <c r="H27" s="68" t="e">
        <f ca="1">_xll.ciqfunctions.udf.CIQ($A27, "IQ_TEV", $L$2, $L$5, $L$6)</f>
        <v>#NAME?</v>
      </c>
      <c r="I27" s="68" t="e">
        <f ca="1">_xll.ciqfunctions.udf.CIQ(A27, "IQ_LASTSALEPRICE", $B$1,$L$5)</f>
        <v>#NAME?</v>
      </c>
      <c r="J27" s="68" t="e">
        <f ca="1">_xll.ciqfunctions.udf.CIQ($A27, "IQ_MARKETCAP", $L$2, $L$5, $L$6)</f>
        <v>#NAME?</v>
      </c>
      <c r="K27" s="68" t="e">
        <f ca="1">_xll.ciqfunctions.udf.CIQ($A27, "IQ_TOTAL_DEBT", IQ_LTM, $L$2,$L$4, $L$3, $L$5, $L$6)</f>
        <v>#NAME?</v>
      </c>
      <c r="L27" s="68" t="e">
        <f ca="1">_xll.ciqfunctions.udf.CIQ($A27, "IQ_PREF_EQUITY", IQ_LTM, $L$2, $L$4, $L$3, $L$5, $L$6)</f>
        <v>#NAME?</v>
      </c>
      <c r="M27" s="68" t="e">
        <f ca="1">_xll.ciqfunctions.udf.CIQ($A27, "IQ_MINORITY_INTEREST_TOTAL", IQ_LTM, $L$2, $L$4, $L$3, $L$5, $L$6)</f>
        <v>#NAME?</v>
      </c>
      <c r="N27" s="68" t="e">
        <f ca="1">_xll.ciqfunctions.udf.CIQ($A27, "IQ_CASH_ST_INVEST", IQ_LTM, $L$2, $L$4, $L$3, $L$5, $L$6)</f>
        <v>#NAME?</v>
      </c>
      <c r="O27" s="68" t="e">
        <f ca="1">_xll.ciqfunctions.udf.CIQ($A27, "IQ_TOTAL_REV", IQ_LTM-8, $L$2, $L$4, $L$3, $L$5, $L$6)</f>
        <v>#NAME?</v>
      </c>
      <c r="P27" s="68" t="e">
        <f ca="1">_xll.ciqfunctions.udf.CIQ($A27, "IQ_TOTAL_REV", IQ_LTM - 4, $L$2, $L$4, $L$3, $L$5,$L$6)</f>
        <v>#NAME?</v>
      </c>
      <c r="Q27" s="68" t="e">
        <f ca="1">_xll.ciqfunctions.udf.CIQ($A27, "IQ_TOTAL_REV", IQ_LTM, $L$2, $L$4, $L$3, $L$5, $L$6)</f>
        <v>#NAME?</v>
      </c>
      <c r="R27" s="68" t="e">
        <f ca="1">_xll.ciqfunctions.udf.CIQ($A27, "IQ_TOTAL_REV", $B$2, $L$2, $L$4, $L$3, $L$5, $L$6)</f>
        <v>#NAME?</v>
      </c>
      <c r="S27" s="68" t="e">
        <f ca="1">IF(_xll.ciqfunctions.udf.CIQ($A27, "IQ_TOTAL_REV", $B$3, $L$2,$L$4, $L$3, $L$5, $L$6)=0,Q27,_xll.ciqfunctions.udf.CIQ($A27, "IQ_TOTAL_REV", $B$3, $L$2,$L$4, $L$3, $L$5, $L$6))</f>
        <v>#NAME?</v>
      </c>
      <c r="T27" s="68" t="e">
        <f ca="1">IF(_xll.ciqfunctions.udf.CIQ($A27, "IQ_REVENUE_EST",$B$4, $L$2, "CON", $L$3, $L$5, $L$6)=0,"n/a",_xll.ciqfunctions.udf.CIQ($A27, "IQ_REVENUE_EST",$B$4, $L$2, "CON", $L$3, $L$5, $L$6))</f>
        <v>#NAME?</v>
      </c>
      <c r="U27" s="68" t="e">
        <f ca="1">IF(_xll.ciqfunctions.udf.CIQ($A27, "IQ_REVENUE_EST",$B$5, $L$2, "CON", $L$3, $L$5, $L$6)=0,"n/a",_xll.ciqfunctions.udf.CIQ($A27, "IQ_REVENUE_EST",$B$5, $L$2, "CON", $L$3, $L$5, $L$6))</f>
        <v>#NAME?</v>
      </c>
      <c r="V27" s="68" t="e">
        <f ca="1">IF(_xll.ciqfunctions.udf.CIQ($A27, "IQ_REVENUE_EST",$B$6, $L$2, "CON", $L$3, $L$5, $L$6)=0,"n/a",_xll.ciqfunctions.udf.CIQ($A27, "IQ_REVENUE_EST",$B$6, $L$2, "CON", $L$3, $L$5, $L$6))</f>
        <v>#NAME?</v>
      </c>
      <c r="W27" s="68" t="e">
        <f ca="1">IF(_xll.ciqfunctions.udf.CIQ($A27, "IQ_REVENUE_EST", $B$7, $L$2, "CON", $L$3, $L$5, $L$6)=0,"n/a",_xll.ciqfunctions.udf.CIQ($A27, "IQ_REVENUE_EST",$B$7, $L$2, "CON", $L$3, $L$5, $L$6))</f>
        <v>#NAME?</v>
      </c>
      <c r="X27" s="68" t="e">
        <f ca="1">_xll.ciqfunctions.udf.CIQ($A27, "IQ_EBITDA", IQ_LTM-8, $L$2, $L$4, $L$3, $L$5, $L$6)</f>
        <v>#NAME?</v>
      </c>
      <c r="Y27" s="68" t="e">
        <f ca="1">_xll.ciqfunctions.udf.CIQ($A27, "IQ_EBITDA", IQ_LTM-4, $L$2,$L$4, $L$3, $L$5, $L$6)</f>
        <v>#NAME?</v>
      </c>
      <c r="Z27" s="68" t="e">
        <f ca="1">_xll.ciqfunctions.udf.CIQ($A27, "IQ_EBITDA", IQ_LTM, $L$2, $L$4, $L$3, $L$5, $L$6)</f>
        <v>#NAME?</v>
      </c>
      <c r="AA27" s="68" t="e">
        <f ca="1">_xll.ciqfunctions.udf.CIQ($A27, "IQ_EBITDA", $B$2, $L$2, $L$4, $L$3, $L$5, $L$6)</f>
        <v>#NAME?</v>
      </c>
      <c r="AB27" s="68" t="e">
        <f ca="1">IF(_xll.ciqfunctions.udf.CIQ($A27, "IQ_EBITDA", $B$3, $L$2,$L$4, $L$3, $L$5, $L$6)=0,Z27,_xll.ciqfunctions.udf.CIQ($A27, "IQ_EBITDA", $B$3, $L$2,$L$4, $L$3, $L$5, $L$6))</f>
        <v>#NAME?</v>
      </c>
      <c r="AC27" s="68" t="e">
        <f ca="1">IF(_xll.ciqfunctions.udf.CIQ($A27, "IQ_EBITDA_EST",$B$4, $L$2, "CON", $L$3, $L$5, $L$6)=0,"n/a",_xll.ciqfunctions.udf.CIQ($A27, "IQ_EBITDA_EST",$B$4, $L$2, "CON", $L$3, $L$5, $L$6))</f>
        <v>#NAME?</v>
      </c>
      <c r="AD27" s="68" t="e">
        <f ca="1">IF(_xll.ciqfunctions.udf.CIQ($A27, "IQ_EBITDA_EST",$B$5, $L$2, "CON", $L$3, $L$5, $L$6)=0,"n/a",_xll.ciqfunctions.udf.CIQ($A27, "IQ_EBITDA_EST",$B$5, $L$2, "CON", $L$3, $L$5, $L$6))</f>
        <v>#NAME?</v>
      </c>
      <c r="AE27" s="68" t="e">
        <f ca="1">IF(_xll.ciqfunctions.udf.CIQ($A27, "IQ_EBITDA_EST",$B$6, $L$2, "CON", $L$3, $L$5, $L$6)=0,"n/a",_xll.ciqfunctions.udf.CIQ($A27, "IQ_EBITDA_EST",$B$6, $L$2, "CON", $L$3, $L$5, $L$6))</f>
        <v>#NAME?</v>
      </c>
      <c r="AF27" s="69" t="str">
        <f ca="1">IF(ISERROR(_xll.ciqfunctions.udf.CIQ($A27, "IQ_GROSS_MARGIN", IQ_LTM, $L$2,$L$4, $L$3, $L$5, $L$6)/100), "n/a", _xll.ciqfunctions.udf.CIQ($A27,  "IQ_GROSS_MARGIN", IQ_LTM, $L$2, $L$4, $L$3, $L$5, $L$6)/100)</f>
        <v>n/a</v>
      </c>
      <c r="AG27" s="69" t="str">
        <f ca="1">IF(ISERROR(_xll.ciqfunctions.udf.CIQ($A27,"IQ_EBITDA_MARGIN", IQ_LTM, $L$2, $L$4, $L$3, $L$5, $L$6)/100), "n/a", _xll.ciqfunctions.udf.CIQ($A27, "IQ_EBITDA_MARGIN", IQ_LTM, $L$2, $L$4, $L$3, $L$5, $L$6)/100)</f>
        <v>n/a</v>
      </c>
      <c r="AH27" s="69" t="str">
        <f ca="1">IF(ISERROR(_xll.ciqfunctions.udf.CIQ($A27,"IQ_EBIT_MARGIN", IQ_LTM, $L$2, $L$4, $L$3, $L$5, $L$6)/100), "n/a", _xll.ciqfunctions.udf.CIQ($A27, "IQ_EBIT_MARGIN", IQ_LTM, $L$2, $L$4, $L$3, $L$5, $L$6)/100)</f>
        <v>n/a</v>
      </c>
      <c r="AI27" s="69" t="str">
        <f ca="1">IF(ISERROR(_xll.ciqfunctions.udf.CIQ($A27,"IQ_NI_MARGIN", IQ_LTM, $L$2, $L$4, $L$3, $L$5, $L$6)/100), "n/a", _xll.ciqfunctions.udf.CIQ($A27, "IQ_NI_MARGIN", IQ_LTM, $L$2, $L$4, $L$3, $L$5, $L$6)/100)</f>
        <v>n/a</v>
      </c>
      <c r="AJ27" s="68" t="str">
        <f ca="1">IF(ISERROR(_xll.ciqfunctions.udf.CIQ($A27, "IQ_NET_WORKING_CAP", IQ_LTM-8, $L$2, $L$4, $L$3, $L$5, $L$6)), "n/a", _xll.ciqfunctions.udf.CIQ($A27, "IQ_NET_WORKING_CAP", IQ_LTM-8, $L$2, $L$4, $L$3, $L$5, $L$6))</f>
        <v>n/a</v>
      </c>
      <c r="AK27" s="68" t="str">
        <f ca="1">IF(ISERROR(_xll.ciqfunctions.udf.CIQ($A27, "IQ_NET_WORKING_CAP", IQ_LTM-4, $L$2, $L$4, $L$3, $L$5, $L$6)), "n/a", _xll.ciqfunctions.udf.CIQ($A27, "IQ_NET_WORKING_CAP", IQ_LTM-4, $L$2, $L$4, $L$3, $L$5, $L$6))</f>
        <v>n/a</v>
      </c>
      <c r="AL27" s="68" t="str">
        <f ca="1">IF(ISERROR(_xll.ciqfunctions.udf.CIQ($A27, "IQ_NET_WORKING_CAP", IQ_LTM, $L$2,$L$4, $L$3, $L$5, $L$6)), "n/a", _xll.ciqfunctions.udf.CIQ($A27, "IQ_NET_WORKING_CAP", IQ_LTM, $L$2, $L$4, $L$3, $L$5, $L$6))</f>
        <v>n/a</v>
      </c>
      <c r="AM27" s="68" t="str">
        <f ca="1">IF(ISERROR(_xll.ciqfunctions.udf.CIQ($A27, "IQ_Capex", IQ_LTM-8, $L$2,$L$4, $L$3, $L$5, $L$6)), "n/a", _xll.ciqfunctions.udf.CIQ($A27, "IQ_Capex", IQ_LTM-8, $L$2, $L$4, $L$3, $L$5, $L$6))</f>
        <v>n/a</v>
      </c>
      <c r="AN27" s="68" t="str">
        <f ca="1">IF(ISERROR(_xll.ciqfunctions.udf.CIQ($A27, "IQ_Capex", IQ_LTM-4, $L$2,$L$4, $L$3, $L$5, $L$6)), "n/a", _xll.ciqfunctions.udf.CIQ($A27, "IQ_Capex", IQ_LTM-4, $L$2,$L$4, $L$3, $L$5, $L$6))</f>
        <v>n/a</v>
      </c>
      <c r="AO27" s="68" t="str">
        <f ca="1">IF(ISERROR(_xll.ciqfunctions.udf.CIQ($A27, "IQ_Capex", IQ_LTM, $L$2, $L$4, $L$3, $L$5, $L$6)), "n/a", _xll.ciqfunctions.udf.CIQ($A27, "IQ_Capex", IQ_LTM, $L$2, $L$4, $L$3, $L$5, $L$6))</f>
        <v>n/a</v>
      </c>
      <c r="AP27" s="70" t="e">
        <f ca="1">_xll.ciqfunctions.udf.CIQ(A27, "IQ_BUSINESS_DESCRIPTION")</f>
        <v>#NAME?</v>
      </c>
      <c r="AQ27" s="71" t="e">
        <f ca="1">_xll.ciqfunctions.udf.CIQ($A27, "IQ_BETA_1YR", $B$1)</f>
        <v>#NAME?</v>
      </c>
      <c r="AR27" s="71" t="e">
        <f ca="1">_xll.ciqfunctions.udf.CIQ($A27, "IQ_BETA_2YR", $B$1)</f>
        <v>#NAME?</v>
      </c>
      <c r="AS27" s="71" t="e">
        <f ca="1">_xll.ciqfunctions.udf.CIQ($A27, "IQ_BETA_5YR", $B$1)</f>
        <v>#NAME?</v>
      </c>
      <c r="AT27" s="69" t="e">
        <f ca="1">_xll.ciqfunctions.udf.CIQ($A27, "IQ_DIVIDEND_YIELD", $B$1)/100</f>
        <v>#NAME?</v>
      </c>
      <c r="AU27" s="68" t="e">
        <f ca="1">_xll.ciqfunctions.udf.CIQ($A27, "IQ_EARNING_CO", IQ_LTM-8, $L$2, $L$4, $L$3, $L$5, $L$6)</f>
        <v>#NAME?</v>
      </c>
      <c r="AV27" s="68" t="e">
        <f ca="1">_xll.ciqfunctions.udf.CIQ($A27, "IQ_EARNING_CO", IQ_LTM-4, $L$2, $L$4, $L$3, $L$5, $L$6)</f>
        <v>#NAME?</v>
      </c>
      <c r="AW27" s="68" t="e">
        <f ca="1">_xll.ciqfunctions.udf.CIQ($A27, "IQ_EARNING_CO", IQ_LTM, $L$2, $L$4, $L$3, $L$5, $L$6)</f>
        <v>#NAME?</v>
      </c>
      <c r="AX27" s="68" t="e">
        <f ca="1">_xll.ciqfunctions.udf.CIQ($A27, "IQ_EARNING_CO", $B$2, $L$2, $L$4, $L$3, $L$5, $L$6)</f>
        <v>#NAME?</v>
      </c>
      <c r="AY27" s="68" t="e">
        <f ca="1">IF(_xll.ciqfunctions.udf.CIQ($A27, "IQ_EARNING_CO", $B$3, $L$2,$L$4, $L$3, $L$5, $L$6)=0,AW27,_xll.ciqfunctions.udf.CIQ($A27, "IQ_EARNING_CO", $B$3, $L$2,$L$4, $L$3, $L$5, $L$6))</f>
        <v>#NAME?</v>
      </c>
      <c r="AZ27" s="68" t="e">
        <f ca="1">_xll.ciqfunctions.udf.CIQ($A27, "IQ_TOTAL_EQUITY", IQ_LTM-8, $L$2, $L$4, $L$3, $L$5, $L$6)</f>
        <v>#NAME?</v>
      </c>
      <c r="BA27" s="68" t="e">
        <f ca="1">_xll.ciqfunctions.udf.CIQ($A27, "IQ_TOTAL_EQUITY", IQ_LTM-4, $L$2, $L$4, $L$3, $L$5, $L$6)</f>
        <v>#NAME?</v>
      </c>
      <c r="BB27" s="68" t="e">
        <f ca="1">_xll.ciqfunctions.udf.CIQ($A27, "IQ_TOTAL_EQUITY", IQ_LTM, $L$2, $L$4, $L$3, $L$5, $L$6)</f>
        <v>#NAME?</v>
      </c>
      <c r="BC27" s="68" t="e">
        <f ca="1">_xll.ciqfunctions.udf.CIQ($A27, "IQ_TOTAL_EQUITY", $B$2, $L$2, $L$4, $L$3, $L$5, $L$6)</f>
        <v>#NAME?</v>
      </c>
      <c r="BD27" s="68" t="e">
        <f ca="1">IF(_xll.ciqfunctions.udf.CIQ($A27, "IQ_TOTAL_EQUITY", $B$3, $L$2,$L$4, $L$3, $L$5, $L$6)=0,BB27,_xll.ciqfunctions.udf.CIQ($A27, "IQ_TOTAL_EQUITY", $B$3, $L$2,$L$4, $L$3, $L$5, $L$6))</f>
        <v>#NAME?</v>
      </c>
      <c r="BE27" s="68" t="e">
        <f ca="1">_xll.ciqfunctions.udf.CIQ(A27, "IQ_LASTSALEPRICE", $B$8)</f>
        <v>#NAME?</v>
      </c>
      <c r="BF27" s="68" t="e">
        <f ca="1">_xll.ciqfunctions.udf.CIQ($A27, "IQ_MARKETCAP", $B$8, $L$5, $L$6)</f>
        <v>#NAME?</v>
      </c>
      <c r="BG27" s="68" t="e">
        <f ca="1">_xll.ciqfunctions.udf.CIQ($A27, "IQ_TOTAL_DEBT", IQ_LTM, $B$8,$L$4, $L$3, $L$5, $L$6)</f>
        <v>#NAME?</v>
      </c>
      <c r="BH27" s="44" t="e">
        <f ca="1">_xll.ciqfunctions.udf.CIQ($A27,"IQ_PREF_EQUITY",IQ_LTM,$B$8,$L$4,$L$3,$L$5,$L$6)</f>
        <v>#NAME?</v>
      </c>
      <c r="BI27" s="44" t="e">
        <f ca="1">_xll.ciqfunctions.udf.CIQ($A27, "IQ_MINORITY_INTEREST_TOTAL", IQ_LTM,$B$8,$L$4,$L$3,$L$5,$L$6)</f>
        <v>#NAME?</v>
      </c>
      <c r="BJ27" s="68" t="e">
        <f ca="1">_xll.ciqfunctions.udf.CIQ($A27, "IQ_CASH_ST_INVEST", IQ_LTM, $B$8, $L$4, $L$3, $L$5, $L$6)</f>
        <v>#NAME?</v>
      </c>
      <c r="BK27" s="44" t="e">
        <f ca="1">_xll.ciqfunctions.udf.CIQ($A27, "IQ_EFFECT_TAX_RATE")</f>
        <v>#NAME?</v>
      </c>
      <c r="BL27" s="44" t="e">
        <f ca="1">IF(_xll.ciqfunctions.udf.CIQ($A27, "IQ_TOTAL_REV_2YR_ANN_CAGR", IQ_LTM, $B$1,$L$4, $L$3, $L$5, $L$6)="NM","n/a",(_xll.ciqfunctions.udf.CIQ($A27, "IQ_TOTAL_REV_2YR_ANN_CAGR", IQ_LTM, $B$1,$L$4, $L$3, $L$5, $L$6)/100))</f>
        <v>#NAME?</v>
      </c>
      <c r="BM27" s="44" t="e">
        <f ca="1">IF(_xll.ciqfunctions.udf.CIQ($A27, "IQ_TOTAL_REV_3YR_ANN_CAGR", IQ_LTM, $B$1,$L$4, $L$3, $L$5, $L$6)="NM","n/a",(_xll.ciqfunctions.udf.CIQ($A27, "IQ_TOTAL_REV_3YR_ANN_CAGR", IQ_LTM, $B$1,$L$4, $L$3, $L$5, $L$6)/100))</f>
        <v>#NAME?</v>
      </c>
      <c r="BN27" s="44" t="e">
        <f ca="1">IF(_xll.ciqfunctions.udf.CIQ($A27, "IQ_TOTAL_REV_5YR_ANN_CAGR", IQ_LTM, $B$1,$L$4, $L$3, $L$5, $L$6)="NM","n/a",(_xll.ciqfunctions.udf.CIQ($A27, "IQ_TOTAL_REV_5YR_ANN_CAGR", IQ_LTM, $B$1,$L$4, $L$3, $L$5, $L$6)/100))</f>
        <v>#NAME?</v>
      </c>
      <c r="BO27" s="44" t="e">
        <f ca="1">IF(_xll.ciqfunctions.udf.CIQ($A27,"IQ_EBITDA_2YR_ANN_CAGR", IQ_LTM,$B$1,$L$4, $L$3, $L$5, $L$6)="NM","n/a",(_xll.ciqfunctions.udf.CIQ($A27,"IQ_EBITDA_2YR_ANN_CAGR", IQ_LTM,$B$1,$L$4, $L$3, $L$5, $L$6)/100))</f>
        <v>#NAME?</v>
      </c>
      <c r="BP27" s="44" t="e">
        <f ca="1">IF(_xll.ciqfunctions.udf.CIQ($A27,"IQ_EBITDA_3YR_ANN_CAGR", IQ_LTM,$B$1,$L$4, $L$3, $L$5, $L$6)="NM","n/a",(_xll.ciqfunctions.udf.CIQ($A27,"IQ_EBITDA_3YR_ANN_CAGR", IQ_LTM,$B$1,$L$4, $L$3, $L$5, $L$6)/100))</f>
        <v>#NAME?</v>
      </c>
      <c r="BQ27" s="44" t="e">
        <f ca="1">IF(_xll.ciqfunctions.udf.CIQ($A27,"IQ_EBITDA_5YR_ANN_CAGR", IQ_LTM,$B$1,$L$4, $L$3, $L$5, $L$6)="NM","n/a",(_xll.ciqfunctions.udf.CIQ($A27,"IQ_EBITDA_5YR_ANN_CAGR", IQ_LTM,$B$1,$L$4, $L$3, $L$5, $L$6)/100))</f>
        <v>#NAME?</v>
      </c>
      <c r="BR27" s="48" t="str">
        <f ca="1">IFERROR((_xll.ciqfunctions.udf.CIQ($A27, "IQ_DA_CF", IQ_LTM, $B$1, $L$4, $L$3, $L$5, $L$6)/Q27),"NM")</f>
        <v>NM</v>
      </c>
      <c r="BS27" s="72" t="e">
        <f>'Capital IQ Sheet-GPC'!BS27</f>
        <v>#VALUE!</v>
      </c>
      <c r="BT27" s="72" t="e">
        <f>'Capital IQ Sheet-GPC'!BT27</f>
        <v>#VALUE!</v>
      </c>
      <c r="BU27" s="72" t="e">
        <f>'Capital IQ Sheet-GPC'!BU27</f>
        <v>#VALUE!</v>
      </c>
      <c r="BV27" s="72" t="e">
        <f>'Capital IQ Sheet-GPC'!BV27</f>
        <v>#VALUE!</v>
      </c>
      <c r="BW27" s="72" t="e">
        <f>'Capital IQ Sheet-GPC'!BW27</f>
        <v>#VALUE!</v>
      </c>
      <c r="BX27" s="72" t="e">
        <f>'Capital IQ Sheet-GPC'!BX27</f>
        <v>#VALUE!</v>
      </c>
      <c r="BY27" s="72" t="e">
        <f>'Capital IQ Sheet-GPC'!BY27</f>
        <v>#VALUE!</v>
      </c>
      <c r="BZ27" s="72" t="e">
        <f>'Capital IQ Sheet-GPC'!BZ27</f>
        <v>#VALUE!</v>
      </c>
      <c r="CB27" s="44">
        <v>2</v>
      </c>
      <c r="CC27" s="112" t="s">
        <v>269</v>
      </c>
      <c r="CD27" s="112" t="s">
        <v>268</v>
      </c>
      <c r="CE27" s="46">
        <f t="shared" si="1"/>
        <v>42766</v>
      </c>
    </row>
    <row r="28" spans="1:83" s="44" customFormat="1" ht="12.75">
      <c r="A28" s="45" t="e">
        <f ca="1">_xll.ciqfunctions.udf.CIQ($B28,"IQ_COMPANY_TICKER")</f>
        <v>#NAME?</v>
      </c>
      <c r="B28" s="67" t="str">
        <f>'Capital IQ Sheet-GPC'!B28</f>
        <v>(Invalid Identifier)</v>
      </c>
      <c r="C28" s="45" t="e">
        <f ca="1">_xll.ciqfunctions.udf.CIQ($A28,"IQ_COMPANY_NAME")</f>
        <v>#NAME?</v>
      </c>
      <c r="D28" s="45" t="e">
        <f ca="1">_xll.ciqfunctions.udf.CIQ($A28, "IQ_EXCHANGE")</f>
        <v>#NAME?</v>
      </c>
      <c r="E28" s="66" t="e">
        <f ca="1">_xll.ciqfunctions.udf.CIQ($A28, "IQ_PERIODDATE_IS", IQ_FY)</f>
        <v>#NAME?</v>
      </c>
      <c r="F28" s="66" t="e">
        <f ca="1">_xll.ciqfunctions.udf.CIQ(A28, "IQ_PERIODDATE_IS", IQ_LTM, $B$1,$L$4,$L$3)</f>
        <v>#NAME?</v>
      </c>
      <c r="G28" s="66" t="e">
        <f ca="1">_xll.ciqfunctions.udf.CIQ($A28, "IQ_FIRSTPRICINGDATE")</f>
        <v>#NAME?</v>
      </c>
      <c r="H28" s="68" t="e">
        <f ca="1">_xll.ciqfunctions.udf.CIQ($A28, "IQ_TEV", $L$2, $L$5, $L$6)</f>
        <v>#NAME?</v>
      </c>
      <c r="I28" s="68" t="e">
        <f ca="1">_xll.ciqfunctions.udf.CIQ(A28, "IQ_LASTSALEPRICE", $B$1,$L$5)</f>
        <v>#NAME?</v>
      </c>
      <c r="J28" s="68" t="e">
        <f ca="1">_xll.ciqfunctions.udf.CIQ($A28, "IQ_MARKETCAP", $L$2, $L$5, $L$6)</f>
        <v>#NAME?</v>
      </c>
      <c r="K28" s="68" t="e">
        <f ca="1">_xll.ciqfunctions.udf.CIQ($A28, "IQ_TOTAL_DEBT", IQ_LTM, $L$2,$L$4, $L$3, $L$5, $L$6)</f>
        <v>#NAME?</v>
      </c>
      <c r="L28" s="68" t="e">
        <f ca="1">_xll.ciqfunctions.udf.CIQ($A28, "IQ_PREF_EQUITY", IQ_LTM, $L$2, $L$4, $L$3, $L$5, $L$6)</f>
        <v>#NAME?</v>
      </c>
      <c r="M28" s="68" t="e">
        <f ca="1">_xll.ciqfunctions.udf.CIQ($A28, "IQ_MINORITY_INTEREST_TOTAL", IQ_LTM, $L$2, $L$4, $L$3, $L$5, $L$6)</f>
        <v>#NAME?</v>
      </c>
      <c r="N28" s="68" t="e">
        <f ca="1">_xll.ciqfunctions.udf.CIQ($A28, "IQ_CASH_ST_INVEST", IQ_LTM, $L$2, $L$4, $L$3, $L$5, $L$6)</f>
        <v>#NAME?</v>
      </c>
      <c r="O28" s="68" t="e">
        <f ca="1">_xll.ciqfunctions.udf.CIQ($A28, "IQ_TOTAL_REV", IQ_LTM-8, $L$2, $L$4, $L$3, $L$5, $L$6)</f>
        <v>#NAME?</v>
      </c>
      <c r="P28" s="68" t="e">
        <f ca="1">_xll.ciqfunctions.udf.CIQ($A28, "IQ_TOTAL_REV", IQ_LTM - 4, $L$2, $L$4, $L$3, $L$5,$L$6)</f>
        <v>#NAME?</v>
      </c>
      <c r="Q28" s="68" t="e">
        <f ca="1">_xll.ciqfunctions.udf.CIQ($A28, "IQ_TOTAL_REV", IQ_LTM, $L$2, $L$4, $L$3, $L$5, $L$6)</f>
        <v>#NAME?</v>
      </c>
      <c r="R28" s="68" t="e">
        <f ca="1">_xll.ciqfunctions.udf.CIQ($A28, "IQ_TOTAL_REV", $B$2, $L$2, $L$4, $L$3, $L$5, $L$6)</f>
        <v>#NAME?</v>
      </c>
      <c r="S28" s="68" t="e">
        <f ca="1">IF(_xll.ciqfunctions.udf.CIQ($A28, "IQ_TOTAL_REV", $B$3, $L$2,$L$4, $L$3, $L$5, $L$6)=0,Q28,_xll.ciqfunctions.udf.CIQ($A28, "IQ_TOTAL_REV", $B$3, $L$2,$L$4, $L$3, $L$5, $L$6))</f>
        <v>#NAME?</v>
      </c>
      <c r="T28" s="68" t="e">
        <f ca="1">IF(_xll.ciqfunctions.udf.CIQ($A28, "IQ_REVENUE_EST",$B$4, $L$2, "CON", $L$3, $L$5, $L$6)=0,"n/a",_xll.ciqfunctions.udf.CIQ($A28, "IQ_REVENUE_EST",$B$4, $L$2, "CON", $L$3, $L$5, $L$6))</f>
        <v>#NAME?</v>
      </c>
      <c r="U28" s="68" t="e">
        <f ca="1">IF(_xll.ciqfunctions.udf.CIQ($A28, "IQ_REVENUE_EST",$B$5, $L$2, "CON", $L$3, $L$5, $L$6)=0,"n/a",_xll.ciqfunctions.udf.CIQ($A28, "IQ_REVENUE_EST",$B$5, $L$2, "CON", $L$3, $L$5, $L$6))</f>
        <v>#NAME?</v>
      </c>
      <c r="V28" s="68" t="e">
        <f ca="1">IF(_xll.ciqfunctions.udf.CIQ($A28, "IQ_REVENUE_EST",$B$6, $L$2, "CON", $L$3, $L$5, $L$6)=0,"n/a",_xll.ciqfunctions.udf.CIQ($A28, "IQ_REVENUE_EST",$B$6, $L$2, "CON", $L$3, $L$5, $L$6))</f>
        <v>#NAME?</v>
      </c>
      <c r="W28" s="68" t="e">
        <f ca="1">IF(_xll.ciqfunctions.udf.CIQ($A28, "IQ_REVENUE_EST", $B$7, $L$2, "CON", $L$3, $L$5, $L$6)=0,"n/a",_xll.ciqfunctions.udf.CIQ($A28, "IQ_REVENUE_EST",$B$7, $L$2, "CON", $L$3, $L$5, $L$6))</f>
        <v>#NAME?</v>
      </c>
      <c r="X28" s="68" t="e">
        <f ca="1">_xll.ciqfunctions.udf.CIQ($A28, "IQ_EBITDA", IQ_LTM-8, $L$2, $L$4, $L$3, $L$5, $L$6)</f>
        <v>#NAME?</v>
      </c>
      <c r="Y28" s="68" t="e">
        <f ca="1">_xll.ciqfunctions.udf.CIQ($A28, "IQ_EBITDA", IQ_LTM-4, $L$2,$L$4, $L$3, $L$5, $L$6)</f>
        <v>#NAME?</v>
      </c>
      <c r="Z28" s="68" t="e">
        <f ca="1">_xll.ciqfunctions.udf.CIQ($A28, "IQ_EBITDA", IQ_LTM, $L$2, $L$4, $L$3, $L$5, $L$6)</f>
        <v>#NAME?</v>
      </c>
      <c r="AA28" s="68" t="e">
        <f ca="1">_xll.ciqfunctions.udf.CIQ($A28, "IQ_EBITDA", $B$2, $L$2, $L$4, $L$3, $L$5, $L$6)</f>
        <v>#NAME?</v>
      </c>
      <c r="AB28" s="68" t="e">
        <f ca="1">IF(_xll.ciqfunctions.udf.CIQ($A28, "IQ_EBITDA", $B$3, $L$2,$L$4, $L$3, $L$5, $L$6)=0,Z28,_xll.ciqfunctions.udf.CIQ($A28, "IQ_EBITDA", $B$3, $L$2,$L$4, $L$3, $L$5, $L$6))</f>
        <v>#NAME?</v>
      </c>
      <c r="AC28" s="68" t="e">
        <f ca="1">IF(_xll.ciqfunctions.udf.CIQ($A28, "IQ_EBITDA_EST",$B$4, $L$2, "CON", $L$3, $L$5, $L$6)=0,"n/a",_xll.ciqfunctions.udf.CIQ($A28, "IQ_EBITDA_EST",$B$4, $L$2, "CON", $L$3, $L$5, $L$6))</f>
        <v>#NAME?</v>
      </c>
      <c r="AD28" s="68" t="e">
        <f ca="1">IF(_xll.ciqfunctions.udf.CIQ($A28, "IQ_EBITDA_EST",$B$5, $L$2, "CON", $L$3, $L$5, $L$6)=0,"n/a",_xll.ciqfunctions.udf.CIQ($A28, "IQ_EBITDA_EST",$B$5, $L$2, "CON", $L$3, $L$5, $L$6))</f>
        <v>#NAME?</v>
      </c>
      <c r="AE28" s="68" t="e">
        <f ca="1">IF(_xll.ciqfunctions.udf.CIQ($A28, "IQ_EBITDA_EST",$B$6, $L$2, "CON", $L$3, $L$5, $L$6)=0,"n/a",_xll.ciqfunctions.udf.CIQ($A28, "IQ_EBITDA_EST",$B$6, $L$2, "CON", $L$3, $L$5, $L$6))</f>
        <v>#NAME?</v>
      </c>
      <c r="AF28" s="69" t="str">
        <f ca="1">IF(ISERROR(_xll.ciqfunctions.udf.CIQ($A28, "IQ_GROSS_MARGIN", IQ_LTM, $L$2,$L$4, $L$3, $L$5, $L$6)/100), "n/a", _xll.ciqfunctions.udf.CIQ($A28,  "IQ_GROSS_MARGIN", IQ_LTM, $L$2, $L$4, $L$3, $L$5, $L$6)/100)</f>
        <v>n/a</v>
      </c>
      <c r="AG28" s="69" t="str">
        <f ca="1">IF(ISERROR(_xll.ciqfunctions.udf.CIQ($A28,"IQ_EBITDA_MARGIN", IQ_LTM, $L$2, $L$4, $L$3, $L$5, $L$6)/100), "n/a", _xll.ciqfunctions.udf.CIQ($A28, "IQ_EBITDA_MARGIN", IQ_LTM, $L$2, $L$4, $L$3, $L$5, $L$6)/100)</f>
        <v>n/a</v>
      </c>
      <c r="AH28" s="69" t="str">
        <f ca="1">IF(ISERROR(_xll.ciqfunctions.udf.CIQ($A28,"IQ_EBIT_MARGIN", IQ_LTM, $L$2, $L$4, $L$3, $L$5, $L$6)/100), "n/a", _xll.ciqfunctions.udf.CIQ($A28, "IQ_EBIT_MARGIN", IQ_LTM, $L$2, $L$4, $L$3, $L$5, $L$6)/100)</f>
        <v>n/a</v>
      </c>
      <c r="AI28" s="69" t="str">
        <f ca="1">IF(ISERROR(_xll.ciqfunctions.udf.CIQ($A28,"IQ_NI_MARGIN", IQ_LTM, $L$2, $L$4, $L$3, $L$5, $L$6)/100), "n/a", _xll.ciqfunctions.udf.CIQ($A28, "IQ_NI_MARGIN", IQ_LTM, $L$2, $L$4, $L$3, $L$5, $L$6)/100)</f>
        <v>n/a</v>
      </c>
      <c r="AJ28" s="68" t="str">
        <f ca="1">IF(ISERROR(_xll.ciqfunctions.udf.CIQ($A28, "IQ_NET_WORKING_CAP", IQ_LTM-8, $L$2, $L$4, $L$3, $L$5, $L$6)), "n/a", _xll.ciqfunctions.udf.CIQ($A28, "IQ_NET_WORKING_CAP", IQ_LTM-8, $L$2, $L$4, $L$3, $L$5, $L$6))</f>
        <v>n/a</v>
      </c>
      <c r="AK28" s="68" t="str">
        <f ca="1">IF(ISERROR(_xll.ciqfunctions.udf.CIQ($A28, "IQ_NET_WORKING_CAP", IQ_LTM-4, $L$2, $L$4, $L$3, $L$5, $L$6)), "n/a", _xll.ciqfunctions.udf.CIQ($A28, "IQ_NET_WORKING_CAP", IQ_LTM-4, $L$2, $L$4, $L$3, $L$5, $L$6))</f>
        <v>n/a</v>
      </c>
      <c r="AL28" s="68" t="str">
        <f ca="1">IF(ISERROR(_xll.ciqfunctions.udf.CIQ($A28, "IQ_NET_WORKING_CAP", IQ_LTM, $L$2,$L$4, $L$3, $L$5, $L$6)), "n/a", _xll.ciqfunctions.udf.CIQ($A28, "IQ_NET_WORKING_CAP", IQ_LTM, $L$2, $L$4, $L$3, $L$5, $L$6))</f>
        <v>n/a</v>
      </c>
      <c r="AM28" s="68" t="str">
        <f ca="1">IF(ISERROR(_xll.ciqfunctions.udf.CIQ($A28, "IQ_Capex", IQ_LTM-8, $L$2,$L$4, $L$3, $L$5, $L$6)), "n/a", _xll.ciqfunctions.udf.CIQ($A28, "IQ_Capex", IQ_LTM-8, $L$2, $L$4, $L$3, $L$5, $L$6))</f>
        <v>n/a</v>
      </c>
      <c r="AN28" s="68" t="str">
        <f ca="1">IF(ISERROR(_xll.ciqfunctions.udf.CIQ($A28, "IQ_Capex", IQ_LTM-4, $L$2,$L$4, $L$3, $L$5, $L$6)), "n/a", _xll.ciqfunctions.udf.CIQ($A28, "IQ_Capex", IQ_LTM-4, $L$2,$L$4, $L$3, $L$5, $L$6))</f>
        <v>n/a</v>
      </c>
      <c r="AO28" s="68" t="str">
        <f ca="1">IF(ISERROR(_xll.ciqfunctions.udf.CIQ($A28, "IQ_Capex", IQ_LTM, $L$2, $L$4, $L$3, $L$5, $L$6)), "n/a", _xll.ciqfunctions.udf.CIQ($A28, "IQ_Capex", IQ_LTM, $L$2, $L$4, $L$3, $L$5, $L$6))</f>
        <v>n/a</v>
      </c>
      <c r="AP28" s="70" t="e">
        <f ca="1">_xll.ciqfunctions.udf.CIQ(A28, "IQ_BUSINESS_DESCRIPTION")</f>
        <v>#NAME?</v>
      </c>
      <c r="AQ28" s="71" t="e">
        <f ca="1">_xll.ciqfunctions.udf.CIQ($A28, "IQ_BETA_1YR", $B$1)</f>
        <v>#NAME?</v>
      </c>
      <c r="AR28" s="71" t="e">
        <f ca="1">_xll.ciqfunctions.udf.CIQ($A28, "IQ_BETA_2YR", $B$1)</f>
        <v>#NAME?</v>
      </c>
      <c r="AS28" s="71" t="e">
        <f ca="1">_xll.ciqfunctions.udf.CIQ($A28, "IQ_BETA_5YR", $B$1)</f>
        <v>#NAME?</v>
      </c>
      <c r="AT28" s="69" t="e">
        <f ca="1">_xll.ciqfunctions.udf.CIQ($A28, "IQ_DIVIDEND_YIELD", $B$1)/100</f>
        <v>#NAME?</v>
      </c>
      <c r="AU28" s="68" t="e">
        <f ca="1">_xll.ciqfunctions.udf.CIQ($A28, "IQ_EARNING_CO", IQ_LTM-8, $L$2, $L$4, $L$3, $L$5, $L$6)</f>
        <v>#NAME?</v>
      </c>
      <c r="AV28" s="68" t="e">
        <f ca="1">_xll.ciqfunctions.udf.CIQ($A28, "IQ_EARNING_CO", IQ_LTM-4, $L$2, $L$4, $L$3, $L$5, $L$6)</f>
        <v>#NAME?</v>
      </c>
      <c r="AW28" s="68" t="e">
        <f ca="1">_xll.ciqfunctions.udf.CIQ($A28, "IQ_EARNING_CO", IQ_LTM, $L$2, $L$4, $L$3, $L$5, $L$6)</f>
        <v>#NAME?</v>
      </c>
      <c r="AX28" s="68" t="e">
        <f ca="1">_xll.ciqfunctions.udf.CIQ($A28, "IQ_EARNING_CO", $B$2, $L$2, $L$4, $L$3, $L$5, $L$6)</f>
        <v>#NAME?</v>
      </c>
      <c r="AY28" s="68" t="e">
        <f ca="1">IF(_xll.ciqfunctions.udf.CIQ($A28, "IQ_EARNING_CO", $B$3, $L$2,$L$4, $L$3, $L$5, $L$6)=0,AW28,_xll.ciqfunctions.udf.CIQ($A28, "IQ_EARNING_CO", $B$3, $L$2,$L$4, $L$3, $L$5, $L$6))</f>
        <v>#NAME?</v>
      </c>
      <c r="AZ28" s="68" t="e">
        <f ca="1">_xll.ciqfunctions.udf.CIQ($A28, "IQ_TOTAL_EQUITY", IQ_LTM-8, $L$2, $L$4, $L$3, $L$5, $L$6)</f>
        <v>#NAME?</v>
      </c>
      <c r="BA28" s="68" t="e">
        <f ca="1">_xll.ciqfunctions.udf.CIQ($A28, "IQ_TOTAL_EQUITY", IQ_LTM-4, $L$2, $L$4, $L$3, $L$5, $L$6)</f>
        <v>#NAME?</v>
      </c>
      <c r="BB28" s="68" t="e">
        <f ca="1">_xll.ciqfunctions.udf.CIQ($A28, "IQ_TOTAL_EQUITY", IQ_LTM, $L$2, $L$4, $L$3, $L$5, $L$6)</f>
        <v>#NAME?</v>
      </c>
      <c r="BC28" s="68" t="e">
        <f ca="1">_xll.ciqfunctions.udf.CIQ($A28, "IQ_TOTAL_EQUITY", $B$2, $L$2, $L$4, $L$3, $L$5, $L$6)</f>
        <v>#NAME?</v>
      </c>
      <c r="BD28" s="68" t="e">
        <f ca="1">IF(_xll.ciqfunctions.udf.CIQ($A28, "IQ_TOTAL_EQUITY", $B$3, $L$2,$L$4, $L$3, $L$5, $L$6)=0,BB28,_xll.ciqfunctions.udf.CIQ($A28, "IQ_TOTAL_EQUITY", $B$3, $L$2,$L$4, $L$3, $L$5, $L$6))</f>
        <v>#NAME?</v>
      </c>
      <c r="BE28" s="68" t="e">
        <f ca="1">_xll.ciqfunctions.udf.CIQ(A28, "IQ_LASTSALEPRICE", $B$8)</f>
        <v>#NAME?</v>
      </c>
      <c r="BF28" s="68" t="e">
        <f ca="1">_xll.ciqfunctions.udf.CIQ($A28, "IQ_MARKETCAP", $B$8, $L$5, $L$6)</f>
        <v>#NAME?</v>
      </c>
      <c r="BG28" s="68" t="e">
        <f ca="1">_xll.ciqfunctions.udf.CIQ($A28, "IQ_TOTAL_DEBT", IQ_LTM, $B$8,$L$4, $L$3, $L$5, $L$6)</f>
        <v>#NAME?</v>
      </c>
      <c r="BH28" s="44" t="e">
        <f ca="1">_xll.ciqfunctions.udf.CIQ($A28,"IQ_PREF_EQUITY",IQ_LTM,$B$8,$L$4,$L$3,$L$5,$L$6)</f>
        <v>#NAME?</v>
      </c>
      <c r="BI28" s="44" t="e">
        <f ca="1">_xll.ciqfunctions.udf.CIQ($A28, "IQ_MINORITY_INTEREST_TOTAL", IQ_LTM,$B$8,$L$4,$L$3,$L$5,$L$6)</f>
        <v>#NAME?</v>
      </c>
      <c r="BJ28" s="68" t="e">
        <f ca="1">_xll.ciqfunctions.udf.CIQ($A28, "IQ_CASH_ST_INVEST", IQ_LTM, $B$8, $L$4, $L$3, $L$5, $L$6)</f>
        <v>#NAME?</v>
      </c>
      <c r="BK28" s="44" t="e">
        <f ca="1">_xll.ciqfunctions.udf.CIQ($A28, "IQ_EFFECT_TAX_RATE")</f>
        <v>#NAME?</v>
      </c>
      <c r="BL28" s="44" t="e">
        <f ca="1">IF(_xll.ciqfunctions.udf.CIQ($A28, "IQ_TOTAL_REV_2YR_ANN_CAGR", IQ_LTM, $B$1,$L$4, $L$3, $L$5, $L$6)="NM","n/a",(_xll.ciqfunctions.udf.CIQ($A28, "IQ_TOTAL_REV_2YR_ANN_CAGR", IQ_LTM, $B$1,$L$4, $L$3, $L$5, $L$6)/100))</f>
        <v>#NAME?</v>
      </c>
      <c r="BM28" s="44" t="e">
        <f ca="1">IF(_xll.ciqfunctions.udf.CIQ($A28, "IQ_TOTAL_REV_3YR_ANN_CAGR", IQ_LTM, $B$1,$L$4, $L$3, $L$5, $L$6)="NM","n/a",(_xll.ciqfunctions.udf.CIQ($A28, "IQ_TOTAL_REV_3YR_ANN_CAGR", IQ_LTM, $B$1,$L$4, $L$3, $L$5, $L$6)/100))</f>
        <v>#NAME?</v>
      </c>
      <c r="BN28" s="44" t="e">
        <f ca="1">IF(_xll.ciqfunctions.udf.CIQ($A28, "IQ_TOTAL_REV_5YR_ANN_CAGR", IQ_LTM, $B$1,$L$4, $L$3, $L$5, $L$6)="NM","n/a",(_xll.ciqfunctions.udf.CIQ($A28, "IQ_TOTAL_REV_5YR_ANN_CAGR", IQ_LTM, $B$1,$L$4, $L$3, $L$5, $L$6)/100))</f>
        <v>#NAME?</v>
      </c>
      <c r="BO28" s="44" t="e">
        <f ca="1">IF(_xll.ciqfunctions.udf.CIQ($A28,"IQ_EBITDA_2YR_ANN_CAGR", IQ_LTM,$B$1,$L$4, $L$3, $L$5, $L$6)="NM","n/a",(_xll.ciqfunctions.udf.CIQ($A28,"IQ_EBITDA_2YR_ANN_CAGR", IQ_LTM,$B$1,$L$4, $L$3, $L$5, $L$6)/100))</f>
        <v>#NAME?</v>
      </c>
      <c r="BP28" s="44" t="e">
        <f ca="1">IF(_xll.ciqfunctions.udf.CIQ($A28,"IQ_EBITDA_3YR_ANN_CAGR", IQ_LTM,$B$1,$L$4, $L$3, $L$5, $L$6)="NM","n/a",(_xll.ciqfunctions.udf.CIQ($A28,"IQ_EBITDA_3YR_ANN_CAGR", IQ_LTM,$B$1,$L$4, $L$3, $L$5, $L$6)/100))</f>
        <v>#NAME?</v>
      </c>
      <c r="BQ28" s="44" t="e">
        <f ca="1">IF(_xll.ciqfunctions.udf.CIQ($A28,"IQ_EBITDA_5YR_ANN_CAGR", IQ_LTM,$B$1,$L$4, $L$3, $L$5, $L$6)="NM","n/a",(_xll.ciqfunctions.udf.CIQ($A28,"IQ_EBITDA_5YR_ANN_CAGR", IQ_LTM,$B$1,$L$4, $L$3, $L$5, $L$6)/100))</f>
        <v>#NAME?</v>
      </c>
      <c r="BR28" s="48" t="str">
        <f ca="1">IFERROR((_xll.ciqfunctions.udf.CIQ($A28, "IQ_DA_CF", IQ_LTM, $B$1, $L$4, $L$3, $L$5, $L$6)/Q28),"NM")</f>
        <v>NM</v>
      </c>
      <c r="BS28" s="72" t="e">
        <f>'Capital IQ Sheet-GPC'!BS28</f>
        <v>#VALUE!</v>
      </c>
      <c r="BT28" s="72" t="e">
        <f>'Capital IQ Sheet-GPC'!BT28</f>
        <v>#VALUE!</v>
      </c>
      <c r="BU28" s="72" t="e">
        <f>'Capital IQ Sheet-GPC'!BU28</f>
        <v>#VALUE!</v>
      </c>
      <c r="BV28" s="72" t="e">
        <f>'Capital IQ Sheet-GPC'!BV28</f>
        <v>#VALUE!</v>
      </c>
      <c r="BW28" s="72" t="e">
        <f>'Capital IQ Sheet-GPC'!BW28</f>
        <v>#VALUE!</v>
      </c>
      <c r="BX28" s="72" t="e">
        <f>'Capital IQ Sheet-GPC'!BX28</f>
        <v>#VALUE!</v>
      </c>
      <c r="BY28" s="72" t="e">
        <f>'Capital IQ Sheet-GPC'!BY28</f>
        <v>#VALUE!</v>
      </c>
      <c r="BZ28" s="72" t="e">
        <f>'Capital IQ Sheet-GPC'!BZ28</f>
        <v>#VALUE!</v>
      </c>
      <c r="CB28" s="44">
        <v>2</v>
      </c>
      <c r="CC28" s="112" t="s">
        <v>269</v>
      </c>
      <c r="CD28" s="112" t="s">
        <v>268</v>
      </c>
      <c r="CE28" s="46">
        <f t="shared" si="1"/>
        <v>42766</v>
      </c>
    </row>
    <row r="29" spans="1:83" s="44" customFormat="1" ht="12.75">
      <c r="A29" s="45" t="e">
        <f ca="1">_xll.ciqfunctions.udf.CIQ($B29,"IQ_COMPANY_TICKER")</f>
        <v>#NAME?</v>
      </c>
      <c r="B29" s="67" t="str">
        <f>'Capital IQ Sheet-GPC'!B29</f>
        <v>(Invalid Identifier)</v>
      </c>
      <c r="C29" s="45" t="e">
        <f ca="1">_xll.ciqfunctions.udf.CIQ($A29,"IQ_COMPANY_NAME")</f>
        <v>#NAME?</v>
      </c>
      <c r="D29" s="45" t="e">
        <f ca="1">_xll.ciqfunctions.udf.CIQ($A29, "IQ_EXCHANGE")</f>
        <v>#NAME?</v>
      </c>
      <c r="E29" s="66" t="e">
        <f ca="1">_xll.ciqfunctions.udf.CIQ($A29, "IQ_PERIODDATE_IS", IQ_FY)</f>
        <v>#NAME?</v>
      </c>
      <c r="F29" s="66" t="e">
        <f ca="1">_xll.ciqfunctions.udf.CIQ(A29, "IQ_PERIODDATE_IS", IQ_LTM, $B$1,$L$4,$L$3)</f>
        <v>#NAME?</v>
      </c>
      <c r="G29" s="66" t="e">
        <f ca="1">_xll.ciqfunctions.udf.CIQ($A29, "IQ_FIRSTPRICINGDATE")</f>
        <v>#NAME?</v>
      </c>
      <c r="H29" s="68" t="e">
        <f ca="1">_xll.ciqfunctions.udf.CIQ($A29, "IQ_TEV", $L$2, $L$5, $L$6)</f>
        <v>#NAME?</v>
      </c>
      <c r="I29" s="68" t="e">
        <f ca="1">_xll.ciqfunctions.udf.CIQ(A29, "IQ_LASTSALEPRICE", $B$1,$L$5)</f>
        <v>#NAME?</v>
      </c>
      <c r="J29" s="68" t="e">
        <f ca="1">_xll.ciqfunctions.udf.CIQ($A29, "IQ_MARKETCAP", $L$2, $L$5, $L$6)</f>
        <v>#NAME?</v>
      </c>
      <c r="K29" s="68" t="e">
        <f ca="1">_xll.ciqfunctions.udf.CIQ($A29, "IQ_TOTAL_DEBT", IQ_LTM, $L$2,$L$4, $L$3, $L$5, $L$6)</f>
        <v>#NAME?</v>
      </c>
      <c r="L29" s="68" t="e">
        <f ca="1">_xll.ciqfunctions.udf.CIQ($A29, "IQ_PREF_EQUITY", IQ_LTM, $L$2, $L$4, $L$3, $L$5, $L$6)</f>
        <v>#NAME?</v>
      </c>
      <c r="M29" s="68" t="e">
        <f ca="1">_xll.ciqfunctions.udf.CIQ($A29, "IQ_MINORITY_INTEREST_TOTAL", IQ_LTM, $L$2, $L$4, $L$3, $L$5, $L$6)</f>
        <v>#NAME?</v>
      </c>
      <c r="N29" s="68" t="e">
        <f ca="1">_xll.ciqfunctions.udf.CIQ($A29, "IQ_CASH_ST_INVEST", IQ_LTM, $L$2, $L$4, $L$3, $L$5, $L$6)</f>
        <v>#NAME?</v>
      </c>
      <c r="O29" s="68" t="e">
        <f ca="1">_xll.ciqfunctions.udf.CIQ($A29, "IQ_TOTAL_REV", IQ_LTM-8, $L$2, $L$4, $L$3, $L$5, $L$6)</f>
        <v>#NAME?</v>
      </c>
      <c r="P29" s="68" t="e">
        <f ca="1">_xll.ciqfunctions.udf.CIQ($A29, "IQ_TOTAL_REV", IQ_LTM - 4, $L$2, $L$4, $L$3, $L$5,$L$6)</f>
        <v>#NAME?</v>
      </c>
      <c r="Q29" s="68" t="e">
        <f ca="1">_xll.ciqfunctions.udf.CIQ($A29, "IQ_TOTAL_REV", IQ_LTM, $L$2, $L$4, $L$3, $L$5, $L$6)</f>
        <v>#NAME?</v>
      </c>
      <c r="R29" s="68" t="e">
        <f ca="1">_xll.ciqfunctions.udf.CIQ($A29, "IQ_TOTAL_REV", $B$2, $L$2, $L$4, $L$3, $L$5, $L$6)</f>
        <v>#NAME?</v>
      </c>
      <c r="S29" s="68" t="e">
        <f ca="1">IF(_xll.ciqfunctions.udf.CIQ($A29, "IQ_TOTAL_REV", $B$3, $L$2,$L$4, $L$3, $L$5, $L$6)=0,Q29,_xll.ciqfunctions.udf.CIQ($A29, "IQ_TOTAL_REV", $B$3, $L$2,$L$4, $L$3, $L$5, $L$6))</f>
        <v>#NAME?</v>
      </c>
      <c r="T29" s="68" t="e">
        <f ca="1">IF(_xll.ciqfunctions.udf.CIQ($A29, "IQ_REVENUE_EST",$B$4, $L$2, "CON", $L$3, $L$5, $L$6)=0,"n/a",_xll.ciqfunctions.udf.CIQ($A29, "IQ_REVENUE_EST",$B$4, $L$2, "CON", $L$3, $L$5, $L$6))</f>
        <v>#NAME?</v>
      </c>
      <c r="U29" s="68" t="e">
        <f ca="1">IF(_xll.ciqfunctions.udf.CIQ($A29, "IQ_REVENUE_EST",$B$5, $L$2, "CON", $L$3, $L$5, $L$6)=0,"n/a",_xll.ciqfunctions.udf.CIQ($A29, "IQ_REVENUE_EST",$B$5, $L$2, "CON", $L$3, $L$5, $L$6))</f>
        <v>#NAME?</v>
      </c>
      <c r="V29" s="68" t="e">
        <f ca="1">IF(_xll.ciqfunctions.udf.CIQ($A29, "IQ_REVENUE_EST",$B$6, $L$2, "CON", $L$3, $L$5, $L$6)=0,"n/a",_xll.ciqfunctions.udf.CIQ($A29, "IQ_REVENUE_EST",$B$6, $L$2, "CON", $L$3, $L$5, $L$6))</f>
        <v>#NAME?</v>
      </c>
      <c r="W29" s="68" t="e">
        <f ca="1">IF(_xll.ciqfunctions.udf.CIQ($A29, "IQ_REVENUE_EST", $B$7, $L$2, "CON", $L$3, $L$5, $L$6)=0,"n/a",_xll.ciqfunctions.udf.CIQ($A29, "IQ_REVENUE_EST",$B$7, $L$2, "CON", $L$3, $L$5, $L$6))</f>
        <v>#NAME?</v>
      </c>
      <c r="X29" s="68" t="e">
        <f ca="1">_xll.ciqfunctions.udf.CIQ($A29, "IQ_EBITDA", IQ_LTM-8, $L$2, $L$4, $L$3, $L$5, $L$6)</f>
        <v>#NAME?</v>
      </c>
      <c r="Y29" s="68" t="e">
        <f ca="1">_xll.ciqfunctions.udf.CIQ($A29, "IQ_EBITDA", IQ_LTM-4, $L$2,$L$4, $L$3, $L$5, $L$6)</f>
        <v>#NAME?</v>
      </c>
      <c r="Z29" s="68" t="e">
        <f ca="1">_xll.ciqfunctions.udf.CIQ($A29, "IQ_EBITDA", IQ_LTM, $L$2, $L$4, $L$3, $L$5, $L$6)</f>
        <v>#NAME?</v>
      </c>
      <c r="AA29" s="68" t="e">
        <f ca="1">_xll.ciqfunctions.udf.CIQ($A29, "IQ_EBITDA", $B$2, $L$2, $L$4, $L$3, $L$5, $L$6)</f>
        <v>#NAME?</v>
      </c>
      <c r="AB29" s="68" t="e">
        <f ca="1">IF(_xll.ciqfunctions.udf.CIQ($A29, "IQ_EBITDA", $B$3, $L$2,$L$4, $L$3, $L$5, $L$6)=0,Z29,_xll.ciqfunctions.udf.CIQ($A29, "IQ_EBITDA", $B$3, $L$2,$L$4, $L$3, $L$5, $L$6))</f>
        <v>#NAME?</v>
      </c>
      <c r="AC29" s="68" t="e">
        <f ca="1">IF(_xll.ciqfunctions.udf.CIQ($A29, "IQ_EBITDA_EST",$B$4, $L$2, "CON", $L$3, $L$5, $L$6)=0,"n/a",_xll.ciqfunctions.udf.CIQ($A29, "IQ_EBITDA_EST",$B$4, $L$2, "CON", $L$3, $L$5, $L$6))</f>
        <v>#NAME?</v>
      </c>
      <c r="AD29" s="68" t="e">
        <f ca="1">IF(_xll.ciqfunctions.udf.CIQ($A29, "IQ_EBITDA_EST",$B$5, $L$2, "CON", $L$3, $L$5, $L$6)=0,"n/a",_xll.ciqfunctions.udf.CIQ($A29, "IQ_EBITDA_EST",$B$5, $L$2, "CON", $L$3, $L$5, $L$6))</f>
        <v>#NAME?</v>
      </c>
      <c r="AE29" s="68" t="e">
        <f ca="1">IF(_xll.ciqfunctions.udf.CIQ($A29, "IQ_EBITDA_EST",$B$6, $L$2, "CON", $L$3, $L$5, $L$6)=0,"n/a",_xll.ciqfunctions.udf.CIQ($A29, "IQ_EBITDA_EST",$B$6, $L$2, "CON", $L$3, $L$5, $L$6))</f>
        <v>#NAME?</v>
      </c>
      <c r="AF29" s="69" t="str">
        <f ca="1">IF(ISERROR(_xll.ciqfunctions.udf.CIQ($A29, "IQ_GROSS_MARGIN", IQ_LTM, $L$2,$L$4, $L$3, $L$5, $L$6)/100), "n/a", _xll.ciqfunctions.udf.CIQ($A29,  "IQ_GROSS_MARGIN", IQ_LTM, $L$2, $L$4, $L$3, $L$5, $L$6)/100)</f>
        <v>n/a</v>
      </c>
      <c r="AG29" s="69" t="str">
        <f ca="1">IF(ISERROR(_xll.ciqfunctions.udf.CIQ($A29,"IQ_EBITDA_MARGIN", IQ_LTM, $L$2, $L$4, $L$3, $L$5, $L$6)/100), "n/a", _xll.ciqfunctions.udf.CIQ($A29, "IQ_EBITDA_MARGIN", IQ_LTM, $L$2, $L$4, $L$3, $L$5, $L$6)/100)</f>
        <v>n/a</v>
      </c>
      <c r="AH29" s="69" t="str">
        <f ca="1">IF(ISERROR(_xll.ciqfunctions.udf.CIQ($A29,"IQ_EBIT_MARGIN", IQ_LTM, $L$2, $L$4, $L$3, $L$5, $L$6)/100), "n/a", _xll.ciqfunctions.udf.CIQ($A29, "IQ_EBIT_MARGIN", IQ_LTM, $L$2, $L$4, $L$3, $L$5, $L$6)/100)</f>
        <v>n/a</v>
      </c>
      <c r="AI29" s="69" t="str">
        <f ca="1">IF(ISERROR(_xll.ciqfunctions.udf.CIQ($A29,"IQ_NI_MARGIN", IQ_LTM, $L$2, $L$4, $L$3, $L$5, $L$6)/100), "n/a", _xll.ciqfunctions.udf.CIQ($A29, "IQ_NI_MARGIN", IQ_LTM, $L$2, $L$4, $L$3, $L$5, $L$6)/100)</f>
        <v>n/a</v>
      </c>
      <c r="AJ29" s="68" t="str">
        <f ca="1">IF(ISERROR(_xll.ciqfunctions.udf.CIQ($A29, "IQ_NET_WORKING_CAP", IQ_LTM-8, $L$2, $L$4, $L$3, $L$5, $L$6)), "n/a", _xll.ciqfunctions.udf.CIQ($A29, "IQ_NET_WORKING_CAP", IQ_LTM-8, $L$2, $L$4, $L$3, $L$5, $L$6))</f>
        <v>n/a</v>
      </c>
      <c r="AK29" s="68" t="str">
        <f ca="1">IF(ISERROR(_xll.ciqfunctions.udf.CIQ($A29, "IQ_NET_WORKING_CAP", IQ_LTM-4, $L$2, $L$4, $L$3, $L$5, $L$6)), "n/a", _xll.ciqfunctions.udf.CIQ($A29, "IQ_NET_WORKING_CAP", IQ_LTM-4, $L$2, $L$4, $L$3, $L$5, $L$6))</f>
        <v>n/a</v>
      </c>
      <c r="AL29" s="68" t="str">
        <f ca="1">IF(ISERROR(_xll.ciqfunctions.udf.CIQ($A29, "IQ_NET_WORKING_CAP", IQ_LTM, $L$2,$L$4, $L$3, $L$5, $L$6)), "n/a", _xll.ciqfunctions.udf.CIQ($A29, "IQ_NET_WORKING_CAP", IQ_LTM, $L$2, $L$4, $L$3, $L$5, $L$6))</f>
        <v>n/a</v>
      </c>
      <c r="AM29" s="68" t="str">
        <f ca="1">IF(ISERROR(_xll.ciqfunctions.udf.CIQ($A29, "IQ_Capex", IQ_LTM-8, $L$2,$L$4, $L$3, $L$5, $L$6)), "n/a", _xll.ciqfunctions.udf.CIQ($A29, "IQ_Capex", IQ_LTM-8, $L$2, $L$4, $L$3, $L$5, $L$6))</f>
        <v>n/a</v>
      </c>
      <c r="AN29" s="68" t="str">
        <f ca="1">IF(ISERROR(_xll.ciqfunctions.udf.CIQ($A29, "IQ_Capex", IQ_LTM-4, $L$2,$L$4, $L$3, $L$5, $L$6)), "n/a", _xll.ciqfunctions.udf.CIQ($A29, "IQ_Capex", IQ_LTM-4, $L$2,$L$4, $L$3, $L$5, $L$6))</f>
        <v>n/a</v>
      </c>
      <c r="AO29" s="68" t="str">
        <f ca="1">IF(ISERROR(_xll.ciqfunctions.udf.CIQ($A29, "IQ_Capex", IQ_LTM, $L$2, $L$4, $L$3, $L$5, $L$6)), "n/a", _xll.ciqfunctions.udf.CIQ($A29, "IQ_Capex", IQ_LTM, $L$2, $L$4, $L$3, $L$5, $L$6))</f>
        <v>n/a</v>
      </c>
      <c r="AP29" s="70" t="e">
        <f ca="1">_xll.ciqfunctions.udf.CIQ(A29, "IQ_BUSINESS_DESCRIPTION")</f>
        <v>#NAME?</v>
      </c>
      <c r="AQ29" s="71" t="e">
        <f ca="1">_xll.ciqfunctions.udf.CIQ($A29, "IQ_BETA_1YR", $B$1)</f>
        <v>#NAME?</v>
      </c>
      <c r="AR29" s="71" t="e">
        <f ca="1">_xll.ciqfunctions.udf.CIQ($A29, "IQ_BETA_2YR", $B$1)</f>
        <v>#NAME?</v>
      </c>
      <c r="AS29" s="71" t="e">
        <f ca="1">_xll.ciqfunctions.udf.CIQ($A29, "IQ_BETA_5YR", $B$1)</f>
        <v>#NAME?</v>
      </c>
      <c r="AT29" s="69" t="e">
        <f ca="1">_xll.ciqfunctions.udf.CIQ($A29, "IQ_DIVIDEND_YIELD", $B$1)/100</f>
        <v>#NAME?</v>
      </c>
      <c r="AU29" s="68" t="e">
        <f ca="1">_xll.ciqfunctions.udf.CIQ($A29, "IQ_EARNING_CO", IQ_LTM-8, $L$2, $L$4, $L$3, $L$5, $L$6)</f>
        <v>#NAME?</v>
      </c>
      <c r="AV29" s="68" t="e">
        <f ca="1">_xll.ciqfunctions.udf.CIQ($A29, "IQ_EARNING_CO", IQ_LTM-4, $L$2, $L$4, $L$3, $L$5, $L$6)</f>
        <v>#NAME?</v>
      </c>
      <c r="AW29" s="68" t="e">
        <f ca="1">_xll.ciqfunctions.udf.CIQ($A29, "IQ_EARNING_CO", IQ_LTM, $L$2, $L$4, $L$3, $L$5, $L$6)</f>
        <v>#NAME?</v>
      </c>
      <c r="AX29" s="68" t="e">
        <f ca="1">_xll.ciqfunctions.udf.CIQ($A29, "IQ_EARNING_CO", $B$2, $L$2, $L$4, $L$3, $L$5, $L$6)</f>
        <v>#NAME?</v>
      </c>
      <c r="AY29" s="68" t="e">
        <f ca="1">IF(_xll.ciqfunctions.udf.CIQ($A29, "IQ_EARNING_CO", $B$3, $L$2,$L$4, $L$3, $L$5, $L$6)=0,AW29,_xll.ciqfunctions.udf.CIQ($A29, "IQ_EARNING_CO", $B$3, $L$2,$L$4, $L$3, $L$5, $L$6))</f>
        <v>#NAME?</v>
      </c>
      <c r="AZ29" s="68" t="e">
        <f ca="1">_xll.ciqfunctions.udf.CIQ($A29, "IQ_TOTAL_EQUITY", IQ_LTM-8, $L$2, $L$4, $L$3, $L$5, $L$6)</f>
        <v>#NAME?</v>
      </c>
      <c r="BA29" s="68" t="e">
        <f ca="1">_xll.ciqfunctions.udf.CIQ($A29, "IQ_TOTAL_EQUITY", IQ_LTM-4, $L$2, $L$4, $L$3, $L$5, $L$6)</f>
        <v>#NAME?</v>
      </c>
      <c r="BB29" s="68" t="e">
        <f ca="1">_xll.ciqfunctions.udf.CIQ($A29, "IQ_TOTAL_EQUITY", IQ_LTM, $L$2, $L$4, $L$3, $L$5, $L$6)</f>
        <v>#NAME?</v>
      </c>
      <c r="BC29" s="68" t="e">
        <f ca="1">_xll.ciqfunctions.udf.CIQ($A29, "IQ_TOTAL_EQUITY", $B$2, $L$2, $L$4, $L$3, $L$5, $L$6)</f>
        <v>#NAME?</v>
      </c>
      <c r="BD29" s="68" t="e">
        <f ca="1">IF(_xll.ciqfunctions.udf.CIQ($A29, "IQ_TOTAL_EQUITY", $B$3, $L$2,$L$4, $L$3, $L$5, $L$6)=0,BB29,_xll.ciqfunctions.udf.CIQ($A29, "IQ_TOTAL_EQUITY", $B$3, $L$2,$L$4, $L$3, $L$5, $L$6))</f>
        <v>#NAME?</v>
      </c>
      <c r="BE29" s="68" t="e">
        <f ca="1">_xll.ciqfunctions.udf.CIQ(A29, "IQ_LASTSALEPRICE", $B$8)</f>
        <v>#NAME?</v>
      </c>
      <c r="BF29" s="68" t="e">
        <f ca="1">_xll.ciqfunctions.udf.CIQ($A29, "IQ_MARKETCAP", $B$8, $L$5, $L$6)</f>
        <v>#NAME?</v>
      </c>
      <c r="BG29" s="68" t="e">
        <f ca="1">_xll.ciqfunctions.udf.CIQ($A29, "IQ_TOTAL_DEBT", IQ_LTM, $B$8,$L$4, $L$3, $L$5, $L$6)</f>
        <v>#NAME?</v>
      </c>
      <c r="BH29" s="44" t="e">
        <f ca="1">_xll.ciqfunctions.udf.CIQ($A29,"IQ_PREF_EQUITY",IQ_LTM,$B$8,$L$4,$L$3,$L$5,$L$6)</f>
        <v>#NAME?</v>
      </c>
      <c r="BI29" s="44" t="e">
        <f ca="1">_xll.ciqfunctions.udf.CIQ($A29, "IQ_MINORITY_INTEREST_TOTAL", IQ_LTM,$B$8,$L$4,$L$3,$L$5,$L$6)</f>
        <v>#NAME?</v>
      </c>
      <c r="BJ29" s="68" t="e">
        <f ca="1">_xll.ciqfunctions.udf.CIQ($A29, "IQ_CASH_ST_INVEST", IQ_LTM, $B$8, $L$4, $L$3, $L$5, $L$6)</f>
        <v>#NAME?</v>
      </c>
      <c r="BK29" s="44" t="e">
        <f ca="1">_xll.ciqfunctions.udf.CIQ($A29, "IQ_EFFECT_TAX_RATE")</f>
        <v>#NAME?</v>
      </c>
      <c r="BL29" s="44" t="e">
        <f ca="1">IF(_xll.ciqfunctions.udf.CIQ($A29, "IQ_TOTAL_REV_2YR_ANN_CAGR", IQ_LTM, $B$1,$L$4, $L$3, $L$5, $L$6)="NM","n/a",(_xll.ciqfunctions.udf.CIQ($A29, "IQ_TOTAL_REV_2YR_ANN_CAGR", IQ_LTM, $B$1,$L$4, $L$3, $L$5, $L$6)/100))</f>
        <v>#NAME?</v>
      </c>
      <c r="BM29" s="44" t="e">
        <f ca="1">IF(_xll.ciqfunctions.udf.CIQ($A29, "IQ_TOTAL_REV_3YR_ANN_CAGR", IQ_LTM, $B$1,$L$4, $L$3, $L$5, $L$6)="NM","n/a",(_xll.ciqfunctions.udf.CIQ($A29, "IQ_TOTAL_REV_3YR_ANN_CAGR", IQ_LTM, $B$1,$L$4, $L$3, $L$5, $L$6)/100))</f>
        <v>#NAME?</v>
      </c>
      <c r="BN29" s="44" t="e">
        <f ca="1">IF(_xll.ciqfunctions.udf.CIQ($A29, "IQ_TOTAL_REV_5YR_ANN_CAGR", IQ_LTM, $B$1,$L$4, $L$3, $L$5, $L$6)="NM","n/a",(_xll.ciqfunctions.udf.CIQ($A29, "IQ_TOTAL_REV_5YR_ANN_CAGR", IQ_LTM, $B$1,$L$4, $L$3, $L$5, $L$6)/100))</f>
        <v>#NAME?</v>
      </c>
      <c r="BO29" s="44" t="e">
        <f ca="1">IF(_xll.ciqfunctions.udf.CIQ($A29,"IQ_EBITDA_2YR_ANN_CAGR", IQ_LTM,$B$1,$L$4, $L$3, $L$5, $L$6)="NM","n/a",(_xll.ciqfunctions.udf.CIQ($A29,"IQ_EBITDA_2YR_ANN_CAGR", IQ_LTM,$B$1,$L$4, $L$3, $L$5, $L$6)/100))</f>
        <v>#NAME?</v>
      </c>
      <c r="BP29" s="44" t="e">
        <f ca="1">IF(_xll.ciqfunctions.udf.CIQ($A29,"IQ_EBITDA_3YR_ANN_CAGR", IQ_LTM,$B$1,$L$4, $L$3, $L$5, $L$6)="NM","n/a",(_xll.ciqfunctions.udf.CIQ($A29,"IQ_EBITDA_3YR_ANN_CAGR", IQ_LTM,$B$1,$L$4, $L$3, $L$5, $L$6)/100))</f>
        <v>#NAME?</v>
      </c>
      <c r="BQ29" s="44" t="e">
        <f ca="1">IF(_xll.ciqfunctions.udf.CIQ($A29,"IQ_EBITDA_5YR_ANN_CAGR", IQ_LTM,$B$1,$L$4, $L$3, $L$5, $L$6)="NM","n/a",(_xll.ciqfunctions.udf.CIQ($A29,"IQ_EBITDA_5YR_ANN_CAGR", IQ_LTM,$B$1,$L$4, $L$3, $L$5, $L$6)/100))</f>
        <v>#NAME?</v>
      </c>
      <c r="BR29" s="48" t="str">
        <f ca="1">IFERROR((_xll.ciqfunctions.udf.CIQ($A29, "IQ_DA_CF", IQ_LTM, $B$1, $L$4, $L$3, $L$5, $L$6)/Q29),"NM")</f>
        <v>NM</v>
      </c>
      <c r="BS29" s="72" t="e">
        <f>'Capital IQ Sheet-GPC'!BS29</f>
        <v>#VALUE!</v>
      </c>
      <c r="BT29" s="72" t="e">
        <f>'Capital IQ Sheet-GPC'!BT29</f>
        <v>#VALUE!</v>
      </c>
      <c r="BU29" s="72" t="e">
        <f>'Capital IQ Sheet-GPC'!BU29</f>
        <v>#VALUE!</v>
      </c>
      <c r="BV29" s="72" t="e">
        <f>'Capital IQ Sheet-GPC'!BV29</f>
        <v>#VALUE!</v>
      </c>
      <c r="BW29" s="72" t="e">
        <f>'Capital IQ Sheet-GPC'!BW29</f>
        <v>#VALUE!</v>
      </c>
      <c r="BX29" s="72" t="e">
        <f>'Capital IQ Sheet-GPC'!BX29</f>
        <v>#VALUE!</v>
      </c>
      <c r="BY29" s="72" t="e">
        <f>'Capital IQ Sheet-GPC'!BY29</f>
        <v>#VALUE!</v>
      </c>
      <c r="BZ29" s="72" t="e">
        <f>'Capital IQ Sheet-GPC'!BZ29</f>
        <v>#VALUE!</v>
      </c>
      <c r="CB29" s="44">
        <v>2</v>
      </c>
      <c r="CC29" s="112" t="s">
        <v>269</v>
      </c>
      <c r="CD29" s="112" t="s">
        <v>268</v>
      </c>
      <c r="CE29" s="46">
        <f t="shared" si="1"/>
        <v>42766</v>
      </c>
    </row>
    <row r="30" spans="1:83" s="44" customFormat="1" ht="12.75">
      <c r="A30" s="45" t="e">
        <f ca="1">_xll.ciqfunctions.udf.CIQ($B30,"IQ_COMPANY_TICKER")</f>
        <v>#NAME?</v>
      </c>
      <c r="B30" s="67" t="str">
        <f>'Capital IQ Sheet-GPC'!B30</f>
        <v>(Invalid Identifier)</v>
      </c>
      <c r="C30" s="45" t="e">
        <f ca="1">_xll.ciqfunctions.udf.CIQ($A30,"IQ_COMPANY_NAME")</f>
        <v>#NAME?</v>
      </c>
      <c r="D30" s="45" t="e">
        <f ca="1">_xll.ciqfunctions.udf.CIQ($A30, "IQ_EXCHANGE")</f>
        <v>#NAME?</v>
      </c>
      <c r="E30" s="66" t="e">
        <f ca="1">_xll.ciqfunctions.udf.CIQ($A30, "IQ_PERIODDATE_IS", IQ_FY)</f>
        <v>#NAME?</v>
      </c>
      <c r="F30" s="66" t="e">
        <f ca="1">_xll.ciqfunctions.udf.CIQ(A30, "IQ_PERIODDATE_IS", IQ_LTM, $B$1,$L$4,$L$3)</f>
        <v>#NAME?</v>
      </c>
      <c r="G30" s="66" t="e">
        <f ca="1">_xll.ciqfunctions.udf.CIQ($A30, "IQ_FIRSTPRICINGDATE")</f>
        <v>#NAME?</v>
      </c>
      <c r="H30" s="68" t="e">
        <f ca="1">_xll.ciqfunctions.udf.CIQ($A30, "IQ_TEV", $L$2, $L$5, $L$6)</f>
        <v>#NAME?</v>
      </c>
      <c r="I30" s="68" t="e">
        <f ca="1">_xll.ciqfunctions.udf.CIQ(A30, "IQ_LASTSALEPRICE", $B$1,$L$5)</f>
        <v>#NAME?</v>
      </c>
      <c r="J30" s="68" t="e">
        <f ca="1">_xll.ciqfunctions.udf.CIQ($A30, "IQ_MARKETCAP", $L$2, $L$5, $L$6)</f>
        <v>#NAME?</v>
      </c>
      <c r="K30" s="68" t="e">
        <f ca="1">_xll.ciqfunctions.udf.CIQ($A30, "IQ_TOTAL_DEBT", IQ_LTM, $L$2,$L$4, $L$3, $L$5, $L$6)</f>
        <v>#NAME?</v>
      </c>
      <c r="L30" s="68" t="e">
        <f ca="1">_xll.ciqfunctions.udf.CIQ($A30, "IQ_PREF_EQUITY", IQ_LTM, $L$2, $L$4, $L$3, $L$5, $L$6)</f>
        <v>#NAME?</v>
      </c>
      <c r="M30" s="68" t="e">
        <f ca="1">_xll.ciqfunctions.udf.CIQ($A30, "IQ_MINORITY_INTEREST_TOTAL", IQ_LTM, $L$2, $L$4, $L$3, $L$5, $L$6)</f>
        <v>#NAME?</v>
      </c>
      <c r="N30" s="68" t="e">
        <f ca="1">_xll.ciqfunctions.udf.CIQ($A30, "IQ_CASH_ST_INVEST", IQ_LTM, $L$2, $L$4, $L$3, $L$5, $L$6)</f>
        <v>#NAME?</v>
      </c>
      <c r="O30" s="68" t="e">
        <f ca="1">_xll.ciqfunctions.udf.CIQ($A30, "IQ_TOTAL_REV", IQ_LTM-8, $L$2, $L$4, $L$3, $L$5, $L$6)</f>
        <v>#NAME?</v>
      </c>
      <c r="P30" s="68" t="e">
        <f ca="1">_xll.ciqfunctions.udf.CIQ($A30, "IQ_TOTAL_REV", IQ_LTM - 4, $L$2, $L$4, $L$3, $L$5,$L$6)</f>
        <v>#NAME?</v>
      </c>
      <c r="Q30" s="68" t="e">
        <f ca="1">_xll.ciqfunctions.udf.CIQ($A30, "IQ_TOTAL_REV", IQ_LTM, $L$2, $L$4, $L$3, $L$5, $L$6)</f>
        <v>#NAME?</v>
      </c>
      <c r="R30" s="68" t="e">
        <f ca="1">_xll.ciqfunctions.udf.CIQ($A30, "IQ_TOTAL_REV", $B$2, $L$2, $L$4, $L$3, $L$5, $L$6)</f>
        <v>#NAME?</v>
      </c>
      <c r="S30" s="68" t="e">
        <f ca="1">IF(_xll.ciqfunctions.udf.CIQ($A30, "IQ_TOTAL_REV", $B$3, $L$2,$L$4, $L$3, $L$5, $L$6)=0,Q30,_xll.ciqfunctions.udf.CIQ($A30, "IQ_TOTAL_REV", $B$3, $L$2,$L$4, $L$3, $L$5, $L$6))</f>
        <v>#NAME?</v>
      </c>
      <c r="T30" s="68" t="e">
        <f ca="1">IF(_xll.ciqfunctions.udf.CIQ($A30, "IQ_REVENUE_EST",$B$4, $L$2, "CON", $L$3, $L$5, $L$6)=0,"n/a",_xll.ciqfunctions.udf.CIQ($A30, "IQ_REVENUE_EST",$B$4, $L$2, "CON", $L$3, $L$5, $L$6))</f>
        <v>#NAME?</v>
      </c>
      <c r="U30" s="68" t="e">
        <f ca="1">IF(_xll.ciqfunctions.udf.CIQ($A30, "IQ_REVENUE_EST",$B$5, $L$2, "CON", $L$3, $L$5, $L$6)=0,"n/a",_xll.ciqfunctions.udf.CIQ($A30, "IQ_REVENUE_EST",$B$5, $L$2, "CON", $L$3, $L$5, $L$6))</f>
        <v>#NAME?</v>
      </c>
      <c r="V30" s="68" t="e">
        <f ca="1">IF(_xll.ciqfunctions.udf.CIQ($A30, "IQ_REVENUE_EST",$B$6, $L$2, "CON", $L$3, $L$5, $L$6)=0,"n/a",_xll.ciqfunctions.udf.CIQ($A30, "IQ_REVENUE_EST",$B$6, $L$2, "CON", $L$3, $L$5, $L$6))</f>
        <v>#NAME?</v>
      </c>
      <c r="W30" s="68" t="e">
        <f ca="1">IF(_xll.ciqfunctions.udf.CIQ($A30, "IQ_REVENUE_EST", $B$7, $L$2, "CON", $L$3, $L$5, $L$6)=0,"n/a",_xll.ciqfunctions.udf.CIQ($A30, "IQ_REVENUE_EST",$B$7, $L$2, "CON", $L$3, $L$5, $L$6))</f>
        <v>#NAME?</v>
      </c>
      <c r="X30" s="68" t="e">
        <f ca="1">_xll.ciqfunctions.udf.CIQ($A30, "IQ_EBITDA", IQ_LTM-8, $L$2, $L$4, $L$3, $L$5, $L$6)</f>
        <v>#NAME?</v>
      </c>
      <c r="Y30" s="68" t="e">
        <f ca="1">_xll.ciqfunctions.udf.CIQ($A30, "IQ_EBITDA", IQ_LTM-4, $L$2,$L$4, $L$3, $L$5, $L$6)</f>
        <v>#NAME?</v>
      </c>
      <c r="Z30" s="68" t="e">
        <f ca="1">_xll.ciqfunctions.udf.CIQ($A30, "IQ_EBITDA", IQ_LTM, $L$2, $L$4, $L$3, $L$5, $L$6)</f>
        <v>#NAME?</v>
      </c>
      <c r="AA30" s="68" t="e">
        <f ca="1">_xll.ciqfunctions.udf.CIQ($A30, "IQ_EBITDA", $B$2, $L$2, $L$4, $L$3, $L$5, $L$6)</f>
        <v>#NAME?</v>
      </c>
      <c r="AB30" s="68" t="e">
        <f ca="1">IF(_xll.ciqfunctions.udf.CIQ($A30, "IQ_EBITDA", $B$3, $L$2,$L$4, $L$3, $L$5, $L$6)=0,Z30,_xll.ciqfunctions.udf.CIQ($A30, "IQ_EBITDA", $B$3, $L$2,$L$4, $L$3, $L$5, $L$6))</f>
        <v>#NAME?</v>
      </c>
      <c r="AC30" s="68" t="e">
        <f ca="1">IF(_xll.ciqfunctions.udf.CIQ($A30, "IQ_EBITDA_EST",$B$4, $L$2, "CON", $L$3, $L$5, $L$6)=0,"n/a",_xll.ciqfunctions.udf.CIQ($A30, "IQ_EBITDA_EST",$B$4, $L$2, "CON", $L$3, $L$5, $L$6))</f>
        <v>#NAME?</v>
      </c>
      <c r="AD30" s="68" t="e">
        <f ca="1">IF(_xll.ciqfunctions.udf.CIQ($A30, "IQ_EBITDA_EST",$B$5, $L$2, "CON", $L$3, $L$5, $L$6)=0,"n/a",_xll.ciqfunctions.udf.CIQ($A30, "IQ_EBITDA_EST",$B$5, $L$2, "CON", $L$3, $L$5, $L$6))</f>
        <v>#NAME?</v>
      </c>
      <c r="AE30" s="68" t="e">
        <f ca="1">IF(_xll.ciqfunctions.udf.CIQ($A30, "IQ_EBITDA_EST",$B$6, $L$2, "CON", $L$3, $L$5, $L$6)=0,"n/a",_xll.ciqfunctions.udf.CIQ($A30, "IQ_EBITDA_EST",$B$6, $L$2, "CON", $L$3, $L$5, $L$6))</f>
        <v>#NAME?</v>
      </c>
      <c r="AF30" s="69" t="str">
        <f ca="1">IF(ISERROR(_xll.ciqfunctions.udf.CIQ($A30, "IQ_GROSS_MARGIN", IQ_LTM, $L$2,$L$4, $L$3, $L$5, $L$6)/100), "n/a", _xll.ciqfunctions.udf.CIQ($A30,  "IQ_GROSS_MARGIN", IQ_LTM, $L$2, $L$4, $L$3, $L$5, $L$6)/100)</f>
        <v>n/a</v>
      </c>
      <c r="AG30" s="69" t="str">
        <f ca="1">IF(ISERROR(_xll.ciqfunctions.udf.CIQ($A30,"IQ_EBITDA_MARGIN", IQ_LTM, $L$2, $L$4, $L$3, $L$5, $L$6)/100), "n/a", _xll.ciqfunctions.udf.CIQ($A30, "IQ_EBITDA_MARGIN", IQ_LTM, $L$2, $L$4, $L$3, $L$5, $L$6)/100)</f>
        <v>n/a</v>
      </c>
      <c r="AH30" s="69" t="str">
        <f ca="1">IF(ISERROR(_xll.ciqfunctions.udf.CIQ($A30,"IQ_EBIT_MARGIN", IQ_LTM, $L$2, $L$4, $L$3, $L$5, $L$6)/100), "n/a", _xll.ciqfunctions.udf.CIQ($A30, "IQ_EBIT_MARGIN", IQ_LTM, $L$2, $L$4, $L$3, $L$5, $L$6)/100)</f>
        <v>n/a</v>
      </c>
      <c r="AI30" s="69" t="str">
        <f ca="1">IF(ISERROR(_xll.ciqfunctions.udf.CIQ($A30,"IQ_NI_MARGIN", IQ_LTM, $L$2, $L$4, $L$3, $L$5, $L$6)/100), "n/a", _xll.ciqfunctions.udf.CIQ($A30, "IQ_NI_MARGIN", IQ_LTM, $L$2, $L$4, $L$3, $L$5, $L$6)/100)</f>
        <v>n/a</v>
      </c>
      <c r="AJ30" s="68" t="str">
        <f ca="1">IF(ISERROR(_xll.ciqfunctions.udf.CIQ($A30, "IQ_NET_WORKING_CAP", IQ_LTM-8, $L$2, $L$4, $L$3, $L$5, $L$6)), "n/a", _xll.ciqfunctions.udf.CIQ($A30, "IQ_NET_WORKING_CAP", IQ_LTM-8, $L$2, $L$4, $L$3, $L$5, $L$6))</f>
        <v>n/a</v>
      </c>
      <c r="AK30" s="68" t="str">
        <f ca="1">IF(ISERROR(_xll.ciqfunctions.udf.CIQ($A30, "IQ_NET_WORKING_CAP", IQ_LTM-4, $L$2, $L$4, $L$3, $L$5, $L$6)), "n/a", _xll.ciqfunctions.udf.CIQ($A30, "IQ_NET_WORKING_CAP", IQ_LTM-4, $L$2, $L$4, $L$3, $L$5, $L$6))</f>
        <v>n/a</v>
      </c>
      <c r="AL30" s="68" t="str">
        <f ca="1">IF(ISERROR(_xll.ciqfunctions.udf.CIQ($A30, "IQ_NET_WORKING_CAP", IQ_LTM, $L$2,$L$4, $L$3, $L$5, $L$6)), "n/a", _xll.ciqfunctions.udf.CIQ($A30, "IQ_NET_WORKING_CAP", IQ_LTM, $L$2, $L$4, $L$3, $L$5, $L$6))</f>
        <v>n/a</v>
      </c>
      <c r="AM30" s="68" t="str">
        <f ca="1">IF(ISERROR(_xll.ciqfunctions.udf.CIQ($A30, "IQ_Capex", IQ_LTM-8, $L$2,$L$4, $L$3, $L$5, $L$6)), "n/a", _xll.ciqfunctions.udf.CIQ($A30, "IQ_Capex", IQ_LTM-8, $L$2, $L$4, $L$3, $L$5, $L$6))</f>
        <v>n/a</v>
      </c>
      <c r="AN30" s="68" t="str">
        <f ca="1">IF(ISERROR(_xll.ciqfunctions.udf.CIQ($A30, "IQ_Capex", IQ_LTM-4, $L$2,$L$4, $L$3, $L$5, $L$6)), "n/a", _xll.ciqfunctions.udf.CIQ($A30, "IQ_Capex", IQ_LTM-4, $L$2,$L$4, $L$3, $L$5, $L$6))</f>
        <v>n/a</v>
      </c>
      <c r="AO30" s="68" t="str">
        <f ca="1">IF(ISERROR(_xll.ciqfunctions.udf.CIQ($A30, "IQ_Capex", IQ_LTM, $L$2, $L$4, $L$3, $L$5, $L$6)), "n/a", _xll.ciqfunctions.udf.CIQ($A30, "IQ_Capex", IQ_LTM, $L$2, $L$4, $L$3, $L$5, $L$6))</f>
        <v>n/a</v>
      </c>
      <c r="AP30" s="70" t="e">
        <f ca="1">_xll.ciqfunctions.udf.CIQ(A30, "IQ_BUSINESS_DESCRIPTION")</f>
        <v>#NAME?</v>
      </c>
      <c r="AQ30" s="71" t="e">
        <f ca="1">_xll.ciqfunctions.udf.CIQ($A30, "IQ_BETA_1YR", $B$1)</f>
        <v>#NAME?</v>
      </c>
      <c r="AR30" s="71" t="e">
        <f ca="1">_xll.ciqfunctions.udf.CIQ($A30, "IQ_BETA_2YR", $B$1)</f>
        <v>#NAME?</v>
      </c>
      <c r="AS30" s="71" t="e">
        <f ca="1">_xll.ciqfunctions.udf.CIQ($A30, "IQ_BETA_5YR", $B$1)</f>
        <v>#NAME?</v>
      </c>
      <c r="AT30" s="69" t="e">
        <f ca="1">_xll.ciqfunctions.udf.CIQ($A30, "IQ_DIVIDEND_YIELD", $B$1)/100</f>
        <v>#NAME?</v>
      </c>
      <c r="AU30" s="68" t="e">
        <f ca="1">_xll.ciqfunctions.udf.CIQ($A30, "IQ_EARNING_CO", IQ_LTM-8, $L$2, $L$4, $L$3, $L$5, $L$6)</f>
        <v>#NAME?</v>
      </c>
      <c r="AV30" s="68" t="e">
        <f ca="1">_xll.ciqfunctions.udf.CIQ($A30, "IQ_EARNING_CO", IQ_LTM-4, $L$2, $L$4, $L$3, $L$5, $L$6)</f>
        <v>#NAME?</v>
      </c>
      <c r="AW30" s="68" t="e">
        <f ca="1">_xll.ciqfunctions.udf.CIQ($A30, "IQ_EARNING_CO", IQ_LTM, $L$2, $L$4, $L$3, $L$5, $L$6)</f>
        <v>#NAME?</v>
      </c>
      <c r="AX30" s="68" t="e">
        <f ca="1">_xll.ciqfunctions.udf.CIQ($A30, "IQ_EARNING_CO", $B$2, $L$2, $L$4, $L$3, $L$5, $L$6)</f>
        <v>#NAME?</v>
      </c>
      <c r="AY30" s="68" t="e">
        <f ca="1">IF(_xll.ciqfunctions.udf.CIQ($A30, "IQ_EARNING_CO", $B$3, $L$2,$L$4, $L$3, $L$5, $L$6)=0,AW30,_xll.ciqfunctions.udf.CIQ($A30, "IQ_EARNING_CO", $B$3, $L$2,$L$4, $L$3, $L$5, $L$6))</f>
        <v>#NAME?</v>
      </c>
      <c r="AZ30" s="68" t="e">
        <f ca="1">_xll.ciqfunctions.udf.CIQ($A30, "IQ_TOTAL_EQUITY", IQ_LTM-8, $L$2, $L$4, $L$3, $L$5, $L$6)</f>
        <v>#NAME?</v>
      </c>
      <c r="BA30" s="68" t="e">
        <f ca="1">_xll.ciqfunctions.udf.CIQ($A30, "IQ_TOTAL_EQUITY", IQ_LTM-4, $L$2, $L$4, $L$3, $L$5, $L$6)</f>
        <v>#NAME?</v>
      </c>
      <c r="BB30" s="68" t="e">
        <f ca="1">_xll.ciqfunctions.udf.CIQ($A30, "IQ_TOTAL_EQUITY", IQ_LTM, $L$2, $L$4, $L$3, $L$5, $L$6)</f>
        <v>#NAME?</v>
      </c>
      <c r="BC30" s="68" t="e">
        <f ca="1">_xll.ciqfunctions.udf.CIQ($A30, "IQ_TOTAL_EQUITY", $B$2, $L$2, $L$4, $L$3, $L$5, $L$6)</f>
        <v>#NAME?</v>
      </c>
      <c r="BD30" s="68" t="e">
        <f ca="1">IF(_xll.ciqfunctions.udf.CIQ($A30, "IQ_TOTAL_EQUITY", $B$3, $L$2,$L$4, $L$3, $L$5, $L$6)=0,BB30,_xll.ciqfunctions.udf.CIQ($A30, "IQ_TOTAL_EQUITY", $B$3, $L$2,$L$4, $L$3, $L$5, $L$6))</f>
        <v>#NAME?</v>
      </c>
      <c r="BE30" s="68" t="e">
        <f ca="1">_xll.ciqfunctions.udf.CIQ(A30, "IQ_LASTSALEPRICE", $B$8)</f>
        <v>#NAME?</v>
      </c>
      <c r="BF30" s="68" t="e">
        <f ca="1">_xll.ciqfunctions.udf.CIQ($A30, "IQ_MARKETCAP", $B$8, $L$5, $L$6)</f>
        <v>#NAME?</v>
      </c>
      <c r="BG30" s="68" t="e">
        <f ca="1">_xll.ciqfunctions.udf.CIQ($A30, "IQ_TOTAL_DEBT", IQ_LTM, $B$8,$L$4, $L$3, $L$5, $L$6)</f>
        <v>#NAME?</v>
      </c>
      <c r="BH30" s="44" t="e">
        <f ca="1">_xll.ciqfunctions.udf.CIQ($A30,"IQ_PREF_EQUITY",IQ_LTM,$B$8,$L$4,$L$3,$L$5,$L$6)</f>
        <v>#NAME?</v>
      </c>
      <c r="BI30" s="44" t="e">
        <f ca="1">_xll.ciqfunctions.udf.CIQ($A30, "IQ_MINORITY_INTEREST_TOTAL", IQ_LTM,$B$8,$L$4,$L$3,$L$5,$L$6)</f>
        <v>#NAME?</v>
      </c>
      <c r="BJ30" s="68" t="e">
        <f ca="1">_xll.ciqfunctions.udf.CIQ($A30, "IQ_CASH_ST_INVEST", IQ_LTM, $B$8, $L$4, $L$3, $L$5, $L$6)</f>
        <v>#NAME?</v>
      </c>
      <c r="BK30" s="44" t="e">
        <f ca="1">_xll.ciqfunctions.udf.CIQ($A30, "IQ_EFFECT_TAX_RATE")</f>
        <v>#NAME?</v>
      </c>
      <c r="BL30" s="44" t="e">
        <f ca="1">IF(_xll.ciqfunctions.udf.CIQ($A30, "IQ_TOTAL_REV_2YR_ANN_CAGR", IQ_LTM, $B$1,$L$4, $L$3, $L$5, $L$6)="NM","n/a",(_xll.ciqfunctions.udf.CIQ($A30, "IQ_TOTAL_REV_2YR_ANN_CAGR", IQ_LTM, $B$1,$L$4, $L$3, $L$5, $L$6)/100))</f>
        <v>#NAME?</v>
      </c>
      <c r="BM30" s="44" t="e">
        <f ca="1">IF(_xll.ciqfunctions.udf.CIQ($A30, "IQ_TOTAL_REV_3YR_ANN_CAGR", IQ_LTM, $B$1,$L$4, $L$3, $L$5, $L$6)="NM","n/a",(_xll.ciqfunctions.udf.CIQ($A30, "IQ_TOTAL_REV_3YR_ANN_CAGR", IQ_LTM, $B$1,$L$4, $L$3, $L$5, $L$6)/100))</f>
        <v>#NAME?</v>
      </c>
      <c r="BN30" s="44" t="e">
        <f ca="1">IF(_xll.ciqfunctions.udf.CIQ($A30, "IQ_TOTAL_REV_5YR_ANN_CAGR", IQ_LTM, $B$1,$L$4, $L$3, $L$5, $L$6)="NM","n/a",(_xll.ciqfunctions.udf.CIQ($A30, "IQ_TOTAL_REV_5YR_ANN_CAGR", IQ_LTM, $B$1,$L$4, $L$3, $L$5, $L$6)/100))</f>
        <v>#NAME?</v>
      </c>
      <c r="BO30" s="44" t="e">
        <f ca="1">IF(_xll.ciqfunctions.udf.CIQ($A30,"IQ_EBITDA_2YR_ANN_CAGR", IQ_LTM,$B$1,$L$4, $L$3, $L$5, $L$6)="NM","n/a",(_xll.ciqfunctions.udf.CIQ($A30,"IQ_EBITDA_2YR_ANN_CAGR", IQ_LTM,$B$1,$L$4, $L$3, $L$5, $L$6)/100))</f>
        <v>#NAME?</v>
      </c>
      <c r="BP30" s="44" t="e">
        <f ca="1">IF(_xll.ciqfunctions.udf.CIQ($A30,"IQ_EBITDA_3YR_ANN_CAGR", IQ_LTM,$B$1,$L$4, $L$3, $L$5, $L$6)="NM","n/a",(_xll.ciqfunctions.udf.CIQ($A30,"IQ_EBITDA_3YR_ANN_CAGR", IQ_LTM,$B$1,$L$4, $L$3, $L$5, $L$6)/100))</f>
        <v>#NAME?</v>
      </c>
      <c r="BQ30" s="44" t="e">
        <f ca="1">IF(_xll.ciqfunctions.udf.CIQ($A30,"IQ_EBITDA_5YR_ANN_CAGR", IQ_LTM,$B$1,$L$4, $L$3, $L$5, $L$6)="NM","n/a",(_xll.ciqfunctions.udf.CIQ($A30,"IQ_EBITDA_5YR_ANN_CAGR", IQ_LTM,$B$1,$L$4, $L$3, $L$5, $L$6)/100))</f>
        <v>#NAME?</v>
      </c>
      <c r="BR30" s="48" t="str">
        <f ca="1">IFERROR((_xll.ciqfunctions.udf.CIQ($A30, "IQ_DA_CF", IQ_LTM, $B$1, $L$4, $L$3, $L$5, $L$6)/Q30),"NM")</f>
        <v>NM</v>
      </c>
      <c r="BS30" s="72" t="e">
        <f>'Capital IQ Sheet-GPC'!BS30</f>
        <v>#VALUE!</v>
      </c>
      <c r="BT30" s="72" t="e">
        <f>'Capital IQ Sheet-GPC'!BT30</f>
        <v>#VALUE!</v>
      </c>
      <c r="BU30" s="72" t="e">
        <f>'Capital IQ Sheet-GPC'!BU30</f>
        <v>#VALUE!</v>
      </c>
      <c r="BV30" s="72" t="e">
        <f>'Capital IQ Sheet-GPC'!BV30</f>
        <v>#VALUE!</v>
      </c>
      <c r="BW30" s="72" t="e">
        <f>'Capital IQ Sheet-GPC'!BW30</f>
        <v>#VALUE!</v>
      </c>
      <c r="BX30" s="72" t="e">
        <f>'Capital IQ Sheet-GPC'!BX30</f>
        <v>#VALUE!</v>
      </c>
      <c r="BY30" s="72" t="e">
        <f>'Capital IQ Sheet-GPC'!BY30</f>
        <v>#VALUE!</v>
      </c>
      <c r="BZ30" s="72" t="e">
        <f>'Capital IQ Sheet-GPC'!BZ30</f>
        <v>#VALUE!</v>
      </c>
      <c r="CB30" s="44">
        <v>2</v>
      </c>
      <c r="CC30" s="112" t="s">
        <v>269</v>
      </c>
      <c r="CD30" s="112" t="s">
        <v>268</v>
      </c>
      <c r="CE30" s="46">
        <f t="shared" si="1"/>
        <v>42766</v>
      </c>
    </row>
    <row r="31" spans="1:83" s="44" customFormat="1" ht="12.75">
      <c r="A31" s="45" t="e">
        <f ca="1">_xll.ciqfunctions.udf.CIQ($B31,"IQ_COMPANY_TICKER")</f>
        <v>#NAME?</v>
      </c>
      <c r="B31" s="67" t="str">
        <f>'Capital IQ Sheet-GPC'!B31</f>
        <v>(Invalid Identifier)</v>
      </c>
      <c r="C31" s="45" t="e">
        <f ca="1">_xll.ciqfunctions.udf.CIQ($A31,"IQ_COMPANY_NAME")</f>
        <v>#NAME?</v>
      </c>
      <c r="D31" s="45" t="e">
        <f ca="1">_xll.ciqfunctions.udf.CIQ($A31, "IQ_EXCHANGE")</f>
        <v>#NAME?</v>
      </c>
      <c r="E31" s="66" t="e">
        <f ca="1">_xll.ciqfunctions.udf.CIQ($A31, "IQ_PERIODDATE_IS", IQ_FY)</f>
        <v>#NAME?</v>
      </c>
      <c r="F31" s="66" t="e">
        <f ca="1">_xll.ciqfunctions.udf.CIQ(A31, "IQ_PERIODDATE_IS", IQ_LTM, $B$1,$L$4,$L$3)</f>
        <v>#NAME?</v>
      </c>
      <c r="G31" s="66" t="e">
        <f ca="1">_xll.ciqfunctions.udf.CIQ($A31, "IQ_FIRSTPRICINGDATE")</f>
        <v>#NAME?</v>
      </c>
      <c r="H31" s="68" t="e">
        <f ca="1">_xll.ciqfunctions.udf.CIQ($A31, "IQ_TEV", $L$2, $L$5, $L$6)</f>
        <v>#NAME?</v>
      </c>
      <c r="I31" s="68" t="e">
        <f ca="1">_xll.ciqfunctions.udf.CIQ(A31, "IQ_LASTSALEPRICE", $B$1,$L$5)</f>
        <v>#NAME?</v>
      </c>
      <c r="J31" s="68" t="e">
        <f ca="1">_xll.ciqfunctions.udf.CIQ($A31, "IQ_MARKETCAP", $L$2, $L$5, $L$6)</f>
        <v>#NAME?</v>
      </c>
      <c r="K31" s="68" t="e">
        <f ca="1">_xll.ciqfunctions.udf.CIQ($A31, "IQ_TOTAL_DEBT", IQ_LTM, $L$2,$L$4, $L$3, $L$5, $L$6)</f>
        <v>#NAME?</v>
      </c>
      <c r="L31" s="68" t="e">
        <f ca="1">_xll.ciqfunctions.udf.CIQ($A31, "IQ_PREF_EQUITY", IQ_LTM, $L$2, $L$4, $L$3, $L$5, $L$6)</f>
        <v>#NAME?</v>
      </c>
      <c r="M31" s="68" t="e">
        <f ca="1">_xll.ciqfunctions.udf.CIQ($A31, "IQ_MINORITY_INTEREST_TOTAL", IQ_LTM, $L$2, $L$4, $L$3, $L$5, $L$6)</f>
        <v>#NAME?</v>
      </c>
      <c r="N31" s="68" t="e">
        <f ca="1">_xll.ciqfunctions.udf.CIQ($A31, "IQ_CASH_ST_INVEST", IQ_LTM, $L$2, $L$4, $L$3, $L$5, $L$6)</f>
        <v>#NAME?</v>
      </c>
      <c r="O31" s="68" t="e">
        <f ca="1">_xll.ciqfunctions.udf.CIQ($A31, "IQ_TOTAL_REV", IQ_LTM-8, $L$2, $L$4, $L$3, $L$5, $L$6)</f>
        <v>#NAME?</v>
      </c>
      <c r="P31" s="68" t="e">
        <f ca="1">_xll.ciqfunctions.udf.CIQ($A31, "IQ_TOTAL_REV", IQ_LTM - 4, $L$2, $L$4, $L$3, $L$5,$L$6)</f>
        <v>#NAME?</v>
      </c>
      <c r="Q31" s="68" t="e">
        <f ca="1">_xll.ciqfunctions.udf.CIQ($A31, "IQ_TOTAL_REV", IQ_LTM, $L$2, $L$4, $L$3, $L$5, $L$6)</f>
        <v>#NAME?</v>
      </c>
      <c r="R31" s="68" t="e">
        <f ca="1">_xll.ciqfunctions.udf.CIQ($A31, "IQ_TOTAL_REV", $B$2, $L$2, $L$4, $L$3, $L$5, $L$6)</f>
        <v>#NAME?</v>
      </c>
      <c r="S31" s="68" t="e">
        <f ca="1">IF(_xll.ciqfunctions.udf.CIQ($A31, "IQ_TOTAL_REV", $B$3, $L$2,$L$4, $L$3, $L$5, $L$6)=0,Q31,_xll.ciqfunctions.udf.CIQ($A31, "IQ_TOTAL_REV", $B$3, $L$2,$L$4, $L$3, $L$5, $L$6))</f>
        <v>#NAME?</v>
      </c>
      <c r="T31" s="68" t="e">
        <f ca="1">IF(_xll.ciqfunctions.udf.CIQ($A31, "IQ_REVENUE_EST",$B$4, $L$2, "CON", $L$3, $L$5, $L$6)=0,"n/a",_xll.ciqfunctions.udf.CIQ($A31, "IQ_REVENUE_EST",$B$4, $L$2, "CON", $L$3, $L$5, $L$6))</f>
        <v>#NAME?</v>
      </c>
      <c r="U31" s="68" t="e">
        <f ca="1">IF(_xll.ciqfunctions.udf.CIQ($A31, "IQ_REVENUE_EST",$B$5, $L$2, "CON", $L$3, $L$5, $L$6)=0,"n/a",_xll.ciqfunctions.udf.CIQ($A31, "IQ_REVENUE_EST",$B$5, $L$2, "CON", $L$3, $L$5, $L$6))</f>
        <v>#NAME?</v>
      </c>
      <c r="V31" s="68" t="e">
        <f ca="1">IF(_xll.ciqfunctions.udf.CIQ($A31, "IQ_REVENUE_EST",$B$6, $L$2, "CON", $L$3, $L$5, $L$6)=0,"n/a",_xll.ciqfunctions.udf.CIQ($A31, "IQ_REVENUE_EST",$B$6, $L$2, "CON", $L$3, $L$5, $L$6))</f>
        <v>#NAME?</v>
      </c>
      <c r="W31" s="68" t="e">
        <f ca="1">IF(_xll.ciqfunctions.udf.CIQ($A31, "IQ_REVENUE_EST", $B$7, $L$2, "CON", $L$3, $L$5, $L$6)=0,"n/a",_xll.ciqfunctions.udf.CIQ($A31, "IQ_REVENUE_EST",$B$7, $L$2, "CON", $L$3, $L$5, $L$6))</f>
        <v>#NAME?</v>
      </c>
      <c r="X31" s="68" t="e">
        <f ca="1">_xll.ciqfunctions.udf.CIQ($A31, "IQ_EBITDA", IQ_LTM-8, $L$2, $L$4, $L$3, $L$5, $L$6)</f>
        <v>#NAME?</v>
      </c>
      <c r="Y31" s="68" t="e">
        <f ca="1">_xll.ciqfunctions.udf.CIQ($A31, "IQ_EBITDA", IQ_LTM-4, $L$2,$L$4, $L$3, $L$5, $L$6)</f>
        <v>#NAME?</v>
      </c>
      <c r="Z31" s="68" t="e">
        <f ca="1">_xll.ciqfunctions.udf.CIQ($A31, "IQ_EBITDA", IQ_LTM, $L$2, $L$4, $L$3, $L$5, $L$6)</f>
        <v>#NAME?</v>
      </c>
      <c r="AA31" s="68" t="e">
        <f ca="1">_xll.ciqfunctions.udf.CIQ($A31, "IQ_EBITDA", $B$2, $L$2, $L$4, $L$3, $L$5, $L$6)</f>
        <v>#NAME?</v>
      </c>
      <c r="AB31" s="68" t="e">
        <f ca="1">IF(_xll.ciqfunctions.udf.CIQ($A31, "IQ_EBITDA", $B$3, $L$2,$L$4, $L$3, $L$5, $L$6)=0,Z31,_xll.ciqfunctions.udf.CIQ($A31, "IQ_EBITDA", $B$3, $L$2,$L$4, $L$3, $L$5, $L$6))</f>
        <v>#NAME?</v>
      </c>
      <c r="AC31" s="68" t="e">
        <f ca="1">IF(_xll.ciqfunctions.udf.CIQ($A31, "IQ_EBITDA_EST",$B$4, $L$2, "CON", $L$3, $L$5, $L$6)=0,"n/a",_xll.ciqfunctions.udf.CIQ($A31, "IQ_EBITDA_EST",$B$4, $L$2, "CON", $L$3, $L$5, $L$6))</f>
        <v>#NAME?</v>
      </c>
      <c r="AD31" s="68" t="e">
        <f ca="1">IF(_xll.ciqfunctions.udf.CIQ($A31, "IQ_EBITDA_EST",$B$5, $L$2, "CON", $L$3, $L$5, $L$6)=0,"n/a",_xll.ciqfunctions.udf.CIQ($A31, "IQ_EBITDA_EST",$B$5, $L$2, "CON", $L$3, $L$5, $L$6))</f>
        <v>#NAME?</v>
      </c>
      <c r="AE31" s="68" t="e">
        <f ca="1">IF(_xll.ciqfunctions.udf.CIQ($A31, "IQ_EBITDA_EST",$B$6, $L$2, "CON", $L$3, $L$5, $L$6)=0,"n/a",_xll.ciqfunctions.udf.CIQ($A31, "IQ_EBITDA_EST",$B$6, $L$2, "CON", $L$3, $L$5, $L$6))</f>
        <v>#NAME?</v>
      </c>
      <c r="AF31" s="69" t="str">
        <f ca="1">IF(ISERROR(_xll.ciqfunctions.udf.CIQ($A31, "IQ_GROSS_MARGIN", IQ_LTM, $L$2,$L$4, $L$3, $L$5, $L$6)/100), "n/a", _xll.ciqfunctions.udf.CIQ($A31,  "IQ_GROSS_MARGIN", IQ_LTM, $L$2, $L$4, $L$3, $L$5, $L$6)/100)</f>
        <v>n/a</v>
      </c>
      <c r="AG31" s="69" t="str">
        <f ca="1">IF(ISERROR(_xll.ciqfunctions.udf.CIQ($A31,"IQ_EBITDA_MARGIN", IQ_LTM, $L$2, $L$4, $L$3, $L$5, $L$6)/100), "n/a", _xll.ciqfunctions.udf.CIQ($A31, "IQ_EBITDA_MARGIN", IQ_LTM, $L$2, $L$4, $L$3, $L$5, $L$6)/100)</f>
        <v>n/a</v>
      </c>
      <c r="AH31" s="69" t="str">
        <f ca="1">IF(ISERROR(_xll.ciqfunctions.udf.CIQ($A31,"IQ_EBIT_MARGIN", IQ_LTM, $L$2, $L$4, $L$3, $L$5, $L$6)/100), "n/a", _xll.ciqfunctions.udf.CIQ($A31, "IQ_EBIT_MARGIN", IQ_LTM, $L$2, $L$4, $L$3, $L$5, $L$6)/100)</f>
        <v>n/a</v>
      </c>
      <c r="AI31" s="69" t="str">
        <f ca="1">IF(ISERROR(_xll.ciqfunctions.udf.CIQ($A31,"IQ_NI_MARGIN", IQ_LTM, $L$2, $L$4, $L$3, $L$5, $L$6)/100), "n/a", _xll.ciqfunctions.udf.CIQ($A31, "IQ_NI_MARGIN", IQ_LTM, $L$2, $L$4, $L$3, $L$5, $L$6)/100)</f>
        <v>n/a</v>
      </c>
      <c r="AJ31" s="68" t="str">
        <f ca="1">IF(ISERROR(_xll.ciqfunctions.udf.CIQ($A31, "IQ_NET_WORKING_CAP", IQ_LTM-8, $L$2, $L$4, $L$3, $L$5, $L$6)), "n/a", _xll.ciqfunctions.udf.CIQ($A31, "IQ_NET_WORKING_CAP", IQ_LTM-8, $L$2, $L$4, $L$3, $L$5, $L$6))</f>
        <v>n/a</v>
      </c>
      <c r="AK31" s="68" t="str">
        <f ca="1">IF(ISERROR(_xll.ciqfunctions.udf.CIQ($A31, "IQ_NET_WORKING_CAP", IQ_LTM-4, $L$2, $L$4, $L$3, $L$5, $L$6)), "n/a", _xll.ciqfunctions.udf.CIQ($A31, "IQ_NET_WORKING_CAP", IQ_LTM-4, $L$2, $L$4, $L$3, $L$5, $L$6))</f>
        <v>n/a</v>
      </c>
      <c r="AL31" s="68" t="str">
        <f ca="1">IF(ISERROR(_xll.ciqfunctions.udf.CIQ($A31, "IQ_NET_WORKING_CAP", IQ_LTM, $L$2,$L$4, $L$3, $L$5, $L$6)), "n/a", _xll.ciqfunctions.udf.CIQ($A31, "IQ_NET_WORKING_CAP", IQ_LTM, $L$2, $L$4, $L$3, $L$5, $L$6))</f>
        <v>n/a</v>
      </c>
      <c r="AM31" s="68" t="str">
        <f ca="1">IF(ISERROR(_xll.ciqfunctions.udf.CIQ($A31, "IQ_Capex", IQ_LTM-8, $L$2,$L$4, $L$3, $L$5, $L$6)), "n/a", _xll.ciqfunctions.udf.CIQ($A31, "IQ_Capex", IQ_LTM-8, $L$2, $L$4, $L$3, $L$5, $L$6))</f>
        <v>n/a</v>
      </c>
      <c r="AN31" s="68" t="str">
        <f ca="1">IF(ISERROR(_xll.ciqfunctions.udf.CIQ($A31, "IQ_Capex", IQ_LTM-4, $L$2,$L$4, $L$3, $L$5, $L$6)), "n/a", _xll.ciqfunctions.udf.CIQ($A31, "IQ_Capex", IQ_LTM-4, $L$2,$L$4, $L$3, $L$5, $L$6))</f>
        <v>n/a</v>
      </c>
      <c r="AO31" s="68" t="str">
        <f ca="1">IF(ISERROR(_xll.ciqfunctions.udf.CIQ($A31, "IQ_Capex", IQ_LTM, $L$2, $L$4, $L$3, $L$5, $L$6)), "n/a", _xll.ciqfunctions.udf.CIQ($A31, "IQ_Capex", IQ_LTM, $L$2, $L$4, $L$3, $L$5, $L$6))</f>
        <v>n/a</v>
      </c>
      <c r="AP31" s="70" t="e">
        <f ca="1">_xll.ciqfunctions.udf.CIQ(A31, "IQ_BUSINESS_DESCRIPTION")</f>
        <v>#NAME?</v>
      </c>
      <c r="AQ31" s="71" t="e">
        <f ca="1">_xll.ciqfunctions.udf.CIQ($A31, "IQ_BETA_1YR", $B$1)</f>
        <v>#NAME?</v>
      </c>
      <c r="AR31" s="71" t="e">
        <f ca="1">_xll.ciqfunctions.udf.CIQ($A31, "IQ_BETA_2YR", $B$1)</f>
        <v>#NAME?</v>
      </c>
      <c r="AS31" s="71" t="e">
        <f ca="1">_xll.ciqfunctions.udf.CIQ($A31, "IQ_BETA_5YR", $B$1)</f>
        <v>#NAME?</v>
      </c>
      <c r="AT31" s="69" t="e">
        <f ca="1">_xll.ciqfunctions.udf.CIQ($A31, "IQ_DIVIDEND_YIELD", $B$1)/100</f>
        <v>#NAME?</v>
      </c>
      <c r="AU31" s="68" t="e">
        <f ca="1">_xll.ciqfunctions.udf.CIQ($A31, "IQ_EARNING_CO", IQ_LTM-8, $L$2, $L$4, $L$3, $L$5, $L$6)</f>
        <v>#NAME?</v>
      </c>
      <c r="AV31" s="68" t="e">
        <f ca="1">_xll.ciqfunctions.udf.CIQ($A31, "IQ_EARNING_CO", IQ_LTM-4, $L$2, $L$4, $L$3, $L$5, $L$6)</f>
        <v>#NAME?</v>
      </c>
      <c r="AW31" s="68" t="e">
        <f ca="1">_xll.ciqfunctions.udf.CIQ($A31, "IQ_EARNING_CO", IQ_LTM, $L$2, $L$4, $L$3, $L$5, $L$6)</f>
        <v>#NAME?</v>
      </c>
      <c r="AX31" s="68" t="e">
        <f ca="1">_xll.ciqfunctions.udf.CIQ($A31, "IQ_EARNING_CO", $B$2, $L$2, $L$4, $L$3, $L$5, $L$6)</f>
        <v>#NAME?</v>
      </c>
      <c r="AY31" s="68" t="e">
        <f ca="1">IF(_xll.ciqfunctions.udf.CIQ($A31, "IQ_EARNING_CO", $B$3, $L$2,$L$4, $L$3, $L$5, $L$6)=0,AW31,_xll.ciqfunctions.udf.CIQ($A31, "IQ_EARNING_CO", $B$3, $L$2,$L$4, $L$3, $L$5, $L$6))</f>
        <v>#NAME?</v>
      </c>
      <c r="AZ31" s="68" t="e">
        <f ca="1">_xll.ciqfunctions.udf.CIQ($A31, "IQ_TOTAL_EQUITY", IQ_LTM-8, $L$2, $L$4, $L$3, $L$5, $L$6)</f>
        <v>#NAME?</v>
      </c>
      <c r="BA31" s="68" t="e">
        <f ca="1">_xll.ciqfunctions.udf.CIQ($A31, "IQ_TOTAL_EQUITY", IQ_LTM-4, $L$2, $L$4, $L$3, $L$5, $L$6)</f>
        <v>#NAME?</v>
      </c>
      <c r="BB31" s="68" t="e">
        <f ca="1">_xll.ciqfunctions.udf.CIQ($A31, "IQ_TOTAL_EQUITY", IQ_LTM, $L$2, $L$4, $L$3, $L$5, $L$6)</f>
        <v>#NAME?</v>
      </c>
      <c r="BC31" s="68" t="e">
        <f ca="1">_xll.ciqfunctions.udf.CIQ($A31, "IQ_TOTAL_EQUITY", $B$2, $L$2, $L$4, $L$3, $L$5, $L$6)</f>
        <v>#NAME?</v>
      </c>
      <c r="BD31" s="68" t="e">
        <f ca="1">IF(_xll.ciqfunctions.udf.CIQ($A31, "IQ_TOTAL_EQUITY", $B$3, $L$2,$L$4, $L$3, $L$5, $L$6)=0,BB31,_xll.ciqfunctions.udf.CIQ($A31, "IQ_TOTAL_EQUITY", $B$3, $L$2,$L$4, $L$3, $L$5, $L$6))</f>
        <v>#NAME?</v>
      </c>
      <c r="BE31" s="68" t="e">
        <f ca="1">_xll.ciqfunctions.udf.CIQ(A31, "IQ_LASTSALEPRICE", $B$8)</f>
        <v>#NAME?</v>
      </c>
      <c r="BF31" s="68" t="e">
        <f ca="1">_xll.ciqfunctions.udf.CIQ($A31, "IQ_MARKETCAP", $B$8, $L$5, $L$6)</f>
        <v>#NAME?</v>
      </c>
      <c r="BG31" s="68" t="e">
        <f ca="1">_xll.ciqfunctions.udf.CIQ($A31, "IQ_TOTAL_DEBT", IQ_LTM, $B$8,$L$4, $L$3, $L$5, $L$6)</f>
        <v>#NAME?</v>
      </c>
      <c r="BH31" s="44" t="e">
        <f ca="1">_xll.ciqfunctions.udf.CIQ($A31,"IQ_PREF_EQUITY",IQ_LTM,$B$8,$L$4,$L$3,$L$5,$L$6)</f>
        <v>#NAME?</v>
      </c>
      <c r="BI31" s="44" t="e">
        <f ca="1">_xll.ciqfunctions.udf.CIQ($A31, "IQ_MINORITY_INTEREST_TOTAL", IQ_LTM,$B$8,$L$4,$L$3,$L$5,$L$6)</f>
        <v>#NAME?</v>
      </c>
      <c r="BJ31" s="68" t="e">
        <f ca="1">_xll.ciqfunctions.udf.CIQ($A31, "IQ_CASH_ST_INVEST", IQ_LTM, $B$8, $L$4, $L$3, $L$5, $L$6)</f>
        <v>#NAME?</v>
      </c>
      <c r="BK31" s="44" t="e">
        <f ca="1">_xll.ciqfunctions.udf.CIQ($A31, "IQ_EFFECT_TAX_RATE")</f>
        <v>#NAME?</v>
      </c>
      <c r="BL31" s="44" t="e">
        <f ca="1">IF(_xll.ciqfunctions.udf.CIQ($A31, "IQ_TOTAL_REV_2YR_ANN_CAGR", IQ_LTM, $B$1,$L$4, $L$3, $L$5, $L$6)="NM","n/a",(_xll.ciqfunctions.udf.CIQ($A31, "IQ_TOTAL_REV_2YR_ANN_CAGR", IQ_LTM, $B$1,$L$4, $L$3, $L$5, $L$6)/100))</f>
        <v>#NAME?</v>
      </c>
      <c r="BM31" s="44" t="e">
        <f ca="1">IF(_xll.ciqfunctions.udf.CIQ($A31, "IQ_TOTAL_REV_3YR_ANN_CAGR", IQ_LTM, $B$1,$L$4, $L$3, $L$5, $L$6)="NM","n/a",(_xll.ciqfunctions.udf.CIQ($A31, "IQ_TOTAL_REV_3YR_ANN_CAGR", IQ_LTM, $B$1,$L$4, $L$3, $L$5, $L$6)/100))</f>
        <v>#NAME?</v>
      </c>
      <c r="BN31" s="44" t="e">
        <f ca="1">IF(_xll.ciqfunctions.udf.CIQ($A31, "IQ_TOTAL_REV_5YR_ANN_CAGR", IQ_LTM, $B$1,$L$4, $L$3, $L$5, $L$6)="NM","n/a",(_xll.ciqfunctions.udf.CIQ($A31, "IQ_TOTAL_REV_5YR_ANN_CAGR", IQ_LTM, $B$1,$L$4, $L$3, $L$5, $L$6)/100))</f>
        <v>#NAME?</v>
      </c>
      <c r="BO31" s="44" t="e">
        <f ca="1">IF(_xll.ciqfunctions.udf.CIQ($A31,"IQ_EBITDA_2YR_ANN_CAGR", IQ_LTM,$B$1,$L$4, $L$3, $L$5, $L$6)="NM","n/a",(_xll.ciqfunctions.udf.CIQ($A31,"IQ_EBITDA_2YR_ANN_CAGR", IQ_LTM,$B$1,$L$4, $L$3, $L$5, $L$6)/100))</f>
        <v>#NAME?</v>
      </c>
      <c r="BP31" s="44" t="e">
        <f ca="1">IF(_xll.ciqfunctions.udf.CIQ($A31,"IQ_EBITDA_3YR_ANN_CAGR", IQ_LTM,$B$1,$L$4, $L$3, $L$5, $L$6)="NM","n/a",(_xll.ciqfunctions.udf.CIQ($A31,"IQ_EBITDA_3YR_ANN_CAGR", IQ_LTM,$B$1,$L$4, $L$3, $L$5, $L$6)/100))</f>
        <v>#NAME?</v>
      </c>
      <c r="BQ31" s="44" t="e">
        <f ca="1">IF(_xll.ciqfunctions.udf.CIQ($A31,"IQ_EBITDA_5YR_ANN_CAGR", IQ_LTM,$B$1,$L$4, $L$3, $L$5, $L$6)="NM","n/a",(_xll.ciqfunctions.udf.CIQ($A31,"IQ_EBITDA_5YR_ANN_CAGR", IQ_LTM,$B$1,$L$4, $L$3, $L$5, $L$6)/100))</f>
        <v>#NAME?</v>
      </c>
      <c r="BR31" s="48" t="str">
        <f ca="1">IFERROR((_xll.ciqfunctions.udf.CIQ($A31, "IQ_DA_CF", IQ_LTM, $B$1, $L$4, $L$3, $L$5, $L$6)/Q31),"NM")</f>
        <v>NM</v>
      </c>
      <c r="BS31" s="72" t="e">
        <f>'Capital IQ Sheet-GPC'!BS31</f>
        <v>#VALUE!</v>
      </c>
      <c r="BT31" s="72" t="e">
        <f>'Capital IQ Sheet-GPC'!BT31</f>
        <v>#VALUE!</v>
      </c>
      <c r="BU31" s="72" t="e">
        <f>'Capital IQ Sheet-GPC'!BU31</f>
        <v>#VALUE!</v>
      </c>
      <c r="BV31" s="72" t="e">
        <f>'Capital IQ Sheet-GPC'!BV31</f>
        <v>#VALUE!</v>
      </c>
      <c r="BW31" s="72" t="e">
        <f>'Capital IQ Sheet-GPC'!BW31</f>
        <v>#VALUE!</v>
      </c>
      <c r="BX31" s="72" t="e">
        <f>'Capital IQ Sheet-GPC'!BX31</f>
        <v>#VALUE!</v>
      </c>
      <c r="BY31" s="72" t="e">
        <f>'Capital IQ Sheet-GPC'!BY31</f>
        <v>#VALUE!</v>
      </c>
      <c r="BZ31" s="72" t="e">
        <f>'Capital IQ Sheet-GPC'!BZ31</f>
        <v>#VALUE!</v>
      </c>
      <c r="CB31" s="44">
        <v>2</v>
      </c>
      <c r="CC31" s="112" t="s">
        <v>269</v>
      </c>
      <c r="CD31" s="112" t="s">
        <v>268</v>
      </c>
      <c r="CE31" s="46">
        <f t="shared" si="1"/>
        <v>42766</v>
      </c>
    </row>
    <row r="32" spans="1:83" s="44" customFormat="1" ht="12.75">
      <c r="A32" s="45" t="e">
        <f ca="1">_xll.ciqfunctions.udf.CIQ($B32,"IQ_COMPANY_TICKER")</f>
        <v>#NAME?</v>
      </c>
      <c r="B32" s="67" t="str">
        <f>'Capital IQ Sheet-GPC'!B32</f>
        <v>(Invalid Identifier)</v>
      </c>
      <c r="C32" s="45" t="e">
        <f ca="1">_xll.ciqfunctions.udf.CIQ($A32,"IQ_COMPANY_NAME")</f>
        <v>#NAME?</v>
      </c>
      <c r="D32" s="45" t="e">
        <f ca="1">_xll.ciqfunctions.udf.CIQ($A32, "IQ_EXCHANGE")</f>
        <v>#NAME?</v>
      </c>
      <c r="E32" s="66" t="e">
        <f ca="1">_xll.ciqfunctions.udf.CIQ($A32, "IQ_PERIODDATE_IS", IQ_FY)</f>
        <v>#NAME?</v>
      </c>
      <c r="F32" s="66" t="e">
        <f ca="1">_xll.ciqfunctions.udf.CIQ(A32, "IQ_PERIODDATE_IS", IQ_LTM, $B$1,$L$4,$L$3)</f>
        <v>#NAME?</v>
      </c>
      <c r="G32" s="66" t="e">
        <f ca="1">_xll.ciqfunctions.udf.CIQ($A32, "IQ_FIRSTPRICINGDATE")</f>
        <v>#NAME?</v>
      </c>
      <c r="H32" s="68" t="e">
        <f ca="1">_xll.ciqfunctions.udf.CIQ($A32, "IQ_TEV", $L$2, $L$5, $L$6)</f>
        <v>#NAME?</v>
      </c>
      <c r="I32" s="68" t="e">
        <f ca="1">_xll.ciqfunctions.udf.CIQ(A32, "IQ_LASTSALEPRICE", $B$1,$L$5)</f>
        <v>#NAME?</v>
      </c>
      <c r="J32" s="68" t="e">
        <f ca="1">_xll.ciqfunctions.udf.CIQ($A32, "IQ_MARKETCAP", $L$2, $L$5, $L$6)</f>
        <v>#NAME?</v>
      </c>
      <c r="K32" s="68" t="e">
        <f ca="1">_xll.ciqfunctions.udf.CIQ($A32, "IQ_TOTAL_DEBT", IQ_LTM, $L$2,$L$4, $L$3, $L$5, $L$6)</f>
        <v>#NAME?</v>
      </c>
      <c r="L32" s="68" t="e">
        <f ca="1">_xll.ciqfunctions.udf.CIQ($A32, "IQ_PREF_EQUITY", IQ_LTM, $L$2, $L$4, $L$3, $L$5, $L$6)</f>
        <v>#NAME?</v>
      </c>
      <c r="M32" s="68" t="e">
        <f ca="1">_xll.ciqfunctions.udf.CIQ($A32, "IQ_MINORITY_INTEREST_TOTAL", IQ_LTM, $L$2, $L$4, $L$3, $L$5, $L$6)</f>
        <v>#NAME?</v>
      </c>
      <c r="N32" s="68" t="e">
        <f ca="1">_xll.ciqfunctions.udf.CIQ($A32, "IQ_CASH_ST_INVEST", IQ_LTM, $L$2, $L$4, $L$3, $L$5, $L$6)</f>
        <v>#NAME?</v>
      </c>
      <c r="O32" s="68" t="e">
        <f ca="1">_xll.ciqfunctions.udf.CIQ($A32, "IQ_TOTAL_REV", IQ_LTM-8, $L$2, $L$4, $L$3, $L$5, $L$6)</f>
        <v>#NAME?</v>
      </c>
      <c r="P32" s="68" t="e">
        <f ca="1">_xll.ciqfunctions.udf.CIQ($A32, "IQ_TOTAL_REV", IQ_LTM - 4, $L$2, $L$4, $L$3, $L$5,$L$6)</f>
        <v>#NAME?</v>
      </c>
      <c r="Q32" s="68" t="e">
        <f ca="1">_xll.ciqfunctions.udf.CIQ($A32, "IQ_TOTAL_REV", IQ_LTM, $L$2, $L$4, $L$3, $L$5, $L$6)</f>
        <v>#NAME?</v>
      </c>
      <c r="R32" s="68" t="e">
        <f ca="1">_xll.ciqfunctions.udf.CIQ($A32, "IQ_TOTAL_REV", $B$2, $L$2, $L$4, $L$3, $L$5, $L$6)</f>
        <v>#NAME?</v>
      </c>
      <c r="S32" s="68" t="e">
        <f ca="1">IF(_xll.ciqfunctions.udf.CIQ($A32, "IQ_TOTAL_REV", $B$3, $L$2,$L$4, $L$3, $L$5, $L$6)=0,Q32,_xll.ciqfunctions.udf.CIQ($A32, "IQ_TOTAL_REV", $B$3, $L$2,$L$4, $L$3, $L$5, $L$6))</f>
        <v>#NAME?</v>
      </c>
      <c r="T32" s="68" t="e">
        <f ca="1">IF(_xll.ciqfunctions.udf.CIQ($A32, "IQ_REVENUE_EST",$B$4, $L$2, "CON", $L$3, $L$5, $L$6)=0,"n/a",_xll.ciqfunctions.udf.CIQ($A32, "IQ_REVENUE_EST",$B$4, $L$2, "CON", $L$3, $L$5, $L$6))</f>
        <v>#NAME?</v>
      </c>
      <c r="U32" s="68" t="e">
        <f ca="1">IF(_xll.ciqfunctions.udf.CIQ($A32, "IQ_REVENUE_EST",$B$5, $L$2, "CON", $L$3, $L$5, $L$6)=0,"n/a",_xll.ciqfunctions.udf.CIQ($A32, "IQ_REVENUE_EST",$B$5, $L$2, "CON", $L$3, $L$5, $L$6))</f>
        <v>#NAME?</v>
      </c>
      <c r="V32" s="68" t="e">
        <f ca="1">IF(_xll.ciqfunctions.udf.CIQ($A32, "IQ_REVENUE_EST",$B$6, $L$2, "CON", $L$3, $L$5, $L$6)=0,"n/a",_xll.ciqfunctions.udf.CIQ($A32, "IQ_REVENUE_EST",$B$6, $L$2, "CON", $L$3, $L$5, $L$6))</f>
        <v>#NAME?</v>
      </c>
      <c r="W32" s="68" t="e">
        <f ca="1">IF(_xll.ciqfunctions.udf.CIQ($A32, "IQ_REVENUE_EST", $B$7, $L$2, "CON", $L$3, $L$5, $L$6)=0,"n/a",_xll.ciqfunctions.udf.CIQ($A32, "IQ_REVENUE_EST",$B$7, $L$2, "CON", $L$3, $L$5, $L$6))</f>
        <v>#NAME?</v>
      </c>
      <c r="X32" s="68" t="e">
        <f ca="1">_xll.ciqfunctions.udf.CIQ($A32, "IQ_EBITDA", IQ_LTM-8, $L$2, $L$4, $L$3, $L$5, $L$6)</f>
        <v>#NAME?</v>
      </c>
      <c r="Y32" s="68" t="e">
        <f ca="1">_xll.ciqfunctions.udf.CIQ($A32, "IQ_EBITDA", IQ_LTM-4, $L$2,$L$4, $L$3, $L$5, $L$6)</f>
        <v>#NAME?</v>
      </c>
      <c r="Z32" s="68" t="e">
        <f ca="1">_xll.ciqfunctions.udf.CIQ($A32, "IQ_EBITDA", IQ_LTM, $L$2, $L$4, $L$3, $L$5, $L$6)</f>
        <v>#NAME?</v>
      </c>
      <c r="AA32" s="68" t="e">
        <f ca="1">_xll.ciqfunctions.udf.CIQ($A32, "IQ_EBITDA", $B$2, $L$2, $L$4, $L$3, $L$5, $L$6)</f>
        <v>#NAME?</v>
      </c>
      <c r="AB32" s="68" t="e">
        <f ca="1">IF(_xll.ciqfunctions.udf.CIQ($A32, "IQ_EBITDA", $B$3, $L$2,$L$4, $L$3, $L$5, $L$6)=0,Z32,_xll.ciqfunctions.udf.CIQ($A32, "IQ_EBITDA", $B$3, $L$2,$L$4, $L$3, $L$5, $L$6))</f>
        <v>#NAME?</v>
      </c>
      <c r="AC32" s="68" t="e">
        <f ca="1">IF(_xll.ciqfunctions.udf.CIQ($A32, "IQ_EBITDA_EST",$B$4, $L$2, "CON", $L$3, $L$5, $L$6)=0,"n/a",_xll.ciqfunctions.udf.CIQ($A32, "IQ_EBITDA_EST",$B$4, $L$2, "CON", $L$3, $L$5, $L$6))</f>
        <v>#NAME?</v>
      </c>
      <c r="AD32" s="68" t="e">
        <f ca="1">IF(_xll.ciqfunctions.udf.CIQ($A32, "IQ_EBITDA_EST",$B$5, $L$2, "CON", $L$3, $L$5, $L$6)=0,"n/a",_xll.ciqfunctions.udf.CIQ($A32, "IQ_EBITDA_EST",$B$5, $L$2, "CON", $L$3, $L$5, $L$6))</f>
        <v>#NAME?</v>
      </c>
      <c r="AE32" s="68" t="e">
        <f ca="1">IF(_xll.ciqfunctions.udf.CIQ($A32, "IQ_EBITDA_EST",$B$6, $L$2, "CON", $L$3, $L$5, $L$6)=0,"n/a",_xll.ciqfunctions.udf.CIQ($A32, "IQ_EBITDA_EST",$B$6, $L$2, "CON", $L$3, $L$5, $L$6))</f>
        <v>#NAME?</v>
      </c>
      <c r="AF32" s="69" t="str">
        <f ca="1">IF(ISERROR(_xll.ciqfunctions.udf.CIQ($A32, "IQ_GROSS_MARGIN", IQ_LTM, $L$2,$L$4, $L$3, $L$5, $L$6)/100), "n/a", _xll.ciqfunctions.udf.CIQ($A32,  "IQ_GROSS_MARGIN", IQ_LTM, $L$2, $L$4, $L$3, $L$5, $L$6)/100)</f>
        <v>n/a</v>
      </c>
      <c r="AG32" s="69" t="str">
        <f ca="1">IF(ISERROR(_xll.ciqfunctions.udf.CIQ($A32,"IQ_EBITDA_MARGIN", IQ_LTM, $L$2, $L$4, $L$3, $L$5, $L$6)/100), "n/a", _xll.ciqfunctions.udf.CIQ($A32, "IQ_EBITDA_MARGIN", IQ_LTM, $L$2, $L$4, $L$3, $L$5, $L$6)/100)</f>
        <v>n/a</v>
      </c>
      <c r="AH32" s="69" t="str">
        <f ca="1">IF(ISERROR(_xll.ciqfunctions.udf.CIQ($A32,"IQ_EBIT_MARGIN", IQ_LTM, $L$2, $L$4, $L$3, $L$5, $L$6)/100), "n/a", _xll.ciqfunctions.udf.CIQ($A32, "IQ_EBIT_MARGIN", IQ_LTM, $L$2, $L$4, $L$3, $L$5, $L$6)/100)</f>
        <v>n/a</v>
      </c>
      <c r="AI32" s="69" t="str">
        <f ca="1">IF(ISERROR(_xll.ciqfunctions.udf.CIQ($A32,"IQ_NI_MARGIN", IQ_LTM, $L$2, $L$4, $L$3, $L$5, $L$6)/100), "n/a", _xll.ciqfunctions.udf.CIQ($A32, "IQ_NI_MARGIN", IQ_LTM, $L$2, $L$4, $L$3, $L$5, $L$6)/100)</f>
        <v>n/a</v>
      </c>
      <c r="AJ32" s="68" t="str">
        <f ca="1">IF(ISERROR(_xll.ciqfunctions.udf.CIQ($A32, "IQ_NET_WORKING_CAP", IQ_LTM-8, $L$2, $L$4, $L$3, $L$5, $L$6)), "n/a", _xll.ciqfunctions.udf.CIQ($A32, "IQ_NET_WORKING_CAP", IQ_LTM-8, $L$2, $L$4, $L$3, $L$5, $L$6))</f>
        <v>n/a</v>
      </c>
      <c r="AK32" s="68" t="str">
        <f ca="1">IF(ISERROR(_xll.ciqfunctions.udf.CIQ($A32, "IQ_NET_WORKING_CAP", IQ_LTM-4, $L$2, $L$4, $L$3, $L$5, $L$6)), "n/a", _xll.ciqfunctions.udf.CIQ($A32, "IQ_NET_WORKING_CAP", IQ_LTM-4, $L$2, $L$4, $L$3, $L$5, $L$6))</f>
        <v>n/a</v>
      </c>
      <c r="AL32" s="68" t="str">
        <f ca="1">IF(ISERROR(_xll.ciqfunctions.udf.CIQ($A32, "IQ_NET_WORKING_CAP", IQ_LTM, $L$2,$L$4, $L$3, $L$5, $L$6)), "n/a", _xll.ciqfunctions.udf.CIQ($A32, "IQ_NET_WORKING_CAP", IQ_LTM, $L$2, $L$4, $L$3, $L$5, $L$6))</f>
        <v>n/a</v>
      </c>
      <c r="AM32" s="68" t="str">
        <f ca="1">IF(ISERROR(_xll.ciqfunctions.udf.CIQ($A32, "IQ_Capex", IQ_LTM-8, $L$2,$L$4, $L$3, $L$5, $L$6)), "n/a", _xll.ciqfunctions.udf.CIQ($A32, "IQ_Capex", IQ_LTM-8, $L$2, $L$4, $L$3, $L$5, $L$6))</f>
        <v>n/a</v>
      </c>
      <c r="AN32" s="68" t="str">
        <f ca="1">IF(ISERROR(_xll.ciqfunctions.udf.CIQ($A32, "IQ_Capex", IQ_LTM-4, $L$2,$L$4, $L$3, $L$5, $L$6)), "n/a", _xll.ciqfunctions.udf.CIQ($A32, "IQ_Capex", IQ_LTM-4, $L$2,$L$4, $L$3, $L$5, $L$6))</f>
        <v>n/a</v>
      </c>
      <c r="AO32" s="68" t="str">
        <f ca="1">IF(ISERROR(_xll.ciqfunctions.udf.CIQ($A32, "IQ_Capex", IQ_LTM, $L$2, $L$4, $L$3, $L$5, $L$6)), "n/a", _xll.ciqfunctions.udf.CIQ($A32, "IQ_Capex", IQ_LTM, $L$2, $L$4, $L$3, $L$5, $L$6))</f>
        <v>n/a</v>
      </c>
      <c r="AP32" s="70" t="e">
        <f ca="1">_xll.ciqfunctions.udf.CIQ(A32, "IQ_BUSINESS_DESCRIPTION")</f>
        <v>#NAME?</v>
      </c>
      <c r="AQ32" s="71" t="e">
        <f ca="1">_xll.ciqfunctions.udf.CIQ($A32, "IQ_BETA_1YR", $B$1)</f>
        <v>#NAME?</v>
      </c>
      <c r="AR32" s="71" t="e">
        <f ca="1">_xll.ciqfunctions.udf.CIQ($A32, "IQ_BETA_2YR", $B$1)</f>
        <v>#NAME?</v>
      </c>
      <c r="AS32" s="71" t="e">
        <f ca="1">_xll.ciqfunctions.udf.CIQ($A32, "IQ_BETA_5YR", $B$1)</f>
        <v>#NAME?</v>
      </c>
      <c r="AT32" s="69" t="e">
        <f ca="1">_xll.ciqfunctions.udf.CIQ($A32, "IQ_DIVIDEND_YIELD", $B$1)/100</f>
        <v>#NAME?</v>
      </c>
      <c r="AU32" s="68" t="e">
        <f ca="1">_xll.ciqfunctions.udf.CIQ($A32, "IQ_EARNING_CO", IQ_LTM-8, $L$2, $L$4, $L$3, $L$5, $L$6)</f>
        <v>#NAME?</v>
      </c>
      <c r="AV32" s="68" t="e">
        <f ca="1">_xll.ciqfunctions.udf.CIQ($A32, "IQ_EARNING_CO", IQ_LTM-4, $L$2, $L$4, $L$3, $L$5, $L$6)</f>
        <v>#NAME?</v>
      </c>
      <c r="AW32" s="68" t="e">
        <f ca="1">_xll.ciqfunctions.udf.CIQ($A32, "IQ_EARNING_CO", IQ_LTM, $L$2, $L$4, $L$3, $L$5, $L$6)</f>
        <v>#NAME?</v>
      </c>
      <c r="AX32" s="68" t="e">
        <f ca="1">_xll.ciqfunctions.udf.CIQ($A32, "IQ_EARNING_CO", $B$2, $L$2, $L$4, $L$3, $L$5, $L$6)</f>
        <v>#NAME?</v>
      </c>
      <c r="AY32" s="68" t="e">
        <f ca="1">IF(_xll.ciqfunctions.udf.CIQ($A32, "IQ_EARNING_CO", $B$3, $L$2,$L$4, $L$3, $L$5, $L$6)=0,AW32,_xll.ciqfunctions.udf.CIQ($A32, "IQ_EARNING_CO", $B$3, $L$2,$L$4, $L$3, $L$5, $L$6))</f>
        <v>#NAME?</v>
      </c>
      <c r="AZ32" s="68" t="e">
        <f ca="1">_xll.ciqfunctions.udf.CIQ($A32, "IQ_TOTAL_EQUITY", IQ_LTM-8, $L$2, $L$4, $L$3, $L$5, $L$6)</f>
        <v>#NAME?</v>
      </c>
      <c r="BA32" s="68" t="e">
        <f ca="1">_xll.ciqfunctions.udf.CIQ($A32, "IQ_TOTAL_EQUITY", IQ_LTM-4, $L$2, $L$4, $L$3, $L$5, $L$6)</f>
        <v>#NAME?</v>
      </c>
      <c r="BB32" s="68" t="e">
        <f ca="1">_xll.ciqfunctions.udf.CIQ($A32, "IQ_TOTAL_EQUITY", IQ_LTM, $L$2, $L$4, $L$3, $L$5, $L$6)</f>
        <v>#NAME?</v>
      </c>
      <c r="BC32" s="68" t="e">
        <f ca="1">_xll.ciqfunctions.udf.CIQ($A32, "IQ_TOTAL_EQUITY", $B$2, $L$2, $L$4, $L$3, $L$5, $L$6)</f>
        <v>#NAME?</v>
      </c>
      <c r="BD32" s="68" t="e">
        <f ca="1">IF(_xll.ciqfunctions.udf.CIQ($A32, "IQ_TOTAL_EQUITY", $B$3, $L$2,$L$4, $L$3, $L$5, $L$6)=0,BB32,_xll.ciqfunctions.udf.CIQ($A32, "IQ_TOTAL_EQUITY", $B$3, $L$2,$L$4, $L$3, $L$5, $L$6))</f>
        <v>#NAME?</v>
      </c>
      <c r="BE32" s="68" t="e">
        <f ca="1">_xll.ciqfunctions.udf.CIQ(A32, "IQ_LASTSALEPRICE", $B$8)</f>
        <v>#NAME?</v>
      </c>
      <c r="BF32" s="68" t="e">
        <f ca="1">_xll.ciqfunctions.udf.CIQ($A32, "IQ_MARKETCAP", $B$8, $L$5, $L$6)</f>
        <v>#NAME?</v>
      </c>
      <c r="BG32" s="68" t="e">
        <f ca="1">_xll.ciqfunctions.udf.CIQ($A32, "IQ_TOTAL_DEBT", IQ_LTM, $B$8,$L$4, $L$3, $L$5, $L$6)</f>
        <v>#NAME?</v>
      </c>
      <c r="BH32" s="44" t="e">
        <f ca="1">_xll.ciqfunctions.udf.CIQ($A32,"IQ_PREF_EQUITY",IQ_LTM,$B$8,$L$4,$L$3,$L$5,$L$6)</f>
        <v>#NAME?</v>
      </c>
      <c r="BI32" s="44" t="e">
        <f ca="1">_xll.ciqfunctions.udf.CIQ($A32, "IQ_MINORITY_INTEREST_TOTAL", IQ_LTM,$B$8,$L$4,$L$3,$L$5,$L$6)</f>
        <v>#NAME?</v>
      </c>
      <c r="BJ32" s="68" t="e">
        <f ca="1">_xll.ciqfunctions.udf.CIQ($A32, "IQ_CASH_ST_INVEST", IQ_LTM, $B$8, $L$4, $L$3, $L$5, $L$6)</f>
        <v>#NAME?</v>
      </c>
      <c r="BK32" s="44" t="e">
        <f ca="1">_xll.ciqfunctions.udf.CIQ($A32, "IQ_EFFECT_TAX_RATE")</f>
        <v>#NAME?</v>
      </c>
      <c r="BL32" s="44" t="e">
        <f ca="1">IF(_xll.ciqfunctions.udf.CIQ($A32, "IQ_TOTAL_REV_2YR_ANN_CAGR", IQ_LTM, $B$1,$L$4, $L$3, $L$5, $L$6)="NM","n/a",(_xll.ciqfunctions.udf.CIQ($A32, "IQ_TOTAL_REV_2YR_ANN_CAGR", IQ_LTM, $B$1,$L$4, $L$3, $L$5, $L$6)/100))</f>
        <v>#NAME?</v>
      </c>
      <c r="BM32" s="44" t="e">
        <f ca="1">IF(_xll.ciqfunctions.udf.CIQ($A32, "IQ_TOTAL_REV_3YR_ANN_CAGR", IQ_LTM, $B$1,$L$4, $L$3, $L$5, $L$6)="NM","n/a",(_xll.ciqfunctions.udf.CIQ($A32, "IQ_TOTAL_REV_3YR_ANN_CAGR", IQ_LTM, $B$1,$L$4, $L$3, $L$5, $L$6)/100))</f>
        <v>#NAME?</v>
      </c>
      <c r="BN32" s="44" t="e">
        <f ca="1">IF(_xll.ciqfunctions.udf.CIQ($A32, "IQ_TOTAL_REV_5YR_ANN_CAGR", IQ_LTM, $B$1,$L$4, $L$3, $L$5, $L$6)="NM","n/a",(_xll.ciqfunctions.udf.CIQ($A32, "IQ_TOTAL_REV_5YR_ANN_CAGR", IQ_LTM, $B$1,$L$4, $L$3, $L$5, $L$6)/100))</f>
        <v>#NAME?</v>
      </c>
      <c r="BO32" s="44" t="e">
        <f ca="1">IF(_xll.ciqfunctions.udf.CIQ($A32,"IQ_EBITDA_2YR_ANN_CAGR", IQ_LTM,$B$1,$L$4, $L$3, $L$5, $L$6)="NM","n/a",(_xll.ciqfunctions.udf.CIQ($A32,"IQ_EBITDA_2YR_ANN_CAGR", IQ_LTM,$B$1,$L$4, $L$3, $L$5, $L$6)/100))</f>
        <v>#NAME?</v>
      </c>
      <c r="BP32" s="44" t="e">
        <f ca="1">IF(_xll.ciqfunctions.udf.CIQ($A32,"IQ_EBITDA_3YR_ANN_CAGR", IQ_LTM,$B$1,$L$4, $L$3, $L$5, $L$6)="NM","n/a",(_xll.ciqfunctions.udf.CIQ($A32,"IQ_EBITDA_3YR_ANN_CAGR", IQ_LTM,$B$1,$L$4, $L$3, $L$5, $L$6)/100))</f>
        <v>#NAME?</v>
      </c>
      <c r="BQ32" s="44" t="e">
        <f ca="1">IF(_xll.ciqfunctions.udf.CIQ($A32,"IQ_EBITDA_5YR_ANN_CAGR", IQ_LTM,$B$1,$L$4, $L$3, $L$5, $L$6)="NM","n/a",(_xll.ciqfunctions.udf.CIQ($A32,"IQ_EBITDA_5YR_ANN_CAGR", IQ_LTM,$B$1,$L$4, $L$3, $L$5, $L$6)/100))</f>
        <v>#NAME?</v>
      </c>
      <c r="BR32" s="48" t="str">
        <f ca="1">IFERROR((_xll.ciqfunctions.udf.CIQ($A32, "IQ_DA_CF", IQ_LTM, $B$1, $L$4, $L$3, $L$5, $L$6)/Q32),"NM")</f>
        <v>NM</v>
      </c>
      <c r="BS32" s="72" t="e">
        <f>'Capital IQ Sheet-GPC'!BS32</f>
        <v>#VALUE!</v>
      </c>
      <c r="BT32" s="72" t="e">
        <f>'Capital IQ Sheet-GPC'!BT32</f>
        <v>#VALUE!</v>
      </c>
      <c r="BU32" s="72" t="e">
        <f>'Capital IQ Sheet-GPC'!BU32</f>
        <v>#VALUE!</v>
      </c>
      <c r="BV32" s="72" t="e">
        <f>'Capital IQ Sheet-GPC'!BV32</f>
        <v>#VALUE!</v>
      </c>
      <c r="BW32" s="72" t="e">
        <f>'Capital IQ Sheet-GPC'!BW32</f>
        <v>#VALUE!</v>
      </c>
      <c r="BX32" s="72" t="e">
        <f>'Capital IQ Sheet-GPC'!BX32</f>
        <v>#VALUE!</v>
      </c>
      <c r="BY32" s="72" t="e">
        <f>'Capital IQ Sheet-GPC'!BY32</f>
        <v>#VALUE!</v>
      </c>
      <c r="BZ32" s="72" t="e">
        <f>'Capital IQ Sheet-GPC'!BZ32</f>
        <v>#VALUE!</v>
      </c>
      <c r="CB32" s="44">
        <v>2</v>
      </c>
      <c r="CC32" s="112" t="s">
        <v>269</v>
      </c>
      <c r="CD32" s="112" t="s">
        <v>268</v>
      </c>
      <c r="CE32" s="46">
        <f t="shared" si="1"/>
        <v>42766</v>
      </c>
    </row>
    <row r="33" spans="1:83" s="44" customFormat="1" ht="12.75">
      <c r="A33" s="45" t="e">
        <f ca="1">_xll.ciqfunctions.udf.CIQ($B33,"IQ_COMPANY_TICKER")</f>
        <v>#NAME?</v>
      </c>
      <c r="B33" s="67" t="str">
        <f>'Capital IQ Sheet-GPC'!B33</f>
        <v>(Invalid Identifier)</v>
      </c>
      <c r="C33" s="45" t="e">
        <f ca="1">_xll.ciqfunctions.udf.CIQ($A33,"IQ_COMPANY_NAME")</f>
        <v>#NAME?</v>
      </c>
      <c r="D33" s="45" t="e">
        <f ca="1">_xll.ciqfunctions.udf.CIQ($A33, "IQ_EXCHANGE")</f>
        <v>#NAME?</v>
      </c>
      <c r="E33" s="66" t="e">
        <f ca="1">_xll.ciqfunctions.udf.CIQ($A33, "IQ_PERIODDATE_IS", IQ_FY)</f>
        <v>#NAME?</v>
      </c>
      <c r="F33" s="66" t="e">
        <f ca="1">_xll.ciqfunctions.udf.CIQ(A33, "IQ_PERIODDATE_IS", IQ_LTM, $B$1,$L$4,$L$3)</f>
        <v>#NAME?</v>
      </c>
      <c r="G33" s="66" t="e">
        <f ca="1">_xll.ciqfunctions.udf.CIQ($A33, "IQ_FIRSTPRICINGDATE")</f>
        <v>#NAME?</v>
      </c>
      <c r="H33" s="68" t="e">
        <f ca="1">_xll.ciqfunctions.udf.CIQ($A33, "IQ_TEV", $L$2, $L$5, $L$6)</f>
        <v>#NAME?</v>
      </c>
      <c r="I33" s="68" t="e">
        <f ca="1">_xll.ciqfunctions.udf.CIQ(A33, "IQ_LASTSALEPRICE", $B$1,$L$5)</f>
        <v>#NAME?</v>
      </c>
      <c r="J33" s="68" t="e">
        <f ca="1">_xll.ciqfunctions.udf.CIQ($A33, "IQ_MARKETCAP", $L$2, $L$5, $L$6)</f>
        <v>#NAME?</v>
      </c>
      <c r="K33" s="68" t="e">
        <f ca="1">_xll.ciqfunctions.udf.CIQ($A33, "IQ_TOTAL_DEBT", IQ_LTM, $L$2,$L$4, $L$3, $L$5, $L$6)</f>
        <v>#NAME?</v>
      </c>
      <c r="L33" s="68" t="e">
        <f ca="1">_xll.ciqfunctions.udf.CIQ($A33, "IQ_PREF_EQUITY", IQ_LTM, $L$2, $L$4, $L$3, $L$5, $L$6)</f>
        <v>#NAME?</v>
      </c>
      <c r="M33" s="68" t="e">
        <f ca="1">_xll.ciqfunctions.udf.CIQ($A33, "IQ_MINORITY_INTEREST_TOTAL", IQ_LTM, $L$2, $L$4, $L$3, $L$5, $L$6)</f>
        <v>#NAME?</v>
      </c>
      <c r="N33" s="68" t="e">
        <f ca="1">_xll.ciqfunctions.udf.CIQ($A33, "IQ_CASH_ST_INVEST", IQ_LTM, $L$2, $L$4, $L$3, $L$5, $L$6)</f>
        <v>#NAME?</v>
      </c>
      <c r="O33" s="68" t="e">
        <f ca="1">_xll.ciqfunctions.udf.CIQ($A33, "IQ_TOTAL_REV", IQ_LTM-8, $L$2, $L$4, $L$3, $L$5, $L$6)</f>
        <v>#NAME?</v>
      </c>
      <c r="P33" s="68" t="e">
        <f ca="1">_xll.ciqfunctions.udf.CIQ($A33, "IQ_TOTAL_REV", IQ_LTM - 4, $L$2, $L$4, $L$3, $L$5,$L$6)</f>
        <v>#NAME?</v>
      </c>
      <c r="Q33" s="68" t="e">
        <f ca="1">_xll.ciqfunctions.udf.CIQ($A33, "IQ_TOTAL_REV", IQ_LTM, $L$2, $L$4, $L$3, $L$5, $L$6)</f>
        <v>#NAME?</v>
      </c>
      <c r="R33" s="68" t="e">
        <f ca="1">_xll.ciqfunctions.udf.CIQ($A33, "IQ_TOTAL_REV", $B$2, $L$2, $L$4, $L$3, $L$5, $L$6)</f>
        <v>#NAME?</v>
      </c>
      <c r="S33" s="68" t="e">
        <f ca="1">IF(_xll.ciqfunctions.udf.CIQ($A33, "IQ_TOTAL_REV", $B$3, $L$2,$L$4, $L$3, $L$5, $L$6)=0,Q33,_xll.ciqfunctions.udf.CIQ($A33, "IQ_TOTAL_REV", $B$3, $L$2,$L$4, $L$3, $L$5, $L$6))</f>
        <v>#NAME?</v>
      </c>
      <c r="T33" s="68" t="e">
        <f ca="1">IF(_xll.ciqfunctions.udf.CIQ($A33, "IQ_REVENUE_EST",$B$4, $L$2, "CON", $L$3, $L$5, $L$6)=0,"n/a",_xll.ciqfunctions.udf.CIQ($A33, "IQ_REVENUE_EST",$B$4, $L$2, "CON", $L$3, $L$5, $L$6))</f>
        <v>#NAME?</v>
      </c>
      <c r="U33" s="68" t="e">
        <f ca="1">IF(_xll.ciqfunctions.udf.CIQ($A33, "IQ_REVENUE_EST",$B$5, $L$2, "CON", $L$3, $L$5, $L$6)=0,"n/a",_xll.ciqfunctions.udf.CIQ($A33, "IQ_REVENUE_EST",$B$5, $L$2, "CON", $L$3, $L$5, $L$6))</f>
        <v>#NAME?</v>
      </c>
      <c r="V33" s="68" t="e">
        <f ca="1">IF(_xll.ciqfunctions.udf.CIQ($A33, "IQ_REVENUE_EST",$B$6, $L$2, "CON", $L$3, $L$5, $L$6)=0,"n/a",_xll.ciqfunctions.udf.CIQ($A33, "IQ_REVENUE_EST",$B$6, $L$2, "CON", $L$3, $L$5, $L$6))</f>
        <v>#NAME?</v>
      </c>
      <c r="W33" s="68" t="e">
        <f ca="1">IF(_xll.ciqfunctions.udf.CIQ($A33, "IQ_REVENUE_EST", $B$7, $L$2, "CON", $L$3, $L$5, $L$6)=0,"n/a",_xll.ciqfunctions.udf.CIQ($A33, "IQ_REVENUE_EST",$B$7, $L$2, "CON", $L$3, $L$5, $L$6))</f>
        <v>#NAME?</v>
      </c>
      <c r="X33" s="68" t="e">
        <f ca="1">_xll.ciqfunctions.udf.CIQ($A33, "IQ_EBITDA", IQ_LTM-8, $L$2, $L$4, $L$3, $L$5, $L$6)</f>
        <v>#NAME?</v>
      </c>
      <c r="Y33" s="68" t="e">
        <f ca="1">_xll.ciqfunctions.udf.CIQ($A33, "IQ_EBITDA", IQ_LTM-4, $L$2,$L$4, $L$3, $L$5, $L$6)</f>
        <v>#NAME?</v>
      </c>
      <c r="Z33" s="68" t="e">
        <f ca="1">_xll.ciqfunctions.udf.CIQ($A33, "IQ_EBITDA", IQ_LTM, $L$2, $L$4, $L$3, $L$5, $L$6)</f>
        <v>#NAME?</v>
      </c>
      <c r="AA33" s="68" t="e">
        <f ca="1">_xll.ciqfunctions.udf.CIQ($A33, "IQ_EBITDA", $B$2, $L$2, $L$4, $L$3, $L$5, $L$6)</f>
        <v>#NAME?</v>
      </c>
      <c r="AB33" s="68" t="e">
        <f ca="1">IF(_xll.ciqfunctions.udf.CIQ($A33, "IQ_EBITDA", $B$3, $L$2,$L$4, $L$3, $L$5, $L$6)=0,Z33,_xll.ciqfunctions.udf.CIQ($A33, "IQ_EBITDA", $B$3, $L$2,$L$4, $L$3, $L$5, $L$6))</f>
        <v>#NAME?</v>
      </c>
      <c r="AC33" s="68" t="e">
        <f ca="1">IF(_xll.ciqfunctions.udf.CIQ($A33, "IQ_EBITDA_EST",$B$4, $L$2, "CON", $L$3, $L$5, $L$6)=0,"n/a",_xll.ciqfunctions.udf.CIQ($A33, "IQ_EBITDA_EST",$B$4, $L$2, "CON", $L$3, $L$5, $L$6))</f>
        <v>#NAME?</v>
      </c>
      <c r="AD33" s="68" t="e">
        <f ca="1">IF(_xll.ciqfunctions.udf.CIQ($A33, "IQ_EBITDA_EST",$B$5, $L$2, "CON", $L$3, $L$5, $L$6)=0,"n/a",_xll.ciqfunctions.udf.CIQ($A33, "IQ_EBITDA_EST",$B$5, $L$2, "CON", $L$3, $L$5, $L$6))</f>
        <v>#NAME?</v>
      </c>
      <c r="AE33" s="68" t="e">
        <f ca="1">IF(_xll.ciqfunctions.udf.CIQ($A33, "IQ_EBITDA_EST",$B$6, $L$2, "CON", $L$3, $L$5, $L$6)=0,"n/a",_xll.ciqfunctions.udf.CIQ($A33, "IQ_EBITDA_EST",$B$6, $L$2, "CON", $L$3, $L$5, $L$6))</f>
        <v>#NAME?</v>
      </c>
      <c r="AF33" s="69" t="str">
        <f ca="1">IF(ISERROR(_xll.ciqfunctions.udf.CIQ($A33, "IQ_GROSS_MARGIN", IQ_LTM, $L$2,$L$4, $L$3, $L$5, $L$6)/100), "n/a", _xll.ciqfunctions.udf.CIQ($A33,  "IQ_GROSS_MARGIN", IQ_LTM, $L$2, $L$4, $L$3, $L$5, $L$6)/100)</f>
        <v>n/a</v>
      </c>
      <c r="AG33" s="69" t="str">
        <f ca="1">IF(ISERROR(_xll.ciqfunctions.udf.CIQ($A33,"IQ_EBITDA_MARGIN", IQ_LTM, $L$2, $L$4, $L$3, $L$5, $L$6)/100), "n/a", _xll.ciqfunctions.udf.CIQ($A33, "IQ_EBITDA_MARGIN", IQ_LTM, $L$2, $L$4, $L$3, $L$5, $L$6)/100)</f>
        <v>n/a</v>
      </c>
      <c r="AH33" s="69" t="str">
        <f ca="1">IF(ISERROR(_xll.ciqfunctions.udf.CIQ($A33,"IQ_EBIT_MARGIN", IQ_LTM, $L$2, $L$4, $L$3, $L$5, $L$6)/100), "n/a", _xll.ciqfunctions.udf.CIQ($A33, "IQ_EBIT_MARGIN", IQ_LTM, $L$2, $L$4, $L$3, $L$5, $L$6)/100)</f>
        <v>n/a</v>
      </c>
      <c r="AI33" s="69" t="str">
        <f ca="1">IF(ISERROR(_xll.ciqfunctions.udf.CIQ($A33,"IQ_NI_MARGIN", IQ_LTM, $L$2, $L$4, $L$3, $L$5, $L$6)/100), "n/a", _xll.ciqfunctions.udf.CIQ($A33, "IQ_NI_MARGIN", IQ_LTM, $L$2, $L$4, $L$3, $L$5, $L$6)/100)</f>
        <v>n/a</v>
      </c>
      <c r="AJ33" s="68" t="str">
        <f ca="1">IF(ISERROR(_xll.ciqfunctions.udf.CIQ($A33, "IQ_NET_WORKING_CAP", IQ_LTM-8, $L$2, $L$4, $L$3, $L$5, $L$6)), "n/a", _xll.ciqfunctions.udf.CIQ($A33, "IQ_NET_WORKING_CAP", IQ_LTM-8, $L$2, $L$4, $L$3, $L$5, $L$6))</f>
        <v>n/a</v>
      </c>
      <c r="AK33" s="68" t="str">
        <f ca="1">IF(ISERROR(_xll.ciqfunctions.udf.CIQ($A33, "IQ_NET_WORKING_CAP", IQ_LTM-4, $L$2, $L$4, $L$3, $L$5, $L$6)), "n/a", _xll.ciqfunctions.udf.CIQ($A33, "IQ_NET_WORKING_CAP", IQ_LTM-4, $L$2, $L$4, $L$3, $L$5, $L$6))</f>
        <v>n/a</v>
      </c>
      <c r="AL33" s="68" t="str">
        <f ca="1">IF(ISERROR(_xll.ciqfunctions.udf.CIQ($A33, "IQ_NET_WORKING_CAP", IQ_LTM, $L$2,$L$4, $L$3, $L$5, $L$6)), "n/a", _xll.ciqfunctions.udf.CIQ($A33, "IQ_NET_WORKING_CAP", IQ_LTM, $L$2, $L$4, $L$3, $L$5, $L$6))</f>
        <v>n/a</v>
      </c>
      <c r="AM33" s="68" t="str">
        <f ca="1">IF(ISERROR(_xll.ciqfunctions.udf.CIQ($A33, "IQ_Capex", IQ_LTM-8, $L$2,$L$4, $L$3, $L$5, $L$6)), "n/a", _xll.ciqfunctions.udf.CIQ($A33, "IQ_Capex", IQ_LTM-8, $L$2, $L$4, $L$3, $L$5, $L$6))</f>
        <v>n/a</v>
      </c>
      <c r="AN33" s="68" t="str">
        <f ca="1">IF(ISERROR(_xll.ciqfunctions.udf.CIQ($A33, "IQ_Capex", IQ_LTM-4, $L$2,$L$4, $L$3, $L$5, $L$6)), "n/a", _xll.ciqfunctions.udf.CIQ($A33, "IQ_Capex", IQ_LTM-4, $L$2,$L$4, $L$3, $L$5, $L$6))</f>
        <v>n/a</v>
      </c>
      <c r="AO33" s="68" t="str">
        <f ca="1">IF(ISERROR(_xll.ciqfunctions.udf.CIQ($A33, "IQ_Capex", IQ_LTM, $L$2, $L$4, $L$3, $L$5, $L$6)), "n/a", _xll.ciqfunctions.udf.CIQ($A33, "IQ_Capex", IQ_LTM, $L$2, $L$4, $L$3, $L$5, $L$6))</f>
        <v>n/a</v>
      </c>
      <c r="AP33" s="70" t="e">
        <f ca="1">_xll.ciqfunctions.udf.CIQ(A33, "IQ_BUSINESS_DESCRIPTION")</f>
        <v>#NAME?</v>
      </c>
      <c r="AQ33" s="71" t="e">
        <f ca="1">_xll.ciqfunctions.udf.CIQ($A33, "IQ_BETA_1YR", $B$1)</f>
        <v>#NAME?</v>
      </c>
      <c r="AR33" s="71" t="e">
        <f ca="1">_xll.ciqfunctions.udf.CIQ($A33, "IQ_BETA_2YR", $B$1)</f>
        <v>#NAME?</v>
      </c>
      <c r="AS33" s="71" t="e">
        <f ca="1">_xll.ciqfunctions.udf.CIQ($A33, "IQ_BETA_5YR", $B$1)</f>
        <v>#NAME?</v>
      </c>
      <c r="AT33" s="69" t="e">
        <f ca="1">_xll.ciqfunctions.udf.CIQ($A33, "IQ_DIVIDEND_YIELD", $B$1)/100</f>
        <v>#NAME?</v>
      </c>
      <c r="AU33" s="68" t="e">
        <f ca="1">_xll.ciqfunctions.udf.CIQ($A33, "IQ_EARNING_CO", IQ_LTM-8, $L$2, $L$4, $L$3, $L$5, $L$6)</f>
        <v>#NAME?</v>
      </c>
      <c r="AV33" s="68" t="e">
        <f ca="1">_xll.ciqfunctions.udf.CIQ($A33, "IQ_EARNING_CO", IQ_LTM-4, $L$2, $L$4, $L$3, $L$5, $L$6)</f>
        <v>#NAME?</v>
      </c>
      <c r="AW33" s="68" t="e">
        <f ca="1">_xll.ciqfunctions.udf.CIQ($A33, "IQ_EARNING_CO", IQ_LTM, $L$2, $L$4, $L$3, $L$5, $L$6)</f>
        <v>#NAME?</v>
      </c>
      <c r="AX33" s="68" t="e">
        <f ca="1">_xll.ciqfunctions.udf.CIQ($A33, "IQ_EARNING_CO", $B$2, $L$2, $L$4, $L$3, $L$5, $L$6)</f>
        <v>#NAME?</v>
      </c>
      <c r="AY33" s="68" t="e">
        <f ca="1">IF(_xll.ciqfunctions.udf.CIQ($A33, "IQ_EARNING_CO", $B$3, $L$2,$L$4, $L$3, $L$5, $L$6)=0,AW33,_xll.ciqfunctions.udf.CIQ($A33, "IQ_EARNING_CO", $B$3, $L$2,$L$4, $L$3, $L$5, $L$6))</f>
        <v>#NAME?</v>
      </c>
      <c r="AZ33" s="68" t="e">
        <f ca="1">_xll.ciqfunctions.udf.CIQ($A33, "IQ_TOTAL_EQUITY", IQ_LTM-8, $L$2, $L$4, $L$3, $L$5, $L$6)</f>
        <v>#NAME?</v>
      </c>
      <c r="BA33" s="68" t="e">
        <f ca="1">_xll.ciqfunctions.udf.CIQ($A33, "IQ_TOTAL_EQUITY", IQ_LTM-4, $L$2, $L$4, $L$3, $L$5, $L$6)</f>
        <v>#NAME?</v>
      </c>
      <c r="BB33" s="68" t="e">
        <f ca="1">_xll.ciqfunctions.udf.CIQ($A33, "IQ_TOTAL_EQUITY", IQ_LTM, $L$2, $L$4, $L$3, $L$5, $L$6)</f>
        <v>#NAME?</v>
      </c>
      <c r="BC33" s="68" t="e">
        <f ca="1">_xll.ciqfunctions.udf.CIQ($A33, "IQ_TOTAL_EQUITY", $B$2, $L$2, $L$4, $L$3, $L$5, $L$6)</f>
        <v>#NAME?</v>
      </c>
      <c r="BD33" s="68" t="e">
        <f ca="1">IF(_xll.ciqfunctions.udf.CIQ($A33, "IQ_TOTAL_EQUITY", $B$3, $L$2,$L$4, $L$3, $L$5, $L$6)=0,BB33,_xll.ciqfunctions.udf.CIQ($A33, "IQ_TOTAL_EQUITY", $B$3, $L$2,$L$4, $L$3, $L$5, $L$6))</f>
        <v>#NAME?</v>
      </c>
      <c r="BE33" s="68" t="e">
        <f ca="1">_xll.ciqfunctions.udf.CIQ(A33, "IQ_LASTSALEPRICE", $B$8)</f>
        <v>#NAME?</v>
      </c>
      <c r="BF33" s="68" t="e">
        <f ca="1">_xll.ciqfunctions.udf.CIQ($A33, "IQ_MARKETCAP", $B$8, $L$5, $L$6)</f>
        <v>#NAME?</v>
      </c>
      <c r="BG33" s="68" t="e">
        <f ca="1">_xll.ciqfunctions.udf.CIQ($A33, "IQ_TOTAL_DEBT", IQ_LTM, $B$8,$L$4, $L$3, $L$5, $L$6)</f>
        <v>#NAME?</v>
      </c>
      <c r="BH33" s="44" t="e">
        <f ca="1">_xll.ciqfunctions.udf.CIQ($A33,"IQ_PREF_EQUITY",IQ_LTM,$B$8,$L$4,$L$3,$L$5,$L$6)</f>
        <v>#NAME?</v>
      </c>
      <c r="BI33" s="44" t="e">
        <f ca="1">_xll.ciqfunctions.udf.CIQ($A33, "IQ_MINORITY_INTEREST_TOTAL", IQ_LTM,$B$8,$L$4,$L$3,$L$5,$L$6)</f>
        <v>#NAME?</v>
      </c>
      <c r="BJ33" s="68" t="e">
        <f ca="1">_xll.ciqfunctions.udf.CIQ($A33, "IQ_CASH_ST_INVEST", IQ_LTM, $B$8, $L$4, $L$3, $L$5, $L$6)</f>
        <v>#NAME?</v>
      </c>
      <c r="BK33" s="44" t="e">
        <f ca="1">_xll.ciqfunctions.udf.CIQ($A33, "IQ_EFFECT_TAX_RATE")</f>
        <v>#NAME?</v>
      </c>
      <c r="BL33" s="44" t="e">
        <f ca="1">IF(_xll.ciqfunctions.udf.CIQ($A33, "IQ_TOTAL_REV_2YR_ANN_CAGR", IQ_LTM, $B$1,$L$4, $L$3, $L$5, $L$6)="NM","n/a",(_xll.ciqfunctions.udf.CIQ($A33, "IQ_TOTAL_REV_2YR_ANN_CAGR", IQ_LTM, $B$1,$L$4, $L$3, $L$5, $L$6)/100))</f>
        <v>#NAME?</v>
      </c>
      <c r="BM33" s="44" t="e">
        <f ca="1">IF(_xll.ciqfunctions.udf.CIQ($A33, "IQ_TOTAL_REV_3YR_ANN_CAGR", IQ_LTM, $B$1,$L$4, $L$3, $L$5, $L$6)="NM","n/a",(_xll.ciqfunctions.udf.CIQ($A33, "IQ_TOTAL_REV_3YR_ANN_CAGR", IQ_LTM, $B$1,$L$4, $L$3, $L$5, $L$6)/100))</f>
        <v>#NAME?</v>
      </c>
      <c r="BN33" s="44" t="e">
        <f ca="1">IF(_xll.ciqfunctions.udf.CIQ($A33, "IQ_TOTAL_REV_5YR_ANN_CAGR", IQ_LTM, $B$1,$L$4, $L$3, $L$5, $L$6)="NM","n/a",(_xll.ciqfunctions.udf.CIQ($A33, "IQ_TOTAL_REV_5YR_ANN_CAGR", IQ_LTM, $B$1,$L$4, $L$3, $L$5, $L$6)/100))</f>
        <v>#NAME?</v>
      </c>
      <c r="BO33" s="44" t="e">
        <f ca="1">IF(_xll.ciqfunctions.udf.CIQ($A33,"IQ_EBITDA_2YR_ANN_CAGR", IQ_LTM,$B$1,$L$4, $L$3, $L$5, $L$6)="NM","n/a",(_xll.ciqfunctions.udf.CIQ($A33,"IQ_EBITDA_2YR_ANN_CAGR", IQ_LTM,$B$1,$L$4, $L$3, $L$5, $L$6)/100))</f>
        <v>#NAME?</v>
      </c>
      <c r="BP33" s="44" t="e">
        <f ca="1">IF(_xll.ciqfunctions.udf.CIQ($A33,"IQ_EBITDA_3YR_ANN_CAGR", IQ_LTM,$B$1,$L$4, $L$3, $L$5, $L$6)="NM","n/a",(_xll.ciqfunctions.udf.CIQ($A33,"IQ_EBITDA_3YR_ANN_CAGR", IQ_LTM,$B$1,$L$4, $L$3, $L$5, $L$6)/100))</f>
        <v>#NAME?</v>
      </c>
      <c r="BQ33" s="44" t="e">
        <f ca="1">IF(_xll.ciqfunctions.udf.CIQ($A33,"IQ_EBITDA_5YR_ANN_CAGR", IQ_LTM,$B$1,$L$4, $L$3, $L$5, $L$6)="NM","n/a",(_xll.ciqfunctions.udf.CIQ($A33,"IQ_EBITDA_5YR_ANN_CAGR", IQ_LTM,$B$1,$L$4, $L$3, $L$5, $L$6)/100))</f>
        <v>#NAME?</v>
      </c>
      <c r="BR33" s="48" t="str">
        <f ca="1">IFERROR((_xll.ciqfunctions.udf.CIQ($A33, "IQ_DA_CF", IQ_LTM, $B$1, $L$4, $L$3, $L$5, $L$6)/Q33),"NM")</f>
        <v>NM</v>
      </c>
      <c r="BS33" s="72" t="e">
        <f>'Capital IQ Sheet-GPC'!BS33</f>
        <v>#VALUE!</v>
      </c>
      <c r="BT33" s="72" t="e">
        <f>'Capital IQ Sheet-GPC'!BT33</f>
        <v>#VALUE!</v>
      </c>
      <c r="BU33" s="72" t="e">
        <f>'Capital IQ Sheet-GPC'!BU33</f>
        <v>#VALUE!</v>
      </c>
      <c r="BV33" s="72" t="e">
        <f>'Capital IQ Sheet-GPC'!BV33</f>
        <v>#VALUE!</v>
      </c>
      <c r="BW33" s="72" t="e">
        <f>'Capital IQ Sheet-GPC'!BW33</f>
        <v>#VALUE!</v>
      </c>
      <c r="BX33" s="72" t="e">
        <f>'Capital IQ Sheet-GPC'!BX33</f>
        <v>#VALUE!</v>
      </c>
      <c r="BY33" s="72" t="e">
        <f>'Capital IQ Sheet-GPC'!BY33</f>
        <v>#VALUE!</v>
      </c>
      <c r="BZ33" s="72" t="e">
        <f>'Capital IQ Sheet-GPC'!BZ33</f>
        <v>#VALUE!</v>
      </c>
      <c r="CB33" s="44">
        <v>2</v>
      </c>
      <c r="CC33" s="112" t="s">
        <v>269</v>
      </c>
      <c r="CD33" s="112" t="s">
        <v>268</v>
      </c>
      <c r="CE33" s="46">
        <f t="shared" si="1"/>
        <v>42766</v>
      </c>
    </row>
    <row r="34" spans="1:83" s="44" customFormat="1" ht="12.75">
      <c r="A34" s="45" t="e">
        <f ca="1">_xll.ciqfunctions.udf.CIQ($B34,"IQ_COMPANY_TICKER")</f>
        <v>#NAME?</v>
      </c>
      <c r="B34" s="67" t="str">
        <f>'Capital IQ Sheet-GPC'!B34</f>
        <v>(Invalid Identifier)</v>
      </c>
      <c r="C34" s="45" t="e">
        <f ca="1">_xll.ciqfunctions.udf.CIQ($A34,"IQ_COMPANY_NAME")</f>
        <v>#NAME?</v>
      </c>
      <c r="D34" s="45" t="e">
        <f ca="1">_xll.ciqfunctions.udf.CIQ($A34, "IQ_EXCHANGE")</f>
        <v>#NAME?</v>
      </c>
      <c r="E34" s="66" t="e">
        <f ca="1">_xll.ciqfunctions.udf.CIQ($A34, "IQ_PERIODDATE_IS", IQ_FY)</f>
        <v>#NAME?</v>
      </c>
      <c r="F34" s="66" t="e">
        <f ca="1">_xll.ciqfunctions.udf.CIQ(A34, "IQ_PERIODDATE_IS", IQ_LTM, $B$1,$L$4,$L$3)</f>
        <v>#NAME?</v>
      </c>
      <c r="G34" s="66" t="e">
        <f ca="1">_xll.ciqfunctions.udf.CIQ($A34, "IQ_FIRSTPRICINGDATE")</f>
        <v>#NAME?</v>
      </c>
      <c r="H34" s="68" t="e">
        <f ca="1">_xll.ciqfunctions.udf.CIQ($A34, "IQ_TEV", $L$2, $L$5, $L$6)</f>
        <v>#NAME?</v>
      </c>
      <c r="I34" s="68" t="e">
        <f ca="1">_xll.ciqfunctions.udf.CIQ(A34, "IQ_LASTSALEPRICE", $B$1,$L$5)</f>
        <v>#NAME?</v>
      </c>
      <c r="J34" s="68" t="e">
        <f ca="1">_xll.ciqfunctions.udf.CIQ($A34, "IQ_MARKETCAP", $L$2, $L$5, $L$6)</f>
        <v>#NAME?</v>
      </c>
      <c r="K34" s="68" t="e">
        <f ca="1">_xll.ciqfunctions.udf.CIQ($A34, "IQ_TOTAL_DEBT", IQ_LTM, $L$2,$L$4, $L$3, $L$5, $L$6)</f>
        <v>#NAME?</v>
      </c>
      <c r="L34" s="68" t="e">
        <f ca="1">_xll.ciqfunctions.udf.CIQ($A34, "IQ_PREF_EQUITY", IQ_LTM, $L$2, $L$4, $L$3, $L$5, $L$6)</f>
        <v>#NAME?</v>
      </c>
      <c r="M34" s="68" t="e">
        <f ca="1">_xll.ciqfunctions.udf.CIQ($A34, "IQ_MINORITY_INTEREST_TOTAL", IQ_LTM, $L$2, $L$4, $L$3, $L$5, $L$6)</f>
        <v>#NAME?</v>
      </c>
      <c r="N34" s="68" t="e">
        <f ca="1">_xll.ciqfunctions.udf.CIQ($A34, "IQ_CASH_ST_INVEST", IQ_LTM, $L$2, $L$4, $L$3, $L$5, $L$6)</f>
        <v>#NAME?</v>
      </c>
      <c r="O34" s="68" t="e">
        <f ca="1">_xll.ciqfunctions.udf.CIQ($A34, "IQ_TOTAL_REV", IQ_LTM-8, $L$2, $L$4, $L$3, $L$5, $L$6)</f>
        <v>#NAME?</v>
      </c>
      <c r="P34" s="68" t="e">
        <f ca="1">_xll.ciqfunctions.udf.CIQ($A34, "IQ_TOTAL_REV", IQ_LTM - 4, $L$2, $L$4, $L$3, $L$5,$L$6)</f>
        <v>#NAME?</v>
      </c>
      <c r="Q34" s="68" t="e">
        <f ca="1">_xll.ciqfunctions.udf.CIQ($A34, "IQ_TOTAL_REV", IQ_LTM, $L$2, $L$4, $L$3, $L$5, $L$6)</f>
        <v>#NAME?</v>
      </c>
      <c r="R34" s="68" t="e">
        <f ca="1">_xll.ciqfunctions.udf.CIQ($A34, "IQ_TOTAL_REV", $B$2, $L$2, $L$4, $L$3, $L$5, $L$6)</f>
        <v>#NAME?</v>
      </c>
      <c r="S34" s="68" t="e">
        <f ca="1">IF(_xll.ciqfunctions.udf.CIQ($A34, "IQ_TOTAL_REV", $B$3, $L$2,$L$4, $L$3, $L$5, $L$6)=0,Q34,_xll.ciqfunctions.udf.CIQ($A34, "IQ_TOTAL_REV", $B$3, $L$2,$L$4, $L$3, $L$5, $L$6))</f>
        <v>#NAME?</v>
      </c>
      <c r="T34" s="68" t="e">
        <f ca="1">IF(_xll.ciqfunctions.udf.CIQ($A34, "IQ_REVENUE_EST",$B$4, $L$2, "CON", $L$3, $L$5, $L$6)=0,"n/a",_xll.ciqfunctions.udf.CIQ($A34, "IQ_REVENUE_EST",$B$4, $L$2, "CON", $L$3, $L$5, $L$6))</f>
        <v>#NAME?</v>
      </c>
      <c r="U34" s="68" t="e">
        <f ca="1">IF(_xll.ciqfunctions.udf.CIQ($A34, "IQ_REVENUE_EST",$B$5, $L$2, "CON", $L$3, $L$5, $L$6)=0,"n/a",_xll.ciqfunctions.udf.CIQ($A34, "IQ_REVENUE_EST",$B$5, $L$2, "CON", $L$3, $L$5, $L$6))</f>
        <v>#NAME?</v>
      </c>
      <c r="V34" s="68" t="e">
        <f ca="1">IF(_xll.ciqfunctions.udf.CIQ($A34, "IQ_REVENUE_EST",$B$6, $L$2, "CON", $L$3, $L$5, $L$6)=0,"n/a",_xll.ciqfunctions.udf.CIQ($A34, "IQ_REVENUE_EST",$B$6, $L$2, "CON", $L$3, $L$5, $L$6))</f>
        <v>#NAME?</v>
      </c>
      <c r="W34" s="68" t="e">
        <f ca="1">IF(_xll.ciqfunctions.udf.CIQ($A34, "IQ_REVENUE_EST", $B$7, $L$2, "CON", $L$3, $L$5, $L$6)=0,"n/a",_xll.ciqfunctions.udf.CIQ($A34, "IQ_REVENUE_EST",$B$7, $L$2, "CON", $L$3, $L$5, $L$6))</f>
        <v>#NAME?</v>
      </c>
      <c r="X34" s="68" t="e">
        <f ca="1">_xll.ciqfunctions.udf.CIQ($A34, "IQ_EBITDA", IQ_LTM-8, $L$2, $L$4, $L$3, $L$5, $L$6)</f>
        <v>#NAME?</v>
      </c>
      <c r="Y34" s="68" t="e">
        <f ca="1">_xll.ciqfunctions.udf.CIQ($A34, "IQ_EBITDA", IQ_LTM-4, $L$2,$L$4, $L$3, $L$5, $L$6)</f>
        <v>#NAME?</v>
      </c>
      <c r="Z34" s="68" t="e">
        <f ca="1">_xll.ciqfunctions.udf.CIQ($A34, "IQ_EBITDA", IQ_LTM, $L$2, $L$4, $L$3, $L$5, $L$6)</f>
        <v>#NAME?</v>
      </c>
      <c r="AA34" s="68" t="e">
        <f ca="1">_xll.ciqfunctions.udf.CIQ($A34, "IQ_EBITDA", $B$2, $L$2, $L$4, $L$3, $L$5, $L$6)</f>
        <v>#NAME?</v>
      </c>
      <c r="AB34" s="68" t="e">
        <f ca="1">IF(_xll.ciqfunctions.udf.CIQ($A34, "IQ_EBITDA", $B$3, $L$2,$L$4, $L$3, $L$5, $L$6)=0,Z34,_xll.ciqfunctions.udf.CIQ($A34, "IQ_EBITDA", $B$3, $L$2,$L$4, $L$3, $L$5, $L$6))</f>
        <v>#NAME?</v>
      </c>
      <c r="AC34" s="68" t="e">
        <f ca="1">IF(_xll.ciqfunctions.udf.CIQ($A34, "IQ_EBITDA_EST",$B$4, $L$2, "CON", $L$3, $L$5, $L$6)=0,"n/a",_xll.ciqfunctions.udf.CIQ($A34, "IQ_EBITDA_EST",$B$4, $L$2, "CON", $L$3, $L$5, $L$6))</f>
        <v>#NAME?</v>
      </c>
      <c r="AD34" s="68" t="e">
        <f ca="1">IF(_xll.ciqfunctions.udf.CIQ($A34, "IQ_EBITDA_EST",$B$5, $L$2, "CON", $L$3, $L$5, $L$6)=0,"n/a",_xll.ciqfunctions.udf.CIQ($A34, "IQ_EBITDA_EST",$B$5, $L$2, "CON", $L$3, $L$5, $L$6))</f>
        <v>#NAME?</v>
      </c>
      <c r="AE34" s="68" t="e">
        <f ca="1">IF(_xll.ciqfunctions.udf.CIQ($A34, "IQ_EBITDA_EST",$B$6, $L$2, "CON", $L$3, $L$5, $L$6)=0,"n/a",_xll.ciqfunctions.udf.CIQ($A34, "IQ_EBITDA_EST",$B$6, $L$2, "CON", $L$3, $L$5, $L$6))</f>
        <v>#NAME?</v>
      </c>
      <c r="AF34" s="69" t="str">
        <f ca="1">IF(ISERROR(_xll.ciqfunctions.udf.CIQ($A34, "IQ_GROSS_MARGIN", IQ_LTM, $L$2,$L$4, $L$3, $L$5, $L$6)/100), "n/a", _xll.ciqfunctions.udf.CIQ($A34,  "IQ_GROSS_MARGIN", IQ_LTM, $L$2, $L$4, $L$3, $L$5, $L$6)/100)</f>
        <v>n/a</v>
      </c>
      <c r="AG34" s="69" t="str">
        <f ca="1">IF(ISERROR(_xll.ciqfunctions.udf.CIQ($A34,"IQ_EBITDA_MARGIN", IQ_LTM, $L$2, $L$4, $L$3, $L$5, $L$6)/100), "n/a", _xll.ciqfunctions.udf.CIQ($A34, "IQ_EBITDA_MARGIN", IQ_LTM, $L$2, $L$4, $L$3, $L$5, $L$6)/100)</f>
        <v>n/a</v>
      </c>
      <c r="AH34" s="69" t="str">
        <f ca="1">IF(ISERROR(_xll.ciqfunctions.udf.CIQ($A34,"IQ_EBIT_MARGIN", IQ_LTM, $L$2, $L$4, $L$3, $L$5, $L$6)/100), "n/a", _xll.ciqfunctions.udf.CIQ($A34, "IQ_EBIT_MARGIN", IQ_LTM, $L$2, $L$4, $L$3, $L$5, $L$6)/100)</f>
        <v>n/a</v>
      </c>
      <c r="AI34" s="69" t="str">
        <f ca="1">IF(ISERROR(_xll.ciqfunctions.udf.CIQ($A34,"IQ_NI_MARGIN", IQ_LTM, $L$2, $L$4, $L$3, $L$5, $L$6)/100), "n/a", _xll.ciqfunctions.udf.CIQ($A34, "IQ_NI_MARGIN", IQ_LTM, $L$2, $L$4, $L$3, $L$5, $L$6)/100)</f>
        <v>n/a</v>
      </c>
      <c r="AJ34" s="68" t="str">
        <f ca="1">IF(ISERROR(_xll.ciqfunctions.udf.CIQ($A34, "IQ_NET_WORKING_CAP", IQ_LTM-8, $L$2, $L$4, $L$3, $L$5, $L$6)), "n/a", _xll.ciqfunctions.udf.CIQ($A34, "IQ_NET_WORKING_CAP", IQ_LTM-8, $L$2, $L$4, $L$3, $L$5, $L$6))</f>
        <v>n/a</v>
      </c>
      <c r="AK34" s="68" t="str">
        <f ca="1">IF(ISERROR(_xll.ciqfunctions.udf.CIQ($A34, "IQ_NET_WORKING_CAP", IQ_LTM-4, $L$2, $L$4, $L$3, $L$5, $L$6)), "n/a", _xll.ciqfunctions.udf.CIQ($A34, "IQ_NET_WORKING_CAP", IQ_LTM-4, $L$2, $L$4, $L$3, $L$5, $L$6))</f>
        <v>n/a</v>
      </c>
      <c r="AL34" s="68" t="str">
        <f ca="1">IF(ISERROR(_xll.ciqfunctions.udf.CIQ($A34, "IQ_NET_WORKING_CAP", IQ_LTM, $L$2,$L$4, $L$3, $L$5, $L$6)), "n/a", _xll.ciqfunctions.udf.CIQ($A34, "IQ_NET_WORKING_CAP", IQ_LTM, $L$2, $L$4, $L$3, $L$5, $L$6))</f>
        <v>n/a</v>
      </c>
      <c r="AM34" s="68" t="str">
        <f ca="1">IF(ISERROR(_xll.ciqfunctions.udf.CIQ($A34, "IQ_Capex", IQ_LTM-8, $L$2,$L$4, $L$3, $L$5, $L$6)), "n/a", _xll.ciqfunctions.udf.CIQ($A34, "IQ_Capex", IQ_LTM-8, $L$2, $L$4, $L$3, $L$5, $L$6))</f>
        <v>n/a</v>
      </c>
      <c r="AN34" s="68" t="str">
        <f ca="1">IF(ISERROR(_xll.ciqfunctions.udf.CIQ($A34, "IQ_Capex", IQ_LTM-4, $L$2,$L$4, $L$3, $L$5, $L$6)), "n/a", _xll.ciqfunctions.udf.CIQ($A34, "IQ_Capex", IQ_LTM-4, $L$2,$L$4, $L$3, $L$5, $L$6))</f>
        <v>n/a</v>
      </c>
      <c r="AO34" s="68" t="str">
        <f ca="1">IF(ISERROR(_xll.ciqfunctions.udf.CIQ($A34, "IQ_Capex", IQ_LTM, $L$2, $L$4, $L$3, $L$5, $L$6)), "n/a", _xll.ciqfunctions.udf.CIQ($A34, "IQ_Capex", IQ_LTM, $L$2, $L$4, $L$3, $L$5, $L$6))</f>
        <v>n/a</v>
      </c>
      <c r="AP34" s="70" t="e">
        <f ca="1">_xll.ciqfunctions.udf.CIQ(A34, "IQ_BUSINESS_DESCRIPTION")</f>
        <v>#NAME?</v>
      </c>
      <c r="AQ34" s="71" t="e">
        <f ca="1">_xll.ciqfunctions.udf.CIQ($A34, "IQ_BETA_1YR", $B$1)</f>
        <v>#NAME?</v>
      </c>
      <c r="AR34" s="71" t="e">
        <f ca="1">_xll.ciqfunctions.udf.CIQ($A34, "IQ_BETA_2YR", $B$1)</f>
        <v>#NAME?</v>
      </c>
      <c r="AS34" s="71" t="e">
        <f ca="1">_xll.ciqfunctions.udf.CIQ($A34, "IQ_BETA_5YR", $B$1)</f>
        <v>#NAME?</v>
      </c>
      <c r="AT34" s="69" t="e">
        <f ca="1">_xll.ciqfunctions.udf.CIQ($A34, "IQ_DIVIDEND_YIELD", $B$1)/100</f>
        <v>#NAME?</v>
      </c>
      <c r="AU34" s="68" t="e">
        <f ca="1">_xll.ciqfunctions.udf.CIQ($A34, "IQ_EARNING_CO", IQ_LTM-8, $L$2, $L$4, $L$3, $L$5, $L$6)</f>
        <v>#NAME?</v>
      </c>
      <c r="AV34" s="68" t="e">
        <f ca="1">_xll.ciqfunctions.udf.CIQ($A34, "IQ_EARNING_CO", IQ_LTM-4, $L$2, $L$4, $L$3, $L$5, $L$6)</f>
        <v>#NAME?</v>
      </c>
      <c r="AW34" s="68" t="e">
        <f ca="1">_xll.ciqfunctions.udf.CIQ($A34, "IQ_EARNING_CO", IQ_LTM, $L$2, $L$4, $L$3, $L$5, $L$6)</f>
        <v>#NAME?</v>
      </c>
      <c r="AX34" s="68" t="e">
        <f ca="1">_xll.ciqfunctions.udf.CIQ($A34, "IQ_EARNING_CO", $B$2, $L$2, $L$4, $L$3, $L$5, $L$6)</f>
        <v>#NAME?</v>
      </c>
      <c r="AY34" s="68" t="e">
        <f ca="1">IF(_xll.ciqfunctions.udf.CIQ($A34, "IQ_EARNING_CO", $B$3, $L$2,$L$4, $L$3, $L$5, $L$6)=0,AW34,_xll.ciqfunctions.udf.CIQ($A34, "IQ_EARNING_CO", $B$3, $L$2,$L$4, $L$3, $L$5, $L$6))</f>
        <v>#NAME?</v>
      </c>
      <c r="AZ34" s="68" t="e">
        <f ca="1">_xll.ciqfunctions.udf.CIQ($A34, "IQ_TOTAL_EQUITY", IQ_LTM-8, $L$2, $L$4, $L$3, $L$5, $L$6)</f>
        <v>#NAME?</v>
      </c>
      <c r="BA34" s="68" t="e">
        <f ca="1">_xll.ciqfunctions.udf.CIQ($A34, "IQ_TOTAL_EQUITY", IQ_LTM-4, $L$2, $L$4, $L$3, $L$5, $L$6)</f>
        <v>#NAME?</v>
      </c>
      <c r="BB34" s="68" t="e">
        <f ca="1">_xll.ciqfunctions.udf.CIQ($A34, "IQ_TOTAL_EQUITY", IQ_LTM, $L$2, $L$4, $L$3, $L$5, $L$6)</f>
        <v>#NAME?</v>
      </c>
      <c r="BC34" s="68" t="e">
        <f ca="1">_xll.ciqfunctions.udf.CIQ($A34, "IQ_TOTAL_EQUITY", $B$2, $L$2, $L$4, $L$3, $L$5, $L$6)</f>
        <v>#NAME?</v>
      </c>
      <c r="BD34" s="68" t="e">
        <f ca="1">IF(_xll.ciqfunctions.udf.CIQ($A34, "IQ_TOTAL_EQUITY", $B$3, $L$2,$L$4, $L$3, $L$5, $L$6)=0,BB34,_xll.ciqfunctions.udf.CIQ($A34, "IQ_TOTAL_EQUITY", $B$3, $L$2,$L$4, $L$3, $L$5, $L$6))</f>
        <v>#NAME?</v>
      </c>
      <c r="BE34" s="68" t="e">
        <f ca="1">_xll.ciqfunctions.udf.CIQ(A34, "IQ_LASTSALEPRICE", $B$8)</f>
        <v>#NAME?</v>
      </c>
      <c r="BF34" s="68" t="e">
        <f ca="1">_xll.ciqfunctions.udf.CIQ($A34, "IQ_MARKETCAP", $B$8, $L$5, $L$6)</f>
        <v>#NAME?</v>
      </c>
      <c r="BG34" s="68" t="e">
        <f ca="1">_xll.ciqfunctions.udf.CIQ($A34, "IQ_TOTAL_DEBT", IQ_LTM, $B$8,$L$4, $L$3, $L$5, $L$6)</f>
        <v>#NAME?</v>
      </c>
      <c r="BH34" s="44" t="e">
        <f ca="1">_xll.ciqfunctions.udf.CIQ($A34,"IQ_PREF_EQUITY",IQ_LTM,$B$8,$L$4,$L$3,$L$5,$L$6)</f>
        <v>#NAME?</v>
      </c>
      <c r="BI34" s="44" t="e">
        <f ca="1">_xll.ciqfunctions.udf.CIQ($A34, "IQ_MINORITY_INTEREST_TOTAL", IQ_LTM,$B$8,$L$4,$L$3,$L$5,$L$6)</f>
        <v>#NAME?</v>
      </c>
      <c r="BJ34" s="68" t="e">
        <f ca="1">_xll.ciqfunctions.udf.CIQ($A34, "IQ_CASH_ST_INVEST", IQ_LTM, $B$8, $L$4, $L$3, $L$5, $L$6)</f>
        <v>#NAME?</v>
      </c>
      <c r="BK34" s="44" t="e">
        <f ca="1">_xll.ciqfunctions.udf.CIQ($A34, "IQ_EFFECT_TAX_RATE")</f>
        <v>#NAME?</v>
      </c>
      <c r="BL34" s="44" t="e">
        <f ca="1">IF(_xll.ciqfunctions.udf.CIQ($A34, "IQ_TOTAL_REV_2YR_ANN_CAGR", IQ_LTM, $B$1,$L$4, $L$3, $L$5, $L$6)="NM","n/a",(_xll.ciqfunctions.udf.CIQ($A34, "IQ_TOTAL_REV_2YR_ANN_CAGR", IQ_LTM, $B$1,$L$4, $L$3, $L$5, $L$6)/100))</f>
        <v>#NAME?</v>
      </c>
      <c r="BM34" s="44" t="e">
        <f ca="1">IF(_xll.ciqfunctions.udf.CIQ($A34, "IQ_TOTAL_REV_3YR_ANN_CAGR", IQ_LTM, $B$1,$L$4, $L$3, $L$5, $L$6)="NM","n/a",(_xll.ciqfunctions.udf.CIQ($A34, "IQ_TOTAL_REV_3YR_ANN_CAGR", IQ_LTM, $B$1,$L$4, $L$3, $L$5, $L$6)/100))</f>
        <v>#NAME?</v>
      </c>
      <c r="BN34" s="44" t="e">
        <f ca="1">IF(_xll.ciqfunctions.udf.CIQ($A34, "IQ_TOTAL_REV_5YR_ANN_CAGR", IQ_LTM, $B$1,$L$4, $L$3, $L$5, $L$6)="NM","n/a",(_xll.ciqfunctions.udf.CIQ($A34, "IQ_TOTAL_REV_5YR_ANN_CAGR", IQ_LTM, $B$1,$L$4, $L$3, $L$5, $L$6)/100))</f>
        <v>#NAME?</v>
      </c>
      <c r="BO34" s="44" t="e">
        <f ca="1">IF(_xll.ciqfunctions.udf.CIQ($A34,"IQ_EBITDA_2YR_ANN_CAGR", IQ_LTM,$B$1,$L$4, $L$3, $L$5, $L$6)="NM","n/a",(_xll.ciqfunctions.udf.CIQ($A34,"IQ_EBITDA_2YR_ANN_CAGR", IQ_LTM,$B$1,$L$4, $L$3, $L$5, $L$6)/100))</f>
        <v>#NAME?</v>
      </c>
      <c r="BP34" s="44" t="e">
        <f ca="1">IF(_xll.ciqfunctions.udf.CIQ($A34,"IQ_EBITDA_3YR_ANN_CAGR", IQ_LTM,$B$1,$L$4, $L$3, $L$5, $L$6)="NM","n/a",(_xll.ciqfunctions.udf.CIQ($A34,"IQ_EBITDA_3YR_ANN_CAGR", IQ_LTM,$B$1,$L$4, $L$3, $L$5, $L$6)/100))</f>
        <v>#NAME?</v>
      </c>
      <c r="BQ34" s="44" t="e">
        <f ca="1">IF(_xll.ciqfunctions.udf.CIQ($A34,"IQ_EBITDA_5YR_ANN_CAGR", IQ_LTM,$B$1,$L$4, $L$3, $L$5, $L$6)="NM","n/a",(_xll.ciqfunctions.udf.CIQ($A34,"IQ_EBITDA_5YR_ANN_CAGR", IQ_LTM,$B$1,$L$4, $L$3, $L$5, $L$6)/100))</f>
        <v>#NAME?</v>
      </c>
      <c r="BR34" s="48" t="str">
        <f ca="1">IFERROR((_xll.ciqfunctions.udf.CIQ($A34, "IQ_DA_CF", IQ_LTM, $B$1, $L$4, $L$3, $L$5, $L$6)/Q34),"NM")</f>
        <v>NM</v>
      </c>
      <c r="BS34" s="72" t="e">
        <f>'Capital IQ Sheet-GPC'!BS34</f>
        <v>#VALUE!</v>
      </c>
      <c r="BT34" s="72" t="e">
        <f>'Capital IQ Sheet-GPC'!BT34</f>
        <v>#VALUE!</v>
      </c>
      <c r="BU34" s="72" t="e">
        <f>'Capital IQ Sheet-GPC'!BU34</f>
        <v>#VALUE!</v>
      </c>
      <c r="BV34" s="72" t="e">
        <f>'Capital IQ Sheet-GPC'!BV34</f>
        <v>#VALUE!</v>
      </c>
      <c r="BW34" s="72" t="e">
        <f>'Capital IQ Sheet-GPC'!BW34</f>
        <v>#VALUE!</v>
      </c>
      <c r="BX34" s="72" t="e">
        <f>'Capital IQ Sheet-GPC'!BX34</f>
        <v>#VALUE!</v>
      </c>
      <c r="BY34" s="72" t="e">
        <f>'Capital IQ Sheet-GPC'!BY34</f>
        <v>#VALUE!</v>
      </c>
      <c r="BZ34" s="72" t="e">
        <f>'Capital IQ Sheet-GPC'!BZ34</f>
        <v>#VALUE!</v>
      </c>
      <c r="CB34" s="44">
        <v>2</v>
      </c>
      <c r="CC34" s="112" t="s">
        <v>269</v>
      </c>
      <c r="CD34" s="112" t="s">
        <v>268</v>
      </c>
      <c r="CE34" s="46">
        <f t="shared" si="1"/>
        <v>42766</v>
      </c>
    </row>
    <row r="35" spans="1:83" s="44" customFormat="1" ht="12.75">
      <c r="A35" s="45" t="e">
        <f ca="1">_xll.ciqfunctions.udf.CIQ($B35,"IQ_COMPANY_TICKER")</f>
        <v>#NAME?</v>
      </c>
      <c r="B35" s="67" t="str">
        <f>'Capital IQ Sheet-GPC'!B35</f>
        <v>(Invalid Identifier)</v>
      </c>
      <c r="C35" s="45" t="e">
        <f ca="1">_xll.ciqfunctions.udf.CIQ($A35,"IQ_COMPANY_NAME")</f>
        <v>#NAME?</v>
      </c>
      <c r="D35" s="45" t="e">
        <f ca="1">_xll.ciqfunctions.udf.CIQ($A35, "IQ_EXCHANGE")</f>
        <v>#NAME?</v>
      </c>
      <c r="E35" s="66" t="e">
        <f ca="1">_xll.ciqfunctions.udf.CIQ($A35, "IQ_PERIODDATE_IS", IQ_FY)</f>
        <v>#NAME?</v>
      </c>
      <c r="F35" s="66" t="e">
        <f ca="1">_xll.ciqfunctions.udf.CIQ(A35, "IQ_PERIODDATE_IS", IQ_LTM, $B$1,$L$4,$L$3)</f>
        <v>#NAME?</v>
      </c>
      <c r="G35" s="66" t="e">
        <f ca="1">_xll.ciqfunctions.udf.CIQ($A35, "IQ_FIRSTPRICINGDATE")</f>
        <v>#NAME?</v>
      </c>
      <c r="H35" s="68" t="e">
        <f ca="1">_xll.ciqfunctions.udf.CIQ($A35, "IQ_TEV", $L$2, $L$5, $L$6)</f>
        <v>#NAME?</v>
      </c>
      <c r="I35" s="68" t="e">
        <f ca="1">_xll.ciqfunctions.udf.CIQ(A35, "IQ_LASTSALEPRICE", $B$1,$L$5)</f>
        <v>#NAME?</v>
      </c>
      <c r="J35" s="68" t="e">
        <f ca="1">_xll.ciqfunctions.udf.CIQ($A35, "IQ_MARKETCAP", $L$2, $L$5, $L$6)</f>
        <v>#NAME?</v>
      </c>
      <c r="K35" s="68" t="e">
        <f ca="1">_xll.ciqfunctions.udf.CIQ($A35, "IQ_TOTAL_DEBT", IQ_LTM, $L$2,$L$4, $L$3, $L$5, $L$6)</f>
        <v>#NAME?</v>
      </c>
      <c r="L35" s="68" t="e">
        <f ca="1">_xll.ciqfunctions.udf.CIQ($A35, "IQ_PREF_EQUITY", IQ_LTM, $L$2, $L$4, $L$3, $L$5, $L$6)</f>
        <v>#NAME?</v>
      </c>
      <c r="M35" s="68" t="e">
        <f ca="1">_xll.ciqfunctions.udf.CIQ($A35, "IQ_MINORITY_INTEREST_TOTAL", IQ_LTM, $L$2, $L$4, $L$3, $L$5, $L$6)</f>
        <v>#NAME?</v>
      </c>
      <c r="N35" s="68" t="e">
        <f ca="1">_xll.ciqfunctions.udf.CIQ($A35, "IQ_CASH_ST_INVEST", IQ_LTM, $L$2, $L$4, $L$3, $L$5, $L$6)</f>
        <v>#NAME?</v>
      </c>
      <c r="O35" s="68" t="e">
        <f ca="1">_xll.ciqfunctions.udf.CIQ($A35, "IQ_TOTAL_REV", IQ_LTM-8, $L$2, $L$4, $L$3, $L$5, $L$6)</f>
        <v>#NAME?</v>
      </c>
      <c r="P35" s="68" t="e">
        <f ca="1">_xll.ciqfunctions.udf.CIQ($A35, "IQ_TOTAL_REV", IQ_LTM - 4, $L$2, $L$4, $L$3, $L$5,$L$6)</f>
        <v>#NAME?</v>
      </c>
      <c r="Q35" s="68" t="e">
        <f ca="1">_xll.ciqfunctions.udf.CIQ($A35, "IQ_TOTAL_REV", IQ_LTM, $L$2, $L$4, $L$3, $L$5, $L$6)</f>
        <v>#NAME?</v>
      </c>
      <c r="R35" s="68" t="e">
        <f ca="1">_xll.ciqfunctions.udf.CIQ($A35, "IQ_TOTAL_REV", $B$2, $L$2, $L$4, $L$3, $L$5, $L$6)</f>
        <v>#NAME?</v>
      </c>
      <c r="S35" s="68" t="e">
        <f ca="1">IF(_xll.ciqfunctions.udf.CIQ($A35, "IQ_TOTAL_REV", $B$3, $L$2,$L$4, $L$3, $L$5, $L$6)=0,Q35,_xll.ciqfunctions.udf.CIQ($A35, "IQ_TOTAL_REV", $B$3, $L$2,$L$4, $L$3, $L$5, $L$6))</f>
        <v>#NAME?</v>
      </c>
      <c r="T35" s="68" t="e">
        <f ca="1">IF(_xll.ciqfunctions.udf.CIQ($A35, "IQ_REVENUE_EST",$B$4, $L$2, "CON", $L$3, $L$5, $L$6)=0,"n/a",_xll.ciqfunctions.udf.CIQ($A35, "IQ_REVENUE_EST",$B$4, $L$2, "CON", $L$3, $L$5, $L$6))</f>
        <v>#NAME?</v>
      </c>
      <c r="U35" s="68" t="e">
        <f ca="1">IF(_xll.ciqfunctions.udf.CIQ($A35, "IQ_REVENUE_EST",$B$5, $L$2, "CON", $L$3, $L$5, $L$6)=0,"n/a",_xll.ciqfunctions.udf.CIQ($A35, "IQ_REVENUE_EST",$B$5, $L$2, "CON", $L$3, $L$5, $L$6))</f>
        <v>#NAME?</v>
      </c>
      <c r="V35" s="68" t="e">
        <f ca="1">IF(_xll.ciqfunctions.udf.CIQ($A35, "IQ_REVENUE_EST",$B$6, $L$2, "CON", $L$3, $L$5, $L$6)=0,"n/a",_xll.ciqfunctions.udf.CIQ($A35, "IQ_REVENUE_EST",$B$6, $L$2, "CON", $L$3, $L$5, $L$6))</f>
        <v>#NAME?</v>
      </c>
      <c r="W35" s="68" t="e">
        <f ca="1">IF(_xll.ciqfunctions.udf.CIQ($A35, "IQ_REVENUE_EST", $B$7, $L$2, "CON", $L$3, $L$5, $L$6)=0,"n/a",_xll.ciqfunctions.udf.CIQ($A35, "IQ_REVENUE_EST",$B$7, $L$2, "CON", $L$3, $L$5, $L$6))</f>
        <v>#NAME?</v>
      </c>
      <c r="X35" s="68" t="e">
        <f ca="1">_xll.ciqfunctions.udf.CIQ($A35, "IQ_EBITDA", IQ_LTM-8, $L$2, $L$4, $L$3, $L$5, $L$6)</f>
        <v>#NAME?</v>
      </c>
      <c r="Y35" s="68" t="e">
        <f ca="1">_xll.ciqfunctions.udf.CIQ($A35, "IQ_EBITDA", IQ_LTM-4, $L$2,$L$4, $L$3, $L$5, $L$6)</f>
        <v>#NAME?</v>
      </c>
      <c r="Z35" s="68" t="e">
        <f ca="1">_xll.ciqfunctions.udf.CIQ($A35, "IQ_EBITDA", IQ_LTM, $L$2, $L$4, $L$3, $L$5, $L$6)</f>
        <v>#NAME?</v>
      </c>
      <c r="AA35" s="68" t="e">
        <f ca="1">_xll.ciqfunctions.udf.CIQ($A35, "IQ_EBITDA", $B$2, $L$2, $L$4, $L$3, $L$5, $L$6)</f>
        <v>#NAME?</v>
      </c>
      <c r="AB35" s="68" t="e">
        <f ca="1">IF(_xll.ciqfunctions.udf.CIQ($A35, "IQ_EBITDA", $B$3, $L$2,$L$4, $L$3, $L$5, $L$6)=0,Z35,_xll.ciqfunctions.udf.CIQ($A35, "IQ_EBITDA", $B$3, $L$2,$L$4, $L$3, $L$5, $L$6))</f>
        <v>#NAME?</v>
      </c>
      <c r="AC35" s="68" t="e">
        <f ca="1">IF(_xll.ciqfunctions.udf.CIQ($A35, "IQ_EBITDA_EST",$B$4, $L$2, "CON", $L$3, $L$5, $L$6)=0,"n/a",_xll.ciqfunctions.udf.CIQ($A35, "IQ_EBITDA_EST",$B$4, $L$2, "CON", $L$3, $L$5, $L$6))</f>
        <v>#NAME?</v>
      </c>
      <c r="AD35" s="68" t="e">
        <f ca="1">IF(_xll.ciqfunctions.udf.CIQ($A35, "IQ_EBITDA_EST",$B$5, $L$2, "CON", $L$3, $L$5, $L$6)=0,"n/a",_xll.ciqfunctions.udf.CIQ($A35, "IQ_EBITDA_EST",$B$5, $L$2, "CON", $L$3, $L$5, $L$6))</f>
        <v>#NAME?</v>
      </c>
      <c r="AE35" s="68" t="e">
        <f ca="1">IF(_xll.ciqfunctions.udf.CIQ($A35, "IQ_EBITDA_EST",$B$6, $L$2, "CON", $L$3, $L$5, $L$6)=0,"n/a",_xll.ciqfunctions.udf.CIQ($A35, "IQ_EBITDA_EST",$B$6, $L$2, "CON", $L$3, $L$5, $L$6))</f>
        <v>#NAME?</v>
      </c>
      <c r="AF35" s="69" t="str">
        <f ca="1">IF(ISERROR(_xll.ciqfunctions.udf.CIQ($A35, "IQ_GROSS_MARGIN", IQ_LTM, $L$2,$L$4, $L$3, $L$5, $L$6)/100), "n/a", _xll.ciqfunctions.udf.CIQ($A35,  "IQ_GROSS_MARGIN", IQ_LTM, $L$2, $L$4, $L$3, $L$5, $L$6)/100)</f>
        <v>n/a</v>
      </c>
      <c r="AG35" s="69" t="str">
        <f ca="1">IF(ISERROR(_xll.ciqfunctions.udf.CIQ($A35,"IQ_EBITDA_MARGIN", IQ_LTM, $L$2, $L$4, $L$3, $L$5, $L$6)/100), "n/a", _xll.ciqfunctions.udf.CIQ($A35, "IQ_EBITDA_MARGIN", IQ_LTM, $L$2, $L$4, $L$3, $L$5, $L$6)/100)</f>
        <v>n/a</v>
      </c>
      <c r="AH35" s="69" t="str">
        <f ca="1">IF(ISERROR(_xll.ciqfunctions.udf.CIQ($A35,"IQ_EBIT_MARGIN", IQ_LTM, $L$2, $L$4, $L$3, $L$5, $L$6)/100), "n/a", _xll.ciqfunctions.udf.CIQ($A35, "IQ_EBIT_MARGIN", IQ_LTM, $L$2, $L$4, $L$3, $L$5, $L$6)/100)</f>
        <v>n/a</v>
      </c>
      <c r="AI35" s="69" t="str">
        <f ca="1">IF(ISERROR(_xll.ciqfunctions.udf.CIQ($A35,"IQ_NI_MARGIN", IQ_LTM, $L$2, $L$4, $L$3, $L$5, $L$6)/100), "n/a", _xll.ciqfunctions.udf.CIQ($A35, "IQ_NI_MARGIN", IQ_LTM, $L$2, $L$4, $L$3, $L$5, $L$6)/100)</f>
        <v>n/a</v>
      </c>
      <c r="AJ35" s="68" t="str">
        <f ca="1">IF(ISERROR(_xll.ciqfunctions.udf.CIQ($A35, "IQ_NET_WORKING_CAP", IQ_LTM-8, $L$2, $L$4, $L$3, $L$5, $L$6)), "n/a", _xll.ciqfunctions.udf.CIQ($A35, "IQ_NET_WORKING_CAP", IQ_LTM-8, $L$2, $L$4, $L$3, $L$5, $L$6))</f>
        <v>n/a</v>
      </c>
      <c r="AK35" s="68" t="str">
        <f ca="1">IF(ISERROR(_xll.ciqfunctions.udf.CIQ($A35, "IQ_NET_WORKING_CAP", IQ_LTM-4, $L$2, $L$4, $L$3, $L$5, $L$6)), "n/a", _xll.ciqfunctions.udf.CIQ($A35, "IQ_NET_WORKING_CAP", IQ_LTM-4, $L$2, $L$4, $L$3, $L$5, $L$6))</f>
        <v>n/a</v>
      </c>
      <c r="AL35" s="68" t="str">
        <f ca="1">IF(ISERROR(_xll.ciqfunctions.udf.CIQ($A35, "IQ_NET_WORKING_CAP", IQ_LTM, $L$2,$L$4, $L$3, $L$5, $L$6)), "n/a", _xll.ciqfunctions.udf.CIQ($A35, "IQ_NET_WORKING_CAP", IQ_LTM, $L$2, $L$4, $L$3, $L$5, $L$6))</f>
        <v>n/a</v>
      </c>
      <c r="AM35" s="68" t="str">
        <f ca="1">IF(ISERROR(_xll.ciqfunctions.udf.CIQ($A35, "IQ_Capex", IQ_LTM-8, $L$2,$L$4, $L$3, $L$5, $L$6)), "n/a", _xll.ciqfunctions.udf.CIQ($A35, "IQ_Capex", IQ_LTM-8, $L$2, $L$4, $L$3, $L$5, $L$6))</f>
        <v>n/a</v>
      </c>
      <c r="AN35" s="68" t="str">
        <f ca="1">IF(ISERROR(_xll.ciqfunctions.udf.CIQ($A35, "IQ_Capex", IQ_LTM-4, $L$2,$L$4, $L$3, $L$5, $L$6)), "n/a", _xll.ciqfunctions.udf.CIQ($A35, "IQ_Capex", IQ_LTM-4, $L$2,$L$4, $L$3, $L$5, $L$6))</f>
        <v>n/a</v>
      </c>
      <c r="AO35" s="68" t="str">
        <f ca="1">IF(ISERROR(_xll.ciqfunctions.udf.CIQ($A35, "IQ_Capex", IQ_LTM, $L$2, $L$4, $L$3, $L$5, $L$6)), "n/a", _xll.ciqfunctions.udf.CIQ($A35, "IQ_Capex", IQ_LTM, $L$2, $L$4, $L$3, $L$5, $L$6))</f>
        <v>n/a</v>
      </c>
      <c r="AP35" s="70" t="e">
        <f ca="1">_xll.ciqfunctions.udf.CIQ(A35, "IQ_BUSINESS_DESCRIPTION")</f>
        <v>#NAME?</v>
      </c>
      <c r="AQ35" s="71" t="e">
        <f ca="1">_xll.ciqfunctions.udf.CIQ($A35, "IQ_BETA_1YR", $B$1)</f>
        <v>#NAME?</v>
      </c>
      <c r="AR35" s="71" t="e">
        <f ca="1">_xll.ciqfunctions.udf.CIQ($A35, "IQ_BETA_2YR", $B$1)</f>
        <v>#NAME?</v>
      </c>
      <c r="AS35" s="71" t="e">
        <f ca="1">_xll.ciqfunctions.udf.CIQ($A35, "IQ_BETA_5YR", $B$1)</f>
        <v>#NAME?</v>
      </c>
      <c r="AT35" s="69" t="e">
        <f ca="1">_xll.ciqfunctions.udf.CIQ($A35, "IQ_DIVIDEND_YIELD", $B$1)/100</f>
        <v>#NAME?</v>
      </c>
      <c r="AU35" s="68" t="e">
        <f ca="1">_xll.ciqfunctions.udf.CIQ($A35, "IQ_EARNING_CO", IQ_LTM-8, $L$2, $L$4, $L$3, $L$5, $L$6)</f>
        <v>#NAME?</v>
      </c>
      <c r="AV35" s="68" t="e">
        <f ca="1">_xll.ciqfunctions.udf.CIQ($A35, "IQ_EARNING_CO", IQ_LTM-4, $L$2, $L$4, $L$3, $L$5, $L$6)</f>
        <v>#NAME?</v>
      </c>
      <c r="AW35" s="68" t="e">
        <f ca="1">_xll.ciqfunctions.udf.CIQ($A35, "IQ_EARNING_CO", IQ_LTM, $L$2, $L$4, $L$3, $L$5, $L$6)</f>
        <v>#NAME?</v>
      </c>
      <c r="AX35" s="68" t="e">
        <f ca="1">_xll.ciqfunctions.udf.CIQ($A35, "IQ_EARNING_CO", $B$2, $L$2, $L$4, $L$3, $L$5, $L$6)</f>
        <v>#NAME?</v>
      </c>
      <c r="AY35" s="68" t="e">
        <f ca="1">IF(_xll.ciqfunctions.udf.CIQ($A35, "IQ_EARNING_CO", $B$3, $L$2,$L$4, $L$3, $L$5, $L$6)=0,AW35,_xll.ciqfunctions.udf.CIQ($A35, "IQ_EARNING_CO", $B$3, $L$2,$L$4, $L$3, $L$5, $L$6))</f>
        <v>#NAME?</v>
      </c>
      <c r="AZ35" s="68" t="e">
        <f ca="1">_xll.ciqfunctions.udf.CIQ($A35, "IQ_TOTAL_EQUITY", IQ_LTM-8, $L$2, $L$4, $L$3, $L$5, $L$6)</f>
        <v>#NAME?</v>
      </c>
      <c r="BA35" s="68" t="e">
        <f ca="1">_xll.ciqfunctions.udf.CIQ($A35, "IQ_TOTAL_EQUITY", IQ_LTM-4, $L$2, $L$4, $L$3, $L$5, $L$6)</f>
        <v>#NAME?</v>
      </c>
      <c r="BB35" s="68" t="e">
        <f ca="1">_xll.ciqfunctions.udf.CIQ($A35, "IQ_TOTAL_EQUITY", IQ_LTM, $L$2, $L$4, $L$3, $L$5, $L$6)</f>
        <v>#NAME?</v>
      </c>
      <c r="BC35" s="68" t="e">
        <f ca="1">_xll.ciqfunctions.udf.CIQ($A35, "IQ_TOTAL_EQUITY", $B$2, $L$2, $L$4, $L$3, $L$5, $L$6)</f>
        <v>#NAME?</v>
      </c>
      <c r="BD35" s="68" t="e">
        <f ca="1">IF(_xll.ciqfunctions.udf.CIQ($A35, "IQ_TOTAL_EQUITY", $B$3, $L$2,$L$4, $L$3, $L$5, $L$6)=0,BB35,_xll.ciqfunctions.udf.CIQ($A35, "IQ_TOTAL_EQUITY", $B$3, $L$2,$L$4, $L$3, $L$5, $L$6))</f>
        <v>#NAME?</v>
      </c>
      <c r="BE35" s="68" t="e">
        <f ca="1">_xll.ciqfunctions.udf.CIQ(A35, "IQ_LASTSALEPRICE", $B$8)</f>
        <v>#NAME?</v>
      </c>
      <c r="BF35" s="68" t="e">
        <f ca="1">_xll.ciqfunctions.udf.CIQ($A35, "IQ_MARKETCAP", $B$8, $L$5, $L$6)</f>
        <v>#NAME?</v>
      </c>
      <c r="BG35" s="68" t="e">
        <f ca="1">_xll.ciqfunctions.udf.CIQ($A35, "IQ_TOTAL_DEBT", IQ_LTM, $B$8,$L$4, $L$3, $L$5, $L$6)</f>
        <v>#NAME?</v>
      </c>
      <c r="BH35" s="44" t="e">
        <f ca="1">_xll.ciqfunctions.udf.CIQ($A35,"IQ_PREF_EQUITY",IQ_LTM,$B$8,$L$4,$L$3,$L$5,$L$6)</f>
        <v>#NAME?</v>
      </c>
      <c r="BI35" s="44" t="e">
        <f ca="1">_xll.ciqfunctions.udf.CIQ($A35, "IQ_MINORITY_INTEREST_TOTAL", IQ_LTM,$B$8,$L$4,$L$3,$L$5,$L$6)</f>
        <v>#NAME?</v>
      </c>
      <c r="BJ35" s="68" t="e">
        <f ca="1">_xll.ciqfunctions.udf.CIQ($A35, "IQ_CASH_ST_INVEST", IQ_LTM, $B$8, $L$4, $L$3, $L$5, $L$6)</f>
        <v>#NAME?</v>
      </c>
      <c r="BK35" s="44" t="e">
        <f ca="1">_xll.ciqfunctions.udf.CIQ($A35, "IQ_EFFECT_TAX_RATE")</f>
        <v>#NAME?</v>
      </c>
      <c r="BL35" s="44" t="e">
        <f ca="1">IF(_xll.ciqfunctions.udf.CIQ($A35, "IQ_TOTAL_REV_2YR_ANN_CAGR", IQ_LTM, $B$1,$L$4, $L$3, $L$5, $L$6)="NM","n/a",(_xll.ciqfunctions.udf.CIQ($A35, "IQ_TOTAL_REV_2YR_ANN_CAGR", IQ_LTM, $B$1,$L$4, $L$3, $L$5, $L$6)/100))</f>
        <v>#NAME?</v>
      </c>
      <c r="BM35" s="44" t="e">
        <f ca="1">IF(_xll.ciqfunctions.udf.CIQ($A35, "IQ_TOTAL_REV_3YR_ANN_CAGR", IQ_LTM, $B$1,$L$4, $L$3, $L$5, $L$6)="NM","n/a",(_xll.ciqfunctions.udf.CIQ($A35, "IQ_TOTAL_REV_3YR_ANN_CAGR", IQ_LTM, $B$1,$L$4, $L$3, $L$5, $L$6)/100))</f>
        <v>#NAME?</v>
      </c>
      <c r="BN35" s="44" t="e">
        <f ca="1">IF(_xll.ciqfunctions.udf.CIQ($A35, "IQ_TOTAL_REV_5YR_ANN_CAGR", IQ_LTM, $B$1,$L$4, $L$3, $L$5, $L$6)="NM","n/a",(_xll.ciqfunctions.udf.CIQ($A35, "IQ_TOTAL_REV_5YR_ANN_CAGR", IQ_LTM, $B$1,$L$4, $L$3, $L$5, $L$6)/100))</f>
        <v>#NAME?</v>
      </c>
      <c r="BO35" s="44" t="e">
        <f ca="1">IF(_xll.ciqfunctions.udf.CIQ($A35,"IQ_EBITDA_2YR_ANN_CAGR", IQ_LTM,$B$1,$L$4, $L$3, $L$5, $L$6)="NM","n/a",(_xll.ciqfunctions.udf.CIQ($A35,"IQ_EBITDA_2YR_ANN_CAGR", IQ_LTM,$B$1,$L$4, $L$3, $L$5, $L$6)/100))</f>
        <v>#NAME?</v>
      </c>
      <c r="BP35" s="44" t="e">
        <f ca="1">IF(_xll.ciqfunctions.udf.CIQ($A35,"IQ_EBITDA_3YR_ANN_CAGR", IQ_LTM,$B$1,$L$4, $L$3, $L$5, $L$6)="NM","n/a",(_xll.ciqfunctions.udf.CIQ($A35,"IQ_EBITDA_3YR_ANN_CAGR", IQ_LTM,$B$1,$L$4, $L$3, $L$5, $L$6)/100))</f>
        <v>#NAME?</v>
      </c>
      <c r="BQ35" s="44" t="e">
        <f ca="1">IF(_xll.ciqfunctions.udf.CIQ($A35,"IQ_EBITDA_5YR_ANN_CAGR", IQ_LTM,$B$1,$L$4, $L$3, $L$5, $L$6)="NM","n/a",(_xll.ciqfunctions.udf.CIQ($A35,"IQ_EBITDA_5YR_ANN_CAGR", IQ_LTM,$B$1,$L$4, $L$3, $L$5, $L$6)/100))</f>
        <v>#NAME?</v>
      </c>
      <c r="BR35" s="48" t="str">
        <f ca="1">IFERROR((_xll.ciqfunctions.udf.CIQ($A35, "IQ_DA_CF", IQ_LTM, $B$1, $L$4, $L$3, $L$5, $L$6)/Q35),"NM")</f>
        <v>NM</v>
      </c>
      <c r="BS35" s="72" t="e">
        <f>'Capital IQ Sheet-GPC'!BS35</f>
        <v>#VALUE!</v>
      </c>
      <c r="BT35" s="72" t="e">
        <f>'Capital IQ Sheet-GPC'!BT35</f>
        <v>#VALUE!</v>
      </c>
      <c r="BU35" s="72" t="e">
        <f>'Capital IQ Sheet-GPC'!BU35</f>
        <v>#VALUE!</v>
      </c>
      <c r="BV35" s="72" t="e">
        <f>'Capital IQ Sheet-GPC'!BV35</f>
        <v>#VALUE!</v>
      </c>
      <c r="BW35" s="72" t="e">
        <f>'Capital IQ Sheet-GPC'!BW35</f>
        <v>#VALUE!</v>
      </c>
      <c r="BX35" s="72" t="e">
        <f>'Capital IQ Sheet-GPC'!BX35</f>
        <v>#VALUE!</v>
      </c>
      <c r="BY35" s="72" t="e">
        <f>'Capital IQ Sheet-GPC'!BY35</f>
        <v>#VALUE!</v>
      </c>
      <c r="BZ35" s="72" t="e">
        <f>'Capital IQ Sheet-GPC'!BZ35</f>
        <v>#VALUE!</v>
      </c>
      <c r="CB35" s="44">
        <v>2</v>
      </c>
      <c r="CC35" s="112" t="s">
        <v>269</v>
      </c>
      <c r="CD35" s="112" t="s">
        <v>268</v>
      </c>
      <c r="CE35" s="46">
        <f t="shared" si="0"/>
        <v>42766</v>
      </c>
    </row>
    <row r="36" spans="1:83" s="44" customFormat="1" ht="12.75">
      <c r="A36" s="45" t="e">
        <f ca="1">_xll.ciqfunctions.udf.CIQ($B36,"IQ_COMPANY_TICKER")</f>
        <v>#NAME?</v>
      </c>
      <c r="B36" s="67" t="str">
        <f>'Capital IQ Sheet-GPC'!B36</f>
        <v>(Invalid Identifier)</v>
      </c>
      <c r="C36" s="45" t="e">
        <f ca="1">_xll.ciqfunctions.udf.CIQ($A36,"IQ_COMPANY_NAME")</f>
        <v>#NAME?</v>
      </c>
      <c r="D36" s="45" t="e">
        <f ca="1">_xll.ciqfunctions.udf.CIQ($A36, "IQ_EXCHANGE")</f>
        <v>#NAME?</v>
      </c>
      <c r="E36" s="66" t="e">
        <f ca="1">_xll.ciqfunctions.udf.CIQ($A36, "IQ_PERIODDATE_IS", IQ_FY)</f>
        <v>#NAME?</v>
      </c>
      <c r="F36" s="66" t="e">
        <f ca="1">_xll.ciqfunctions.udf.CIQ(A36, "IQ_PERIODDATE_IS", IQ_LTM, $B$1,$L$4,$L$3)</f>
        <v>#NAME?</v>
      </c>
      <c r="G36" s="66" t="e">
        <f ca="1">_xll.ciqfunctions.udf.CIQ($A36, "IQ_FIRSTPRICINGDATE")</f>
        <v>#NAME?</v>
      </c>
      <c r="H36" s="68" t="e">
        <f ca="1">_xll.ciqfunctions.udf.CIQ($A36, "IQ_TEV", $L$2, $L$5, $L$6)</f>
        <v>#NAME?</v>
      </c>
      <c r="I36" s="68" t="e">
        <f ca="1">_xll.ciqfunctions.udf.CIQ(A36, "IQ_LASTSALEPRICE", $B$1,$L$5)</f>
        <v>#NAME?</v>
      </c>
      <c r="J36" s="68" t="e">
        <f ca="1">_xll.ciqfunctions.udf.CIQ($A36, "IQ_MARKETCAP", $L$2, $L$5, $L$6)</f>
        <v>#NAME?</v>
      </c>
      <c r="K36" s="68" t="e">
        <f ca="1">_xll.ciqfunctions.udf.CIQ($A36, "IQ_TOTAL_DEBT", IQ_LTM, $L$2,$L$4, $L$3, $L$5, $L$6)</f>
        <v>#NAME?</v>
      </c>
      <c r="L36" s="68" t="e">
        <f ca="1">_xll.ciqfunctions.udf.CIQ($A36, "IQ_PREF_EQUITY", IQ_LTM, $L$2, $L$4, $L$3, $L$5, $L$6)</f>
        <v>#NAME?</v>
      </c>
      <c r="M36" s="68" t="e">
        <f ca="1">_xll.ciqfunctions.udf.CIQ($A36, "IQ_MINORITY_INTEREST_TOTAL", IQ_LTM, $L$2, $L$4, $L$3, $L$5, $L$6)</f>
        <v>#NAME?</v>
      </c>
      <c r="N36" s="68" t="e">
        <f ca="1">_xll.ciqfunctions.udf.CIQ($A36, "IQ_CASH_ST_INVEST", IQ_LTM, $L$2, $L$4, $L$3, $L$5, $L$6)</f>
        <v>#NAME?</v>
      </c>
      <c r="O36" s="68" t="e">
        <f ca="1">_xll.ciqfunctions.udf.CIQ($A36, "IQ_TOTAL_REV", IQ_LTM-8, $L$2, $L$4, $L$3, $L$5, $L$6)</f>
        <v>#NAME?</v>
      </c>
      <c r="P36" s="68" t="e">
        <f ca="1">_xll.ciqfunctions.udf.CIQ($A36, "IQ_TOTAL_REV", IQ_LTM - 4, $L$2, $L$4, $L$3, $L$5,$L$6)</f>
        <v>#NAME?</v>
      </c>
      <c r="Q36" s="68" t="e">
        <f ca="1">_xll.ciqfunctions.udf.CIQ($A36, "IQ_TOTAL_REV", IQ_LTM, $L$2, $L$4, $L$3, $L$5, $L$6)</f>
        <v>#NAME?</v>
      </c>
      <c r="R36" s="68" t="e">
        <f ca="1">_xll.ciqfunctions.udf.CIQ($A36, "IQ_TOTAL_REV", $B$2, $L$2, $L$4, $L$3, $L$5, $L$6)</f>
        <v>#NAME?</v>
      </c>
      <c r="S36" s="68" t="e">
        <f ca="1">IF(_xll.ciqfunctions.udf.CIQ($A36, "IQ_TOTAL_REV", $B$3, $L$2,$L$4, $L$3, $L$5, $L$6)=0,Q36,_xll.ciqfunctions.udf.CIQ($A36, "IQ_TOTAL_REV", $B$3, $L$2,$L$4, $L$3, $L$5, $L$6))</f>
        <v>#NAME?</v>
      </c>
      <c r="T36" s="68" t="e">
        <f ca="1">IF(_xll.ciqfunctions.udf.CIQ($A36, "IQ_REVENUE_EST",$B$4, $L$2, "CON", $L$3, $L$5, $L$6)=0,"n/a",_xll.ciqfunctions.udf.CIQ($A36, "IQ_REVENUE_EST",$B$4, $L$2, "CON", $L$3, $L$5, $L$6))</f>
        <v>#NAME?</v>
      </c>
      <c r="U36" s="68" t="e">
        <f ca="1">IF(_xll.ciqfunctions.udf.CIQ($A36, "IQ_REVENUE_EST",$B$5, $L$2, "CON", $L$3, $L$5, $L$6)=0,"n/a",_xll.ciqfunctions.udf.CIQ($A36, "IQ_REVENUE_EST",$B$5, $L$2, "CON", $L$3, $L$5, $L$6))</f>
        <v>#NAME?</v>
      </c>
      <c r="V36" s="68" t="e">
        <f ca="1">IF(_xll.ciqfunctions.udf.CIQ($A36, "IQ_REVENUE_EST",$B$6, $L$2, "CON", $L$3, $L$5, $L$6)=0,"n/a",_xll.ciqfunctions.udf.CIQ($A36, "IQ_REVENUE_EST",$B$6, $L$2, "CON", $L$3, $L$5, $L$6))</f>
        <v>#NAME?</v>
      </c>
      <c r="W36" s="68" t="e">
        <f ca="1">IF(_xll.ciqfunctions.udf.CIQ($A36, "IQ_REVENUE_EST", $B$7, $L$2, "CON", $L$3, $L$5, $L$6)=0,"n/a",_xll.ciqfunctions.udf.CIQ($A36, "IQ_REVENUE_EST",$B$7, $L$2, "CON", $L$3, $L$5, $L$6))</f>
        <v>#NAME?</v>
      </c>
      <c r="X36" s="68" t="e">
        <f ca="1">_xll.ciqfunctions.udf.CIQ($A36, "IQ_EBITDA", IQ_LTM-8, $L$2, $L$4, $L$3, $L$5, $L$6)</f>
        <v>#NAME?</v>
      </c>
      <c r="Y36" s="68" t="e">
        <f ca="1">_xll.ciqfunctions.udf.CIQ($A36, "IQ_EBITDA", IQ_LTM-4, $L$2,$L$4, $L$3, $L$5, $L$6)</f>
        <v>#NAME?</v>
      </c>
      <c r="Z36" s="68" t="e">
        <f ca="1">_xll.ciqfunctions.udf.CIQ($A36, "IQ_EBITDA", IQ_LTM, $L$2, $L$4, $L$3, $L$5, $L$6)</f>
        <v>#NAME?</v>
      </c>
      <c r="AA36" s="68" t="e">
        <f ca="1">_xll.ciqfunctions.udf.CIQ($A36, "IQ_EBITDA", $B$2, $L$2, $L$4, $L$3, $L$5, $L$6)</f>
        <v>#NAME?</v>
      </c>
      <c r="AB36" s="68" t="e">
        <f ca="1">IF(_xll.ciqfunctions.udf.CIQ($A36, "IQ_EBITDA", $B$3, $L$2,$L$4, $L$3, $L$5, $L$6)=0,Z36,_xll.ciqfunctions.udf.CIQ($A36, "IQ_EBITDA", $B$3, $L$2,$L$4, $L$3, $L$5, $L$6))</f>
        <v>#NAME?</v>
      </c>
      <c r="AC36" s="68" t="e">
        <f ca="1">IF(_xll.ciqfunctions.udf.CIQ($A36, "IQ_EBITDA_EST",$B$4, $L$2, "CON", $L$3, $L$5, $L$6)=0,"n/a",_xll.ciqfunctions.udf.CIQ($A36, "IQ_EBITDA_EST",$B$4, $L$2, "CON", $L$3, $L$5, $L$6))</f>
        <v>#NAME?</v>
      </c>
      <c r="AD36" s="68" t="e">
        <f ca="1">IF(_xll.ciqfunctions.udf.CIQ($A36, "IQ_EBITDA_EST",$B$5, $L$2, "CON", $L$3, $L$5, $L$6)=0,"n/a",_xll.ciqfunctions.udf.CIQ($A36, "IQ_EBITDA_EST",$B$5, $L$2, "CON", $L$3, $L$5, $L$6))</f>
        <v>#NAME?</v>
      </c>
      <c r="AE36" s="68" t="e">
        <f ca="1">IF(_xll.ciqfunctions.udf.CIQ($A36, "IQ_EBITDA_EST",$B$6, $L$2, "CON", $L$3, $L$5, $L$6)=0,"n/a",_xll.ciqfunctions.udf.CIQ($A36, "IQ_EBITDA_EST",$B$6, $L$2, "CON", $L$3, $L$5, $L$6))</f>
        <v>#NAME?</v>
      </c>
      <c r="AF36" s="69" t="str">
        <f ca="1">IF(ISERROR(_xll.ciqfunctions.udf.CIQ($A36, "IQ_GROSS_MARGIN", IQ_LTM, $L$2,$L$4, $L$3, $L$5, $L$6)/100), "n/a", _xll.ciqfunctions.udf.CIQ($A36,  "IQ_GROSS_MARGIN", IQ_LTM, $L$2, $L$4, $L$3, $L$5, $L$6)/100)</f>
        <v>n/a</v>
      </c>
      <c r="AG36" s="69" t="str">
        <f ca="1">IF(ISERROR(_xll.ciqfunctions.udf.CIQ($A36,"IQ_EBITDA_MARGIN", IQ_LTM, $L$2, $L$4, $L$3, $L$5, $L$6)/100), "n/a", _xll.ciqfunctions.udf.CIQ($A36, "IQ_EBITDA_MARGIN", IQ_LTM, $L$2, $L$4, $L$3, $L$5, $L$6)/100)</f>
        <v>n/a</v>
      </c>
      <c r="AH36" s="69" t="str">
        <f ca="1">IF(ISERROR(_xll.ciqfunctions.udf.CIQ($A36,"IQ_EBIT_MARGIN", IQ_LTM, $L$2, $L$4, $L$3, $L$5, $L$6)/100), "n/a", _xll.ciqfunctions.udf.CIQ($A36, "IQ_EBIT_MARGIN", IQ_LTM, $L$2, $L$4, $L$3, $L$5, $L$6)/100)</f>
        <v>n/a</v>
      </c>
      <c r="AI36" s="69" t="str">
        <f ca="1">IF(ISERROR(_xll.ciqfunctions.udf.CIQ($A36,"IQ_NI_MARGIN", IQ_LTM, $L$2, $L$4, $L$3, $L$5, $L$6)/100), "n/a", _xll.ciqfunctions.udf.CIQ($A36, "IQ_NI_MARGIN", IQ_LTM, $L$2, $L$4, $L$3, $L$5, $L$6)/100)</f>
        <v>n/a</v>
      </c>
      <c r="AJ36" s="68" t="str">
        <f ca="1">IF(ISERROR(_xll.ciqfunctions.udf.CIQ($A36, "IQ_NET_WORKING_CAP", IQ_LTM-8, $L$2, $L$4, $L$3, $L$5, $L$6)), "n/a", _xll.ciqfunctions.udf.CIQ($A36, "IQ_NET_WORKING_CAP", IQ_LTM-8, $L$2, $L$4, $L$3, $L$5, $L$6))</f>
        <v>n/a</v>
      </c>
      <c r="AK36" s="68" t="str">
        <f ca="1">IF(ISERROR(_xll.ciqfunctions.udf.CIQ($A36, "IQ_NET_WORKING_CAP", IQ_LTM-4, $L$2, $L$4, $L$3, $L$5, $L$6)), "n/a", _xll.ciqfunctions.udf.CIQ($A36, "IQ_NET_WORKING_CAP", IQ_LTM-4, $L$2, $L$4, $L$3, $L$5, $L$6))</f>
        <v>n/a</v>
      </c>
      <c r="AL36" s="68" t="str">
        <f ca="1">IF(ISERROR(_xll.ciqfunctions.udf.CIQ($A36, "IQ_NET_WORKING_CAP", IQ_LTM, $L$2,$L$4, $L$3, $L$5, $L$6)), "n/a", _xll.ciqfunctions.udf.CIQ($A36, "IQ_NET_WORKING_CAP", IQ_LTM, $L$2, $L$4, $L$3, $L$5, $L$6))</f>
        <v>n/a</v>
      </c>
      <c r="AM36" s="68" t="str">
        <f ca="1">IF(ISERROR(_xll.ciqfunctions.udf.CIQ($A36, "IQ_Capex", IQ_LTM-8, $L$2,$L$4, $L$3, $L$5, $L$6)), "n/a", _xll.ciqfunctions.udf.CIQ($A36, "IQ_Capex", IQ_LTM-8, $L$2, $L$4, $L$3, $L$5, $L$6))</f>
        <v>n/a</v>
      </c>
      <c r="AN36" s="68" t="str">
        <f ca="1">IF(ISERROR(_xll.ciqfunctions.udf.CIQ($A36, "IQ_Capex", IQ_LTM-4, $L$2,$L$4, $L$3, $L$5, $L$6)), "n/a", _xll.ciqfunctions.udf.CIQ($A36, "IQ_Capex", IQ_LTM-4, $L$2,$L$4, $L$3, $L$5, $L$6))</f>
        <v>n/a</v>
      </c>
      <c r="AO36" s="68" t="str">
        <f ca="1">IF(ISERROR(_xll.ciqfunctions.udf.CIQ($A36, "IQ_Capex", IQ_LTM, $L$2, $L$4, $L$3, $L$5, $L$6)), "n/a", _xll.ciqfunctions.udf.CIQ($A36, "IQ_Capex", IQ_LTM, $L$2, $L$4, $L$3, $L$5, $L$6))</f>
        <v>n/a</v>
      </c>
      <c r="AP36" s="70" t="e">
        <f ca="1">_xll.ciqfunctions.udf.CIQ(A36, "IQ_BUSINESS_DESCRIPTION")</f>
        <v>#NAME?</v>
      </c>
      <c r="AQ36" s="71" t="e">
        <f ca="1">_xll.ciqfunctions.udf.CIQ($A36, "IQ_BETA_1YR", $B$1)</f>
        <v>#NAME?</v>
      </c>
      <c r="AR36" s="71" t="e">
        <f ca="1">_xll.ciqfunctions.udf.CIQ($A36, "IQ_BETA_2YR", $B$1)</f>
        <v>#NAME?</v>
      </c>
      <c r="AS36" s="71" t="e">
        <f ca="1">_xll.ciqfunctions.udf.CIQ($A36, "IQ_BETA_5YR", $B$1)</f>
        <v>#NAME?</v>
      </c>
      <c r="AT36" s="69" t="e">
        <f ca="1">_xll.ciqfunctions.udf.CIQ($A36, "IQ_DIVIDEND_YIELD", $B$1)/100</f>
        <v>#NAME?</v>
      </c>
      <c r="AU36" s="68" t="e">
        <f ca="1">_xll.ciqfunctions.udf.CIQ($A36, "IQ_EARNING_CO", IQ_LTM-8, $L$2, $L$4, $L$3, $L$5, $L$6)</f>
        <v>#NAME?</v>
      </c>
      <c r="AV36" s="68" t="e">
        <f ca="1">_xll.ciqfunctions.udf.CIQ($A36, "IQ_EARNING_CO", IQ_LTM-4, $L$2, $L$4, $L$3, $L$5, $L$6)</f>
        <v>#NAME?</v>
      </c>
      <c r="AW36" s="68" t="e">
        <f ca="1">_xll.ciqfunctions.udf.CIQ($A36, "IQ_EARNING_CO", IQ_LTM, $L$2, $L$4, $L$3, $L$5, $L$6)</f>
        <v>#NAME?</v>
      </c>
      <c r="AX36" s="68" t="e">
        <f ca="1">_xll.ciqfunctions.udf.CIQ($A36, "IQ_EARNING_CO", $B$2, $L$2, $L$4, $L$3, $L$5, $L$6)</f>
        <v>#NAME?</v>
      </c>
      <c r="AY36" s="68" t="e">
        <f ca="1">IF(_xll.ciqfunctions.udf.CIQ($A36, "IQ_EARNING_CO", $B$3, $L$2,$L$4, $L$3, $L$5, $L$6)=0,AW36,_xll.ciqfunctions.udf.CIQ($A36, "IQ_EARNING_CO", $B$3, $L$2,$L$4, $L$3, $L$5, $L$6))</f>
        <v>#NAME?</v>
      </c>
      <c r="AZ36" s="68" t="e">
        <f ca="1">_xll.ciqfunctions.udf.CIQ($A36, "IQ_TOTAL_EQUITY", IQ_LTM-8, $L$2, $L$4, $L$3, $L$5, $L$6)</f>
        <v>#NAME?</v>
      </c>
      <c r="BA36" s="68" t="e">
        <f ca="1">_xll.ciqfunctions.udf.CIQ($A36, "IQ_TOTAL_EQUITY", IQ_LTM-4, $L$2, $L$4, $L$3, $L$5, $L$6)</f>
        <v>#NAME?</v>
      </c>
      <c r="BB36" s="68" t="e">
        <f ca="1">_xll.ciqfunctions.udf.CIQ($A36, "IQ_TOTAL_EQUITY", IQ_LTM, $L$2, $L$4, $L$3, $L$5, $L$6)</f>
        <v>#NAME?</v>
      </c>
      <c r="BC36" s="68" t="e">
        <f ca="1">_xll.ciqfunctions.udf.CIQ($A36, "IQ_TOTAL_EQUITY", $B$2, $L$2, $L$4, $L$3, $L$5, $L$6)</f>
        <v>#NAME?</v>
      </c>
      <c r="BD36" s="68" t="e">
        <f ca="1">IF(_xll.ciqfunctions.udf.CIQ($A36, "IQ_TOTAL_EQUITY", $B$3, $L$2,$L$4, $L$3, $L$5, $L$6)=0,BB36,_xll.ciqfunctions.udf.CIQ($A36, "IQ_TOTAL_EQUITY", $B$3, $L$2,$L$4, $L$3, $L$5, $L$6))</f>
        <v>#NAME?</v>
      </c>
      <c r="BE36" s="68" t="e">
        <f ca="1">_xll.ciqfunctions.udf.CIQ(A36, "IQ_LASTSALEPRICE", $B$8)</f>
        <v>#NAME?</v>
      </c>
      <c r="BF36" s="68" t="e">
        <f ca="1">_xll.ciqfunctions.udf.CIQ($A36, "IQ_MARKETCAP", $B$8, $L$5, $L$6)</f>
        <v>#NAME?</v>
      </c>
      <c r="BG36" s="68" t="e">
        <f ca="1">_xll.ciqfunctions.udf.CIQ($A36, "IQ_TOTAL_DEBT", IQ_LTM, $B$8,$L$4, $L$3, $L$5, $L$6)</f>
        <v>#NAME?</v>
      </c>
      <c r="BH36" s="44" t="e">
        <f ca="1">_xll.ciqfunctions.udf.CIQ($A36,"IQ_PREF_EQUITY",IQ_LTM,$B$8,$L$4,$L$3,$L$5,$L$6)</f>
        <v>#NAME?</v>
      </c>
      <c r="BI36" s="44" t="e">
        <f ca="1">_xll.ciqfunctions.udf.CIQ($A36, "IQ_MINORITY_INTEREST_TOTAL", IQ_LTM,$B$8,$L$4,$L$3,$L$5,$L$6)</f>
        <v>#NAME?</v>
      </c>
      <c r="BJ36" s="68" t="e">
        <f ca="1">_xll.ciqfunctions.udf.CIQ($A36, "IQ_CASH_ST_INVEST", IQ_LTM, $B$8, $L$4, $L$3, $L$5, $L$6)</f>
        <v>#NAME?</v>
      </c>
      <c r="BK36" s="44" t="e">
        <f ca="1">_xll.ciqfunctions.udf.CIQ($A36, "IQ_EFFECT_TAX_RATE")</f>
        <v>#NAME?</v>
      </c>
      <c r="BL36" s="44" t="e">
        <f ca="1">IF(_xll.ciqfunctions.udf.CIQ($A36, "IQ_TOTAL_REV_2YR_ANN_CAGR", IQ_LTM, $B$1,$L$4, $L$3, $L$5, $L$6)="NM","n/a",(_xll.ciqfunctions.udf.CIQ($A36, "IQ_TOTAL_REV_2YR_ANN_CAGR", IQ_LTM, $B$1,$L$4, $L$3, $L$5, $L$6)/100))</f>
        <v>#NAME?</v>
      </c>
      <c r="BM36" s="44" t="e">
        <f ca="1">IF(_xll.ciqfunctions.udf.CIQ($A36, "IQ_TOTAL_REV_3YR_ANN_CAGR", IQ_LTM, $B$1,$L$4, $L$3, $L$5, $L$6)="NM","n/a",(_xll.ciqfunctions.udf.CIQ($A36, "IQ_TOTAL_REV_3YR_ANN_CAGR", IQ_LTM, $B$1,$L$4, $L$3, $L$5, $L$6)/100))</f>
        <v>#NAME?</v>
      </c>
      <c r="BN36" s="44" t="e">
        <f ca="1">IF(_xll.ciqfunctions.udf.CIQ($A36, "IQ_TOTAL_REV_5YR_ANN_CAGR", IQ_LTM, $B$1,$L$4, $L$3, $L$5, $L$6)="NM","n/a",(_xll.ciqfunctions.udf.CIQ($A36, "IQ_TOTAL_REV_5YR_ANN_CAGR", IQ_LTM, $B$1,$L$4, $L$3, $L$5, $L$6)/100))</f>
        <v>#NAME?</v>
      </c>
      <c r="BO36" s="44" t="e">
        <f ca="1">IF(_xll.ciqfunctions.udf.CIQ($A36,"IQ_EBITDA_2YR_ANN_CAGR", IQ_LTM,$B$1,$L$4, $L$3, $L$5, $L$6)="NM","n/a",(_xll.ciqfunctions.udf.CIQ($A36,"IQ_EBITDA_2YR_ANN_CAGR", IQ_LTM,$B$1,$L$4, $L$3, $L$5, $L$6)/100))</f>
        <v>#NAME?</v>
      </c>
      <c r="BP36" s="44" t="e">
        <f ca="1">IF(_xll.ciqfunctions.udf.CIQ($A36,"IQ_EBITDA_3YR_ANN_CAGR", IQ_LTM,$B$1,$L$4, $L$3, $L$5, $L$6)="NM","n/a",(_xll.ciqfunctions.udf.CIQ($A36,"IQ_EBITDA_3YR_ANN_CAGR", IQ_LTM,$B$1,$L$4, $L$3, $L$5, $L$6)/100))</f>
        <v>#NAME?</v>
      </c>
      <c r="BQ36" s="44" t="e">
        <f ca="1">IF(_xll.ciqfunctions.udf.CIQ($A36,"IQ_EBITDA_5YR_ANN_CAGR", IQ_LTM,$B$1,$L$4, $L$3, $L$5, $L$6)="NM","n/a",(_xll.ciqfunctions.udf.CIQ($A36,"IQ_EBITDA_5YR_ANN_CAGR", IQ_LTM,$B$1,$L$4, $L$3, $L$5, $L$6)/100))</f>
        <v>#NAME?</v>
      </c>
      <c r="BR36" s="48" t="str">
        <f ca="1">IFERROR((_xll.ciqfunctions.udf.CIQ($A36, "IQ_DA_CF", IQ_LTM, $B$1, $L$4, $L$3, $L$5, $L$6)/Q36),"NM")</f>
        <v>NM</v>
      </c>
      <c r="BS36" s="72" t="e">
        <f>'Capital IQ Sheet-GPC'!BS36</f>
        <v>#VALUE!</v>
      </c>
      <c r="BT36" s="72" t="e">
        <f>'Capital IQ Sheet-GPC'!BT36</f>
        <v>#VALUE!</v>
      </c>
      <c r="BU36" s="72" t="e">
        <f>'Capital IQ Sheet-GPC'!BU36</f>
        <v>#VALUE!</v>
      </c>
      <c r="BV36" s="72" t="e">
        <f>'Capital IQ Sheet-GPC'!BV36</f>
        <v>#VALUE!</v>
      </c>
      <c r="BW36" s="72" t="e">
        <f>'Capital IQ Sheet-GPC'!BW36</f>
        <v>#VALUE!</v>
      </c>
      <c r="BX36" s="72" t="e">
        <f>'Capital IQ Sheet-GPC'!BX36</f>
        <v>#VALUE!</v>
      </c>
      <c r="BY36" s="72" t="e">
        <f>'Capital IQ Sheet-GPC'!BY36</f>
        <v>#VALUE!</v>
      </c>
      <c r="BZ36" s="72" t="e">
        <f>'Capital IQ Sheet-GPC'!BZ36</f>
        <v>#VALUE!</v>
      </c>
      <c r="CB36" s="44">
        <v>2</v>
      </c>
      <c r="CC36" s="112" t="s">
        <v>269</v>
      </c>
      <c r="CD36" s="112" t="s">
        <v>268</v>
      </c>
      <c r="CE36" s="46">
        <f t="shared" si="0"/>
        <v>42766</v>
      </c>
    </row>
    <row r="37" spans="1:83" s="44" customFormat="1" ht="12.75">
      <c r="A37" s="45" t="e">
        <f ca="1">_xll.ciqfunctions.udf.CIQ($B37,"IQ_COMPANY_TICKER")</f>
        <v>#NAME?</v>
      </c>
      <c r="B37" s="67" t="str">
        <f>'Capital IQ Sheet-GPC'!B37</f>
        <v>(Invalid Identifier)</v>
      </c>
      <c r="C37" s="45" t="e">
        <f ca="1">_xll.ciqfunctions.udf.CIQ($A37,"IQ_COMPANY_NAME")</f>
        <v>#NAME?</v>
      </c>
      <c r="D37" s="45" t="e">
        <f ca="1">_xll.ciqfunctions.udf.CIQ($A37, "IQ_EXCHANGE")</f>
        <v>#NAME?</v>
      </c>
      <c r="E37" s="66" t="e">
        <f ca="1">_xll.ciqfunctions.udf.CIQ($A37, "IQ_PERIODDATE_IS", IQ_FY)</f>
        <v>#NAME?</v>
      </c>
      <c r="F37" s="66" t="e">
        <f ca="1">_xll.ciqfunctions.udf.CIQ(A37, "IQ_PERIODDATE_IS", IQ_LTM, $B$1,$L$4,$L$3)</f>
        <v>#NAME?</v>
      </c>
      <c r="G37" s="66" t="e">
        <f ca="1">_xll.ciqfunctions.udf.CIQ($A37, "IQ_FIRSTPRICINGDATE")</f>
        <v>#NAME?</v>
      </c>
      <c r="H37" s="68" t="e">
        <f ca="1">_xll.ciqfunctions.udf.CIQ($A37, "IQ_TEV", $L$2, $L$5, $L$6)</f>
        <v>#NAME?</v>
      </c>
      <c r="I37" s="68" t="e">
        <f ca="1">_xll.ciqfunctions.udf.CIQ(A37, "IQ_LASTSALEPRICE", $B$1,$L$5)</f>
        <v>#NAME?</v>
      </c>
      <c r="J37" s="68" t="e">
        <f ca="1">_xll.ciqfunctions.udf.CIQ($A37, "IQ_MARKETCAP", $L$2, $L$5, $L$6)</f>
        <v>#NAME?</v>
      </c>
      <c r="K37" s="68" t="e">
        <f ca="1">_xll.ciqfunctions.udf.CIQ($A37, "IQ_TOTAL_DEBT", IQ_LTM, $L$2,$L$4, $L$3, $L$5, $L$6)</f>
        <v>#NAME?</v>
      </c>
      <c r="L37" s="68" t="e">
        <f ca="1">_xll.ciqfunctions.udf.CIQ($A37, "IQ_PREF_EQUITY", IQ_LTM, $L$2, $L$4, $L$3, $L$5, $L$6)</f>
        <v>#NAME?</v>
      </c>
      <c r="M37" s="68" t="e">
        <f ca="1">_xll.ciqfunctions.udf.CIQ($A37, "IQ_MINORITY_INTEREST_TOTAL", IQ_LTM, $L$2, $L$4, $L$3, $L$5, $L$6)</f>
        <v>#NAME?</v>
      </c>
      <c r="N37" s="68" t="e">
        <f ca="1">_xll.ciqfunctions.udf.CIQ($A37, "IQ_CASH_ST_INVEST", IQ_LTM, $L$2, $L$4, $L$3, $L$5, $L$6)</f>
        <v>#NAME?</v>
      </c>
      <c r="O37" s="68" t="e">
        <f ca="1">_xll.ciqfunctions.udf.CIQ($A37, "IQ_TOTAL_REV", IQ_LTM-8, $L$2, $L$4, $L$3, $L$5, $L$6)</f>
        <v>#NAME?</v>
      </c>
      <c r="P37" s="68" t="e">
        <f ca="1">_xll.ciqfunctions.udf.CIQ($A37, "IQ_TOTAL_REV", IQ_LTM - 4, $L$2, $L$4, $L$3, $L$5,$L$6)</f>
        <v>#NAME?</v>
      </c>
      <c r="Q37" s="68" t="e">
        <f ca="1">_xll.ciqfunctions.udf.CIQ($A37, "IQ_TOTAL_REV", IQ_LTM, $L$2, $L$4, $L$3, $L$5, $L$6)</f>
        <v>#NAME?</v>
      </c>
      <c r="R37" s="68" t="e">
        <f ca="1">_xll.ciqfunctions.udf.CIQ($A37, "IQ_TOTAL_REV", $B$2, $L$2, $L$4, $L$3, $L$5, $L$6)</f>
        <v>#NAME?</v>
      </c>
      <c r="S37" s="68" t="e">
        <f ca="1">IF(_xll.ciqfunctions.udf.CIQ($A37, "IQ_TOTAL_REV", $B$3, $L$2,$L$4, $L$3, $L$5, $L$6)=0,Q37,_xll.ciqfunctions.udf.CIQ($A37, "IQ_TOTAL_REV", $B$3, $L$2,$L$4, $L$3, $L$5, $L$6))</f>
        <v>#NAME?</v>
      </c>
      <c r="T37" s="68" t="e">
        <f ca="1">IF(_xll.ciqfunctions.udf.CIQ($A37, "IQ_REVENUE_EST",$B$4, $L$2, "CON", $L$3, $L$5, $L$6)=0,"n/a",_xll.ciqfunctions.udf.CIQ($A37, "IQ_REVENUE_EST",$B$4, $L$2, "CON", $L$3, $L$5, $L$6))</f>
        <v>#NAME?</v>
      </c>
      <c r="U37" s="68" t="e">
        <f ca="1">IF(_xll.ciqfunctions.udf.CIQ($A37, "IQ_REVENUE_EST",$B$5, $L$2, "CON", $L$3, $L$5, $L$6)=0,"n/a",_xll.ciqfunctions.udf.CIQ($A37, "IQ_REVENUE_EST",$B$5, $L$2, "CON", $L$3, $L$5, $L$6))</f>
        <v>#NAME?</v>
      </c>
      <c r="V37" s="68" t="e">
        <f ca="1">IF(_xll.ciqfunctions.udf.CIQ($A37, "IQ_REVENUE_EST",$B$6, $L$2, "CON", $L$3, $L$5, $L$6)=0,"n/a",_xll.ciqfunctions.udf.CIQ($A37, "IQ_REVENUE_EST",$B$6, $L$2, "CON", $L$3, $L$5, $L$6))</f>
        <v>#NAME?</v>
      </c>
      <c r="W37" s="68" t="e">
        <f ca="1">IF(_xll.ciqfunctions.udf.CIQ($A37, "IQ_REVENUE_EST", $B$7, $L$2, "CON", $L$3, $L$5, $L$6)=0,"n/a",_xll.ciqfunctions.udf.CIQ($A37, "IQ_REVENUE_EST",$B$7, $L$2, "CON", $L$3, $L$5, $L$6))</f>
        <v>#NAME?</v>
      </c>
      <c r="X37" s="68" t="e">
        <f ca="1">_xll.ciqfunctions.udf.CIQ($A37, "IQ_EBITDA", IQ_LTM-8, $L$2, $L$4, $L$3, $L$5, $L$6)</f>
        <v>#NAME?</v>
      </c>
      <c r="Y37" s="68" t="e">
        <f ca="1">_xll.ciqfunctions.udf.CIQ($A37, "IQ_EBITDA", IQ_LTM-4, $L$2,$L$4, $L$3, $L$5, $L$6)</f>
        <v>#NAME?</v>
      </c>
      <c r="Z37" s="68" t="e">
        <f ca="1">_xll.ciqfunctions.udf.CIQ($A37, "IQ_EBITDA", IQ_LTM, $L$2, $L$4, $L$3, $L$5, $L$6)</f>
        <v>#NAME?</v>
      </c>
      <c r="AA37" s="68" t="e">
        <f ca="1">_xll.ciqfunctions.udf.CIQ($A37, "IQ_EBITDA", $B$2, $L$2, $L$4, $L$3, $L$5, $L$6)</f>
        <v>#NAME?</v>
      </c>
      <c r="AB37" s="68" t="e">
        <f ca="1">IF(_xll.ciqfunctions.udf.CIQ($A37, "IQ_EBITDA", $B$3, $L$2,$L$4, $L$3, $L$5, $L$6)=0,Z37,_xll.ciqfunctions.udf.CIQ($A37, "IQ_EBITDA", $B$3, $L$2,$L$4, $L$3, $L$5, $L$6))</f>
        <v>#NAME?</v>
      </c>
      <c r="AC37" s="68" t="e">
        <f ca="1">IF(_xll.ciqfunctions.udf.CIQ($A37, "IQ_EBITDA_EST",$B$4, $L$2, "CON", $L$3, $L$5, $L$6)=0,"n/a",_xll.ciqfunctions.udf.CIQ($A37, "IQ_EBITDA_EST",$B$4, $L$2, "CON", $L$3, $L$5, $L$6))</f>
        <v>#NAME?</v>
      </c>
      <c r="AD37" s="68" t="e">
        <f ca="1">IF(_xll.ciqfunctions.udf.CIQ($A37, "IQ_EBITDA_EST",$B$5, $L$2, "CON", $L$3, $L$5, $L$6)=0,"n/a",_xll.ciqfunctions.udf.CIQ($A37, "IQ_EBITDA_EST",$B$5, $L$2, "CON", $L$3, $L$5, $L$6))</f>
        <v>#NAME?</v>
      </c>
      <c r="AE37" s="68" t="e">
        <f ca="1">IF(_xll.ciqfunctions.udf.CIQ($A37, "IQ_EBITDA_EST",$B$6, $L$2, "CON", $L$3, $L$5, $L$6)=0,"n/a",_xll.ciqfunctions.udf.CIQ($A37, "IQ_EBITDA_EST",$B$6, $L$2, "CON", $L$3, $L$5, $L$6))</f>
        <v>#NAME?</v>
      </c>
      <c r="AF37" s="69" t="str">
        <f ca="1">IF(ISERROR(_xll.ciqfunctions.udf.CIQ($A37, "IQ_GROSS_MARGIN", IQ_LTM, $L$2,$L$4, $L$3, $L$5, $L$6)/100), "n/a", _xll.ciqfunctions.udf.CIQ($A37,  "IQ_GROSS_MARGIN", IQ_LTM, $L$2, $L$4, $L$3, $L$5, $L$6)/100)</f>
        <v>n/a</v>
      </c>
      <c r="AG37" s="69" t="str">
        <f ca="1">IF(ISERROR(_xll.ciqfunctions.udf.CIQ($A37,"IQ_EBITDA_MARGIN", IQ_LTM, $L$2, $L$4, $L$3, $L$5, $L$6)/100), "n/a", _xll.ciqfunctions.udf.CIQ($A37, "IQ_EBITDA_MARGIN", IQ_LTM, $L$2, $L$4, $L$3, $L$5, $L$6)/100)</f>
        <v>n/a</v>
      </c>
      <c r="AH37" s="69" t="str">
        <f ca="1">IF(ISERROR(_xll.ciqfunctions.udf.CIQ($A37,"IQ_EBIT_MARGIN", IQ_LTM, $L$2, $L$4, $L$3, $L$5, $L$6)/100), "n/a", _xll.ciqfunctions.udf.CIQ($A37, "IQ_EBIT_MARGIN", IQ_LTM, $L$2, $L$4, $L$3, $L$5, $L$6)/100)</f>
        <v>n/a</v>
      </c>
      <c r="AI37" s="69" t="str">
        <f ca="1">IF(ISERROR(_xll.ciqfunctions.udf.CIQ($A37,"IQ_NI_MARGIN", IQ_LTM, $L$2, $L$4, $L$3, $L$5, $L$6)/100), "n/a", _xll.ciqfunctions.udf.CIQ($A37, "IQ_NI_MARGIN", IQ_LTM, $L$2, $L$4, $L$3, $L$5, $L$6)/100)</f>
        <v>n/a</v>
      </c>
      <c r="AJ37" s="68" t="str">
        <f ca="1">IF(ISERROR(_xll.ciqfunctions.udf.CIQ($A37, "IQ_NET_WORKING_CAP", IQ_LTM-8, $L$2, $L$4, $L$3, $L$5, $L$6)), "n/a", _xll.ciqfunctions.udf.CIQ($A37, "IQ_NET_WORKING_CAP", IQ_LTM-8, $L$2, $L$4, $L$3, $L$5, $L$6))</f>
        <v>n/a</v>
      </c>
      <c r="AK37" s="68" t="str">
        <f ca="1">IF(ISERROR(_xll.ciqfunctions.udf.CIQ($A37, "IQ_NET_WORKING_CAP", IQ_LTM-4, $L$2, $L$4, $L$3, $L$5, $L$6)), "n/a", _xll.ciqfunctions.udf.CIQ($A37, "IQ_NET_WORKING_CAP", IQ_LTM-4, $L$2, $L$4, $L$3, $L$5, $L$6))</f>
        <v>n/a</v>
      </c>
      <c r="AL37" s="68" t="str">
        <f ca="1">IF(ISERROR(_xll.ciqfunctions.udf.CIQ($A37, "IQ_NET_WORKING_CAP", IQ_LTM, $L$2,$L$4, $L$3, $L$5, $L$6)), "n/a", _xll.ciqfunctions.udf.CIQ($A37, "IQ_NET_WORKING_CAP", IQ_LTM, $L$2, $L$4, $L$3, $L$5, $L$6))</f>
        <v>n/a</v>
      </c>
      <c r="AM37" s="68" t="str">
        <f ca="1">IF(ISERROR(_xll.ciqfunctions.udf.CIQ($A37, "IQ_Capex", IQ_LTM-8, $L$2,$L$4, $L$3, $L$5, $L$6)), "n/a", _xll.ciqfunctions.udf.CIQ($A37, "IQ_Capex", IQ_LTM-8, $L$2, $L$4, $L$3, $L$5, $L$6))</f>
        <v>n/a</v>
      </c>
      <c r="AN37" s="68" t="str">
        <f ca="1">IF(ISERROR(_xll.ciqfunctions.udf.CIQ($A37, "IQ_Capex", IQ_LTM-4, $L$2,$L$4, $L$3, $L$5, $L$6)), "n/a", _xll.ciqfunctions.udf.CIQ($A37, "IQ_Capex", IQ_LTM-4, $L$2,$L$4, $L$3, $L$5, $L$6))</f>
        <v>n/a</v>
      </c>
      <c r="AO37" s="68" t="str">
        <f ca="1">IF(ISERROR(_xll.ciqfunctions.udf.CIQ($A37, "IQ_Capex", IQ_LTM, $L$2, $L$4, $L$3, $L$5, $L$6)), "n/a", _xll.ciqfunctions.udf.CIQ($A37, "IQ_Capex", IQ_LTM, $L$2, $L$4, $L$3, $L$5, $L$6))</f>
        <v>n/a</v>
      </c>
      <c r="AP37" s="70" t="e">
        <f ca="1">_xll.ciqfunctions.udf.CIQ(A37, "IQ_BUSINESS_DESCRIPTION")</f>
        <v>#NAME?</v>
      </c>
      <c r="AQ37" s="71" t="e">
        <f ca="1">_xll.ciqfunctions.udf.CIQ($A37, "IQ_BETA_1YR", $B$1)</f>
        <v>#NAME?</v>
      </c>
      <c r="AR37" s="71" t="e">
        <f ca="1">_xll.ciqfunctions.udf.CIQ($A37, "IQ_BETA_2YR", $B$1)</f>
        <v>#NAME?</v>
      </c>
      <c r="AS37" s="71" t="e">
        <f ca="1">_xll.ciqfunctions.udf.CIQ($A37, "IQ_BETA_5YR", $B$1)</f>
        <v>#NAME?</v>
      </c>
      <c r="AT37" s="69" t="e">
        <f ca="1">_xll.ciqfunctions.udf.CIQ($A37, "IQ_DIVIDEND_YIELD", $B$1)/100</f>
        <v>#NAME?</v>
      </c>
      <c r="AU37" s="68" t="e">
        <f ca="1">_xll.ciqfunctions.udf.CIQ($A37, "IQ_EARNING_CO", IQ_LTM-8, $L$2, $L$4, $L$3, $L$5, $L$6)</f>
        <v>#NAME?</v>
      </c>
      <c r="AV37" s="68" t="e">
        <f ca="1">_xll.ciqfunctions.udf.CIQ($A37, "IQ_EARNING_CO", IQ_LTM-4, $L$2, $L$4, $L$3, $L$5, $L$6)</f>
        <v>#NAME?</v>
      </c>
      <c r="AW37" s="68" t="e">
        <f ca="1">_xll.ciqfunctions.udf.CIQ($A37, "IQ_EARNING_CO", IQ_LTM, $L$2, $L$4, $L$3, $L$5, $L$6)</f>
        <v>#NAME?</v>
      </c>
      <c r="AX37" s="68" t="e">
        <f ca="1">_xll.ciqfunctions.udf.CIQ($A37, "IQ_EARNING_CO", $B$2, $L$2, $L$4, $L$3, $L$5, $L$6)</f>
        <v>#NAME?</v>
      </c>
      <c r="AY37" s="68" t="e">
        <f ca="1">IF(_xll.ciqfunctions.udf.CIQ($A37, "IQ_EARNING_CO", $B$3, $L$2,$L$4, $L$3, $L$5, $L$6)=0,AW37,_xll.ciqfunctions.udf.CIQ($A37, "IQ_EARNING_CO", $B$3, $L$2,$L$4, $L$3, $L$5, $L$6))</f>
        <v>#NAME?</v>
      </c>
      <c r="AZ37" s="68" t="e">
        <f ca="1">_xll.ciqfunctions.udf.CIQ($A37, "IQ_TOTAL_EQUITY", IQ_LTM-8, $L$2, $L$4, $L$3, $L$5, $L$6)</f>
        <v>#NAME?</v>
      </c>
      <c r="BA37" s="68" t="e">
        <f ca="1">_xll.ciqfunctions.udf.CIQ($A37, "IQ_TOTAL_EQUITY", IQ_LTM-4, $L$2, $L$4, $L$3, $L$5, $L$6)</f>
        <v>#NAME?</v>
      </c>
      <c r="BB37" s="68" t="e">
        <f ca="1">_xll.ciqfunctions.udf.CIQ($A37, "IQ_TOTAL_EQUITY", IQ_LTM, $L$2, $L$4, $L$3, $L$5, $L$6)</f>
        <v>#NAME?</v>
      </c>
      <c r="BC37" s="68" t="e">
        <f ca="1">_xll.ciqfunctions.udf.CIQ($A37, "IQ_TOTAL_EQUITY", $B$2, $L$2, $L$4, $L$3, $L$5, $L$6)</f>
        <v>#NAME?</v>
      </c>
      <c r="BD37" s="68" t="e">
        <f ca="1">IF(_xll.ciqfunctions.udf.CIQ($A37, "IQ_TOTAL_EQUITY", $B$3, $L$2,$L$4, $L$3, $L$5, $L$6)=0,BB37,_xll.ciqfunctions.udf.CIQ($A37, "IQ_TOTAL_EQUITY", $B$3, $L$2,$L$4, $L$3, $L$5, $L$6))</f>
        <v>#NAME?</v>
      </c>
      <c r="BE37" s="68" t="e">
        <f ca="1">_xll.ciqfunctions.udf.CIQ(A37, "IQ_LASTSALEPRICE", $B$8)</f>
        <v>#NAME?</v>
      </c>
      <c r="BF37" s="68" t="e">
        <f ca="1">_xll.ciqfunctions.udf.CIQ($A37, "IQ_MARKETCAP", $B$8, $L$5, $L$6)</f>
        <v>#NAME?</v>
      </c>
      <c r="BG37" s="68" t="e">
        <f ca="1">_xll.ciqfunctions.udf.CIQ($A37, "IQ_TOTAL_DEBT", IQ_LTM, $B$8,$L$4, $L$3, $L$5, $L$6)</f>
        <v>#NAME?</v>
      </c>
      <c r="BH37" s="44" t="e">
        <f ca="1">_xll.ciqfunctions.udf.CIQ($A37,"IQ_PREF_EQUITY",IQ_LTM,$B$8,$L$4,$L$3,$L$5,$L$6)</f>
        <v>#NAME?</v>
      </c>
      <c r="BI37" s="44" t="e">
        <f ca="1">_xll.ciqfunctions.udf.CIQ($A37, "IQ_MINORITY_INTEREST_TOTAL", IQ_LTM,$B$8,$L$4,$L$3,$L$5,$L$6)</f>
        <v>#NAME?</v>
      </c>
      <c r="BJ37" s="68" t="e">
        <f ca="1">_xll.ciqfunctions.udf.CIQ($A37, "IQ_CASH_ST_INVEST", IQ_LTM, $B$8, $L$4, $L$3, $L$5, $L$6)</f>
        <v>#NAME?</v>
      </c>
      <c r="BK37" s="44" t="e">
        <f ca="1">_xll.ciqfunctions.udf.CIQ($A37, "IQ_EFFECT_TAX_RATE")</f>
        <v>#NAME?</v>
      </c>
      <c r="BL37" s="44" t="e">
        <f ca="1">IF(_xll.ciqfunctions.udf.CIQ($A37, "IQ_TOTAL_REV_2YR_ANN_CAGR", IQ_LTM, $B$1,$L$4, $L$3, $L$5, $L$6)="NM","n/a",(_xll.ciqfunctions.udf.CIQ($A37, "IQ_TOTAL_REV_2YR_ANN_CAGR", IQ_LTM, $B$1,$L$4, $L$3, $L$5, $L$6)/100))</f>
        <v>#NAME?</v>
      </c>
      <c r="BM37" s="44" t="e">
        <f ca="1">IF(_xll.ciqfunctions.udf.CIQ($A37, "IQ_TOTAL_REV_3YR_ANN_CAGR", IQ_LTM, $B$1,$L$4, $L$3, $L$5, $L$6)="NM","n/a",(_xll.ciqfunctions.udf.CIQ($A37, "IQ_TOTAL_REV_3YR_ANN_CAGR", IQ_LTM, $B$1,$L$4, $L$3, $L$5, $L$6)/100))</f>
        <v>#NAME?</v>
      </c>
      <c r="BN37" s="44" t="e">
        <f ca="1">IF(_xll.ciqfunctions.udf.CIQ($A37, "IQ_TOTAL_REV_5YR_ANN_CAGR", IQ_LTM, $B$1,$L$4, $L$3, $L$5, $L$6)="NM","n/a",(_xll.ciqfunctions.udf.CIQ($A37, "IQ_TOTAL_REV_5YR_ANN_CAGR", IQ_LTM, $B$1,$L$4, $L$3, $L$5, $L$6)/100))</f>
        <v>#NAME?</v>
      </c>
      <c r="BO37" s="44" t="e">
        <f ca="1">IF(_xll.ciqfunctions.udf.CIQ($A37,"IQ_EBITDA_2YR_ANN_CAGR", IQ_LTM,$B$1,$L$4, $L$3, $L$5, $L$6)="NM","n/a",(_xll.ciqfunctions.udf.CIQ($A37,"IQ_EBITDA_2YR_ANN_CAGR", IQ_LTM,$B$1,$L$4, $L$3, $L$5, $L$6)/100))</f>
        <v>#NAME?</v>
      </c>
      <c r="BP37" s="44" t="e">
        <f ca="1">IF(_xll.ciqfunctions.udf.CIQ($A37,"IQ_EBITDA_3YR_ANN_CAGR", IQ_LTM,$B$1,$L$4, $L$3, $L$5, $L$6)="NM","n/a",(_xll.ciqfunctions.udf.CIQ($A37,"IQ_EBITDA_3YR_ANN_CAGR", IQ_LTM,$B$1,$L$4, $L$3, $L$5, $L$6)/100))</f>
        <v>#NAME?</v>
      </c>
      <c r="BQ37" s="44" t="e">
        <f ca="1">IF(_xll.ciqfunctions.udf.CIQ($A37,"IQ_EBITDA_5YR_ANN_CAGR", IQ_LTM,$B$1,$L$4, $L$3, $L$5, $L$6)="NM","n/a",(_xll.ciqfunctions.udf.CIQ($A37,"IQ_EBITDA_5YR_ANN_CAGR", IQ_LTM,$B$1,$L$4, $L$3, $L$5, $L$6)/100))</f>
        <v>#NAME?</v>
      </c>
      <c r="BR37" s="48" t="str">
        <f ca="1">IFERROR((_xll.ciqfunctions.udf.CIQ($A37, "IQ_DA_CF", IQ_LTM, $B$1, $L$4, $L$3, $L$5, $L$6)/Q37),"NM")</f>
        <v>NM</v>
      </c>
      <c r="BS37" s="72" t="e">
        <f>'Capital IQ Sheet-GPC'!BS37</f>
        <v>#VALUE!</v>
      </c>
      <c r="BT37" s="72" t="e">
        <f>'Capital IQ Sheet-GPC'!BT37</f>
        <v>#VALUE!</v>
      </c>
      <c r="BU37" s="72" t="e">
        <f>'Capital IQ Sheet-GPC'!BU37</f>
        <v>#VALUE!</v>
      </c>
      <c r="BV37" s="72" t="e">
        <f>'Capital IQ Sheet-GPC'!BV37</f>
        <v>#VALUE!</v>
      </c>
      <c r="BW37" s="72" t="e">
        <f>'Capital IQ Sheet-GPC'!BW37</f>
        <v>#VALUE!</v>
      </c>
      <c r="BX37" s="72" t="e">
        <f>'Capital IQ Sheet-GPC'!BX37</f>
        <v>#VALUE!</v>
      </c>
      <c r="BY37" s="72" t="e">
        <f>'Capital IQ Sheet-GPC'!BY37</f>
        <v>#VALUE!</v>
      </c>
      <c r="BZ37" s="72" t="e">
        <f>'Capital IQ Sheet-GPC'!BZ37</f>
        <v>#VALUE!</v>
      </c>
      <c r="CB37" s="44">
        <v>2</v>
      </c>
      <c r="CC37" s="112" t="s">
        <v>269</v>
      </c>
      <c r="CD37" s="112" t="s">
        <v>268</v>
      </c>
      <c r="CE37" s="46">
        <f t="shared" si="0"/>
        <v>42766</v>
      </c>
    </row>
    <row r="38" spans="1:83" s="44" customFormat="1" ht="12.75">
      <c r="A38" s="45" t="e">
        <f ca="1">_xll.ciqfunctions.udf.CIQ($B38,"IQ_COMPANY_TICKER")</f>
        <v>#NAME?</v>
      </c>
      <c r="B38" s="67" t="str">
        <f>'Capital IQ Sheet-GPC'!B38</f>
        <v>(Invalid Identifier)</v>
      </c>
      <c r="C38" s="45" t="e">
        <f ca="1">_xll.ciqfunctions.udf.CIQ($A38,"IQ_COMPANY_NAME")</f>
        <v>#NAME?</v>
      </c>
      <c r="D38" s="45" t="e">
        <f ca="1">_xll.ciqfunctions.udf.CIQ($A38, "IQ_EXCHANGE")</f>
        <v>#NAME?</v>
      </c>
      <c r="E38" s="66" t="e">
        <f ca="1">_xll.ciqfunctions.udf.CIQ($A38, "IQ_PERIODDATE_IS", IQ_FY)</f>
        <v>#NAME?</v>
      </c>
      <c r="F38" s="66" t="e">
        <f ca="1">_xll.ciqfunctions.udf.CIQ(A38, "IQ_PERIODDATE_IS", IQ_LTM, $B$1,$L$4,$L$3)</f>
        <v>#NAME?</v>
      </c>
      <c r="G38" s="66" t="e">
        <f ca="1">_xll.ciqfunctions.udf.CIQ($A38, "IQ_FIRSTPRICINGDATE")</f>
        <v>#NAME?</v>
      </c>
      <c r="H38" s="68" t="e">
        <f ca="1">_xll.ciqfunctions.udf.CIQ($A38, "IQ_TEV", $L$2, $L$5, $L$6)</f>
        <v>#NAME?</v>
      </c>
      <c r="I38" s="68" t="e">
        <f ca="1">_xll.ciqfunctions.udf.CIQ(A38, "IQ_LASTSALEPRICE", $B$1,$L$5)</f>
        <v>#NAME?</v>
      </c>
      <c r="J38" s="68" t="e">
        <f ca="1">_xll.ciqfunctions.udf.CIQ($A38, "IQ_MARKETCAP", $L$2, $L$5, $L$6)</f>
        <v>#NAME?</v>
      </c>
      <c r="K38" s="68" t="e">
        <f ca="1">_xll.ciqfunctions.udf.CIQ($A38, "IQ_TOTAL_DEBT", IQ_LTM, $L$2,$L$4, $L$3, $L$5, $L$6)</f>
        <v>#NAME?</v>
      </c>
      <c r="L38" s="68" t="e">
        <f ca="1">_xll.ciqfunctions.udf.CIQ($A38, "IQ_PREF_EQUITY", IQ_LTM, $L$2, $L$4, $L$3, $L$5, $L$6)</f>
        <v>#NAME?</v>
      </c>
      <c r="M38" s="68" t="e">
        <f ca="1">_xll.ciqfunctions.udf.CIQ($A38, "IQ_MINORITY_INTEREST_TOTAL", IQ_LTM, $L$2, $L$4, $L$3, $L$5, $L$6)</f>
        <v>#NAME?</v>
      </c>
      <c r="N38" s="68" t="e">
        <f ca="1">_xll.ciqfunctions.udf.CIQ($A38, "IQ_CASH_ST_INVEST", IQ_LTM, $L$2, $L$4, $L$3, $L$5, $L$6)</f>
        <v>#NAME?</v>
      </c>
      <c r="O38" s="68" t="e">
        <f ca="1">_xll.ciqfunctions.udf.CIQ($A38, "IQ_TOTAL_REV", IQ_LTM-8, $L$2, $L$4, $L$3, $L$5, $L$6)</f>
        <v>#NAME?</v>
      </c>
      <c r="P38" s="68" t="e">
        <f ca="1">_xll.ciqfunctions.udf.CIQ($A38, "IQ_TOTAL_REV", IQ_LTM - 4, $L$2, $L$4, $L$3, $L$5,$L$6)</f>
        <v>#NAME?</v>
      </c>
      <c r="Q38" s="68" t="e">
        <f ca="1">_xll.ciqfunctions.udf.CIQ($A38, "IQ_TOTAL_REV", IQ_LTM, $L$2, $L$4, $L$3, $L$5, $L$6)</f>
        <v>#NAME?</v>
      </c>
      <c r="R38" s="68" t="e">
        <f ca="1">_xll.ciqfunctions.udf.CIQ($A38, "IQ_TOTAL_REV", $B$2, $L$2, $L$4, $L$3, $L$5, $L$6)</f>
        <v>#NAME?</v>
      </c>
      <c r="S38" s="68" t="e">
        <f ca="1">IF(_xll.ciqfunctions.udf.CIQ($A38, "IQ_TOTAL_REV", $B$3, $L$2,$L$4, $L$3, $L$5, $L$6)=0,Q38,_xll.ciqfunctions.udf.CIQ($A38, "IQ_TOTAL_REV", $B$3, $L$2,$L$4, $L$3, $L$5, $L$6))</f>
        <v>#NAME?</v>
      </c>
      <c r="T38" s="68" t="e">
        <f ca="1">IF(_xll.ciqfunctions.udf.CIQ($A38, "IQ_REVENUE_EST",$B$4, $L$2, "CON", $L$3, $L$5, $L$6)=0,"n/a",_xll.ciqfunctions.udf.CIQ($A38, "IQ_REVENUE_EST",$B$4, $L$2, "CON", $L$3, $L$5, $L$6))</f>
        <v>#NAME?</v>
      </c>
      <c r="U38" s="68" t="e">
        <f ca="1">IF(_xll.ciqfunctions.udf.CIQ($A38, "IQ_REVENUE_EST",$B$5, $L$2, "CON", $L$3, $L$5, $L$6)=0,"n/a",_xll.ciqfunctions.udf.CIQ($A38, "IQ_REVENUE_EST",$B$5, $L$2, "CON", $L$3, $L$5, $L$6))</f>
        <v>#NAME?</v>
      </c>
      <c r="V38" s="68" t="e">
        <f ca="1">IF(_xll.ciqfunctions.udf.CIQ($A38, "IQ_REVENUE_EST",$B$6, $L$2, "CON", $L$3, $L$5, $L$6)=0,"n/a",_xll.ciqfunctions.udf.CIQ($A38, "IQ_REVENUE_EST",$B$6, $L$2, "CON", $L$3, $L$5, $L$6))</f>
        <v>#NAME?</v>
      </c>
      <c r="W38" s="68" t="e">
        <f ca="1">IF(_xll.ciqfunctions.udf.CIQ($A38, "IQ_REVENUE_EST", $B$7, $L$2, "CON", $L$3, $L$5, $L$6)=0,"n/a",_xll.ciqfunctions.udf.CIQ($A38, "IQ_REVENUE_EST",$B$7, $L$2, "CON", $L$3, $L$5, $L$6))</f>
        <v>#NAME?</v>
      </c>
      <c r="X38" s="68" t="e">
        <f ca="1">_xll.ciqfunctions.udf.CIQ($A38, "IQ_EBITDA", IQ_LTM-8, $L$2, $L$4, $L$3, $L$5, $L$6)</f>
        <v>#NAME?</v>
      </c>
      <c r="Y38" s="68" t="e">
        <f ca="1">_xll.ciqfunctions.udf.CIQ($A38, "IQ_EBITDA", IQ_LTM-4, $L$2,$L$4, $L$3, $L$5, $L$6)</f>
        <v>#NAME?</v>
      </c>
      <c r="Z38" s="68" t="e">
        <f ca="1">_xll.ciqfunctions.udf.CIQ($A38, "IQ_EBITDA", IQ_LTM, $L$2, $L$4, $L$3, $L$5, $L$6)</f>
        <v>#NAME?</v>
      </c>
      <c r="AA38" s="68" t="e">
        <f ca="1">_xll.ciqfunctions.udf.CIQ($A38, "IQ_EBITDA", $B$2, $L$2, $L$4, $L$3, $L$5, $L$6)</f>
        <v>#NAME?</v>
      </c>
      <c r="AB38" s="68" t="e">
        <f ca="1">IF(_xll.ciqfunctions.udf.CIQ($A38, "IQ_EBITDA", $B$3, $L$2,$L$4, $L$3, $L$5, $L$6)=0,Z38,_xll.ciqfunctions.udf.CIQ($A38, "IQ_EBITDA", $B$3, $L$2,$L$4, $L$3, $L$5, $L$6))</f>
        <v>#NAME?</v>
      </c>
      <c r="AC38" s="68" t="e">
        <f ca="1">IF(_xll.ciqfunctions.udf.CIQ($A38, "IQ_EBITDA_EST",$B$4, $L$2, "CON", $L$3, $L$5, $L$6)=0,"n/a",_xll.ciqfunctions.udf.CIQ($A38, "IQ_EBITDA_EST",$B$4, $L$2, "CON", $L$3, $L$5, $L$6))</f>
        <v>#NAME?</v>
      </c>
      <c r="AD38" s="68" t="e">
        <f ca="1">IF(_xll.ciqfunctions.udf.CIQ($A38, "IQ_EBITDA_EST",$B$5, $L$2, "CON", $L$3, $L$5, $L$6)=0,"n/a",_xll.ciqfunctions.udf.CIQ($A38, "IQ_EBITDA_EST",$B$5, $L$2, "CON", $L$3, $L$5, $L$6))</f>
        <v>#NAME?</v>
      </c>
      <c r="AE38" s="68" t="e">
        <f ca="1">IF(_xll.ciqfunctions.udf.CIQ($A38, "IQ_EBITDA_EST",$B$6, $L$2, "CON", $L$3, $L$5, $L$6)=0,"n/a",_xll.ciqfunctions.udf.CIQ($A38, "IQ_EBITDA_EST",$B$6, $L$2, "CON", $L$3, $L$5, $L$6))</f>
        <v>#NAME?</v>
      </c>
      <c r="AF38" s="69" t="str">
        <f ca="1">IF(ISERROR(_xll.ciqfunctions.udf.CIQ($A38, "IQ_GROSS_MARGIN", IQ_LTM, $L$2,$L$4, $L$3, $L$5, $L$6)/100), "n/a", _xll.ciqfunctions.udf.CIQ($A38,  "IQ_GROSS_MARGIN", IQ_LTM, $L$2, $L$4, $L$3, $L$5, $L$6)/100)</f>
        <v>n/a</v>
      </c>
      <c r="AG38" s="69" t="str">
        <f ca="1">IF(ISERROR(_xll.ciqfunctions.udf.CIQ($A38,"IQ_EBITDA_MARGIN", IQ_LTM, $L$2, $L$4, $L$3, $L$5, $L$6)/100), "n/a", _xll.ciqfunctions.udf.CIQ($A38, "IQ_EBITDA_MARGIN", IQ_LTM, $L$2, $L$4, $L$3, $L$5, $L$6)/100)</f>
        <v>n/a</v>
      </c>
      <c r="AH38" s="69" t="str">
        <f ca="1">IF(ISERROR(_xll.ciqfunctions.udf.CIQ($A38,"IQ_EBIT_MARGIN", IQ_LTM, $L$2, $L$4, $L$3, $L$5, $L$6)/100), "n/a", _xll.ciqfunctions.udf.CIQ($A38, "IQ_EBIT_MARGIN", IQ_LTM, $L$2, $L$4, $L$3, $L$5, $L$6)/100)</f>
        <v>n/a</v>
      </c>
      <c r="AI38" s="69" t="str">
        <f ca="1">IF(ISERROR(_xll.ciqfunctions.udf.CIQ($A38,"IQ_NI_MARGIN", IQ_LTM, $L$2, $L$4, $L$3, $L$5, $L$6)/100), "n/a", _xll.ciqfunctions.udf.CIQ($A38, "IQ_NI_MARGIN", IQ_LTM, $L$2, $L$4, $L$3, $L$5, $L$6)/100)</f>
        <v>n/a</v>
      </c>
      <c r="AJ38" s="68" t="str">
        <f ca="1">IF(ISERROR(_xll.ciqfunctions.udf.CIQ($A38, "IQ_NET_WORKING_CAP", IQ_LTM-8, $L$2, $L$4, $L$3, $L$5, $L$6)), "n/a", _xll.ciqfunctions.udf.CIQ($A38, "IQ_NET_WORKING_CAP", IQ_LTM-8, $L$2, $L$4, $L$3, $L$5, $L$6))</f>
        <v>n/a</v>
      </c>
      <c r="AK38" s="68" t="str">
        <f ca="1">IF(ISERROR(_xll.ciqfunctions.udf.CIQ($A38, "IQ_NET_WORKING_CAP", IQ_LTM-4, $L$2, $L$4, $L$3, $L$5, $L$6)), "n/a", _xll.ciqfunctions.udf.CIQ($A38, "IQ_NET_WORKING_CAP", IQ_LTM-4, $L$2, $L$4, $L$3, $L$5, $L$6))</f>
        <v>n/a</v>
      </c>
      <c r="AL38" s="68" t="str">
        <f ca="1">IF(ISERROR(_xll.ciqfunctions.udf.CIQ($A38, "IQ_NET_WORKING_CAP", IQ_LTM, $L$2,$L$4, $L$3, $L$5, $L$6)), "n/a", _xll.ciqfunctions.udf.CIQ($A38, "IQ_NET_WORKING_CAP", IQ_LTM, $L$2, $L$4, $L$3, $L$5, $L$6))</f>
        <v>n/a</v>
      </c>
      <c r="AM38" s="68" t="str">
        <f ca="1">IF(ISERROR(_xll.ciqfunctions.udf.CIQ($A38, "IQ_Capex", IQ_LTM-8, $L$2,$L$4, $L$3, $L$5, $L$6)), "n/a", _xll.ciqfunctions.udf.CIQ($A38, "IQ_Capex", IQ_LTM-8, $L$2, $L$4, $L$3, $L$5, $L$6))</f>
        <v>n/a</v>
      </c>
      <c r="AN38" s="68" t="str">
        <f ca="1">IF(ISERROR(_xll.ciqfunctions.udf.CIQ($A38, "IQ_Capex", IQ_LTM-4, $L$2,$L$4, $L$3, $L$5, $L$6)), "n/a", _xll.ciqfunctions.udf.CIQ($A38, "IQ_Capex", IQ_LTM-4, $L$2,$L$4, $L$3, $L$5, $L$6))</f>
        <v>n/a</v>
      </c>
      <c r="AO38" s="68" t="str">
        <f ca="1">IF(ISERROR(_xll.ciqfunctions.udf.CIQ($A38, "IQ_Capex", IQ_LTM, $L$2, $L$4, $L$3, $L$5, $L$6)), "n/a", _xll.ciqfunctions.udf.CIQ($A38, "IQ_Capex", IQ_LTM, $L$2, $L$4, $L$3, $L$5, $L$6))</f>
        <v>n/a</v>
      </c>
      <c r="AP38" s="70" t="e">
        <f ca="1">_xll.ciqfunctions.udf.CIQ(A38, "IQ_BUSINESS_DESCRIPTION")</f>
        <v>#NAME?</v>
      </c>
      <c r="AQ38" s="71" t="e">
        <f ca="1">_xll.ciqfunctions.udf.CIQ($A38, "IQ_BETA_1YR", $B$1)</f>
        <v>#NAME?</v>
      </c>
      <c r="AR38" s="71" t="e">
        <f ca="1">_xll.ciqfunctions.udf.CIQ($A38, "IQ_BETA_2YR", $B$1)</f>
        <v>#NAME?</v>
      </c>
      <c r="AS38" s="71" t="e">
        <f ca="1">_xll.ciqfunctions.udf.CIQ($A38, "IQ_BETA_5YR", $B$1)</f>
        <v>#NAME?</v>
      </c>
      <c r="AT38" s="69" t="e">
        <f ca="1">_xll.ciqfunctions.udf.CIQ($A38, "IQ_DIVIDEND_YIELD", $B$1)/100</f>
        <v>#NAME?</v>
      </c>
      <c r="AU38" s="68" t="e">
        <f ca="1">_xll.ciqfunctions.udf.CIQ($A38, "IQ_EARNING_CO", IQ_LTM-8, $L$2, $L$4, $L$3, $L$5, $L$6)</f>
        <v>#NAME?</v>
      </c>
      <c r="AV38" s="68" t="e">
        <f ca="1">_xll.ciqfunctions.udf.CIQ($A38, "IQ_EARNING_CO", IQ_LTM-4, $L$2, $L$4, $L$3, $L$5, $L$6)</f>
        <v>#NAME?</v>
      </c>
      <c r="AW38" s="68" t="e">
        <f ca="1">_xll.ciqfunctions.udf.CIQ($A38, "IQ_EARNING_CO", IQ_LTM, $L$2, $L$4, $L$3, $L$5, $L$6)</f>
        <v>#NAME?</v>
      </c>
      <c r="AX38" s="68" t="e">
        <f ca="1">_xll.ciqfunctions.udf.CIQ($A38, "IQ_EARNING_CO", $B$2, $L$2, $L$4, $L$3, $L$5, $L$6)</f>
        <v>#NAME?</v>
      </c>
      <c r="AY38" s="68" t="e">
        <f ca="1">IF(_xll.ciqfunctions.udf.CIQ($A38, "IQ_EARNING_CO", $B$3, $L$2,$L$4, $L$3, $L$5, $L$6)=0,AW38,_xll.ciqfunctions.udf.CIQ($A38, "IQ_EARNING_CO", $B$3, $L$2,$L$4, $L$3, $L$5, $L$6))</f>
        <v>#NAME?</v>
      </c>
      <c r="AZ38" s="68" t="e">
        <f ca="1">_xll.ciqfunctions.udf.CIQ($A38, "IQ_TOTAL_EQUITY", IQ_LTM-8, $L$2, $L$4, $L$3, $L$5, $L$6)</f>
        <v>#NAME?</v>
      </c>
      <c r="BA38" s="68" t="e">
        <f ca="1">_xll.ciqfunctions.udf.CIQ($A38, "IQ_TOTAL_EQUITY", IQ_LTM-4, $L$2, $L$4, $L$3, $L$5, $L$6)</f>
        <v>#NAME?</v>
      </c>
      <c r="BB38" s="68" t="e">
        <f ca="1">_xll.ciqfunctions.udf.CIQ($A38, "IQ_TOTAL_EQUITY", IQ_LTM, $L$2, $L$4, $L$3, $L$5, $L$6)</f>
        <v>#NAME?</v>
      </c>
      <c r="BC38" s="68" t="e">
        <f ca="1">_xll.ciqfunctions.udf.CIQ($A38, "IQ_TOTAL_EQUITY", $B$2, $L$2, $L$4, $L$3, $L$5, $L$6)</f>
        <v>#NAME?</v>
      </c>
      <c r="BD38" s="68" t="e">
        <f ca="1">IF(_xll.ciqfunctions.udf.CIQ($A38, "IQ_TOTAL_EQUITY", $B$3, $L$2,$L$4, $L$3, $L$5, $L$6)=0,BB38,_xll.ciqfunctions.udf.CIQ($A38, "IQ_TOTAL_EQUITY", $B$3, $L$2,$L$4, $L$3, $L$5, $L$6))</f>
        <v>#NAME?</v>
      </c>
      <c r="BE38" s="68" t="e">
        <f ca="1">_xll.ciqfunctions.udf.CIQ(A38, "IQ_LASTSALEPRICE", $B$8)</f>
        <v>#NAME?</v>
      </c>
      <c r="BF38" s="68" t="e">
        <f ca="1">_xll.ciqfunctions.udf.CIQ($A38, "IQ_MARKETCAP", $B$8, $L$5, $L$6)</f>
        <v>#NAME?</v>
      </c>
      <c r="BG38" s="68" t="e">
        <f ca="1">_xll.ciqfunctions.udf.CIQ($A38, "IQ_TOTAL_DEBT", IQ_LTM, $B$8,$L$4, $L$3, $L$5, $L$6)</f>
        <v>#NAME?</v>
      </c>
      <c r="BH38" s="44" t="e">
        <f ca="1">_xll.ciqfunctions.udf.CIQ($A38,"IQ_PREF_EQUITY",IQ_LTM,$B$8,$L$4,$L$3,$L$5,$L$6)</f>
        <v>#NAME?</v>
      </c>
      <c r="BI38" s="44" t="e">
        <f ca="1">_xll.ciqfunctions.udf.CIQ($A38, "IQ_MINORITY_INTEREST_TOTAL", IQ_LTM,$B$8,$L$4,$L$3,$L$5,$L$6)</f>
        <v>#NAME?</v>
      </c>
      <c r="BJ38" s="68" t="e">
        <f ca="1">_xll.ciqfunctions.udf.CIQ($A38, "IQ_CASH_ST_INVEST", IQ_LTM, $B$8, $L$4, $L$3, $L$5, $L$6)</f>
        <v>#NAME?</v>
      </c>
      <c r="BK38" s="44" t="e">
        <f ca="1">_xll.ciqfunctions.udf.CIQ($A38, "IQ_EFFECT_TAX_RATE")</f>
        <v>#NAME?</v>
      </c>
      <c r="BL38" s="44" t="e">
        <f ca="1">IF(_xll.ciqfunctions.udf.CIQ($A38, "IQ_TOTAL_REV_2YR_ANN_CAGR", IQ_LTM, $B$1,$L$4, $L$3, $L$5, $L$6)="NM","n/a",(_xll.ciqfunctions.udf.CIQ($A38, "IQ_TOTAL_REV_2YR_ANN_CAGR", IQ_LTM, $B$1,$L$4, $L$3, $L$5, $L$6)/100))</f>
        <v>#NAME?</v>
      </c>
      <c r="BM38" s="44" t="e">
        <f ca="1">IF(_xll.ciqfunctions.udf.CIQ($A38, "IQ_TOTAL_REV_3YR_ANN_CAGR", IQ_LTM, $B$1,$L$4, $L$3, $L$5, $L$6)="NM","n/a",(_xll.ciqfunctions.udf.CIQ($A38, "IQ_TOTAL_REV_3YR_ANN_CAGR", IQ_LTM, $B$1,$L$4, $L$3, $L$5, $L$6)/100))</f>
        <v>#NAME?</v>
      </c>
      <c r="BN38" s="44" t="e">
        <f ca="1">IF(_xll.ciqfunctions.udf.CIQ($A38, "IQ_TOTAL_REV_5YR_ANN_CAGR", IQ_LTM, $B$1,$L$4, $L$3, $L$5, $L$6)="NM","n/a",(_xll.ciqfunctions.udf.CIQ($A38, "IQ_TOTAL_REV_5YR_ANN_CAGR", IQ_LTM, $B$1,$L$4, $L$3, $L$5, $L$6)/100))</f>
        <v>#NAME?</v>
      </c>
      <c r="BO38" s="44" t="e">
        <f ca="1">IF(_xll.ciqfunctions.udf.CIQ($A38,"IQ_EBITDA_2YR_ANN_CAGR", IQ_LTM,$B$1,$L$4, $L$3, $L$5, $L$6)="NM","n/a",(_xll.ciqfunctions.udf.CIQ($A38,"IQ_EBITDA_2YR_ANN_CAGR", IQ_LTM,$B$1,$L$4, $L$3, $L$5, $L$6)/100))</f>
        <v>#NAME?</v>
      </c>
      <c r="BP38" s="44" t="e">
        <f ca="1">IF(_xll.ciqfunctions.udf.CIQ($A38,"IQ_EBITDA_3YR_ANN_CAGR", IQ_LTM,$B$1,$L$4, $L$3, $L$5, $L$6)="NM","n/a",(_xll.ciqfunctions.udf.CIQ($A38,"IQ_EBITDA_3YR_ANN_CAGR", IQ_LTM,$B$1,$L$4, $L$3, $L$5, $L$6)/100))</f>
        <v>#NAME?</v>
      </c>
      <c r="BQ38" s="44" t="e">
        <f ca="1">IF(_xll.ciqfunctions.udf.CIQ($A38,"IQ_EBITDA_5YR_ANN_CAGR", IQ_LTM,$B$1,$L$4, $L$3, $L$5, $L$6)="NM","n/a",(_xll.ciqfunctions.udf.CIQ($A38,"IQ_EBITDA_5YR_ANN_CAGR", IQ_LTM,$B$1,$L$4, $L$3, $L$5, $L$6)/100))</f>
        <v>#NAME?</v>
      </c>
      <c r="BR38" s="48" t="str">
        <f ca="1">IFERROR((_xll.ciqfunctions.udf.CIQ($A38, "IQ_DA_CF", IQ_LTM, $B$1, $L$4, $L$3, $L$5, $L$6)/Q38),"NM")</f>
        <v>NM</v>
      </c>
      <c r="BS38" s="72" t="e">
        <f>'Capital IQ Sheet-GPC'!BS38</f>
        <v>#VALUE!</v>
      </c>
      <c r="BT38" s="72" t="e">
        <f>'Capital IQ Sheet-GPC'!BT38</f>
        <v>#VALUE!</v>
      </c>
      <c r="BU38" s="72" t="e">
        <f>'Capital IQ Sheet-GPC'!BU38</f>
        <v>#VALUE!</v>
      </c>
      <c r="BV38" s="72" t="e">
        <f>'Capital IQ Sheet-GPC'!BV38</f>
        <v>#VALUE!</v>
      </c>
      <c r="BW38" s="72" t="e">
        <f>'Capital IQ Sheet-GPC'!BW38</f>
        <v>#VALUE!</v>
      </c>
      <c r="BX38" s="72" t="e">
        <f>'Capital IQ Sheet-GPC'!BX38</f>
        <v>#VALUE!</v>
      </c>
      <c r="BY38" s="72" t="e">
        <f>'Capital IQ Sheet-GPC'!BY38</f>
        <v>#VALUE!</v>
      </c>
      <c r="BZ38" s="72" t="e">
        <f>'Capital IQ Sheet-GPC'!BZ38</f>
        <v>#VALUE!</v>
      </c>
      <c r="CB38" s="44">
        <v>2</v>
      </c>
      <c r="CC38" s="112" t="s">
        <v>269</v>
      </c>
      <c r="CD38" s="112" t="s">
        <v>268</v>
      </c>
      <c r="CE38" s="46">
        <f t="shared" si="0"/>
        <v>42766</v>
      </c>
    </row>
    <row r="39" spans="1:83" s="44" customFormat="1" ht="12.75">
      <c r="A39" s="45" t="e">
        <f ca="1">_xll.ciqfunctions.udf.CIQ($B39,"IQ_COMPANY_TICKER")</f>
        <v>#NAME?</v>
      </c>
      <c r="B39" s="67" t="str">
        <f>'Capital IQ Sheet-GPC'!B39</f>
        <v>(Invalid Identifier)</v>
      </c>
      <c r="C39" s="45" t="e">
        <f ca="1">_xll.ciqfunctions.udf.CIQ($A39,"IQ_COMPANY_NAME")</f>
        <v>#NAME?</v>
      </c>
      <c r="D39" s="45" t="e">
        <f ca="1">_xll.ciqfunctions.udf.CIQ($A39, "IQ_EXCHANGE")</f>
        <v>#NAME?</v>
      </c>
      <c r="E39" s="66" t="e">
        <f ca="1">_xll.ciqfunctions.udf.CIQ($A39, "IQ_PERIODDATE_IS", IQ_FY)</f>
        <v>#NAME?</v>
      </c>
      <c r="F39" s="66" t="e">
        <f ca="1">_xll.ciqfunctions.udf.CIQ(A39, "IQ_PERIODDATE_IS", IQ_LTM, $B$1,$L$4,$L$3)</f>
        <v>#NAME?</v>
      </c>
      <c r="G39" s="66" t="e">
        <f ca="1">_xll.ciqfunctions.udf.CIQ($A39, "IQ_FIRSTPRICINGDATE")</f>
        <v>#NAME?</v>
      </c>
      <c r="H39" s="68" t="e">
        <f ca="1">_xll.ciqfunctions.udf.CIQ($A39, "IQ_TEV", $L$2, $L$5, $L$6)</f>
        <v>#NAME?</v>
      </c>
      <c r="I39" s="68" t="e">
        <f ca="1">_xll.ciqfunctions.udf.CIQ(A39, "IQ_LASTSALEPRICE", $B$1,$L$5)</f>
        <v>#NAME?</v>
      </c>
      <c r="J39" s="68" t="e">
        <f ca="1">_xll.ciqfunctions.udf.CIQ($A39, "IQ_MARKETCAP", $L$2, $L$5, $L$6)</f>
        <v>#NAME?</v>
      </c>
      <c r="K39" s="68" t="e">
        <f ca="1">_xll.ciqfunctions.udf.CIQ($A39, "IQ_TOTAL_DEBT", IQ_LTM, $L$2,$L$4, $L$3, $L$5, $L$6)</f>
        <v>#NAME?</v>
      </c>
      <c r="L39" s="68" t="e">
        <f ca="1">_xll.ciqfunctions.udf.CIQ($A39, "IQ_PREF_EQUITY", IQ_LTM, $L$2, $L$4, $L$3, $L$5, $L$6)</f>
        <v>#NAME?</v>
      </c>
      <c r="M39" s="68" t="e">
        <f ca="1">_xll.ciqfunctions.udf.CIQ($A39, "IQ_MINORITY_INTEREST_TOTAL", IQ_LTM, $L$2, $L$4, $L$3, $L$5, $L$6)</f>
        <v>#NAME?</v>
      </c>
      <c r="N39" s="68" t="e">
        <f ca="1">_xll.ciqfunctions.udf.CIQ($A39, "IQ_CASH_ST_INVEST", IQ_LTM, $L$2, $L$4, $L$3, $L$5, $L$6)</f>
        <v>#NAME?</v>
      </c>
      <c r="O39" s="68" t="e">
        <f ca="1">_xll.ciqfunctions.udf.CIQ($A39, "IQ_TOTAL_REV", IQ_LTM-8, $L$2, $L$4, $L$3, $L$5, $L$6)</f>
        <v>#NAME?</v>
      </c>
      <c r="P39" s="68" t="e">
        <f ca="1">_xll.ciqfunctions.udf.CIQ($A39, "IQ_TOTAL_REV", IQ_LTM - 4, $L$2, $L$4, $L$3, $L$5,$L$6)</f>
        <v>#NAME?</v>
      </c>
      <c r="Q39" s="68" t="e">
        <f ca="1">_xll.ciqfunctions.udf.CIQ($A39, "IQ_TOTAL_REV", IQ_LTM, $L$2, $L$4, $L$3, $L$5, $L$6)</f>
        <v>#NAME?</v>
      </c>
      <c r="R39" s="68" t="e">
        <f ca="1">_xll.ciqfunctions.udf.CIQ($A39, "IQ_TOTAL_REV", $B$2, $L$2, $L$4, $L$3, $L$5, $L$6)</f>
        <v>#NAME?</v>
      </c>
      <c r="S39" s="68" t="e">
        <f ca="1">IF(_xll.ciqfunctions.udf.CIQ($A39, "IQ_TOTAL_REV", $B$3, $L$2,$L$4, $L$3, $L$5, $L$6)=0,Q39,_xll.ciqfunctions.udf.CIQ($A39, "IQ_TOTAL_REV", $B$3, $L$2,$L$4, $L$3, $L$5, $L$6))</f>
        <v>#NAME?</v>
      </c>
      <c r="T39" s="68" t="e">
        <f ca="1">IF(_xll.ciqfunctions.udf.CIQ($A39, "IQ_REVENUE_EST",$B$4, $L$2, "CON", $L$3, $L$5, $L$6)=0,"n/a",_xll.ciqfunctions.udf.CIQ($A39, "IQ_REVENUE_EST",$B$4, $L$2, "CON", $L$3, $L$5, $L$6))</f>
        <v>#NAME?</v>
      </c>
      <c r="U39" s="68" t="e">
        <f ca="1">IF(_xll.ciqfunctions.udf.CIQ($A39, "IQ_REVENUE_EST",$B$5, $L$2, "CON", $L$3, $L$5, $L$6)=0,"n/a",_xll.ciqfunctions.udf.CIQ($A39, "IQ_REVENUE_EST",$B$5, $L$2, "CON", $L$3, $L$5, $L$6))</f>
        <v>#NAME?</v>
      </c>
      <c r="V39" s="68" t="e">
        <f ca="1">IF(_xll.ciqfunctions.udf.CIQ($A39, "IQ_REVENUE_EST",$B$6, $L$2, "CON", $L$3, $L$5, $L$6)=0,"n/a",_xll.ciqfunctions.udf.CIQ($A39, "IQ_REVENUE_EST",$B$6, $L$2, "CON", $L$3, $L$5, $L$6))</f>
        <v>#NAME?</v>
      </c>
      <c r="W39" s="68" t="e">
        <f ca="1">IF(_xll.ciqfunctions.udf.CIQ($A39, "IQ_REVENUE_EST", $B$7, $L$2, "CON", $L$3, $L$5, $L$6)=0,"n/a",_xll.ciqfunctions.udf.CIQ($A39, "IQ_REVENUE_EST",$B$7, $L$2, "CON", $L$3, $L$5, $L$6))</f>
        <v>#NAME?</v>
      </c>
      <c r="X39" s="68" t="e">
        <f ca="1">_xll.ciqfunctions.udf.CIQ($A39, "IQ_EBITDA", IQ_LTM-8, $L$2, $L$4, $L$3, $L$5, $L$6)</f>
        <v>#NAME?</v>
      </c>
      <c r="Y39" s="68" t="e">
        <f ca="1">_xll.ciqfunctions.udf.CIQ($A39, "IQ_EBITDA", IQ_LTM-4, $L$2,$L$4, $L$3, $L$5, $L$6)</f>
        <v>#NAME?</v>
      </c>
      <c r="Z39" s="68" t="e">
        <f ca="1">_xll.ciqfunctions.udf.CIQ($A39, "IQ_EBITDA", IQ_LTM, $L$2, $L$4, $L$3, $L$5, $L$6)</f>
        <v>#NAME?</v>
      </c>
      <c r="AA39" s="68" t="e">
        <f ca="1">_xll.ciqfunctions.udf.CIQ($A39, "IQ_EBITDA", $B$2, $L$2, $L$4, $L$3, $L$5, $L$6)</f>
        <v>#NAME?</v>
      </c>
      <c r="AB39" s="68" t="e">
        <f ca="1">IF(_xll.ciqfunctions.udf.CIQ($A39, "IQ_EBITDA", $B$3, $L$2,$L$4, $L$3, $L$5, $L$6)=0,Z39,_xll.ciqfunctions.udf.CIQ($A39, "IQ_EBITDA", $B$3, $L$2,$L$4, $L$3, $L$5, $L$6))</f>
        <v>#NAME?</v>
      </c>
      <c r="AC39" s="68" t="e">
        <f ca="1">IF(_xll.ciqfunctions.udf.CIQ($A39, "IQ_EBITDA_EST",$B$4, $L$2, "CON", $L$3, $L$5, $L$6)=0,"n/a",_xll.ciqfunctions.udf.CIQ($A39, "IQ_EBITDA_EST",$B$4, $L$2, "CON", $L$3, $L$5, $L$6))</f>
        <v>#NAME?</v>
      </c>
      <c r="AD39" s="68" t="e">
        <f ca="1">IF(_xll.ciqfunctions.udf.CIQ($A39, "IQ_EBITDA_EST",$B$5, $L$2, "CON", $L$3, $L$5, $L$6)=0,"n/a",_xll.ciqfunctions.udf.CIQ($A39, "IQ_EBITDA_EST",$B$5, $L$2, "CON", $L$3, $L$5, $L$6))</f>
        <v>#NAME?</v>
      </c>
      <c r="AE39" s="68" t="e">
        <f ca="1">IF(_xll.ciqfunctions.udf.CIQ($A39, "IQ_EBITDA_EST",$B$6, $L$2, "CON", $L$3, $L$5, $L$6)=0,"n/a",_xll.ciqfunctions.udf.CIQ($A39, "IQ_EBITDA_EST",$B$6, $L$2, "CON", $L$3, $L$5, $L$6))</f>
        <v>#NAME?</v>
      </c>
      <c r="AF39" s="69" t="str">
        <f ca="1">IF(ISERROR(_xll.ciqfunctions.udf.CIQ($A39, "IQ_GROSS_MARGIN", IQ_LTM, $L$2,$L$4, $L$3, $L$5, $L$6)/100), "n/a", _xll.ciqfunctions.udf.CIQ($A39,  "IQ_GROSS_MARGIN", IQ_LTM, $L$2, $L$4, $L$3, $L$5, $L$6)/100)</f>
        <v>n/a</v>
      </c>
      <c r="AG39" s="69" t="str">
        <f ca="1">IF(ISERROR(_xll.ciqfunctions.udf.CIQ($A39,"IQ_EBITDA_MARGIN", IQ_LTM, $L$2, $L$4, $L$3, $L$5, $L$6)/100), "n/a", _xll.ciqfunctions.udf.CIQ($A39, "IQ_EBITDA_MARGIN", IQ_LTM, $L$2, $L$4, $L$3, $L$5, $L$6)/100)</f>
        <v>n/a</v>
      </c>
      <c r="AH39" s="69" t="str">
        <f ca="1">IF(ISERROR(_xll.ciqfunctions.udf.CIQ($A39,"IQ_EBIT_MARGIN", IQ_LTM, $L$2, $L$4, $L$3, $L$5, $L$6)/100), "n/a", _xll.ciqfunctions.udf.CIQ($A39, "IQ_EBIT_MARGIN", IQ_LTM, $L$2, $L$4, $L$3, $L$5, $L$6)/100)</f>
        <v>n/a</v>
      </c>
      <c r="AI39" s="69" t="str">
        <f ca="1">IF(ISERROR(_xll.ciqfunctions.udf.CIQ($A39,"IQ_NI_MARGIN", IQ_LTM, $L$2, $L$4, $L$3, $L$5, $L$6)/100), "n/a", _xll.ciqfunctions.udf.CIQ($A39, "IQ_NI_MARGIN", IQ_LTM, $L$2, $L$4, $L$3, $L$5, $L$6)/100)</f>
        <v>n/a</v>
      </c>
      <c r="AJ39" s="68" t="str">
        <f ca="1">IF(ISERROR(_xll.ciqfunctions.udf.CIQ($A39, "IQ_NET_WORKING_CAP", IQ_LTM-8, $L$2, $L$4, $L$3, $L$5, $L$6)), "n/a", _xll.ciqfunctions.udf.CIQ($A39, "IQ_NET_WORKING_CAP", IQ_LTM-8, $L$2, $L$4, $L$3, $L$5, $L$6))</f>
        <v>n/a</v>
      </c>
      <c r="AK39" s="68" t="str">
        <f ca="1">IF(ISERROR(_xll.ciqfunctions.udf.CIQ($A39, "IQ_NET_WORKING_CAP", IQ_LTM-4, $L$2, $L$4, $L$3, $L$5, $L$6)), "n/a", _xll.ciqfunctions.udf.CIQ($A39, "IQ_NET_WORKING_CAP", IQ_LTM-4, $L$2, $L$4, $L$3, $L$5, $L$6))</f>
        <v>n/a</v>
      </c>
      <c r="AL39" s="68" t="str">
        <f ca="1">IF(ISERROR(_xll.ciqfunctions.udf.CIQ($A39, "IQ_NET_WORKING_CAP", IQ_LTM, $L$2,$L$4, $L$3, $L$5, $L$6)), "n/a", _xll.ciqfunctions.udf.CIQ($A39, "IQ_NET_WORKING_CAP", IQ_LTM, $L$2, $L$4, $L$3, $L$5, $L$6))</f>
        <v>n/a</v>
      </c>
      <c r="AM39" s="68" t="str">
        <f ca="1">IF(ISERROR(_xll.ciqfunctions.udf.CIQ($A39, "IQ_Capex", IQ_LTM-8, $L$2,$L$4, $L$3, $L$5, $L$6)), "n/a", _xll.ciqfunctions.udf.CIQ($A39, "IQ_Capex", IQ_LTM-8, $L$2, $L$4, $L$3, $L$5, $L$6))</f>
        <v>n/a</v>
      </c>
      <c r="AN39" s="68" t="str">
        <f ca="1">IF(ISERROR(_xll.ciqfunctions.udf.CIQ($A39, "IQ_Capex", IQ_LTM-4, $L$2,$L$4, $L$3, $L$5, $L$6)), "n/a", _xll.ciqfunctions.udf.CIQ($A39, "IQ_Capex", IQ_LTM-4, $L$2,$L$4, $L$3, $L$5, $L$6))</f>
        <v>n/a</v>
      </c>
      <c r="AO39" s="68" t="str">
        <f ca="1">IF(ISERROR(_xll.ciqfunctions.udf.CIQ($A39, "IQ_Capex", IQ_LTM, $L$2, $L$4, $L$3, $L$5, $L$6)), "n/a", _xll.ciqfunctions.udf.CIQ($A39, "IQ_Capex", IQ_LTM, $L$2, $L$4, $L$3, $L$5, $L$6))</f>
        <v>n/a</v>
      </c>
      <c r="AP39" s="70" t="e">
        <f ca="1">_xll.ciqfunctions.udf.CIQ(A39, "IQ_BUSINESS_DESCRIPTION")</f>
        <v>#NAME?</v>
      </c>
      <c r="AQ39" s="71" t="e">
        <f ca="1">_xll.ciqfunctions.udf.CIQ($A39, "IQ_BETA_1YR", $B$1)</f>
        <v>#NAME?</v>
      </c>
      <c r="AR39" s="71" t="e">
        <f ca="1">_xll.ciqfunctions.udf.CIQ($A39, "IQ_BETA_2YR", $B$1)</f>
        <v>#NAME?</v>
      </c>
      <c r="AS39" s="71" t="e">
        <f ca="1">_xll.ciqfunctions.udf.CIQ($A39, "IQ_BETA_5YR", $B$1)</f>
        <v>#NAME?</v>
      </c>
      <c r="AT39" s="69" t="e">
        <f ca="1">_xll.ciqfunctions.udf.CIQ($A39, "IQ_DIVIDEND_YIELD", $B$1)/100</f>
        <v>#NAME?</v>
      </c>
      <c r="AU39" s="68" t="e">
        <f ca="1">_xll.ciqfunctions.udf.CIQ($A39, "IQ_EARNING_CO", IQ_LTM-8, $L$2, $L$4, $L$3, $L$5, $L$6)</f>
        <v>#NAME?</v>
      </c>
      <c r="AV39" s="68" t="e">
        <f ca="1">_xll.ciqfunctions.udf.CIQ($A39, "IQ_EARNING_CO", IQ_LTM-4, $L$2, $L$4, $L$3, $L$5, $L$6)</f>
        <v>#NAME?</v>
      </c>
      <c r="AW39" s="68" t="e">
        <f ca="1">_xll.ciqfunctions.udf.CIQ($A39, "IQ_EARNING_CO", IQ_LTM, $L$2, $L$4, $L$3, $L$5, $L$6)</f>
        <v>#NAME?</v>
      </c>
      <c r="AX39" s="68" t="e">
        <f ca="1">_xll.ciqfunctions.udf.CIQ($A39, "IQ_EARNING_CO", $B$2, $L$2, $L$4, $L$3, $L$5, $L$6)</f>
        <v>#NAME?</v>
      </c>
      <c r="AY39" s="68" t="e">
        <f ca="1">IF(_xll.ciqfunctions.udf.CIQ($A39, "IQ_EARNING_CO", $B$3, $L$2,$L$4, $L$3, $L$5, $L$6)=0,AW39,_xll.ciqfunctions.udf.CIQ($A39, "IQ_EARNING_CO", $B$3, $L$2,$L$4, $L$3, $L$5, $L$6))</f>
        <v>#NAME?</v>
      </c>
      <c r="AZ39" s="68" t="e">
        <f ca="1">_xll.ciqfunctions.udf.CIQ($A39, "IQ_TOTAL_EQUITY", IQ_LTM-8, $L$2, $L$4, $L$3, $L$5, $L$6)</f>
        <v>#NAME?</v>
      </c>
      <c r="BA39" s="68" t="e">
        <f ca="1">_xll.ciqfunctions.udf.CIQ($A39, "IQ_TOTAL_EQUITY", IQ_LTM-4, $L$2, $L$4, $L$3, $L$5, $L$6)</f>
        <v>#NAME?</v>
      </c>
      <c r="BB39" s="68" t="e">
        <f ca="1">_xll.ciqfunctions.udf.CIQ($A39, "IQ_TOTAL_EQUITY", IQ_LTM, $L$2, $L$4, $L$3, $L$5, $L$6)</f>
        <v>#NAME?</v>
      </c>
      <c r="BC39" s="68" t="e">
        <f ca="1">_xll.ciqfunctions.udf.CIQ($A39, "IQ_TOTAL_EQUITY", $B$2, $L$2, $L$4, $L$3, $L$5, $L$6)</f>
        <v>#NAME?</v>
      </c>
      <c r="BD39" s="68" t="e">
        <f ca="1">IF(_xll.ciqfunctions.udf.CIQ($A39, "IQ_TOTAL_EQUITY", $B$3, $L$2,$L$4, $L$3, $L$5, $L$6)=0,BB39,_xll.ciqfunctions.udf.CIQ($A39, "IQ_TOTAL_EQUITY", $B$3, $L$2,$L$4, $L$3, $L$5, $L$6))</f>
        <v>#NAME?</v>
      </c>
      <c r="BE39" s="68" t="e">
        <f ca="1">_xll.ciqfunctions.udf.CIQ(A39, "IQ_LASTSALEPRICE", $B$8)</f>
        <v>#NAME?</v>
      </c>
      <c r="BF39" s="68" t="e">
        <f ca="1">_xll.ciqfunctions.udf.CIQ($A39, "IQ_MARKETCAP", $B$8, $L$5, $L$6)</f>
        <v>#NAME?</v>
      </c>
      <c r="BG39" s="68" t="e">
        <f ca="1">_xll.ciqfunctions.udf.CIQ($A39, "IQ_TOTAL_DEBT", IQ_LTM, $B$8,$L$4, $L$3, $L$5, $L$6)</f>
        <v>#NAME?</v>
      </c>
      <c r="BH39" s="44" t="e">
        <f ca="1">_xll.ciqfunctions.udf.CIQ($A39,"IQ_PREF_EQUITY",IQ_LTM,$B$8,$L$4,$L$3,$L$5,$L$6)</f>
        <v>#NAME?</v>
      </c>
      <c r="BI39" s="44" t="e">
        <f ca="1">_xll.ciqfunctions.udf.CIQ($A39, "IQ_MINORITY_INTEREST_TOTAL", IQ_LTM,$B$8,$L$4,$L$3,$L$5,$L$6)</f>
        <v>#NAME?</v>
      </c>
      <c r="BJ39" s="68" t="e">
        <f ca="1">_xll.ciqfunctions.udf.CIQ($A39, "IQ_CASH_ST_INVEST", IQ_LTM, $B$8, $L$4, $L$3, $L$5, $L$6)</f>
        <v>#NAME?</v>
      </c>
      <c r="BK39" s="44" t="e">
        <f ca="1">_xll.ciqfunctions.udf.CIQ($A39, "IQ_EFFECT_TAX_RATE")</f>
        <v>#NAME?</v>
      </c>
      <c r="BL39" s="44" t="e">
        <f ca="1">IF(_xll.ciqfunctions.udf.CIQ($A39, "IQ_TOTAL_REV_2YR_ANN_CAGR", IQ_LTM, $B$1,$L$4, $L$3, $L$5, $L$6)="NM","n/a",(_xll.ciqfunctions.udf.CIQ($A39, "IQ_TOTAL_REV_2YR_ANN_CAGR", IQ_LTM, $B$1,$L$4, $L$3, $L$5, $L$6)/100))</f>
        <v>#NAME?</v>
      </c>
      <c r="BM39" s="44" t="e">
        <f ca="1">IF(_xll.ciqfunctions.udf.CIQ($A39, "IQ_TOTAL_REV_3YR_ANN_CAGR", IQ_LTM, $B$1,$L$4, $L$3, $L$5, $L$6)="NM","n/a",(_xll.ciqfunctions.udf.CIQ($A39, "IQ_TOTAL_REV_3YR_ANN_CAGR", IQ_LTM, $B$1,$L$4, $L$3, $L$5, $L$6)/100))</f>
        <v>#NAME?</v>
      </c>
      <c r="BN39" s="44" t="e">
        <f ca="1">IF(_xll.ciqfunctions.udf.CIQ($A39, "IQ_TOTAL_REV_5YR_ANN_CAGR", IQ_LTM, $B$1,$L$4, $L$3, $L$5, $L$6)="NM","n/a",(_xll.ciqfunctions.udf.CIQ($A39, "IQ_TOTAL_REV_5YR_ANN_CAGR", IQ_LTM, $B$1,$L$4, $L$3, $L$5, $L$6)/100))</f>
        <v>#NAME?</v>
      </c>
      <c r="BO39" s="44" t="e">
        <f ca="1">IF(_xll.ciqfunctions.udf.CIQ($A39,"IQ_EBITDA_2YR_ANN_CAGR", IQ_LTM,$B$1,$L$4, $L$3, $L$5, $L$6)="NM","n/a",(_xll.ciqfunctions.udf.CIQ($A39,"IQ_EBITDA_2YR_ANN_CAGR", IQ_LTM,$B$1,$L$4, $L$3, $L$5, $L$6)/100))</f>
        <v>#NAME?</v>
      </c>
      <c r="BP39" s="44" t="e">
        <f ca="1">IF(_xll.ciqfunctions.udf.CIQ($A39,"IQ_EBITDA_3YR_ANN_CAGR", IQ_LTM,$B$1,$L$4, $L$3, $L$5, $L$6)="NM","n/a",(_xll.ciqfunctions.udf.CIQ($A39,"IQ_EBITDA_3YR_ANN_CAGR", IQ_LTM,$B$1,$L$4, $L$3, $L$5, $L$6)/100))</f>
        <v>#NAME?</v>
      </c>
      <c r="BQ39" s="44" t="e">
        <f ca="1">IF(_xll.ciqfunctions.udf.CIQ($A39,"IQ_EBITDA_5YR_ANN_CAGR", IQ_LTM,$B$1,$L$4, $L$3, $L$5, $L$6)="NM","n/a",(_xll.ciqfunctions.udf.CIQ($A39,"IQ_EBITDA_5YR_ANN_CAGR", IQ_LTM,$B$1,$L$4, $L$3, $L$5, $L$6)/100))</f>
        <v>#NAME?</v>
      </c>
      <c r="BR39" s="48" t="str">
        <f ca="1">IFERROR((_xll.ciqfunctions.udf.CIQ($A39, "IQ_DA_CF", IQ_LTM, $B$1, $L$4, $L$3, $L$5, $L$6)/Q39),"NM")</f>
        <v>NM</v>
      </c>
      <c r="BS39" s="72" t="e">
        <f>'Capital IQ Sheet-GPC'!BS39</f>
        <v>#VALUE!</v>
      </c>
      <c r="BT39" s="72" t="e">
        <f>'Capital IQ Sheet-GPC'!BT39</f>
        <v>#VALUE!</v>
      </c>
      <c r="BU39" s="72" t="e">
        <f>'Capital IQ Sheet-GPC'!BU39</f>
        <v>#VALUE!</v>
      </c>
      <c r="BV39" s="72" t="e">
        <f>'Capital IQ Sheet-GPC'!BV39</f>
        <v>#VALUE!</v>
      </c>
      <c r="BW39" s="72" t="e">
        <f>'Capital IQ Sheet-GPC'!BW39</f>
        <v>#VALUE!</v>
      </c>
      <c r="BX39" s="72" t="e">
        <f>'Capital IQ Sheet-GPC'!BX39</f>
        <v>#VALUE!</v>
      </c>
      <c r="BY39" s="72" t="e">
        <f>'Capital IQ Sheet-GPC'!BY39</f>
        <v>#VALUE!</v>
      </c>
      <c r="BZ39" s="72" t="e">
        <f>'Capital IQ Sheet-GPC'!BZ39</f>
        <v>#VALUE!</v>
      </c>
      <c r="CB39" s="44">
        <v>2</v>
      </c>
      <c r="CC39" s="112" t="s">
        <v>269</v>
      </c>
      <c r="CD39" s="112" t="s">
        <v>268</v>
      </c>
      <c r="CE39" s="46">
        <f t="shared" si="0"/>
        <v>42766</v>
      </c>
    </row>
    <row r="40" spans="1:83" s="44" customFormat="1" ht="12.75">
      <c r="A40" s="45" t="e">
        <f ca="1">_xll.ciqfunctions.udf.CIQ($B40,"IQ_COMPANY_TICKER")</f>
        <v>#NAME?</v>
      </c>
      <c r="B40" s="67" t="str">
        <f>'Capital IQ Sheet-GPC'!B40</f>
        <v>(Invalid Identifier)</v>
      </c>
      <c r="C40" s="45" t="e">
        <f ca="1">_xll.ciqfunctions.udf.CIQ($A40,"IQ_COMPANY_NAME")</f>
        <v>#NAME?</v>
      </c>
      <c r="D40" s="45" t="e">
        <f ca="1">_xll.ciqfunctions.udf.CIQ($A40, "IQ_EXCHANGE")</f>
        <v>#NAME?</v>
      </c>
      <c r="E40" s="66" t="e">
        <f ca="1">_xll.ciqfunctions.udf.CIQ($A40, "IQ_PERIODDATE_IS", IQ_FY)</f>
        <v>#NAME?</v>
      </c>
      <c r="F40" s="66" t="e">
        <f ca="1">_xll.ciqfunctions.udf.CIQ(A40, "IQ_PERIODDATE_IS", IQ_LTM, $B$1,$L$4,$L$3)</f>
        <v>#NAME?</v>
      </c>
      <c r="G40" s="66" t="e">
        <f ca="1">_xll.ciqfunctions.udf.CIQ($A40, "IQ_FIRSTPRICINGDATE")</f>
        <v>#NAME?</v>
      </c>
      <c r="H40" s="68" t="e">
        <f ca="1">_xll.ciqfunctions.udf.CIQ($A40, "IQ_TEV", $L$2, $L$5, $L$6)</f>
        <v>#NAME?</v>
      </c>
      <c r="I40" s="68" t="e">
        <f ca="1">_xll.ciqfunctions.udf.CIQ(A40, "IQ_LASTSALEPRICE", $B$1,$L$5)</f>
        <v>#NAME?</v>
      </c>
      <c r="J40" s="68" t="e">
        <f ca="1">_xll.ciqfunctions.udf.CIQ($A40, "IQ_MARKETCAP", $L$2, $L$5, $L$6)</f>
        <v>#NAME?</v>
      </c>
      <c r="K40" s="68" t="e">
        <f ca="1">_xll.ciqfunctions.udf.CIQ($A40, "IQ_TOTAL_DEBT", IQ_LTM, $L$2,$L$4, $L$3, $L$5, $L$6)</f>
        <v>#NAME?</v>
      </c>
      <c r="L40" s="68" t="e">
        <f ca="1">_xll.ciqfunctions.udf.CIQ($A40, "IQ_PREF_EQUITY", IQ_LTM, $L$2, $L$4, $L$3, $L$5, $L$6)</f>
        <v>#NAME?</v>
      </c>
      <c r="M40" s="68" t="e">
        <f ca="1">_xll.ciqfunctions.udf.CIQ($A40, "IQ_MINORITY_INTEREST_TOTAL", IQ_LTM, $L$2, $L$4, $L$3, $L$5, $L$6)</f>
        <v>#NAME?</v>
      </c>
      <c r="N40" s="68" t="e">
        <f ca="1">_xll.ciqfunctions.udf.CIQ($A40, "IQ_CASH_ST_INVEST", IQ_LTM, $L$2, $L$4, $L$3, $L$5, $L$6)</f>
        <v>#NAME?</v>
      </c>
      <c r="O40" s="68" t="e">
        <f ca="1">_xll.ciqfunctions.udf.CIQ($A40, "IQ_TOTAL_REV", IQ_LTM-8, $L$2, $L$4, $L$3, $L$5, $L$6)</f>
        <v>#NAME?</v>
      </c>
      <c r="P40" s="68" t="e">
        <f ca="1">_xll.ciqfunctions.udf.CIQ($A40, "IQ_TOTAL_REV", IQ_LTM - 4, $L$2, $L$4, $L$3, $L$5,$L$6)</f>
        <v>#NAME?</v>
      </c>
      <c r="Q40" s="68" t="e">
        <f ca="1">_xll.ciqfunctions.udf.CIQ($A40, "IQ_TOTAL_REV", IQ_LTM, $L$2, $L$4, $L$3, $L$5, $L$6)</f>
        <v>#NAME?</v>
      </c>
      <c r="R40" s="68" t="e">
        <f ca="1">_xll.ciqfunctions.udf.CIQ($A40, "IQ_TOTAL_REV", $B$2, $L$2, $L$4, $L$3, $L$5, $L$6)</f>
        <v>#NAME?</v>
      </c>
      <c r="S40" s="68" t="e">
        <f ca="1">IF(_xll.ciqfunctions.udf.CIQ($A40, "IQ_TOTAL_REV", $B$3, $L$2,$L$4, $L$3, $L$5, $L$6)=0,Q40,_xll.ciqfunctions.udf.CIQ($A40, "IQ_TOTAL_REV", $B$3, $L$2,$L$4, $L$3, $L$5, $L$6))</f>
        <v>#NAME?</v>
      </c>
      <c r="T40" s="68" t="e">
        <f ca="1">IF(_xll.ciqfunctions.udf.CIQ($A40, "IQ_REVENUE_EST",$B$4, $L$2, "CON", $L$3, $L$5, $L$6)=0,"n/a",_xll.ciqfunctions.udf.CIQ($A40, "IQ_REVENUE_EST",$B$4, $L$2, "CON", $L$3, $L$5, $L$6))</f>
        <v>#NAME?</v>
      </c>
      <c r="U40" s="68" t="e">
        <f ca="1">IF(_xll.ciqfunctions.udf.CIQ($A40, "IQ_REVENUE_EST",$B$5, $L$2, "CON", $L$3, $L$5, $L$6)=0,"n/a",_xll.ciqfunctions.udf.CIQ($A40, "IQ_REVENUE_EST",$B$5, $L$2, "CON", $L$3, $L$5, $L$6))</f>
        <v>#NAME?</v>
      </c>
      <c r="V40" s="68" t="e">
        <f ca="1">IF(_xll.ciqfunctions.udf.CIQ($A40, "IQ_REVENUE_EST",$B$6, $L$2, "CON", $L$3, $L$5, $L$6)=0,"n/a",_xll.ciqfunctions.udf.CIQ($A40, "IQ_REVENUE_EST",$B$6, $L$2, "CON", $L$3, $L$5, $L$6))</f>
        <v>#NAME?</v>
      </c>
      <c r="W40" s="68" t="e">
        <f ca="1">IF(_xll.ciqfunctions.udf.CIQ($A40, "IQ_REVENUE_EST", $B$7, $L$2, "CON", $L$3, $L$5, $L$6)=0,"n/a",_xll.ciqfunctions.udf.CIQ($A40, "IQ_REVENUE_EST",$B$7, $L$2, "CON", $L$3, $L$5, $L$6))</f>
        <v>#NAME?</v>
      </c>
      <c r="X40" s="68" t="e">
        <f ca="1">_xll.ciqfunctions.udf.CIQ($A40, "IQ_EBITDA", IQ_LTM-8, $L$2, $L$4, $L$3, $L$5, $L$6)</f>
        <v>#NAME?</v>
      </c>
      <c r="Y40" s="68" t="e">
        <f ca="1">_xll.ciqfunctions.udf.CIQ($A40, "IQ_EBITDA", IQ_LTM-4, $L$2,$L$4, $L$3, $L$5, $L$6)</f>
        <v>#NAME?</v>
      </c>
      <c r="Z40" s="68" t="e">
        <f ca="1">_xll.ciqfunctions.udf.CIQ($A40, "IQ_EBITDA", IQ_LTM, $L$2, $L$4, $L$3, $L$5, $L$6)</f>
        <v>#NAME?</v>
      </c>
      <c r="AA40" s="68" t="e">
        <f ca="1">_xll.ciqfunctions.udf.CIQ($A40, "IQ_EBITDA", $B$2, $L$2, $L$4, $L$3, $L$5, $L$6)</f>
        <v>#NAME?</v>
      </c>
      <c r="AB40" s="68" t="e">
        <f ca="1">IF(_xll.ciqfunctions.udf.CIQ($A40, "IQ_EBITDA", $B$3, $L$2,$L$4, $L$3, $L$5, $L$6)=0,Z40,_xll.ciqfunctions.udf.CIQ($A40, "IQ_EBITDA", $B$3, $L$2,$L$4, $L$3, $L$5, $L$6))</f>
        <v>#NAME?</v>
      </c>
      <c r="AC40" s="68" t="e">
        <f ca="1">IF(_xll.ciqfunctions.udf.CIQ($A40, "IQ_EBITDA_EST",$B$4, $L$2, "CON", $L$3, $L$5, $L$6)=0,"n/a",_xll.ciqfunctions.udf.CIQ($A40, "IQ_EBITDA_EST",$B$4, $L$2, "CON", $L$3, $L$5, $L$6))</f>
        <v>#NAME?</v>
      </c>
      <c r="AD40" s="68" t="e">
        <f ca="1">IF(_xll.ciqfunctions.udf.CIQ($A40, "IQ_EBITDA_EST",$B$5, $L$2, "CON", $L$3, $L$5, $L$6)=0,"n/a",_xll.ciqfunctions.udf.CIQ($A40, "IQ_EBITDA_EST",$B$5, $L$2, "CON", $L$3, $L$5, $L$6))</f>
        <v>#NAME?</v>
      </c>
      <c r="AE40" s="68" t="e">
        <f ca="1">IF(_xll.ciqfunctions.udf.CIQ($A40, "IQ_EBITDA_EST",$B$6, $L$2, "CON", $L$3, $L$5, $L$6)=0,"n/a",_xll.ciqfunctions.udf.CIQ($A40, "IQ_EBITDA_EST",$B$6, $L$2, "CON", $L$3, $L$5, $L$6))</f>
        <v>#NAME?</v>
      </c>
      <c r="AF40" s="69" t="str">
        <f ca="1">IF(ISERROR(_xll.ciqfunctions.udf.CIQ($A40, "IQ_GROSS_MARGIN", IQ_LTM, $L$2,$L$4, $L$3, $L$5, $L$6)/100), "n/a", _xll.ciqfunctions.udf.CIQ($A40,  "IQ_GROSS_MARGIN", IQ_LTM, $L$2, $L$4, $L$3, $L$5, $L$6)/100)</f>
        <v>n/a</v>
      </c>
      <c r="AG40" s="69" t="str">
        <f ca="1">IF(ISERROR(_xll.ciqfunctions.udf.CIQ($A40,"IQ_EBITDA_MARGIN", IQ_LTM, $L$2, $L$4, $L$3, $L$5, $L$6)/100), "n/a", _xll.ciqfunctions.udf.CIQ($A40, "IQ_EBITDA_MARGIN", IQ_LTM, $L$2, $L$4, $L$3, $L$5, $L$6)/100)</f>
        <v>n/a</v>
      </c>
      <c r="AH40" s="69" t="str">
        <f ca="1">IF(ISERROR(_xll.ciqfunctions.udf.CIQ($A40,"IQ_EBIT_MARGIN", IQ_LTM, $L$2, $L$4, $L$3, $L$5, $L$6)/100), "n/a", _xll.ciqfunctions.udf.CIQ($A40, "IQ_EBIT_MARGIN", IQ_LTM, $L$2, $L$4, $L$3, $L$5, $L$6)/100)</f>
        <v>n/a</v>
      </c>
      <c r="AI40" s="69" t="str">
        <f ca="1">IF(ISERROR(_xll.ciqfunctions.udf.CIQ($A40,"IQ_NI_MARGIN", IQ_LTM, $L$2, $L$4, $L$3, $L$5, $L$6)/100), "n/a", _xll.ciqfunctions.udf.CIQ($A40, "IQ_NI_MARGIN", IQ_LTM, $L$2, $L$4, $L$3, $L$5, $L$6)/100)</f>
        <v>n/a</v>
      </c>
      <c r="AJ40" s="68" t="str">
        <f ca="1">IF(ISERROR(_xll.ciqfunctions.udf.CIQ($A40, "IQ_NET_WORKING_CAP", IQ_LTM-8, $L$2, $L$4, $L$3, $L$5, $L$6)), "n/a", _xll.ciqfunctions.udf.CIQ($A40, "IQ_NET_WORKING_CAP", IQ_LTM-8, $L$2, $L$4, $L$3, $L$5, $L$6))</f>
        <v>n/a</v>
      </c>
      <c r="AK40" s="68" t="str">
        <f ca="1">IF(ISERROR(_xll.ciqfunctions.udf.CIQ($A40, "IQ_NET_WORKING_CAP", IQ_LTM-4, $L$2, $L$4, $L$3, $L$5, $L$6)), "n/a", _xll.ciqfunctions.udf.CIQ($A40, "IQ_NET_WORKING_CAP", IQ_LTM-4, $L$2, $L$4, $L$3, $L$5, $L$6))</f>
        <v>n/a</v>
      </c>
      <c r="AL40" s="68" t="str">
        <f ca="1">IF(ISERROR(_xll.ciqfunctions.udf.CIQ($A40, "IQ_NET_WORKING_CAP", IQ_LTM, $L$2,$L$4, $L$3, $L$5, $L$6)), "n/a", _xll.ciqfunctions.udf.CIQ($A40, "IQ_NET_WORKING_CAP", IQ_LTM, $L$2, $L$4, $L$3, $L$5, $L$6))</f>
        <v>n/a</v>
      </c>
      <c r="AM40" s="68" t="str">
        <f ca="1">IF(ISERROR(_xll.ciqfunctions.udf.CIQ($A40, "IQ_Capex", IQ_LTM-8, $L$2,$L$4, $L$3, $L$5, $L$6)), "n/a", _xll.ciqfunctions.udf.CIQ($A40, "IQ_Capex", IQ_LTM-8, $L$2, $L$4, $L$3, $L$5, $L$6))</f>
        <v>n/a</v>
      </c>
      <c r="AN40" s="68" t="str">
        <f ca="1">IF(ISERROR(_xll.ciqfunctions.udf.CIQ($A40, "IQ_Capex", IQ_LTM-4, $L$2,$L$4, $L$3, $L$5, $L$6)), "n/a", _xll.ciqfunctions.udf.CIQ($A40, "IQ_Capex", IQ_LTM-4, $L$2,$L$4, $L$3, $L$5, $L$6))</f>
        <v>n/a</v>
      </c>
      <c r="AO40" s="68" t="str">
        <f ca="1">IF(ISERROR(_xll.ciqfunctions.udf.CIQ($A40, "IQ_Capex", IQ_LTM, $L$2, $L$4, $L$3, $L$5, $L$6)), "n/a", _xll.ciqfunctions.udf.CIQ($A40, "IQ_Capex", IQ_LTM, $L$2, $L$4, $L$3, $L$5, $L$6))</f>
        <v>n/a</v>
      </c>
      <c r="AP40" s="70" t="e">
        <f ca="1">_xll.ciqfunctions.udf.CIQ(A40, "IQ_BUSINESS_DESCRIPTION")</f>
        <v>#NAME?</v>
      </c>
      <c r="AQ40" s="71" t="e">
        <f ca="1">_xll.ciqfunctions.udf.CIQ($A40, "IQ_BETA_1YR", $B$1)</f>
        <v>#NAME?</v>
      </c>
      <c r="AR40" s="71" t="e">
        <f ca="1">_xll.ciqfunctions.udf.CIQ($A40, "IQ_BETA_2YR", $B$1)</f>
        <v>#NAME?</v>
      </c>
      <c r="AS40" s="71" t="e">
        <f ca="1">_xll.ciqfunctions.udf.CIQ($A40, "IQ_BETA_5YR", $B$1)</f>
        <v>#NAME?</v>
      </c>
      <c r="AT40" s="69" t="e">
        <f ca="1">_xll.ciqfunctions.udf.CIQ($A40, "IQ_DIVIDEND_YIELD", $B$1)/100</f>
        <v>#NAME?</v>
      </c>
      <c r="AU40" s="68" t="e">
        <f ca="1">_xll.ciqfunctions.udf.CIQ($A40, "IQ_EARNING_CO", IQ_LTM-8, $L$2, $L$4, $L$3, $L$5, $L$6)</f>
        <v>#NAME?</v>
      </c>
      <c r="AV40" s="68" t="e">
        <f ca="1">_xll.ciqfunctions.udf.CIQ($A40, "IQ_EARNING_CO", IQ_LTM-4, $L$2, $L$4, $L$3, $L$5, $L$6)</f>
        <v>#NAME?</v>
      </c>
      <c r="AW40" s="68" t="e">
        <f ca="1">_xll.ciqfunctions.udf.CIQ($A40, "IQ_EARNING_CO", IQ_LTM, $L$2, $L$4, $L$3, $L$5, $L$6)</f>
        <v>#NAME?</v>
      </c>
      <c r="AX40" s="68" t="e">
        <f ca="1">_xll.ciqfunctions.udf.CIQ($A40, "IQ_EARNING_CO", $B$2, $L$2, $L$4, $L$3, $L$5, $L$6)</f>
        <v>#NAME?</v>
      </c>
      <c r="AY40" s="68" t="e">
        <f ca="1">IF(_xll.ciqfunctions.udf.CIQ($A40, "IQ_EARNING_CO", $B$3, $L$2,$L$4, $L$3, $L$5, $L$6)=0,AW40,_xll.ciqfunctions.udf.CIQ($A40, "IQ_EARNING_CO", $B$3, $L$2,$L$4, $L$3, $L$5, $L$6))</f>
        <v>#NAME?</v>
      </c>
      <c r="AZ40" s="68" t="e">
        <f ca="1">_xll.ciqfunctions.udf.CIQ($A40, "IQ_TOTAL_EQUITY", IQ_LTM-8, $L$2, $L$4, $L$3, $L$5, $L$6)</f>
        <v>#NAME?</v>
      </c>
      <c r="BA40" s="68" t="e">
        <f ca="1">_xll.ciqfunctions.udf.CIQ($A40, "IQ_TOTAL_EQUITY", IQ_LTM-4, $L$2, $L$4, $L$3, $L$5, $L$6)</f>
        <v>#NAME?</v>
      </c>
      <c r="BB40" s="68" t="e">
        <f ca="1">_xll.ciqfunctions.udf.CIQ($A40, "IQ_TOTAL_EQUITY", IQ_LTM, $L$2, $L$4, $L$3, $L$5, $L$6)</f>
        <v>#NAME?</v>
      </c>
      <c r="BC40" s="68" t="e">
        <f ca="1">_xll.ciqfunctions.udf.CIQ($A40, "IQ_TOTAL_EQUITY", $B$2, $L$2, $L$4, $L$3, $L$5, $L$6)</f>
        <v>#NAME?</v>
      </c>
      <c r="BD40" s="68" t="e">
        <f ca="1">IF(_xll.ciqfunctions.udf.CIQ($A40, "IQ_TOTAL_EQUITY", $B$3, $L$2,$L$4, $L$3, $L$5, $L$6)=0,BB40,_xll.ciqfunctions.udf.CIQ($A40, "IQ_TOTAL_EQUITY", $B$3, $L$2,$L$4, $L$3, $L$5, $L$6))</f>
        <v>#NAME?</v>
      </c>
      <c r="BE40" s="68" t="e">
        <f ca="1">_xll.ciqfunctions.udf.CIQ(A40, "IQ_LASTSALEPRICE", $B$8)</f>
        <v>#NAME?</v>
      </c>
      <c r="BF40" s="68" t="e">
        <f ca="1">_xll.ciqfunctions.udf.CIQ($A40, "IQ_MARKETCAP", $B$8, $L$5, $L$6)</f>
        <v>#NAME?</v>
      </c>
      <c r="BG40" s="68" t="e">
        <f ca="1">_xll.ciqfunctions.udf.CIQ($A40, "IQ_TOTAL_DEBT", IQ_LTM, $B$8,$L$4, $L$3, $L$5, $L$6)</f>
        <v>#NAME?</v>
      </c>
      <c r="BH40" s="44" t="e">
        <f ca="1">_xll.ciqfunctions.udf.CIQ($A40,"IQ_PREF_EQUITY",IQ_LTM,$B$8,$L$4,$L$3,$L$5,$L$6)</f>
        <v>#NAME?</v>
      </c>
      <c r="BI40" s="44" t="e">
        <f ca="1">_xll.ciqfunctions.udf.CIQ($A40, "IQ_MINORITY_INTEREST_TOTAL", IQ_LTM,$B$8,$L$4,$L$3,$L$5,$L$6)</f>
        <v>#NAME?</v>
      </c>
      <c r="BJ40" s="68" t="e">
        <f ca="1">_xll.ciqfunctions.udf.CIQ($A40, "IQ_CASH_ST_INVEST", IQ_LTM, $B$8, $L$4, $L$3, $L$5, $L$6)</f>
        <v>#NAME?</v>
      </c>
      <c r="BK40" s="44" t="e">
        <f ca="1">_xll.ciqfunctions.udf.CIQ($A40, "IQ_EFFECT_TAX_RATE")</f>
        <v>#NAME?</v>
      </c>
      <c r="BL40" s="44" t="e">
        <f ca="1">IF(_xll.ciqfunctions.udf.CIQ($A40, "IQ_TOTAL_REV_2YR_ANN_CAGR", IQ_LTM, $B$1,$L$4, $L$3, $L$5, $L$6)="NM","n/a",(_xll.ciqfunctions.udf.CIQ($A40, "IQ_TOTAL_REV_2YR_ANN_CAGR", IQ_LTM, $B$1,$L$4, $L$3, $L$5, $L$6)/100))</f>
        <v>#NAME?</v>
      </c>
      <c r="BM40" s="44" t="e">
        <f ca="1">IF(_xll.ciqfunctions.udf.CIQ($A40, "IQ_TOTAL_REV_3YR_ANN_CAGR", IQ_LTM, $B$1,$L$4, $L$3, $L$5, $L$6)="NM","n/a",(_xll.ciqfunctions.udf.CIQ($A40, "IQ_TOTAL_REV_3YR_ANN_CAGR", IQ_LTM, $B$1,$L$4, $L$3, $L$5, $L$6)/100))</f>
        <v>#NAME?</v>
      </c>
      <c r="BN40" s="44" t="e">
        <f ca="1">IF(_xll.ciqfunctions.udf.CIQ($A40, "IQ_TOTAL_REV_5YR_ANN_CAGR", IQ_LTM, $B$1,$L$4, $L$3, $L$5, $L$6)="NM","n/a",(_xll.ciqfunctions.udf.CIQ($A40, "IQ_TOTAL_REV_5YR_ANN_CAGR", IQ_LTM, $B$1,$L$4, $L$3, $L$5, $L$6)/100))</f>
        <v>#NAME?</v>
      </c>
      <c r="BO40" s="44" t="e">
        <f ca="1">IF(_xll.ciqfunctions.udf.CIQ($A40,"IQ_EBITDA_2YR_ANN_CAGR", IQ_LTM,$B$1,$L$4, $L$3, $L$5, $L$6)="NM","n/a",(_xll.ciqfunctions.udf.CIQ($A40,"IQ_EBITDA_2YR_ANN_CAGR", IQ_LTM,$B$1,$L$4, $L$3, $L$5, $L$6)/100))</f>
        <v>#NAME?</v>
      </c>
      <c r="BP40" s="44" t="e">
        <f ca="1">IF(_xll.ciqfunctions.udf.CIQ($A40,"IQ_EBITDA_3YR_ANN_CAGR", IQ_LTM,$B$1,$L$4, $L$3, $L$5, $L$6)="NM","n/a",(_xll.ciqfunctions.udf.CIQ($A40,"IQ_EBITDA_3YR_ANN_CAGR", IQ_LTM,$B$1,$L$4, $L$3, $L$5, $L$6)/100))</f>
        <v>#NAME?</v>
      </c>
      <c r="BQ40" s="44" t="e">
        <f ca="1">IF(_xll.ciqfunctions.udf.CIQ($A40,"IQ_EBITDA_5YR_ANN_CAGR", IQ_LTM,$B$1,$L$4, $L$3, $L$5, $L$6)="NM","n/a",(_xll.ciqfunctions.udf.CIQ($A40,"IQ_EBITDA_5YR_ANN_CAGR", IQ_LTM,$B$1,$L$4, $L$3, $L$5, $L$6)/100))</f>
        <v>#NAME?</v>
      </c>
      <c r="BR40" s="48" t="str">
        <f ca="1">IFERROR((_xll.ciqfunctions.udf.CIQ($A40, "IQ_DA_CF", IQ_LTM, $B$1, $L$4, $L$3, $L$5, $L$6)/Q40),"NM")</f>
        <v>NM</v>
      </c>
      <c r="BS40" s="72" t="e">
        <f>'Capital IQ Sheet-GPC'!BS40</f>
        <v>#VALUE!</v>
      </c>
      <c r="BT40" s="72" t="e">
        <f>'Capital IQ Sheet-GPC'!BT40</f>
        <v>#VALUE!</v>
      </c>
      <c r="BU40" s="72" t="e">
        <f>'Capital IQ Sheet-GPC'!BU40</f>
        <v>#VALUE!</v>
      </c>
      <c r="BV40" s="72" t="e">
        <f>'Capital IQ Sheet-GPC'!BV40</f>
        <v>#VALUE!</v>
      </c>
      <c r="BW40" s="72" t="e">
        <f>'Capital IQ Sheet-GPC'!BW40</f>
        <v>#VALUE!</v>
      </c>
      <c r="BX40" s="72" t="e">
        <f>'Capital IQ Sheet-GPC'!BX40</f>
        <v>#VALUE!</v>
      </c>
      <c r="BY40" s="72" t="e">
        <f>'Capital IQ Sheet-GPC'!BY40</f>
        <v>#VALUE!</v>
      </c>
      <c r="BZ40" s="72" t="e">
        <f>'Capital IQ Sheet-GPC'!BZ40</f>
        <v>#VALUE!</v>
      </c>
      <c r="CB40" s="44">
        <v>2</v>
      </c>
      <c r="CC40" s="112" t="s">
        <v>269</v>
      </c>
      <c r="CD40" s="112" t="s">
        <v>268</v>
      </c>
      <c r="CE40" s="46">
        <f t="shared" si="0"/>
        <v>42766</v>
      </c>
    </row>
    <row r="41" spans="1:83" s="44" customFormat="1" ht="12.75">
      <c r="A41" s="45" t="e">
        <f ca="1">_xll.ciqfunctions.udf.CIQ($B41,"IQ_COMPANY_TICKER")</f>
        <v>#NAME?</v>
      </c>
      <c r="B41" s="67" t="str">
        <f>'Capital IQ Sheet-GPC'!B41</f>
        <v>(Invalid Identifier)</v>
      </c>
      <c r="C41" s="45" t="e">
        <f ca="1">_xll.ciqfunctions.udf.CIQ($A41,"IQ_COMPANY_NAME")</f>
        <v>#NAME?</v>
      </c>
      <c r="D41" s="45" t="e">
        <f ca="1">_xll.ciqfunctions.udf.CIQ($A41, "IQ_EXCHANGE")</f>
        <v>#NAME?</v>
      </c>
      <c r="E41" s="66" t="e">
        <f ca="1">_xll.ciqfunctions.udf.CIQ($A41, "IQ_PERIODDATE_IS", IQ_FY)</f>
        <v>#NAME?</v>
      </c>
      <c r="F41" s="66" t="e">
        <f ca="1">_xll.ciqfunctions.udf.CIQ(A41, "IQ_PERIODDATE_IS", IQ_LTM, $B$1,$L$4,$L$3)</f>
        <v>#NAME?</v>
      </c>
      <c r="G41" s="66" t="e">
        <f ca="1">_xll.ciqfunctions.udf.CIQ($A41, "IQ_FIRSTPRICINGDATE")</f>
        <v>#NAME?</v>
      </c>
      <c r="H41" s="68" t="e">
        <f ca="1">_xll.ciqfunctions.udf.CIQ($A41, "IQ_TEV", $L$2, $L$5, $L$6)</f>
        <v>#NAME?</v>
      </c>
      <c r="I41" s="68" t="e">
        <f ca="1">_xll.ciqfunctions.udf.CIQ(A41, "IQ_LASTSALEPRICE", $B$1,$L$5)</f>
        <v>#NAME?</v>
      </c>
      <c r="J41" s="68" t="e">
        <f ca="1">_xll.ciqfunctions.udf.CIQ($A41, "IQ_MARKETCAP", $L$2, $L$5, $L$6)</f>
        <v>#NAME?</v>
      </c>
      <c r="K41" s="68" t="e">
        <f ca="1">_xll.ciqfunctions.udf.CIQ($A41, "IQ_TOTAL_DEBT", IQ_LTM, $L$2,$L$4, $L$3, $L$5, $L$6)</f>
        <v>#NAME?</v>
      </c>
      <c r="L41" s="68" t="e">
        <f ca="1">_xll.ciqfunctions.udf.CIQ($A41, "IQ_PREF_EQUITY", IQ_LTM, $L$2, $L$4, $L$3, $L$5, $L$6)</f>
        <v>#NAME?</v>
      </c>
      <c r="M41" s="68" t="e">
        <f ca="1">_xll.ciqfunctions.udf.CIQ($A41, "IQ_MINORITY_INTEREST_TOTAL", IQ_LTM, $L$2, $L$4, $L$3, $L$5, $L$6)</f>
        <v>#NAME?</v>
      </c>
      <c r="N41" s="68" t="e">
        <f ca="1">_xll.ciqfunctions.udf.CIQ($A41, "IQ_CASH_ST_INVEST", IQ_LTM, $L$2, $L$4, $L$3, $L$5, $L$6)</f>
        <v>#NAME?</v>
      </c>
      <c r="O41" s="68" t="e">
        <f ca="1">_xll.ciqfunctions.udf.CIQ($A41, "IQ_TOTAL_REV", IQ_LTM-8, $L$2, $L$4, $L$3, $L$5, $L$6)</f>
        <v>#NAME?</v>
      </c>
      <c r="P41" s="68" t="e">
        <f ca="1">_xll.ciqfunctions.udf.CIQ($A41, "IQ_TOTAL_REV", IQ_LTM - 4, $L$2, $L$4, $L$3, $L$5,$L$6)</f>
        <v>#NAME?</v>
      </c>
      <c r="Q41" s="68" t="e">
        <f ca="1">_xll.ciqfunctions.udf.CIQ($A41, "IQ_TOTAL_REV", IQ_LTM, $L$2, $L$4, $L$3, $L$5, $L$6)</f>
        <v>#NAME?</v>
      </c>
      <c r="R41" s="68" t="e">
        <f ca="1">_xll.ciqfunctions.udf.CIQ($A41, "IQ_TOTAL_REV", $B$2, $L$2, $L$4, $L$3, $L$5, $L$6)</f>
        <v>#NAME?</v>
      </c>
      <c r="S41" s="68" t="e">
        <f ca="1">IF(_xll.ciqfunctions.udf.CIQ($A41, "IQ_TOTAL_REV", $B$3, $L$2,$L$4, $L$3, $L$5, $L$6)=0,Q41,_xll.ciqfunctions.udf.CIQ($A41, "IQ_TOTAL_REV", $B$3, $L$2,$L$4, $L$3, $L$5, $L$6))</f>
        <v>#NAME?</v>
      </c>
      <c r="T41" s="68" t="e">
        <f ca="1">IF(_xll.ciqfunctions.udf.CIQ($A41, "IQ_REVENUE_EST",$B$4, $L$2, "CON", $L$3, $L$5, $L$6)=0,"n/a",_xll.ciqfunctions.udf.CIQ($A41, "IQ_REVENUE_EST",$B$4, $L$2, "CON", $L$3, $L$5, $L$6))</f>
        <v>#NAME?</v>
      </c>
      <c r="U41" s="68" t="e">
        <f ca="1">IF(_xll.ciqfunctions.udf.CIQ($A41, "IQ_REVENUE_EST",$B$5, $L$2, "CON", $L$3, $L$5, $L$6)=0,"n/a",_xll.ciqfunctions.udf.CIQ($A41, "IQ_REVENUE_EST",$B$5, $L$2, "CON", $L$3, $L$5, $L$6))</f>
        <v>#NAME?</v>
      </c>
      <c r="V41" s="68" t="e">
        <f ca="1">IF(_xll.ciqfunctions.udf.CIQ($A41, "IQ_REVENUE_EST",$B$6, $L$2, "CON", $L$3, $L$5, $L$6)=0,"n/a",_xll.ciqfunctions.udf.CIQ($A41, "IQ_REVENUE_EST",$B$6, $L$2, "CON", $L$3, $L$5, $L$6))</f>
        <v>#NAME?</v>
      </c>
      <c r="W41" s="68" t="e">
        <f ca="1">IF(_xll.ciqfunctions.udf.CIQ($A41, "IQ_REVENUE_EST", $B$7, $L$2, "CON", $L$3, $L$5, $L$6)=0,"n/a",_xll.ciqfunctions.udf.CIQ($A41, "IQ_REVENUE_EST",$B$7, $L$2, "CON", $L$3, $L$5, $L$6))</f>
        <v>#NAME?</v>
      </c>
      <c r="X41" s="68" t="e">
        <f ca="1">_xll.ciqfunctions.udf.CIQ($A41, "IQ_EBITDA", IQ_LTM-8, $L$2, $L$4, $L$3, $L$5, $L$6)</f>
        <v>#NAME?</v>
      </c>
      <c r="Y41" s="68" t="e">
        <f ca="1">_xll.ciqfunctions.udf.CIQ($A41, "IQ_EBITDA", IQ_LTM-4, $L$2,$L$4, $L$3, $L$5, $L$6)</f>
        <v>#NAME?</v>
      </c>
      <c r="Z41" s="68" t="e">
        <f ca="1">_xll.ciqfunctions.udf.CIQ($A41, "IQ_EBITDA", IQ_LTM, $L$2, $L$4, $L$3, $L$5, $L$6)</f>
        <v>#NAME?</v>
      </c>
      <c r="AA41" s="68" t="e">
        <f ca="1">_xll.ciqfunctions.udf.CIQ($A41, "IQ_EBITDA", $B$2, $L$2, $L$4, $L$3, $L$5, $L$6)</f>
        <v>#NAME?</v>
      </c>
      <c r="AB41" s="68" t="e">
        <f ca="1">IF(_xll.ciqfunctions.udf.CIQ($A41, "IQ_EBITDA", $B$3, $L$2,$L$4, $L$3, $L$5, $L$6)=0,Z41,_xll.ciqfunctions.udf.CIQ($A41, "IQ_EBITDA", $B$3, $L$2,$L$4, $L$3, $L$5, $L$6))</f>
        <v>#NAME?</v>
      </c>
      <c r="AC41" s="68" t="e">
        <f ca="1">IF(_xll.ciqfunctions.udf.CIQ($A41, "IQ_EBITDA_EST",$B$4, $L$2, "CON", $L$3, $L$5, $L$6)=0,"n/a",_xll.ciqfunctions.udf.CIQ($A41, "IQ_EBITDA_EST",$B$4, $L$2, "CON", $L$3, $L$5, $L$6))</f>
        <v>#NAME?</v>
      </c>
      <c r="AD41" s="68" t="e">
        <f ca="1">IF(_xll.ciqfunctions.udf.CIQ($A41, "IQ_EBITDA_EST",$B$5, $L$2, "CON", $L$3, $L$5, $L$6)=0,"n/a",_xll.ciqfunctions.udf.CIQ($A41, "IQ_EBITDA_EST",$B$5, $L$2, "CON", $L$3, $L$5, $L$6))</f>
        <v>#NAME?</v>
      </c>
      <c r="AE41" s="68" t="e">
        <f ca="1">IF(_xll.ciqfunctions.udf.CIQ($A41, "IQ_EBITDA_EST",$B$6, $L$2, "CON", $L$3, $L$5, $L$6)=0,"n/a",_xll.ciqfunctions.udf.CIQ($A41, "IQ_EBITDA_EST",$B$6, $L$2, "CON", $L$3, $L$5, $L$6))</f>
        <v>#NAME?</v>
      </c>
      <c r="AF41" s="69" t="str">
        <f ca="1">IF(ISERROR(_xll.ciqfunctions.udf.CIQ($A41, "IQ_GROSS_MARGIN", IQ_LTM, $L$2,$L$4, $L$3, $L$5, $L$6)/100), "n/a", _xll.ciqfunctions.udf.CIQ($A41,  "IQ_GROSS_MARGIN", IQ_LTM, $L$2, $L$4, $L$3, $L$5, $L$6)/100)</f>
        <v>n/a</v>
      </c>
      <c r="AG41" s="69" t="str">
        <f ca="1">IF(ISERROR(_xll.ciqfunctions.udf.CIQ($A41,"IQ_EBITDA_MARGIN", IQ_LTM, $L$2, $L$4, $L$3, $L$5, $L$6)/100), "n/a", _xll.ciqfunctions.udf.CIQ($A41, "IQ_EBITDA_MARGIN", IQ_LTM, $L$2, $L$4, $L$3, $L$5, $L$6)/100)</f>
        <v>n/a</v>
      </c>
      <c r="AH41" s="69" t="str">
        <f ca="1">IF(ISERROR(_xll.ciqfunctions.udf.CIQ($A41,"IQ_EBIT_MARGIN", IQ_LTM, $L$2, $L$4, $L$3, $L$5, $L$6)/100), "n/a", _xll.ciqfunctions.udf.CIQ($A41, "IQ_EBIT_MARGIN", IQ_LTM, $L$2, $L$4, $L$3, $L$5, $L$6)/100)</f>
        <v>n/a</v>
      </c>
      <c r="AI41" s="69" t="str">
        <f ca="1">IF(ISERROR(_xll.ciqfunctions.udf.CIQ($A41,"IQ_NI_MARGIN", IQ_LTM, $L$2, $L$4, $L$3, $L$5, $L$6)/100), "n/a", _xll.ciqfunctions.udf.CIQ($A41, "IQ_NI_MARGIN", IQ_LTM, $L$2, $L$4, $L$3, $L$5, $L$6)/100)</f>
        <v>n/a</v>
      </c>
      <c r="AJ41" s="68" t="str">
        <f ca="1">IF(ISERROR(_xll.ciqfunctions.udf.CIQ($A41, "IQ_NET_WORKING_CAP", IQ_LTM-8, $L$2, $L$4, $L$3, $L$5, $L$6)), "n/a", _xll.ciqfunctions.udf.CIQ($A41, "IQ_NET_WORKING_CAP", IQ_LTM-8, $L$2, $L$4, $L$3, $L$5, $L$6))</f>
        <v>n/a</v>
      </c>
      <c r="AK41" s="68" t="str">
        <f ca="1">IF(ISERROR(_xll.ciqfunctions.udf.CIQ($A41, "IQ_NET_WORKING_CAP", IQ_LTM-4, $L$2, $L$4, $L$3, $L$5, $L$6)), "n/a", _xll.ciqfunctions.udf.CIQ($A41, "IQ_NET_WORKING_CAP", IQ_LTM-4, $L$2, $L$4, $L$3, $L$5, $L$6))</f>
        <v>n/a</v>
      </c>
      <c r="AL41" s="68" t="str">
        <f ca="1">IF(ISERROR(_xll.ciqfunctions.udf.CIQ($A41, "IQ_NET_WORKING_CAP", IQ_LTM, $L$2,$L$4, $L$3, $L$5, $L$6)), "n/a", _xll.ciqfunctions.udf.CIQ($A41, "IQ_NET_WORKING_CAP", IQ_LTM, $L$2, $L$4, $L$3, $L$5, $L$6))</f>
        <v>n/a</v>
      </c>
      <c r="AM41" s="68" t="str">
        <f ca="1">IF(ISERROR(_xll.ciqfunctions.udf.CIQ($A41, "IQ_Capex", IQ_LTM-8, $L$2,$L$4, $L$3, $L$5, $L$6)), "n/a", _xll.ciqfunctions.udf.CIQ($A41, "IQ_Capex", IQ_LTM-8, $L$2, $L$4, $L$3, $L$5, $L$6))</f>
        <v>n/a</v>
      </c>
      <c r="AN41" s="68" t="str">
        <f ca="1">IF(ISERROR(_xll.ciqfunctions.udf.CIQ($A41, "IQ_Capex", IQ_LTM-4, $L$2,$L$4, $L$3, $L$5, $L$6)), "n/a", _xll.ciqfunctions.udf.CIQ($A41, "IQ_Capex", IQ_LTM-4, $L$2,$L$4, $L$3, $L$5, $L$6))</f>
        <v>n/a</v>
      </c>
      <c r="AO41" s="68" t="str">
        <f ca="1">IF(ISERROR(_xll.ciqfunctions.udf.CIQ($A41, "IQ_Capex", IQ_LTM, $L$2, $L$4, $L$3, $L$5, $L$6)), "n/a", _xll.ciqfunctions.udf.CIQ($A41, "IQ_Capex", IQ_LTM, $L$2, $L$4, $L$3, $L$5, $L$6))</f>
        <v>n/a</v>
      </c>
      <c r="AP41" s="70" t="e">
        <f ca="1">_xll.ciqfunctions.udf.CIQ(A41, "IQ_BUSINESS_DESCRIPTION")</f>
        <v>#NAME?</v>
      </c>
      <c r="AQ41" s="71" t="e">
        <f ca="1">_xll.ciqfunctions.udf.CIQ($A41, "IQ_BETA_1YR", $B$1)</f>
        <v>#NAME?</v>
      </c>
      <c r="AR41" s="71" t="e">
        <f ca="1">_xll.ciqfunctions.udf.CIQ($A41, "IQ_BETA_2YR", $B$1)</f>
        <v>#NAME?</v>
      </c>
      <c r="AS41" s="71" t="e">
        <f ca="1">_xll.ciqfunctions.udf.CIQ($A41, "IQ_BETA_5YR", $B$1)</f>
        <v>#NAME?</v>
      </c>
      <c r="AT41" s="69" t="e">
        <f ca="1">_xll.ciqfunctions.udf.CIQ($A41, "IQ_DIVIDEND_YIELD", $B$1)/100</f>
        <v>#NAME?</v>
      </c>
      <c r="AU41" s="68" t="e">
        <f ca="1">_xll.ciqfunctions.udf.CIQ($A41, "IQ_EARNING_CO", IQ_LTM-8, $L$2, $L$4, $L$3, $L$5, $L$6)</f>
        <v>#NAME?</v>
      </c>
      <c r="AV41" s="68" t="e">
        <f ca="1">_xll.ciqfunctions.udf.CIQ($A41, "IQ_EARNING_CO", IQ_LTM-4, $L$2, $L$4, $L$3, $L$5, $L$6)</f>
        <v>#NAME?</v>
      </c>
      <c r="AW41" s="68" t="e">
        <f ca="1">_xll.ciqfunctions.udf.CIQ($A41, "IQ_EARNING_CO", IQ_LTM, $L$2, $L$4, $L$3, $L$5, $L$6)</f>
        <v>#NAME?</v>
      </c>
      <c r="AX41" s="68" t="e">
        <f ca="1">_xll.ciqfunctions.udf.CIQ($A41, "IQ_EARNING_CO", $B$2, $L$2, $L$4, $L$3, $L$5, $L$6)</f>
        <v>#NAME?</v>
      </c>
      <c r="AY41" s="68" t="e">
        <f ca="1">IF(_xll.ciqfunctions.udf.CIQ($A41, "IQ_EARNING_CO", $B$3, $L$2,$L$4, $L$3, $L$5, $L$6)=0,AW41,_xll.ciqfunctions.udf.CIQ($A41, "IQ_EARNING_CO", $B$3, $L$2,$L$4, $L$3, $L$5, $L$6))</f>
        <v>#NAME?</v>
      </c>
      <c r="AZ41" s="68" t="e">
        <f ca="1">_xll.ciqfunctions.udf.CIQ($A41, "IQ_TOTAL_EQUITY", IQ_LTM-8, $L$2, $L$4, $L$3, $L$5, $L$6)</f>
        <v>#NAME?</v>
      </c>
      <c r="BA41" s="68" t="e">
        <f ca="1">_xll.ciqfunctions.udf.CIQ($A41, "IQ_TOTAL_EQUITY", IQ_LTM-4, $L$2, $L$4, $L$3, $L$5, $L$6)</f>
        <v>#NAME?</v>
      </c>
      <c r="BB41" s="68" t="e">
        <f ca="1">_xll.ciqfunctions.udf.CIQ($A41, "IQ_TOTAL_EQUITY", IQ_LTM, $L$2, $L$4, $L$3, $L$5, $L$6)</f>
        <v>#NAME?</v>
      </c>
      <c r="BC41" s="68" t="e">
        <f ca="1">_xll.ciqfunctions.udf.CIQ($A41, "IQ_TOTAL_EQUITY", $B$2, $L$2, $L$4, $L$3, $L$5, $L$6)</f>
        <v>#NAME?</v>
      </c>
      <c r="BD41" s="68" t="e">
        <f ca="1">IF(_xll.ciqfunctions.udf.CIQ($A41, "IQ_TOTAL_EQUITY", $B$3, $L$2,$L$4, $L$3, $L$5, $L$6)=0,BB41,_xll.ciqfunctions.udf.CIQ($A41, "IQ_TOTAL_EQUITY", $B$3, $L$2,$L$4, $L$3, $L$5, $L$6))</f>
        <v>#NAME?</v>
      </c>
      <c r="BE41" s="68" t="e">
        <f ca="1">_xll.ciqfunctions.udf.CIQ(A41, "IQ_LASTSALEPRICE", $B$8)</f>
        <v>#NAME?</v>
      </c>
      <c r="BF41" s="68" t="e">
        <f ca="1">_xll.ciqfunctions.udf.CIQ($A41, "IQ_MARKETCAP", $B$8, $L$5, $L$6)</f>
        <v>#NAME?</v>
      </c>
      <c r="BG41" s="68" t="e">
        <f ca="1">_xll.ciqfunctions.udf.CIQ($A41, "IQ_TOTAL_DEBT", IQ_LTM, $B$8,$L$4, $L$3, $L$5, $L$6)</f>
        <v>#NAME?</v>
      </c>
      <c r="BH41" s="44" t="e">
        <f ca="1">_xll.ciqfunctions.udf.CIQ($A41,"IQ_PREF_EQUITY",IQ_LTM,$B$8,$L$4,$L$3,$L$5,$L$6)</f>
        <v>#NAME?</v>
      </c>
      <c r="BI41" s="44" t="e">
        <f ca="1">_xll.ciqfunctions.udf.CIQ($A41, "IQ_MINORITY_INTEREST_TOTAL", IQ_LTM,$B$8,$L$4,$L$3,$L$5,$L$6)</f>
        <v>#NAME?</v>
      </c>
      <c r="BJ41" s="68" t="e">
        <f ca="1">_xll.ciqfunctions.udf.CIQ($A41, "IQ_CASH_ST_INVEST", IQ_LTM, $B$8, $L$4, $L$3, $L$5, $L$6)</f>
        <v>#NAME?</v>
      </c>
      <c r="BK41" s="44" t="e">
        <f ca="1">_xll.ciqfunctions.udf.CIQ($A41, "IQ_EFFECT_TAX_RATE")</f>
        <v>#NAME?</v>
      </c>
      <c r="BL41" s="44" t="e">
        <f ca="1">IF(_xll.ciqfunctions.udf.CIQ($A41, "IQ_TOTAL_REV_2YR_ANN_CAGR", IQ_LTM, $B$1,$L$4, $L$3, $L$5, $L$6)="NM","n/a",(_xll.ciqfunctions.udf.CIQ($A41, "IQ_TOTAL_REV_2YR_ANN_CAGR", IQ_LTM, $B$1,$L$4, $L$3, $L$5, $L$6)/100))</f>
        <v>#NAME?</v>
      </c>
      <c r="BM41" s="44" t="e">
        <f ca="1">IF(_xll.ciqfunctions.udf.CIQ($A41, "IQ_TOTAL_REV_3YR_ANN_CAGR", IQ_LTM, $B$1,$L$4, $L$3, $L$5, $L$6)="NM","n/a",(_xll.ciqfunctions.udf.CIQ($A41, "IQ_TOTAL_REV_3YR_ANN_CAGR", IQ_LTM, $B$1,$L$4, $L$3, $L$5, $L$6)/100))</f>
        <v>#NAME?</v>
      </c>
      <c r="BN41" s="44" t="e">
        <f ca="1">IF(_xll.ciqfunctions.udf.CIQ($A41, "IQ_TOTAL_REV_5YR_ANN_CAGR", IQ_LTM, $B$1,$L$4, $L$3, $L$5, $L$6)="NM","n/a",(_xll.ciqfunctions.udf.CIQ($A41, "IQ_TOTAL_REV_5YR_ANN_CAGR", IQ_LTM, $B$1,$L$4, $L$3, $L$5, $L$6)/100))</f>
        <v>#NAME?</v>
      </c>
      <c r="BO41" s="44" t="e">
        <f ca="1">IF(_xll.ciqfunctions.udf.CIQ($A41,"IQ_EBITDA_2YR_ANN_CAGR", IQ_LTM,$B$1,$L$4, $L$3, $L$5, $L$6)="NM","n/a",(_xll.ciqfunctions.udf.CIQ($A41,"IQ_EBITDA_2YR_ANN_CAGR", IQ_LTM,$B$1,$L$4, $L$3, $L$5, $L$6)/100))</f>
        <v>#NAME?</v>
      </c>
      <c r="BP41" s="44" t="e">
        <f ca="1">IF(_xll.ciqfunctions.udf.CIQ($A41,"IQ_EBITDA_3YR_ANN_CAGR", IQ_LTM,$B$1,$L$4, $L$3, $L$5, $L$6)="NM","n/a",(_xll.ciqfunctions.udf.CIQ($A41,"IQ_EBITDA_3YR_ANN_CAGR", IQ_LTM,$B$1,$L$4, $L$3, $L$5, $L$6)/100))</f>
        <v>#NAME?</v>
      </c>
      <c r="BQ41" s="44" t="e">
        <f ca="1">IF(_xll.ciqfunctions.udf.CIQ($A41,"IQ_EBITDA_5YR_ANN_CAGR", IQ_LTM,$B$1,$L$4, $L$3, $L$5, $L$6)="NM","n/a",(_xll.ciqfunctions.udf.CIQ($A41,"IQ_EBITDA_5YR_ANN_CAGR", IQ_LTM,$B$1,$L$4, $L$3, $L$5, $L$6)/100))</f>
        <v>#NAME?</v>
      </c>
      <c r="BR41" s="48" t="str">
        <f ca="1">IFERROR((_xll.ciqfunctions.udf.CIQ($A41, "IQ_DA_CF", IQ_LTM, $B$1, $L$4, $L$3, $L$5, $L$6)/Q41),"NM")</f>
        <v>NM</v>
      </c>
      <c r="BS41" s="72" t="e">
        <f>'Capital IQ Sheet-GPC'!BS41</f>
        <v>#VALUE!</v>
      </c>
      <c r="BT41" s="72" t="e">
        <f>'Capital IQ Sheet-GPC'!BT41</f>
        <v>#VALUE!</v>
      </c>
      <c r="BU41" s="72" t="e">
        <f>'Capital IQ Sheet-GPC'!BU41</f>
        <v>#VALUE!</v>
      </c>
      <c r="BV41" s="72" t="e">
        <f>'Capital IQ Sheet-GPC'!BV41</f>
        <v>#VALUE!</v>
      </c>
      <c r="BW41" s="72" t="e">
        <f>'Capital IQ Sheet-GPC'!BW41</f>
        <v>#VALUE!</v>
      </c>
      <c r="BX41" s="72" t="e">
        <f>'Capital IQ Sheet-GPC'!BX41</f>
        <v>#VALUE!</v>
      </c>
      <c r="BY41" s="72" t="e">
        <f>'Capital IQ Sheet-GPC'!BY41</f>
        <v>#VALUE!</v>
      </c>
      <c r="BZ41" s="72" t="e">
        <f>'Capital IQ Sheet-GPC'!BZ41</f>
        <v>#VALUE!</v>
      </c>
      <c r="CB41" s="44">
        <v>2</v>
      </c>
      <c r="CC41" s="112" t="s">
        <v>269</v>
      </c>
      <c r="CD41" s="112" t="s">
        <v>268</v>
      </c>
      <c r="CE41" s="46">
        <f t="shared" si="0"/>
        <v>42766</v>
      </c>
    </row>
    <row r="42" spans="1:83" s="44" customFormat="1" ht="12.75">
      <c r="A42" s="45" t="e">
        <f ca="1">_xll.ciqfunctions.udf.CIQ($B42,"IQ_COMPANY_TICKER")</f>
        <v>#NAME?</v>
      </c>
      <c r="B42" s="67" t="str">
        <f>'Capital IQ Sheet-GPC'!B42</f>
        <v>(Invalid Identifier)</v>
      </c>
      <c r="C42" s="45" t="e">
        <f ca="1">_xll.ciqfunctions.udf.CIQ($A42,"IQ_COMPANY_NAME")</f>
        <v>#NAME?</v>
      </c>
      <c r="D42" s="45" t="e">
        <f ca="1">_xll.ciqfunctions.udf.CIQ($A42, "IQ_EXCHANGE")</f>
        <v>#NAME?</v>
      </c>
      <c r="E42" s="66" t="e">
        <f ca="1">_xll.ciqfunctions.udf.CIQ($A42, "IQ_PERIODDATE_IS", IQ_FY)</f>
        <v>#NAME?</v>
      </c>
      <c r="F42" s="66" t="e">
        <f ca="1">_xll.ciqfunctions.udf.CIQ(A42, "IQ_PERIODDATE_IS", IQ_LTM, $B$1,$L$4,$L$3)</f>
        <v>#NAME?</v>
      </c>
      <c r="G42" s="66" t="e">
        <f ca="1">_xll.ciqfunctions.udf.CIQ($A42, "IQ_FIRSTPRICINGDATE")</f>
        <v>#NAME?</v>
      </c>
      <c r="H42" s="68" t="e">
        <f ca="1">_xll.ciqfunctions.udf.CIQ($A42, "IQ_TEV", $L$2, $L$5, $L$6)</f>
        <v>#NAME?</v>
      </c>
      <c r="I42" s="68" t="e">
        <f ca="1">_xll.ciqfunctions.udf.CIQ(A42, "IQ_LASTSALEPRICE", $B$1,$L$5)</f>
        <v>#NAME?</v>
      </c>
      <c r="J42" s="68" t="e">
        <f ca="1">_xll.ciqfunctions.udf.CIQ($A42, "IQ_MARKETCAP", $L$2, $L$5, $L$6)</f>
        <v>#NAME?</v>
      </c>
      <c r="K42" s="68" t="e">
        <f ca="1">_xll.ciqfunctions.udf.CIQ($A42, "IQ_TOTAL_DEBT", IQ_LTM, $L$2,$L$4, $L$3, $L$5, $L$6)</f>
        <v>#NAME?</v>
      </c>
      <c r="L42" s="68" t="e">
        <f ca="1">_xll.ciqfunctions.udf.CIQ($A42, "IQ_PREF_EQUITY", IQ_LTM, $L$2, $L$4, $L$3, $L$5, $L$6)</f>
        <v>#NAME?</v>
      </c>
      <c r="M42" s="68" t="e">
        <f ca="1">_xll.ciqfunctions.udf.CIQ($A42, "IQ_MINORITY_INTEREST_TOTAL", IQ_LTM, $L$2, $L$4, $L$3, $L$5, $L$6)</f>
        <v>#NAME?</v>
      </c>
      <c r="N42" s="68" t="e">
        <f ca="1">_xll.ciqfunctions.udf.CIQ($A42, "IQ_CASH_ST_INVEST", IQ_LTM, $L$2, $L$4, $L$3, $L$5, $L$6)</f>
        <v>#NAME?</v>
      </c>
      <c r="O42" s="68" t="e">
        <f ca="1">_xll.ciqfunctions.udf.CIQ($A42, "IQ_TOTAL_REV", IQ_LTM-8, $L$2, $L$4, $L$3, $L$5, $L$6)</f>
        <v>#NAME?</v>
      </c>
      <c r="P42" s="68" t="e">
        <f ca="1">_xll.ciqfunctions.udf.CIQ($A42, "IQ_TOTAL_REV", IQ_LTM - 4, $L$2, $L$4, $L$3, $L$5,$L$6)</f>
        <v>#NAME?</v>
      </c>
      <c r="Q42" s="68" t="e">
        <f ca="1">_xll.ciqfunctions.udf.CIQ($A42, "IQ_TOTAL_REV", IQ_LTM, $L$2, $L$4, $L$3, $L$5, $L$6)</f>
        <v>#NAME?</v>
      </c>
      <c r="R42" s="68" t="e">
        <f ca="1">_xll.ciqfunctions.udf.CIQ($A42, "IQ_TOTAL_REV", $B$2, $L$2, $L$4, $L$3, $L$5, $L$6)</f>
        <v>#NAME?</v>
      </c>
      <c r="S42" s="68" t="e">
        <f ca="1">IF(_xll.ciqfunctions.udf.CIQ($A42, "IQ_TOTAL_REV", $B$3, $L$2,$L$4, $L$3, $L$5, $L$6)=0,Q42,_xll.ciqfunctions.udf.CIQ($A42, "IQ_TOTAL_REV", $B$3, $L$2,$L$4, $L$3, $L$5, $L$6))</f>
        <v>#NAME?</v>
      </c>
      <c r="T42" s="68" t="e">
        <f ca="1">IF(_xll.ciqfunctions.udf.CIQ($A42, "IQ_REVENUE_EST",$B$4, $L$2, "CON", $L$3, $L$5, $L$6)=0,"n/a",_xll.ciqfunctions.udf.CIQ($A42, "IQ_REVENUE_EST",$B$4, $L$2, "CON", $L$3, $L$5, $L$6))</f>
        <v>#NAME?</v>
      </c>
      <c r="U42" s="68" t="e">
        <f ca="1">IF(_xll.ciqfunctions.udf.CIQ($A42, "IQ_REVENUE_EST",$B$5, $L$2, "CON", $L$3, $L$5, $L$6)=0,"n/a",_xll.ciqfunctions.udf.CIQ($A42, "IQ_REVENUE_EST",$B$5, $L$2, "CON", $L$3, $L$5, $L$6))</f>
        <v>#NAME?</v>
      </c>
      <c r="V42" s="68" t="e">
        <f ca="1">IF(_xll.ciqfunctions.udf.CIQ($A42, "IQ_REVENUE_EST",$B$6, $L$2, "CON", $L$3, $L$5, $L$6)=0,"n/a",_xll.ciqfunctions.udf.CIQ($A42, "IQ_REVENUE_EST",$B$6, $L$2, "CON", $L$3, $L$5, $L$6))</f>
        <v>#NAME?</v>
      </c>
      <c r="W42" s="68" t="e">
        <f ca="1">IF(_xll.ciqfunctions.udf.CIQ($A42, "IQ_REVENUE_EST", $B$7, $L$2, "CON", $L$3, $L$5, $L$6)=0,"n/a",_xll.ciqfunctions.udf.CIQ($A42, "IQ_REVENUE_EST",$B$7, $L$2, "CON", $L$3, $L$5, $L$6))</f>
        <v>#NAME?</v>
      </c>
      <c r="X42" s="68" t="e">
        <f ca="1">_xll.ciqfunctions.udf.CIQ($A42, "IQ_EBITDA", IQ_LTM-8, $L$2, $L$4, $L$3, $L$5, $L$6)</f>
        <v>#NAME?</v>
      </c>
      <c r="Y42" s="68" t="e">
        <f ca="1">_xll.ciqfunctions.udf.CIQ($A42, "IQ_EBITDA", IQ_LTM-4, $L$2,$L$4, $L$3, $L$5, $L$6)</f>
        <v>#NAME?</v>
      </c>
      <c r="Z42" s="68" t="e">
        <f ca="1">_xll.ciqfunctions.udf.CIQ($A42, "IQ_EBITDA", IQ_LTM, $L$2, $L$4, $L$3, $L$5, $L$6)</f>
        <v>#NAME?</v>
      </c>
      <c r="AA42" s="68" t="e">
        <f ca="1">_xll.ciqfunctions.udf.CIQ($A42, "IQ_EBITDA", $B$2, $L$2, $L$4, $L$3, $L$5, $L$6)</f>
        <v>#NAME?</v>
      </c>
      <c r="AB42" s="68" t="e">
        <f ca="1">IF(_xll.ciqfunctions.udf.CIQ($A42, "IQ_EBITDA", $B$3, $L$2,$L$4, $L$3, $L$5, $L$6)=0,Z42,_xll.ciqfunctions.udf.CIQ($A42, "IQ_EBITDA", $B$3, $L$2,$L$4, $L$3, $L$5, $L$6))</f>
        <v>#NAME?</v>
      </c>
      <c r="AC42" s="68" t="e">
        <f ca="1">IF(_xll.ciqfunctions.udf.CIQ($A42, "IQ_EBITDA_EST",$B$4, $L$2, "CON", $L$3, $L$5, $L$6)=0,"n/a",_xll.ciqfunctions.udf.CIQ($A42, "IQ_EBITDA_EST",$B$4, $L$2, "CON", $L$3, $L$5, $L$6))</f>
        <v>#NAME?</v>
      </c>
      <c r="AD42" s="68" t="e">
        <f ca="1">IF(_xll.ciqfunctions.udf.CIQ($A42, "IQ_EBITDA_EST",$B$5, $L$2, "CON", $L$3, $L$5, $L$6)=0,"n/a",_xll.ciqfunctions.udf.CIQ($A42, "IQ_EBITDA_EST",$B$5, $L$2, "CON", $L$3, $L$5, $L$6))</f>
        <v>#NAME?</v>
      </c>
      <c r="AE42" s="68" t="e">
        <f ca="1">IF(_xll.ciqfunctions.udf.CIQ($A42, "IQ_EBITDA_EST",$B$6, $L$2, "CON", $L$3, $L$5, $L$6)=0,"n/a",_xll.ciqfunctions.udf.CIQ($A42, "IQ_EBITDA_EST",$B$6, $L$2, "CON", $L$3, $L$5, $L$6))</f>
        <v>#NAME?</v>
      </c>
      <c r="AF42" s="69" t="str">
        <f ca="1">IF(ISERROR(_xll.ciqfunctions.udf.CIQ($A42, "IQ_GROSS_MARGIN", IQ_LTM, $L$2,$L$4, $L$3, $L$5, $L$6)/100), "n/a", _xll.ciqfunctions.udf.CIQ($A42,  "IQ_GROSS_MARGIN", IQ_LTM, $L$2, $L$4, $L$3, $L$5, $L$6)/100)</f>
        <v>n/a</v>
      </c>
      <c r="AG42" s="69" t="str">
        <f ca="1">IF(ISERROR(_xll.ciqfunctions.udf.CIQ($A42,"IQ_EBITDA_MARGIN", IQ_LTM, $L$2, $L$4, $L$3, $L$5, $L$6)/100), "n/a", _xll.ciqfunctions.udf.CIQ($A42, "IQ_EBITDA_MARGIN", IQ_LTM, $L$2, $L$4, $L$3, $L$5, $L$6)/100)</f>
        <v>n/a</v>
      </c>
      <c r="AH42" s="69" t="str">
        <f ca="1">IF(ISERROR(_xll.ciqfunctions.udf.CIQ($A42,"IQ_EBIT_MARGIN", IQ_LTM, $L$2, $L$4, $L$3, $L$5, $L$6)/100), "n/a", _xll.ciqfunctions.udf.CIQ($A42, "IQ_EBIT_MARGIN", IQ_LTM, $L$2, $L$4, $L$3, $L$5, $L$6)/100)</f>
        <v>n/a</v>
      </c>
      <c r="AI42" s="69" t="str">
        <f ca="1">IF(ISERROR(_xll.ciqfunctions.udf.CIQ($A42,"IQ_NI_MARGIN", IQ_LTM, $L$2, $L$4, $L$3, $L$5, $L$6)/100), "n/a", _xll.ciqfunctions.udf.CIQ($A42, "IQ_NI_MARGIN", IQ_LTM, $L$2, $L$4, $L$3, $L$5, $L$6)/100)</f>
        <v>n/a</v>
      </c>
      <c r="AJ42" s="68" t="str">
        <f ca="1">IF(ISERROR(_xll.ciqfunctions.udf.CIQ($A42, "IQ_NET_WORKING_CAP", IQ_LTM-8, $L$2, $L$4, $L$3, $L$5, $L$6)), "n/a", _xll.ciqfunctions.udf.CIQ($A42, "IQ_NET_WORKING_CAP", IQ_LTM-8, $L$2, $L$4, $L$3, $L$5, $L$6))</f>
        <v>n/a</v>
      </c>
      <c r="AK42" s="68" t="str">
        <f ca="1">IF(ISERROR(_xll.ciqfunctions.udf.CIQ($A42, "IQ_NET_WORKING_CAP", IQ_LTM-4, $L$2, $L$4, $L$3, $L$5, $L$6)), "n/a", _xll.ciqfunctions.udf.CIQ($A42, "IQ_NET_WORKING_CAP", IQ_LTM-4, $L$2, $L$4, $L$3, $L$5, $L$6))</f>
        <v>n/a</v>
      </c>
      <c r="AL42" s="68" t="str">
        <f ca="1">IF(ISERROR(_xll.ciqfunctions.udf.CIQ($A42, "IQ_NET_WORKING_CAP", IQ_LTM, $L$2,$L$4, $L$3, $L$5, $L$6)), "n/a", _xll.ciqfunctions.udf.CIQ($A42, "IQ_NET_WORKING_CAP", IQ_LTM, $L$2, $L$4, $L$3, $L$5, $L$6))</f>
        <v>n/a</v>
      </c>
      <c r="AM42" s="68" t="str">
        <f ca="1">IF(ISERROR(_xll.ciqfunctions.udf.CIQ($A42, "IQ_Capex", IQ_LTM-8, $L$2,$L$4, $L$3, $L$5, $L$6)), "n/a", _xll.ciqfunctions.udf.CIQ($A42, "IQ_Capex", IQ_LTM-8, $L$2, $L$4, $L$3, $L$5, $L$6))</f>
        <v>n/a</v>
      </c>
      <c r="AN42" s="68" t="str">
        <f ca="1">IF(ISERROR(_xll.ciqfunctions.udf.CIQ($A42, "IQ_Capex", IQ_LTM-4, $L$2,$L$4, $L$3, $L$5, $L$6)), "n/a", _xll.ciqfunctions.udf.CIQ($A42, "IQ_Capex", IQ_LTM-4, $L$2,$L$4, $L$3, $L$5, $L$6))</f>
        <v>n/a</v>
      </c>
      <c r="AO42" s="68" t="str">
        <f ca="1">IF(ISERROR(_xll.ciqfunctions.udf.CIQ($A42, "IQ_Capex", IQ_LTM, $L$2, $L$4, $L$3, $L$5, $L$6)), "n/a", _xll.ciqfunctions.udf.CIQ($A42, "IQ_Capex", IQ_LTM, $L$2, $L$4, $L$3, $L$5, $L$6))</f>
        <v>n/a</v>
      </c>
      <c r="AP42" s="70" t="e">
        <f ca="1">_xll.ciqfunctions.udf.CIQ(A42, "IQ_BUSINESS_DESCRIPTION")</f>
        <v>#NAME?</v>
      </c>
      <c r="AQ42" s="71" t="e">
        <f ca="1">_xll.ciqfunctions.udf.CIQ($A42, "IQ_BETA_1YR", $B$1)</f>
        <v>#NAME?</v>
      </c>
      <c r="AR42" s="71" t="e">
        <f ca="1">_xll.ciqfunctions.udf.CIQ($A42, "IQ_BETA_2YR", $B$1)</f>
        <v>#NAME?</v>
      </c>
      <c r="AS42" s="71" t="e">
        <f ca="1">_xll.ciqfunctions.udf.CIQ($A42, "IQ_BETA_5YR", $B$1)</f>
        <v>#NAME?</v>
      </c>
      <c r="AT42" s="69" t="e">
        <f ca="1">_xll.ciqfunctions.udf.CIQ($A42, "IQ_DIVIDEND_YIELD", $B$1)/100</f>
        <v>#NAME?</v>
      </c>
      <c r="AU42" s="68" t="e">
        <f ca="1">_xll.ciqfunctions.udf.CIQ($A42, "IQ_EARNING_CO", IQ_LTM-8, $L$2, $L$4, $L$3, $L$5, $L$6)</f>
        <v>#NAME?</v>
      </c>
      <c r="AV42" s="68" t="e">
        <f ca="1">_xll.ciqfunctions.udf.CIQ($A42, "IQ_EARNING_CO", IQ_LTM-4, $L$2, $L$4, $L$3, $L$5, $L$6)</f>
        <v>#NAME?</v>
      </c>
      <c r="AW42" s="68" t="e">
        <f ca="1">_xll.ciqfunctions.udf.CIQ($A42, "IQ_EARNING_CO", IQ_LTM, $L$2, $L$4, $L$3, $L$5, $L$6)</f>
        <v>#NAME?</v>
      </c>
      <c r="AX42" s="68" t="e">
        <f ca="1">_xll.ciqfunctions.udf.CIQ($A42, "IQ_EARNING_CO", $B$2, $L$2, $L$4, $L$3, $L$5, $L$6)</f>
        <v>#NAME?</v>
      </c>
      <c r="AY42" s="68" t="e">
        <f ca="1">IF(_xll.ciqfunctions.udf.CIQ($A42, "IQ_EARNING_CO", $B$3, $L$2,$L$4, $L$3, $L$5, $L$6)=0,AW42,_xll.ciqfunctions.udf.CIQ($A42, "IQ_EARNING_CO", $B$3, $L$2,$L$4, $L$3, $L$5, $L$6))</f>
        <v>#NAME?</v>
      </c>
      <c r="AZ42" s="68" t="e">
        <f ca="1">_xll.ciqfunctions.udf.CIQ($A42, "IQ_TOTAL_EQUITY", IQ_LTM-8, $L$2, $L$4, $L$3, $L$5, $L$6)</f>
        <v>#NAME?</v>
      </c>
      <c r="BA42" s="68" t="e">
        <f ca="1">_xll.ciqfunctions.udf.CIQ($A42, "IQ_TOTAL_EQUITY", IQ_LTM-4, $L$2, $L$4, $L$3, $L$5, $L$6)</f>
        <v>#NAME?</v>
      </c>
      <c r="BB42" s="68" t="e">
        <f ca="1">_xll.ciqfunctions.udf.CIQ($A42, "IQ_TOTAL_EQUITY", IQ_LTM, $L$2, $L$4, $L$3, $L$5, $L$6)</f>
        <v>#NAME?</v>
      </c>
      <c r="BC42" s="68" t="e">
        <f ca="1">_xll.ciqfunctions.udf.CIQ($A42, "IQ_TOTAL_EQUITY", $B$2, $L$2, $L$4, $L$3, $L$5, $L$6)</f>
        <v>#NAME?</v>
      </c>
      <c r="BD42" s="68" t="e">
        <f ca="1">IF(_xll.ciqfunctions.udf.CIQ($A42, "IQ_TOTAL_EQUITY", $B$3, $L$2,$L$4, $L$3, $L$5, $L$6)=0,BB42,_xll.ciqfunctions.udf.CIQ($A42, "IQ_TOTAL_EQUITY", $B$3, $L$2,$L$4, $L$3, $L$5, $L$6))</f>
        <v>#NAME?</v>
      </c>
      <c r="BE42" s="68" t="e">
        <f ca="1">_xll.ciqfunctions.udf.CIQ(A42, "IQ_LASTSALEPRICE", $B$8)</f>
        <v>#NAME?</v>
      </c>
      <c r="BF42" s="68" t="e">
        <f ca="1">_xll.ciqfunctions.udf.CIQ($A42, "IQ_MARKETCAP", $B$8, $L$5, $L$6)</f>
        <v>#NAME?</v>
      </c>
      <c r="BG42" s="68" t="e">
        <f ca="1">_xll.ciqfunctions.udf.CIQ($A42, "IQ_TOTAL_DEBT", IQ_LTM, $B$8,$L$4, $L$3, $L$5, $L$6)</f>
        <v>#NAME?</v>
      </c>
      <c r="BH42" s="44" t="e">
        <f ca="1">_xll.ciqfunctions.udf.CIQ($A42,"IQ_PREF_EQUITY",IQ_LTM,$B$8,$L$4,$L$3,$L$5,$L$6)</f>
        <v>#NAME?</v>
      </c>
      <c r="BI42" s="44" t="e">
        <f ca="1">_xll.ciqfunctions.udf.CIQ($A42, "IQ_MINORITY_INTEREST_TOTAL", IQ_LTM,$B$8,$L$4,$L$3,$L$5,$L$6)</f>
        <v>#NAME?</v>
      </c>
      <c r="BJ42" s="68" t="e">
        <f ca="1">_xll.ciqfunctions.udf.CIQ($A42, "IQ_CASH_ST_INVEST", IQ_LTM, $B$8, $L$4, $L$3, $L$5, $L$6)</f>
        <v>#NAME?</v>
      </c>
      <c r="BK42" s="44" t="e">
        <f ca="1">_xll.ciqfunctions.udf.CIQ($A42, "IQ_EFFECT_TAX_RATE")</f>
        <v>#NAME?</v>
      </c>
      <c r="BL42" s="44" t="e">
        <f ca="1">IF(_xll.ciqfunctions.udf.CIQ($A42, "IQ_TOTAL_REV_2YR_ANN_CAGR", IQ_LTM, $B$1,$L$4, $L$3, $L$5, $L$6)="NM","n/a",(_xll.ciqfunctions.udf.CIQ($A42, "IQ_TOTAL_REV_2YR_ANN_CAGR", IQ_LTM, $B$1,$L$4, $L$3, $L$5, $L$6)/100))</f>
        <v>#NAME?</v>
      </c>
      <c r="BM42" s="44" t="e">
        <f ca="1">IF(_xll.ciqfunctions.udf.CIQ($A42, "IQ_TOTAL_REV_3YR_ANN_CAGR", IQ_LTM, $B$1,$L$4, $L$3, $L$5, $L$6)="NM","n/a",(_xll.ciqfunctions.udf.CIQ($A42, "IQ_TOTAL_REV_3YR_ANN_CAGR", IQ_LTM, $B$1,$L$4, $L$3, $L$5, $L$6)/100))</f>
        <v>#NAME?</v>
      </c>
      <c r="BN42" s="44" t="e">
        <f ca="1">IF(_xll.ciqfunctions.udf.CIQ($A42, "IQ_TOTAL_REV_5YR_ANN_CAGR", IQ_LTM, $B$1,$L$4, $L$3, $L$5, $L$6)="NM","n/a",(_xll.ciqfunctions.udf.CIQ($A42, "IQ_TOTAL_REV_5YR_ANN_CAGR", IQ_LTM, $B$1,$L$4, $L$3, $L$5, $L$6)/100))</f>
        <v>#NAME?</v>
      </c>
      <c r="BO42" s="44" t="e">
        <f ca="1">IF(_xll.ciqfunctions.udf.CIQ($A42,"IQ_EBITDA_2YR_ANN_CAGR", IQ_LTM,$B$1,$L$4, $L$3, $L$5, $L$6)="NM","n/a",(_xll.ciqfunctions.udf.CIQ($A42,"IQ_EBITDA_2YR_ANN_CAGR", IQ_LTM,$B$1,$L$4, $L$3, $L$5, $L$6)/100))</f>
        <v>#NAME?</v>
      </c>
      <c r="BP42" s="44" t="e">
        <f ca="1">IF(_xll.ciqfunctions.udf.CIQ($A42,"IQ_EBITDA_3YR_ANN_CAGR", IQ_LTM,$B$1,$L$4, $L$3, $L$5, $L$6)="NM","n/a",(_xll.ciqfunctions.udf.CIQ($A42,"IQ_EBITDA_3YR_ANN_CAGR", IQ_LTM,$B$1,$L$4, $L$3, $L$5, $L$6)/100))</f>
        <v>#NAME?</v>
      </c>
      <c r="BQ42" s="44" t="e">
        <f ca="1">IF(_xll.ciqfunctions.udf.CIQ($A42,"IQ_EBITDA_5YR_ANN_CAGR", IQ_LTM,$B$1,$L$4, $L$3, $L$5, $L$6)="NM","n/a",(_xll.ciqfunctions.udf.CIQ($A42,"IQ_EBITDA_5YR_ANN_CAGR", IQ_LTM,$B$1,$L$4, $L$3, $L$5, $L$6)/100))</f>
        <v>#NAME?</v>
      </c>
      <c r="BR42" s="48" t="str">
        <f ca="1">IFERROR((_xll.ciqfunctions.udf.CIQ($A42, "IQ_DA_CF", IQ_LTM, $B$1, $L$4, $L$3, $L$5, $L$6)/Q42),"NM")</f>
        <v>NM</v>
      </c>
      <c r="BS42" s="72" t="e">
        <f>'Capital IQ Sheet-GPC'!BS42</f>
        <v>#VALUE!</v>
      </c>
      <c r="BT42" s="72" t="e">
        <f>'Capital IQ Sheet-GPC'!BT42</f>
        <v>#VALUE!</v>
      </c>
      <c r="BU42" s="72" t="e">
        <f>'Capital IQ Sheet-GPC'!BU42</f>
        <v>#VALUE!</v>
      </c>
      <c r="BV42" s="72" t="e">
        <f>'Capital IQ Sheet-GPC'!BV42</f>
        <v>#VALUE!</v>
      </c>
      <c r="BW42" s="72" t="e">
        <f>'Capital IQ Sheet-GPC'!BW42</f>
        <v>#VALUE!</v>
      </c>
      <c r="BX42" s="72" t="e">
        <f>'Capital IQ Sheet-GPC'!BX42</f>
        <v>#VALUE!</v>
      </c>
      <c r="BY42" s="72" t="e">
        <f>'Capital IQ Sheet-GPC'!BY42</f>
        <v>#VALUE!</v>
      </c>
      <c r="BZ42" s="72" t="e">
        <f>'Capital IQ Sheet-GPC'!BZ42</f>
        <v>#VALUE!</v>
      </c>
      <c r="CB42" s="44">
        <v>2</v>
      </c>
      <c r="CC42" s="112" t="s">
        <v>269</v>
      </c>
      <c r="CD42" s="112" t="s">
        <v>268</v>
      </c>
      <c r="CE42" s="46">
        <f t="shared" si="0"/>
        <v>42766</v>
      </c>
    </row>
    <row r="43" spans="1:83">
      <c r="A43" s="65" t="str">
        <f>'Capital IQ Sheet-GPC'!A43</f>
        <v>Comparable Public Companies (Secondary)</v>
      </c>
      <c r="B43" s="67"/>
      <c r="E43" s="66"/>
      <c r="F43" s="66"/>
      <c r="G43" s="66"/>
      <c r="H43" s="68"/>
      <c r="I43" s="68"/>
      <c r="K43" s="68"/>
      <c r="M43" s="68"/>
      <c r="N43" s="68"/>
      <c r="O43" s="68"/>
      <c r="P43" s="68"/>
      <c r="Q43" s="68"/>
      <c r="R43" s="68"/>
      <c r="S43" s="68"/>
      <c r="U43" s="68"/>
      <c r="V43" s="68"/>
      <c r="W43" s="68"/>
      <c r="X43" s="68"/>
      <c r="Y43" s="68"/>
      <c r="Z43" s="68"/>
      <c r="AA43" s="68"/>
      <c r="AB43" s="68"/>
      <c r="AC43" s="68"/>
      <c r="AE43" s="68"/>
      <c r="AF43" s="69"/>
      <c r="AG43" s="69"/>
      <c r="AH43" s="69"/>
      <c r="AI43" s="69"/>
      <c r="AJ43" s="68"/>
      <c r="AK43" s="68"/>
      <c r="AL43" s="68"/>
      <c r="AM43" s="68"/>
      <c r="AN43" s="68"/>
      <c r="AO43" s="68"/>
      <c r="AP43" s="70"/>
      <c r="AQ43" s="71"/>
      <c r="AR43" s="71"/>
      <c r="AS43" s="71"/>
      <c r="AU43" s="68"/>
      <c r="AV43" s="68"/>
      <c r="AW43" s="68"/>
      <c r="AX43" s="68"/>
      <c r="AY43" s="68"/>
      <c r="AZ43" s="68"/>
      <c r="BA43" s="68"/>
      <c r="BB43" s="68"/>
      <c r="BC43" s="68"/>
      <c r="BD43" s="68"/>
      <c r="BE43" s="68"/>
      <c r="BF43" s="68"/>
      <c r="BG43" s="68"/>
      <c r="BH43" s="41"/>
      <c r="BI43" s="41"/>
      <c r="BJ43" s="68"/>
      <c r="BK43" s="41"/>
      <c r="BL43" s="41"/>
      <c r="BM43" s="41"/>
      <c r="BN43" s="41"/>
      <c r="BO43" s="41"/>
      <c r="BP43" s="41"/>
      <c r="BQ43" s="41"/>
      <c r="BR43" s="41"/>
      <c r="BS43" s="41"/>
      <c r="BT43" s="41"/>
      <c r="BU43" s="41"/>
      <c r="BV43" s="41"/>
      <c r="BW43" s="41"/>
      <c r="BX43" s="41"/>
      <c r="BY43" s="41"/>
      <c r="BZ43" s="41"/>
    </row>
    <row r="44" spans="1:83">
      <c r="A44" s="45" t="e">
        <f ca="1">_xll.ciqfunctions.udf.CIQ($B44,"IQ_COMPANY_TICKER")</f>
        <v>#NAME?</v>
      </c>
      <c r="B44" s="67" t="str">
        <f>'Capital IQ Sheet-GPC'!B44</f>
        <v>(Invalid Identifier)</v>
      </c>
      <c r="C44" s="45" t="e">
        <f ca="1">_xll.ciqfunctions.udf.CIQ($A44,"IQ_COMPANY_NAME")</f>
        <v>#NAME?</v>
      </c>
      <c r="D44" s="45" t="e">
        <f ca="1">_xll.ciqfunctions.udf.CIQ($A44, "IQ_EXCHANGE")</f>
        <v>#NAME?</v>
      </c>
      <c r="E44" s="66" t="e">
        <f ca="1">_xll.ciqfunctions.udf.CIQ($A44, "IQ_PERIODDATE_IS", IQ_FY)</f>
        <v>#NAME?</v>
      </c>
      <c r="F44" s="66" t="e">
        <f ca="1">_xll.ciqfunctions.udf.CIQ(A44, "IQ_PERIODDATE_IS", IQ_LTM, $B$1,$L$4,$L$3)</f>
        <v>#NAME?</v>
      </c>
      <c r="G44" s="66" t="e">
        <f ca="1">_xll.ciqfunctions.udf.CIQ($A44, "IQ_FIRSTPRICINGDATE")</f>
        <v>#NAME?</v>
      </c>
      <c r="H44" s="68" t="e">
        <f ca="1">_xll.ciqfunctions.udf.CIQ($A44, "IQ_TEV", $L$2, $L$5, $L$6)</f>
        <v>#NAME?</v>
      </c>
      <c r="I44" s="68" t="e">
        <f ca="1">_xll.ciqfunctions.udf.CIQ(A44, "IQ_LASTSALEPRICE", $B$1,$L$5)</f>
        <v>#NAME?</v>
      </c>
      <c r="J44" s="66" t="e">
        <f ca="1">_xll.ciqfunctions.udf.CIQ($B44, "IQ_FIRSTPRICINGDATE")</f>
        <v>#NAME?</v>
      </c>
      <c r="K44" s="68" t="e">
        <f ca="1">_xll.ciqfunctions.udf.CIQ($A44, "IQ_TOTAL_DEBT", IQ_LTM, $L$2,$L$4, $L$3, $L$5, $L$6)</f>
        <v>#NAME?</v>
      </c>
      <c r="L44" s="68" t="e">
        <f ca="1">_xll.ciqfunctions.udf.CIQ($A44, "IQ_PREF_EQUITY", IQ_LTM, $L$2, $L$4, $L$3, $L$5, $L$6)</f>
        <v>#NAME?</v>
      </c>
      <c r="M44" s="68" t="e">
        <f ca="1">_xll.ciqfunctions.udf.CIQ($A44, "IQ_MINORITY_INTEREST_TOTAL", IQ_LTM, $L$2, $L$4, $L$3, $L$5, $L$6)</f>
        <v>#NAME?</v>
      </c>
      <c r="N44" s="68" t="e">
        <f ca="1">_xll.ciqfunctions.udf.CIQ($A44, "IQ_CASH_ST_INVEST", IQ_LTM, $L$2, $L$4, $L$3, $L$5, $L$6)</f>
        <v>#NAME?</v>
      </c>
      <c r="O44" s="68" t="e">
        <f ca="1">_xll.ciqfunctions.udf.CIQ($A44, "IQ_TOTAL_REV", IQ_LTM-8, $L$2, $L$4, $L$3, $L$5, $L$6)</f>
        <v>#NAME?</v>
      </c>
      <c r="P44" s="68" t="e">
        <f ca="1">_xll.ciqfunctions.udf.CIQ($A44, "IQ_TOTAL_REV", IQ_LTM - 4, $L$2, $L$4, $L$3, $L$5,$L$6)</f>
        <v>#NAME?</v>
      </c>
      <c r="Q44" s="68" t="e">
        <f ca="1">_xll.ciqfunctions.udf.CIQ($A44, "IQ_TOTAL_REV", IQ_LTM, $L$2, $L$4, $L$3, $L$5, $L$6)</f>
        <v>#NAME?</v>
      </c>
      <c r="R44" s="68" t="e">
        <f ca="1">_xll.ciqfunctions.udf.CIQ($A44, "IQ_TOTAL_REV", $B$2, $L$2, $L$4, $L$3, $L$5, $L$6)</f>
        <v>#NAME?</v>
      </c>
      <c r="S44" s="68" t="e">
        <f ca="1">IF(_xll.ciqfunctions.udf.CIQ($A44, "IQ_TOTAL_REV", $B$3, $L$2,$L$4, $L$3, $L$5, $L$6)=0,Q44,_xll.ciqfunctions.udf.CIQ($A44, "IQ_TOTAL_REV", $B$3, $L$2,$L$4, $L$3, $L$5, $L$6))</f>
        <v>#NAME?</v>
      </c>
      <c r="T44" s="68" t="e">
        <f ca="1">IF(_xll.ciqfunctions.udf.CIQ($A44, "IQ_REVENUE_EST",$B$4, $L$2, "CON", $L$3, $L$5, $L$6)=0,"n/a",_xll.ciqfunctions.udf.CIQ($A44, "IQ_REVENUE_EST",$B$4, $L$2, "CON", $L$3, $L$5, $L$6))</f>
        <v>#NAME?</v>
      </c>
      <c r="U44" s="68" t="e">
        <f ca="1">IF(_xll.ciqfunctions.udf.CIQ($A44, "IQ_REVENUE_EST",$B$5, $L$2, "CON", $L$3, $L$5, $L$6)=0,"n/a",_xll.ciqfunctions.udf.CIQ($A44, "IQ_REVENUE_EST",$B$5, $L$2, "CON", $L$3, $L$5, $L$6))</f>
        <v>#NAME?</v>
      </c>
      <c r="V44" s="68" t="e">
        <f ca="1">IF(_xll.ciqfunctions.udf.CIQ($A44, "IQ_REVENUE_EST",$B$6, $L$2, "CON", $L$3, $L$5, $L$6)=0,"n/a",_xll.ciqfunctions.udf.CIQ($A44, "IQ_REVENUE_EST",$B$6, $L$2, "CON", $L$3, $L$5, $L$6))</f>
        <v>#NAME?</v>
      </c>
      <c r="W44" s="68" t="e">
        <f ca="1">IF(_xll.ciqfunctions.udf.CIQ($A44, "IQ_REVENUE_EST", $B$7, $L$2, "CON", $L$3, $L$5, $L$6)=0,"n/a",_xll.ciqfunctions.udf.CIQ($A44, "IQ_REVENUE_EST",$B$7, $L$2, "CON", $L$3, $L$5, $L$6))</f>
        <v>#NAME?</v>
      </c>
      <c r="X44" s="68" t="e">
        <f ca="1">_xll.ciqfunctions.udf.CIQ($A44, "IQ_EBITDA", IQ_LTM-8, $L$2, $L$4, $L$3, $L$5, $L$6)</f>
        <v>#NAME?</v>
      </c>
      <c r="Y44" s="68" t="e">
        <f ca="1">_xll.ciqfunctions.udf.CIQ($A44, "IQ_EBITDA", IQ_LTM-4, $L$2,$L$4, $L$3, $L$5, $L$6)</f>
        <v>#NAME?</v>
      </c>
      <c r="Z44" s="68" t="e">
        <f ca="1">_xll.ciqfunctions.udf.CIQ($A44, "IQ_EBITDA", IQ_LTM, $L$2, $L$4, $L$3, $L$5, $L$6)</f>
        <v>#NAME?</v>
      </c>
      <c r="AA44" s="68" t="e">
        <f ca="1">_xll.ciqfunctions.udf.CIQ($A44, "IQ_EBITDA", $B$2, $L$2, $L$4, $L$3, $L$5, $L$6)</f>
        <v>#NAME?</v>
      </c>
      <c r="AB44" s="68" t="e">
        <f ca="1">IF(_xll.ciqfunctions.udf.CIQ($A44, "IQ_EBITDA", $B$3, $L$2,$L$4, $L$3, $L$5, $L$6)=0,Z44,_xll.ciqfunctions.udf.CIQ($A44, "IQ_EBITDA", $B$3, $L$2,$L$4, $L$3, $L$5, $L$6))</f>
        <v>#NAME?</v>
      </c>
      <c r="AC44" s="68" t="e">
        <f ca="1">IF(_xll.ciqfunctions.udf.CIQ($A44, "IQ_EBITDA_EST",$B$4, $L$2, "CON", $L$3, $L$5, $L$6)=0,"n/a",_xll.ciqfunctions.udf.CIQ($A44, "IQ_EBITDA_EST",$B$4, $L$2, "CON", $L$3, $L$5, $L$6))</f>
        <v>#NAME?</v>
      </c>
      <c r="AD44" s="45" t="e">
        <f ca="1">IF(_xll.ciqfunctions.udf.CIQ($A44, "IQ_EBITDA_EST",$B$5, $L$2, "CON", $L$3, $L$5, $L$6)=0,"n/a",_xll.ciqfunctions.udf.CIQ($A44, "IQ_EBITDA_EST",$B$5, $L$2, "CON", $L$3, $L$5, $L$6))</f>
        <v>#NAME?</v>
      </c>
      <c r="AE44" s="68" t="e">
        <f ca="1">IF(_xll.ciqfunctions.udf.CIQ($A44, "IQ_EBITDA_EST",$B$6, $L$2, "CON", $L$3, $L$5, $L$6)=0,"n/a",_xll.ciqfunctions.udf.CIQ($A44, "IQ_EBITDA_EST",$B$6, $L$2, "CON", $L$3, $L$5, $L$6))</f>
        <v>#NAME?</v>
      </c>
      <c r="AF44" s="69" t="str">
        <f ca="1">IF(ISERROR(_xll.ciqfunctions.udf.CIQ($A44, "IQ_GROSS_MARGIN", IQ_LTM, $L$2,$L$4, $L$3, $L$5, $L$6)/100), "n/a", _xll.ciqfunctions.udf.CIQ($A44,  "IQ_GROSS_MARGIN", IQ_LTM, $L$2, $L$4, $L$3, $L$5, $L$6)/100)</f>
        <v>n/a</v>
      </c>
      <c r="AG44" s="69" t="str">
        <f ca="1">IF(ISERROR(_xll.ciqfunctions.udf.CIQ($A44,"IQ_EBITDA_MARGIN", IQ_LTM, $L$2, $L$4, $L$3, $L$5, $L$6)/100), "n/a", _xll.ciqfunctions.udf.CIQ($A44, "IQ_EBITDA_MARGIN", IQ_LTM, $L$2, $L$4, $L$3, $L$5, $L$6)/100)</f>
        <v>n/a</v>
      </c>
      <c r="AH44" s="69" t="str">
        <f ca="1">IF(ISERROR(_xll.ciqfunctions.udf.CIQ($A44,"IQ_EBIT_MARGIN", IQ_LTM, $L$2, $L$4, $L$3, $L$5, $L$6)/100), "n/a", _xll.ciqfunctions.udf.CIQ($A44, "IQ_EBIT_MARGIN", IQ_LTM, $L$2, $L$4, $L$3, $L$5, $L$6)/100)</f>
        <v>n/a</v>
      </c>
      <c r="AI44" s="69" t="str">
        <f ca="1">IF(ISERROR(_xll.ciqfunctions.udf.CIQ($A44,"IQ_NI_MARGIN", IQ_LTM, $L$2, $L$4, $L$3, $L$5, $L$6)/100), "n/a", _xll.ciqfunctions.udf.CIQ($A44, "IQ_NI_MARGIN", IQ_LTM, $L$2, $L$4, $L$3, $L$5, $L$6)/100)</f>
        <v>n/a</v>
      </c>
      <c r="AJ44" s="68" t="str">
        <f ca="1">IF(ISERROR(_xll.ciqfunctions.udf.CIQ($A44, "IQ_NET_WORKING_CAP", IQ_LTM-8, $L$2, $L$4, $L$3, $L$5, $L$6)), "n/a", _xll.ciqfunctions.udf.CIQ($A44, "IQ_NET_WORKING_CAP", IQ_LTM-8, $L$2, $L$4, $L$3, $L$5, $L$6))</f>
        <v>n/a</v>
      </c>
      <c r="AK44" s="68" t="str">
        <f ca="1">IF(ISERROR(_xll.ciqfunctions.udf.CIQ($A44, "IQ_NET_WORKING_CAP", IQ_LTM-4, $L$2, $L$4, $L$3, $L$5, $L$6)), "n/a", _xll.ciqfunctions.udf.CIQ($A44, "IQ_NET_WORKING_CAP", IQ_LTM-4, $L$2, $L$4, $L$3, $L$5, $L$6))</f>
        <v>n/a</v>
      </c>
      <c r="AL44" s="68" t="str">
        <f ca="1">IF(ISERROR(_xll.ciqfunctions.udf.CIQ($A44, "IQ_NET_WORKING_CAP", IQ_LTM, $L$2,$L$4, $L$3, $L$5, $L$6)), "n/a", _xll.ciqfunctions.udf.CIQ($A44, "IQ_NET_WORKING_CAP", IQ_LTM, $L$2, $L$4, $L$3, $L$5, $L$6))</f>
        <v>n/a</v>
      </c>
      <c r="AM44" s="68" t="str">
        <f ca="1">IF(ISERROR(_xll.ciqfunctions.udf.CIQ($A44, "IQ_Capex", IQ_LTM-8, $L$2,$L$4, $L$3, $L$5, $L$6)), "n/a", _xll.ciqfunctions.udf.CIQ($A44, "IQ_Capex", IQ_LTM-8, $L$2, $L$4, $L$3, $L$5, $L$6))</f>
        <v>n/a</v>
      </c>
      <c r="AN44" s="68" t="str">
        <f ca="1">IF(ISERROR(_xll.ciqfunctions.udf.CIQ($A44, "IQ_Capex", IQ_LTM-4, $L$2,$L$4, $L$3, $L$5, $L$6)), "n/a", _xll.ciqfunctions.udf.CIQ($A44, "IQ_Capex", IQ_LTM-4, $L$2,$L$4, $L$3, $L$5, $L$6))</f>
        <v>n/a</v>
      </c>
      <c r="AO44" s="68" t="str">
        <f ca="1">IF(ISERROR(_xll.ciqfunctions.udf.CIQ($A44, "IQ_Capex", IQ_LTM, $L$2, $L$4, $L$3, $L$5, $L$6)), "n/a", _xll.ciqfunctions.udf.CIQ($A44, "IQ_Capex", IQ_LTM, $L$2, $L$4, $L$3, $L$5, $L$6))</f>
        <v>n/a</v>
      </c>
      <c r="AP44" s="70" t="e">
        <f ca="1">_xll.ciqfunctions.udf.CIQ(A44, "IQ_BUSINESS_DESCRIPTION")</f>
        <v>#NAME?</v>
      </c>
      <c r="AQ44" s="71" t="e">
        <f ca="1">_xll.ciqfunctions.udf.CIQ($A44, "IQ_BETA_1YR", $B$1)</f>
        <v>#NAME?</v>
      </c>
      <c r="AR44" s="71" t="e">
        <f ca="1">_xll.ciqfunctions.udf.CIQ($A44, "IQ_BETA_2YR", $B$1)</f>
        <v>#NAME?</v>
      </c>
      <c r="AS44" s="71" t="e">
        <f ca="1">_xll.ciqfunctions.udf.CIQ($A44, "IQ_BETA_5YR", $B$1)</f>
        <v>#NAME?</v>
      </c>
      <c r="AT44" s="45" t="e">
        <f ca="1">_xll.ciqfunctions.udf.CIQ($B44, "IQ_GP", IQ_LTM,$B$1, ,,"USD")</f>
        <v>#NAME?</v>
      </c>
      <c r="AU44" s="68" t="e">
        <f ca="1">_xll.ciqfunctions.udf.CIQ($A44, "IQ_EARNING_CO", IQ_LTM-8, $L$2, $L$4, $L$3, $L$5, $L$6)</f>
        <v>#NAME?</v>
      </c>
      <c r="AV44" s="68" t="e">
        <f ca="1">_xll.ciqfunctions.udf.CIQ($A44, "IQ_EARNING_CO", IQ_LTM-4, $L$2, $L$4, $L$3, $L$5, $L$6)</f>
        <v>#NAME?</v>
      </c>
      <c r="AW44" s="68" t="e">
        <f ca="1">_xll.ciqfunctions.udf.CIQ($A44, "IQ_EARNING_CO", IQ_LTM, $L$2, $L$4, $L$3, $L$5, $L$6)</f>
        <v>#NAME?</v>
      </c>
      <c r="AX44" s="68" t="e">
        <f ca="1">_xll.ciqfunctions.udf.CIQ($A44, "IQ_EARNING_CO", $B$2, $L$2, $L$4, $L$3, $L$5, $L$6)</f>
        <v>#NAME?</v>
      </c>
      <c r="AY44" s="68" t="e">
        <f ca="1">IF(_xll.ciqfunctions.udf.CIQ($A44, "IQ_EARNING_CO", $B$3, $L$2,$L$4, $L$3, $L$5, $L$6)=0,AW44,_xll.ciqfunctions.udf.CIQ($A44, "IQ_EARNING_CO", $B$3, $L$2,$L$4, $L$3, $L$5, $L$6))</f>
        <v>#NAME?</v>
      </c>
      <c r="AZ44" s="68" t="e">
        <f ca="1">_xll.ciqfunctions.udf.CIQ($A44, "IQ_TOTAL_EQUITY", IQ_LTM-8, $L$2, $L$4, $L$3, $L$5, $L$6)</f>
        <v>#NAME?</v>
      </c>
      <c r="BA44" s="68" t="e">
        <f ca="1">_xll.ciqfunctions.udf.CIQ($A44, "IQ_TOTAL_EQUITY", IQ_LTM-4, $L$2, $L$4, $L$3, $L$5, $L$6)</f>
        <v>#NAME?</v>
      </c>
      <c r="BB44" s="68" t="e">
        <f ca="1">_xll.ciqfunctions.udf.CIQ($A44, "IQ_TOTAL_EQUITY", IQ_LTM, $L$2, $L$4, $L$3, $L$5, $L$6)</f>
        <v>#NAME?</v>
      </c>
      <c r="BC44" s="68" t="e">
        <f ca="1">_xll.ciqfunctions.udf.CIQ($A44, "IQ_TOTAL_EQUITY", $B$2, $L$2, $L$4, $L$3, $L$5, $L$6)</f>
        <v>#NAME?</v>
      </c>
      <c r="BD44" s="68" t="e">
        <f ca="1">IF(_xll.ciqfunctions.udf.CIQ($A44, "IQ_TOTAL_EQUITY", $B$3, $L$2,$L$4, $L$3, $L$5, $L$6)=0,BB44,_xll.ciqfunctions.udf.CIQ($A44, "IQ_TOTAL_EQUITY", $B$3, $L$2,$L$4, $L$3, $L$5, $L$6))</f>
        <v>#NAME?</v>
      </c>
      <c r="BE44" s="68" t="e">
        <f ca="1">_xll.ciqfunctions.udf.CIQ(A44, "IQ_LASTSALEPRICE", $B$8)</f>
        <v>#NAME?</v>
      </c>
      <c r="BF44" s="68" t="e">
        <f ca="1">_xll.ciqfunctions.udf.CIQ($A44, "IQ_MARKETCAP", $B$8, $L$5, $L$6)</f>
        <v>#NAME?</v>
      </c>
      <c r="BG44" s="68" t="e">
        <f ca="1">_xll.ciqfunctions.udf.CIQ($A44, "IQ_TOTAL_DEBT", IQ_LTM, $B$8,$L$4, $L$3, $L$5, $L$6)</f>
        <v>#NAME?</v>
      </c>
      <c r="BH44" s="44" t="e">
        <f ca="1">_xll.ciqfunctions.udf.CIQ($A44,"IQ_PREF_EQUITY",IQ_LTM,$B$8,$L$4,$L$3,$L$5,$L$6)</f>
        <v>#NAME?</v>
      </c>
      <c r="BI44" s="44" t="e">
        <f ca="1">_xll.ciqfunctions.udf.CIQ($A44, "IQ_MINORITY_INTEREST_TOTAL", IQ_LTM,$B$8,$L$4,$L$3,$L$5,$L$6)</f>
        <v>#NAME?</v>
      </c>
      <c r="BJ44" s="68" t="e">
        <f ca="1">_xll.ciqfunctions.udf.CIQ($A44, "IQ_CASH_ST_INVEST", IQ_LTM, $B$8, $L$4, $L$3, $L$5, $L$6)</f>
        <v>#NAME?</v>
      </c>
      <c r="BK44" s="44" t="e">
        <f ca="1">_xll.ciqfunctions.udf.CIQ($A44, "IQ_EFFECT_TAX_RATE")</f>
        <v>#NAME?</v>
      </c>
      <c r="BL44" s="44" t="e">
        <f ca="1">IF(_xll.ciqfunctions.udf.CIQ($A44, "IQ_TOTAL_REV_2YR_ANN_CAGR", IQ_LTM, $B$1,$L$4, $L$3, $L$5, $L$6)="NM","n/a",(_xll.ciqfunctions.udf.CIQ($A44, "IQ_TOTAL_REV_2YR_ANN_CAGR", IQ_LTM, $B$1,$L$4, $L$3, $L$5, $L$6)/100))</f>
        <v>#NAME?</v>
      </c>
      <c r="BM44" s="44" t="e">
        <f ca="1">IF(_xll.ciqfunctions.udf.CIQ($A44, "IQ_TOTAL_REV_3YR_ANN_CAGR", IQ_LTM, $B$1,$L$4, $L$3, $L$5, $L$6)="NM","n/a",(_xll.ciqfunctions.udf.CIQ($A44, "IQ_TOTAL_REV_3YR_ANN_CAGR", IQ_LTM, $B$1,$L$4, $L$3, $L$5, $L$6)/100))</f>
        <v>#NAME?</v>
      </c>
      <c r="BN44" s="44" t="e">
        <f ca="1">IF(_xll.ciqfunctions.udf.CIQ($A44, "IQ_TOTAL_REV_5YR_ANN_CAGR", IQ_LTM, $B$1,$L$4, $L$3, $L$5, $L$6)="NM","n/a",(_xll.ciqfunctions.udf.CIQ($A44, "IQ_TOTAL_REV_5YR_ANN_CAGR", IQ_LTM, $B$1,$L$4, $L$3, $L$5, $L$6)/100))</f>
        <v>#NAME?</v>
      </c>
      <c r="BO44" s="44" t="e">
        <f ca="1">IF(_xll.ciqfunctions.udf.CIQ($A44,"IQ_EBITDA_2YR_ANN_CAGR", IQ_LTM,$B$1,$L$4, $L$3, $L$5, $L$6)="NM","n/a",(_xll.ciqfunctions.udf.CIQ($A44,"IQ_EBITDA_2YR_ANN_CAGR", IQ_LTM,$B$1,$L$4, $L$3, $L$5, $L$6)/100))</f>
        <v>#NAME?</v>
      </c>
      <c r="BP44" s="44" t="e">
        <f ca="1">IF(_xll.ciqfunctions.udf.CIQ($A44,"IQ_EBITDA_3YR_ANN_CAGR", IQ_LTM,$B$1,$L$4, $L$3, $L$5, $L$6)="NM","n/a",(_xll.ciqfunctions.udf.CIQ($A44,"IQ_EBITDA_3YR_ANN_CAGR", IQ_LTM,$B$1,$L$4, $L$3, $L$5, $L$6)/100))</f>
        <v>#NAME?</v>
      </c>
      <c r="BQ44" s="44" t="e">
        <f ca="1">IF(_xll.ciqfunctions.udf.CIQ($A44,"IQ_EBITDA_5YR_ANN_CAGR", IQ_LTM,$B$1,$L$4, $L$3, $L$5, $L$6)="NM","n/a",(_xll.ciqfunctions.udf.CIQ($A44,"IQ_EBITDA_5YR_ANN_CAGR", IQ_LTM,$B$1,$L$4, $L$3, $L$5, $L$6)/100))</f>
        <v>#NAME?</v>
      </c>
      <c r="BR44" s="48" t="str">
        <f ca="1">IFERROR((_xll.ciqfunctions.udf.CIQ($A44, "IQ_DA_CF", IQ_LTM, $B$1, $L$4, $L$3, $L$5, $L$6)/Q44),"NM")</f>
        <v>NM</v>
      </c>
      <c r="BS44" s="69" t="e">
        <f>'Capital IQ Sheet-GPC'!BS44</f>
        <v>#VALUE!</v>
      </c>
      <c r="BT44" s="69" t="e">
        <f>'Capital IQ Sheet-GPC'!BT44</f>
        <v>#VALUE!</v>
      </c>
      <c r="BU44" s="69" t="e">
        <f>'Capital IQ Sheet-GPC'!BU44</f>
        <v>#VALUE!</v>
      </c>
      <c r="BV44" s="69" t="e">
        <f>'Capital IQ Sheet-GPC'!BV44</f>
        <v>#VALUE!</v>
      </c>
      <c r="BW44" s="69" t="e">
        <f>'Capital IQ Sheet-GPC'!BW44</f>
        <v>#VALUE!</v>
      </c>
      <c r="BX44" s="69" t="e">
        <f>'Capital IQ Sheet-GPC'!BX44</f>
        <v>#VALUE!</v>
      </c>
      <c r="BY44" s="69" t="e">
        <f>'Capital IQ Sheet-GPC'!BY44</f>
        <v>#VALUE!</v>
      </c>
      <c r="BZ44" s="69" t="e">
        <f>'Capital IQ Sheet-GPC'!BZ44</f>
        <v>#VALUE!</v>
      </c>
    </row>
    <row r="45" spans="1:83">
      <c r="A45" s="45" t="e">
        <f ca="1">_xll.ciqfunctions.udf.CIQ($B45,"IQ_COMPANY_TICKER")</f>
        <v>#NAME?</v>
      </c>
      <c r="B45" s="67" t="str">
        <f>'Capital IQ Sheet-GPC'!B45</f>
        <v>(Invalid Identifier)</v>
      </c>
      <c r="C45" s="45" t="e">
        <f ca="1">_xll.ciqfunctions.udf.CIQ($A45,"IQ_COMPANY_NAME")</f>
        <v>#NAME?</v>
      </c>
      <c r="D45" s="45" t="e">
        <f ca="1">_xll.ciqfunctions.udf.CIQ($A45, "IQ_EXCHANGE")</f>
        <v>#NAME?</v>
      </c>
      <c r="E45" s="66" t="e">
        <f ca="1">_xll.ciqfunctions.udf.CIQ($A45, "IQ_PERIODDATE_IS", IQ_FY)</f>
        <v>#NAME?</v>
      </c>
      <c r="F45" s="66" t="e">
        <f ca="1">_xll.ciqfunctions.udf.CIQ(A45, "IQ_PERIODDATE_IS", IQ_LTM, $B$1,$L$4,$L$3)</f>
        <v>#NAME?</v>
      </c>
      <c r="G45" s="66" t="e">
        <f ca="1">_xll.ciqfunctions.udf.CIQ($A45, "IQ_FIRSTPRICINGDATE")</f>
        <v>#NAME?</v>
      </c>
      <c r="H45" s="68" t="e">
        <f ca="1">_xll.ciqfunctions.udf.CIQ($A45, "IQ_TEV", $L$2, $L$5, $L$6)</f>
        <v>#NAME?</v>
      </c>
      <c r="I45" s="68" t="e">
        <f ca="1">_xll.ciqfunctions.udf.CIQ(A45, "IQ_LASTSALEPRICE", $B$1,$L$5)</f>
        <v>#NAME?</v>
      </c>
      <c r="J45" s="66" t="e">
        <f ca="1">_xll.ciqfunctions.udf.CIQ($B45, "IQ_FIRSTPRICINGDATE")</f>
        <v>#NAME?</v>
      </c>
      <c r="K45" s="68" t="e">
        <f ca="1">_xll.ciqfunctions.udf.CIQ($A45, "IQ_TOTAL_DEBT", IQ_LTM, $L$2,$L$4, $L$3, $L$5, $L$6)</f>
        <v>#NAME?</v>
      </c>
      <c r="L45" s="68" t="e">
        <f ca="1">_xll.ciqfunctions.udf.CIQ($A45, "IQ_PREF_EQUITY", IQ_LTM, $L$2, $L$4, $L$3, $L$5, $L$6)</f>
        <v>#NAME?</v>
      </c>
      <c r="M45" s="68" t="e">
        <f ca="1">_xll.ciqfunctions.udf.CIQ($A45, "IQ_MINORITY_INTEREST_TOTAL", IQ_LTM, $L$2, $L$4, $L$3, $L$5, $L$6)</f>
        <v>#NAME?</v>
      </c>
      <c r="N45" s="68" t="e">
        <f ca="1">_xll.ciqfunctions.udf.CIQ($A45, "IQ_CASH_ST_INVEST", IQ_LTM, $L$2, $L$4, $L$3, $L$5, $L$6)</f>
        <v>#NAME?</v>
      </c>
      <c r="O45" s="68" t="e">
        <f ca="1">_xll.ciqfunctions.udf.CIQ($A45, "IQ_TOTAL_REV", IQ_LTM-8, $L$2, $L$4, $L$3, $L$5, $L$6)</f>
        <v>#NAME?</v>
      </c>
      <c r="P45" s="68" t="e">
        <f ca="1">_xll.ciqfunctions.udf.CIQ($A45, "IQ_TOTAL_REV", IQ_LTM - 4, $L$2, $L$4, $L$3, $L$5,$L$6)</f>
        <v>#NAME?</v>
      </c>
      <c r="Q45" s="68" t="e">
        <f ca="1">_xll.ciqfunctions.udf.CIQ($A45, "IQ_TOTAL_REV", IQ_LTM, $L$2, $L$4, $L$3, $L$5, $L$6)</f>
        <v>#NAME?</v>
      </c>
      <c r="R45" s="68" t="e">
        <f ca="1">_xll.ciqfunctions.udf.CIQ($A45, "IQ_TOTAL_REV", $B$2, $L$2, $L$4, $L$3, $L$5, $L$6)</f>
        <v>#NAME?</v>
      </c>
      <c r="S45" s="68" t="e">
        <f ca="1">IF(_xll.ciqfunctions.udf.CIQ($A45, "IQ_TOTAL_REV", $B$3, $L$2,$L$4, $L$3, $L$5, $L$6)=0,Q45,_xll.ciqfunctions.udf.CIQ($A45, "IQ_TOTAL_REV", $B$3, $L$2,$L$4, $L$3, $L$5, $L$6))</f>
        <v>#NAME?</v>
      </c>
      <c r="T45" s="68" t="e">
        <f ca="1">IF(_xll.ciqfunctions.udf.CIQ($A45, "IQ_REVENUE_EST",$B$4, $L$2, "CON", $L$3, $L$5, $L$6)=0,"n/a",_xll.ciqfunctions.udf.CIQ($A45, "IQ_REVENUE_EST",$B$4, $L$2, "CON", $L$3, $L$5, $L$6))</f>
        <v>#NAME?</v>
      </c>
      <c r="U45" s="68" t="e">
        <f ca="1">IF(_xll.ciqfunctions.udf.CIQ($A45, "IQ_REVENUE_EST",$B$5, $L$2, "CON", $L$3, $L$5, $L$6)=0,"n/a",_xll.ciqfunctions.udf.CIQ($A45, "IQ_REVENUE_EST",$B$5, $L$2, "CON", $L$3, $L$5, $L$6))</f>
        <v>#NAME?</v>
      </c>
      <c r="V45" s="68" t="e">
        <f ca="1">IF(_xll.ciqfunctions.udf.CIQ($A45, "IQ_REVENUE_EST",$B$6, $L$2, "CON", $L$3, $L$5, $L$6)=0,"n/a",_xll.ciqfunctions.udf.CIQ($A45, "IQ_REVENUE_EST",$B$6, $L$2, "CON", $L$3, $L$5, $L$6))</f>
        <v>#NAME?</v>
      </c>
      <c r="W45" s="68" t="e">
        <f ca="1">IF(_xll.ciqfunctions.udf.CIQ($A45, "IQ_REVENUE_EST", $B$7, $L$2, "CON", $L$3, $L$5, $L$6)=0,"n/a",_xll.ciqfunctions.udf.CIQ($A45, "IQ_REVENUE_EST",$B$7, $L$2, "CON", $L$3, $L$5, $L$6))</f>
        <v>#NAME?</v>
      </c>
      <c r="X45" s="68" t="e">
        <f ca="1">_xll.ciqfunctions.udf.CIQ($A45, "IQ_EBITDA", IQ_LTM-8, $L$2, $L$4, $L$3, $L$5, $L$6)</f>
        <v>#NAME?</v>
      </c>
      <c r="Y45" s="68" t="e">
        <f ca="1">_xll.ciqfunctions.udf.CIQ($A45, "IQ_EBITDA", IQ_LTM-4, $L$2,$L$4, $L$3, $L$5, $L$6)</f>
        <v>#NAME?</v>
      </c>
      <c r="Z45" s="68" t="e">
        <f ca="1">_xll.ciqfunctions.udf.CIQ($A45, "IQ_EBITDA", IQ_LTM, $L$2, $L$4, $L$3, $L$5, $L$6)</f>
        <v>#NAME?</v>
      </c>
      <c r="AA45" s="68" t="e">
        <f ca="1">_xll.ciqfunctions.udf.CIQ($A45, "IQ_EBITDA", $B$2, $L$2, $L$4, $L$3, $L$5, $L$6)</f>
        <v>#NAME?</v>
      </c>
      <c r="AB45" s="68" t="e">
        <f ca="1">IF(_xll.ciqfunctions.udf.CIQ($A45, "IQ_EBITDA", $B$3, $L$2,$L$4, $L$3, $L$5, $L$6)=0,Z45,_xll.ciqfunctions.udf.CIQ($A45, "IQ_EBITDA", $B$3, $L$2,$L$4, $L$3, $L$5, $L$6))</f>
        <v>#NAME?</v>
      </c>
      <c r="AC45" s="68" t="e">
        <f ca="1">IF(_xll.ciqfunctions.udf.CIQ($A45, "IQ_EBITDA_EST",$B$4, $L$2, "CON", $L$3, $L$5, $L$6)=0,"n/a",_xll.ciqfunctions.udf.CIQ($A45, "IQ_EBITDA_EST",$B$4, $L$2, "CON", $L$3, $L$5, $L$6))</f>
        <v>#NAME?</v>
      </c>
      <c r="AD45" s="45" t="e">
        <f ca="1">IF(_xll.ciqfunctions.udf.CIQ($A45, "IQ_EBITDA_EST",$B$5, $L$2, "CON", $L$3, $L$5, $L$6)=0,"n/a",_xll.ciqfunctions.udf.CIQ($A45, "IQ_EBITDA_EST",$B$5, $L$2, "CON", $L$3, $L$5, $L$6))</f>
        <v>#NAME?</v>
      </c>
      <c r="AE45" s="68" t="e">
        <f ca="1">IF(_xll.ciqfunctions.udf.CIQ($A45, "IQ_EBITDA_EST",$B$6, $L$2, "CON", $L$3, $L$5, $L$6)=0,"n/a",_xll.ciqfunctions.udf.CIQ($A45, "IQ_EBITDA_EST",$B$6, $L$2, "CON", $L$3, $L$5, $L$6))</f>
        <v>#NAME?</v>
      </c>
      <c r="AF45" s="69" t="str">
        <f ca="1">IF(ISERROR(_xll.ciqfunctions.udf.CIQ($A45, "IQ_GROSS_MARGIN", IQ_LTM, $L$2,$L$4, $L$3, $L$5, $L$6)/100), "n/a", _xll.ciqfunctions.udf.CIQ($A45,  "IQ_GROSS_MARGIN", IQ_LTM, $L$2, $L$4, $L$3, $L$5, $L$6)/100)</f>
        <v>n/a</v>
      </c>
      <c r="AG45" s="69" t="str">
        <f ca="1">IF(ISERROR(_xll.ciqfunctions.udf.CIQ($A45,"IQ_EBITDA_MARGIN", IQ_LTM, $L$2, $L$4, $L$3, $L$5, $L$6)/100), "n/a", _xll.ciqfunctions.udf.CIQ($A45, "IQ_EBITDA_MARGIN", IQ_LTM, $L$2, $L$4, $L$3, $L$5, $L$6)/100)</f>
        <v>n/a</v>
      </c>
      <c r="AH45" s="69" t="str">
        <f ca="1">IF(ISERROR(_xll.ciqfunctions.udf.CIQ($A45,"IQ_EBIT_MARGIN", IQ_LTM, $L$2, $L$4, $L$3, $L$5, $L$6)/100), "n/a", _xll.ciqfunctions.udf.CIQ($A45, "IQ_EBIT_MARGIN", IQ_LTM, $L$2, $L$4, $L$3, $L$5, $L$6)/100)</f>
        <v>n/a</v>
      </c>
      <c r="AI45" s="69" t="str">
        <f ca="1">IF(ISERROR(_xll.ciqfunctions.udf.CIQ($A45,"IQ_NI_MARGIN", IQ_LTM, $L$2, $L$4, $L$3, $L$5, $L$6)/100), "n/a", _xll.ciqfunctions.udf.CIQ($A45, "IQ_NI_MARGIN", IQ_LTM, $L$2, $L$4, $L$3, $L$5, $L$6)/100)</f>
        <v>n/a</v>
      </c>
      <c r="AJ45" s="68" t="str">
        <f ca="1">IF(ISERROR(_xll.ciqfunctions.udf.CIQ($A45, "IQ_NET_WORKING_CAP", IQ_LTM-8, $L$2, $L$4, $L$3, $L$5, $L$6)), "n/a", _xll.ciqfunctions.udf.CIQ($A45, "IQ_NET_WORKING_CAP", IQ_LTM-8, $L$2, $L$4, $L$3, $L$5, $L$6))</f>
        <v>n/a</v>
      </c>
      <c r="AK45" s="68" t="str">
        <f ca="1">IF(ISERROR(_xll.ciqfunctions.udf.CIQ($A45, "IQ_NET_WORKING_CAP", IQ_LTM-4, $L$2, $L$4, $L$3, $L$5, $L$6)), "n/a", _xll.ciqfunctions.udf.CIQ($A45, "IQ_NET_WORKING_CAP", IQ_LTM-4, $L$2, $L$4, $L$3, $L$5, $L$6))</f>
        <v>n/a</v>
      </c>
      <c r="AL45" s="68" t="str">
        <f ca="1">IF(ISERROR(_xll.ciqfunctions.udf.CIQ($A45, "IQ_NET_WORKING_CAP", IQ_LTM, $L$2,$L$4, $L$3, $L$5, $L$6)), "n/a", _xll.ciqfunctions.udf.CIQ($A45, "IQ_NET_WORKING_CAP", IQ_LTM, $L$2, $L$4, $L$3, $L$5, $L$6))</f>
        <v>n/a</v>
      </c>
      <c r="AM45" s="68" t="str">
        <f ca="1">IF(ISERROR(_xll.ciqfunctions.udf.CIQ($A45, "IQ_Capex", IQ_LTM-8, $L$2,$L$4, $L$3, $L$5, $L$6)), "n/a", _xll.ciqfunctions.udf.CIQ($A45, "IQ_Capex", IQ_LTM-8, $L$2, $L$4, $L$3, $L$5, $L$6))</f>
        <v>n/a</v>
      </c>
      <c r="AN45" s="68" t="str">
        <f ca="1">IF(ISERROR(_xll.ciqfunctions.udf.CIQ($A45, "IQ_Capex", IQ_LTM-4, $L$2,$L$4, $L$3, $L$5, $L$6)), "n/a", _xll.ciqfunctions.udf.CIQ($A45, "IQ_Capex", IQ_LTM-4, $L$2,$L$4, $L$3, $L$5, $L$6))</f>
        <v>n/a</v>
      </c>
      <c r="AO45" s="68" t="str">
        <f ca="1">IF(ISERROR(_xll.ciqfunctions.udf.CIQ($A45, "IQ_Capex", IQ_LTM, $L$2, $L$4, $L$3, $L$5, $L$6)), "n/a", _xll.ciqfunctions.udf.CIQ($A45, "IQ_Capex", IQ_LTM, $L$2, $L$4, $L$3, $L$5, $L$6))</f>
        <v>n/a</v>
      </c>
      <c r="AP45" s="70" t="e">
        <f ca="1">_xll.ciqfunctions.udf.CIQ(A45, "IQ_BUSINESS_DESCRIPTION")</f>
        <v>#NAME?</v>
      </c>
      <c r="AQ45" s="71" t="e">
        <f ca="1">_xll.ciqfunctions.udf.CIQ($A45, "IQ_BETA_1YR", $B$1)</f>
        <v>#NAME?</v>
      </c>
      <c r="AR45" s="71" t="e">
        <f ca="1">_xll.ciqfunctions.udf.CIQ($A45, "IQ_BETA_2YR", $B$1)</f>
        <v>#NAME?</v>
      </c>
      <c r="AS45" s="71" t="e">
        <f ca="1">_xll.ciqfunctions.udf.CIQ($A45, "IQ_BETA_5YR", $B$1)</f>
        <v>#NAME?</v>
      </c>
      <c r="AT45" s="45" t="e">
        <f ca="1">_xll.ciqfunctions.udf.CIQ($B45, "IQ_GP", IQ_LTM,$B$1, ,,"USD")</f>
        <v>#NAME?</v>
      </c>
      <c r="AU45" s="68" t="e">
        <f ca="1">_xll.ciqfunctions.udf.CIQ($A45, "IQ_EARNING_CO", IQ_LTM-8, $L$2, $L$4, $L$3, $L$5, $L$6)</f>
        <v>#NAME?</v>
      </c>
      <c r="AV45" s="68" t="e">
        <f ca="1">_xll.ciqfunctions.udf.CIQ($A45, "IQ_EARNING_CO", IQ_LTM-4, $L$2, $L$4, $L$3, $L$5, $L$6)</f>
        <v>#NAME?</v>
      </c>
      <c r="AW45" s="68" t="e">
        <f ca="1">_xll.ciqfunctions.udf.CIQ($A45, "IQ_EARNING_CO", IQ_LTM, $L$2, $L$4, $L$3, $L$5, $L$6)</f>
        <v>#NAME?</v>
      </c>
      <c r="AX45" s="68" t="e">
        <f ca="1">_xll.ciqfunctions.udf.CIQ($A45, "IQ_EARNING_CO", $B$2, $L$2, $L$4, $L$3, $L$5, $L$6)</f>
        <v>#NAME?</v>
      </c>
      <c r="AY45" s="68" t="e">
        <f ca="1">IF(_xll.ciqfunctions.udf.CIQ($A45, "IQ_EARNING_CO", $B$3, $L$2,$L$4, $L$3, $L$5, $L$6)=0,AW45,_xll.ciqfunctions.udf.CIQ($A45, "IQ_EARNING_CO", $B$3, $L$2,$L$4, $L$3, $L$5, $L$6))</f>
        <v>#NAME?</v>
      </c>
      <c r="AZ45" s="68" t="e">
        <f ca="1">_xll.ciqfunctions.udf.CIQ($A45, "IQ_TOTAL_EQUITY", IQ_LTM-8, $L$2, $L$4, $L$3, $L$5, $L$6)</f>
        <v>#NAME?</v>
      </c>
      <c r="BA45" s="68" t="e">
        <f ca="1">_xll.ciqfunctions.udf.CIQ($A45, "IQ_TOTAL_EQUITY", IQ_LTM-4, $L$2, $L$4, $L$3, $L$5, $L$6)</f>
        <v>#NAME?</v>
      </c>
      <c r="BB45" s="68" t="e">
        <f ca="1">_xll.ciqfunctions.udf.CIQ($A45, "IQ_TOTAL_EQUITY", IQ_LTM, $L$2, $L$4, $L$3, $L$5, $L$6)</f>
        <v>#NAME?</v>
      </c>
      <c r="BC45" s="68" t="e">
        <f ca="1">_xll.ciqfunctions.udf.CIQ($A45, "IQ_TOTAL_EQUITY", $B$2, $L$2, $L$4, $L$3, $L$5, $L$6)</f>
        <v>#NAME?</v>
      </c>
      <c r="BD45" s="68" t="e">
        <f ca="1">IF(_xll.ciqfunctions.udf.CIQ($A45, "IQ_TOTAL_EQUITY", $B$3, $L$2,$L$4, $L$3, $L$5, $L$6)=0,BB45,_xll.ciqfunctions.udf.CIQ($A45, "IQ_TOTAL_EQUITY", $B$3, $L$2,$L$4, $L$3, $L$5, $L$6))</f>
        <v>#NAME?</v>
      </c>
      <c r="BE45" s="68" t="e">
        <f ca="1">_xll.ciqfunctions.udf.CIQ(A45, "IQ_LASTSALEPRICE", $B$8)</f>
        <v>#NAME?</v>
      </c>
      <c r="BF45" s="68" t="e">
        <f ca="1">_xll.ciqfunctions.udf.CIQ($A45, "IQ_MARKETCAP", $B$8, $L$5, $L$6)</f>
        <v>#NAME?</v>
      </c>
      <c r="BG45" s="68" t="e">
        <f ca="1">_xll.ciqfunctions.udf.CIQ($A45, "IQ_TOTAL_DEBT", IQ_LTM, $B$8,$L$4, $L$3, $L$5, $L$6)</f>
        <v>#NAME?</v>
      </c>
      <c r="BH45" s="44" t="e">
        <f ca="1">_xll.ciqfunctions.udf.CIQ($A45,"IQ_PREF_EQUITY",IQ_LTM,$B$8,$L$4,$L$3,$L$5,$L$6)</f>
        <v>#NAME?</v>
      </c>
      <c r="BI45" s="44" t="e">
        <f ca="1">_xll.ciqfunctions.udf.CIQ($A45, "IQ_MINORITY_INTEREST_TOTAL", IQ_LTM,$B$8,$L$4,$L$3,$L$5,$L$6)</f>
        <v>#NAME?</v>
      </c>
      <c r="BJ45" s="68" t="e">
        <f ca="1">_xll.ciqfunctions.udf.CIQ($A45, "IQ_CASH_ST_INVEST", IQ_LTM, $B$8, $L$4, $L$3, $L$5, $L$6)</f>
        <v>#NAME?</v>
      </c>
      <c r="BK45" s="44" t="e">
        <f ca="1">_xll.ciqfunctions.udf.CIQ($A45, "IQ_EFFECT_TAX_RATE")</f>
        <v>#NAME?</v>
      </c>
      <c r="BL45" s="44" t="e">
        <f ca="1">IF(_xll.ciqfunctions.udf.CIQ($A45, "IQ_TOTAL_REV_2YR_ANN_CAGR", IQ_LTM, $B$1,$L$4, $L$3, $L$5, $L$6)="NM","n/a",(_xll.ciqfunctions.udf.CIQ($A45, "IQ_TOTAL_REV_2YR_ANN_CAGR", IQ_LTM, $B$1,$L$4, $L$3, $L$5, $L$6)/100))</f>
        <v>#NAME?</v>
      </c>
      <c r="BM45" s="44" t="e">
        <f ca="1">IF(_xll.ciqfunctions.udf.CIQ($A45, "IQ_TOTAL_REV_3YR_ANN_CAGR", IQ_LTM, $B$1,$L$4, $L$3, $L$5, $L$6)="NM","n/a",(_xll.ciqfunctions.udf.CIQ($A45, "IQ_TOTAL_REV_3YR_ANN_CAGR", IQ_LTM, $B$1,$L$4, $L$3, $L$5, $L$6)/100))</f>
        <v>#NAME?</v>
      </c>
      <c r="BN45" s="44" t="e">
        <f ca="1">IF(_xll.ciqfunctions.udf.CIQ($A45, "IQ_TOTAL_REV_5YR_ANN_CAGR", IQ_LTM, $B$1,$L$4, $L$3, $L$5, $L$6)="NM","n/a",(_xll.ciqfunctions.udf.CIQ($A45, "IQ_TOTAL_REV_5YR_ANN_CAGR", IQ_LTM, $B$1,$L$4, $L$3, $L$5, $L$6)/100))</f>
        <v>#NAME?</v>
      </c>
      <c r="BO45" s="44" t="e">
        <f ca="1">IF(_xll.ciqfunctions.udf.CIQ($A45,"IQ_EBITDA_2YR_ANN_CAGR", IQ_LTM,$B$1,$L$4, $L$3, $L$5, $L$6)="NM","n/a",(_xll.ciqfunctions.udf.CIQ($A45,"IQ_EBITDA_2YR_ANN_CAGR", IQ_LTM,$B$1,$L$4, $L$3, $L$5, $L$6)/100))</f>
        <v>#NAME?</v>
      </c>
      <c r="BP45" s="44" t="e">
        <f ca="1">IF(_xll.ciqfunctions.udf.CIQ($A45,"IQ_EBITDA_3YR_ANN_CAGR", IQ_LTM,$B$1,$L$4, $L$3, $L$5, $L$6)="NM","n/a",(_xll.ciqfunctions.udf.CIQ($A45,"IQ_EBITDA_3YR_ANN_CAGR", IQ_LTM,$B$1,$L$4, $L$3, $L$5, $L$6)/100))</f>
        <v>#NAME?</v>
      </c>
      <c r="BQ45" s="44" t="e">
        <f ca="1">IF(_xll.ciqfunctions.udf.CIQ($A45,"IQ_EBITDA_5YR_ANN_CAGR", IQ_LTM,$B$1,$L$4, $L$3, $L$5, $L$6)="NM","n/a",(_xll.ciqfunctions.udf.CIQ($A45,"IQ_EBITDA_5YR_ANN_CAGR", IQ_LTM,$B$1,$L$4, $L$3, $L$5, $L$6)/100))</f>
        <v>#NAME?</v>
      </c>
      <c r="BR45" s="48" t="str">
        <f ca="1">IFERROR((_xll.ciqfunctions.udf.CIQ($A45, "IQ_DA_CF", IQ_LTM, $B$1, $L$4, $L$3, $L$5, $L$6)/Q45),"NM")</f>
        <v>NM</v>
      </c>
      <c r="BS45" s="69" t="e">
        <f>'Capital IQ Sheet-GPC'!BS45</f>
        <v>#VALUE!</v>
      </c>
      <c r="BT45" s="69" t="e">
        <f>'Capital IQ Sheet-GPC'!BT45</f>
        <v>#VALUE!</v>
      </c>
      <c r="BU45" s="69" t="e">
        <f>'Capital IQ Sheet-GPC'!BU45</f>
        <v>#VALUE!</v>
      </c>
      <c r="BV45" s="69" t="e">
        <f>'Capital IQ Sheet-GPC'!BV45</f>
        <v>#VALUE!</v>
      </c>
      <c r="BW45" s="69" t="e">
        <f>'Capital IQ Sheet-GPC'!BW45</f>
        <v>#VALUE!</v>
      </c>
      <c r="BX45" s="69" t="e">
        <f>'Capital IQ Sheet-GPC'!BX45</f>
        <v>#VALUE!</v>
      </c>
      <c r="BY45" s="69" t="e">
        <f>'Capital IQ Sheet-GPC'!BY45</f>
        <v>#VALUE!</v>
      </c>
      <c r="BZ45" s="69" t="e">
        <f>'Capital IQ Sheet-GPC'!BZ45</f>
        <v>#VALUE!</v>
      </c>
    </row>
    <row r="46" spans="1:83">
      <c r="A46" s="45" t="e">
        <f ca="1">_xll.ciqfunctions.udf.CIQ($B46,"IQ_COMPANY_TICKER")</f>
        <v>#NAME?</v>
      </c>
      <c r="B46" s="67" t="str">
        <f>'Capital IQ Sheet-GPC'!B46</f>
        <v>(Invalid Identifier)</v>
      </c>
      <c r="C46" s="45" t="e">
        <f ca="1">_xll.ciqfunctions.udf.CIQ($A46,"IQ_COMPANY_NAME")</f>
        <v>#NAME?</v>
      </c>
      <c r="D46" s="45" t="e">
        <f ca="1">_xll.ciqfunctions.udf.CIQ($A46, "IQ_EXCHANGE")</f>
        <v>#NAME?</v>
      </c>
      <c r="E46" s="66" t="e">
        <f ca="1">_xll.ciqfunctions.udf.CIQ($A46, "IQ_PERIODDATE_IS", IQ_FY)</f>
        <v>#NAME?</v>
      </c>
      <c r="F46" s="66" t="e">
        <f ca="1">_xll.ciqfunctions.udf.CIQ(A46, "IQ_PERIODDATE_IS", IQ_LTM, $B$1,$L$4,$L$3)</f>
        <v>#NAME?</v>
      </c>
      <c r="G46" s="66" t="e">
        <f ca="1">_xll.ciqfunctions.udf.CIQ($A46, "IQ_FIRSTPRICINGDATE")</f>
        <v>#NAME?</v>
      </c>
      <c r="H46" s="68" t="e">
        <f ca="1">_xll.ciqfunctions.udf.CIQ($A46, "IQ_TEV", $L$2, $L$5, $L$6)</f>
        <v>#NAME?</v>
      </c>
      <c r="I46" s="68" t="e">
        <f ca="1">_xll.ciqfunctions.udf.CIQ(A46, "IQ_LASTSALEPRICE", $B$1,$L$5)</f>
        <v>#NAME?</v>
      </c>
      <c r="J46" s="66" t="e">
        <f ca="1">_xll.ciqfunctions.udf.CIQ($B46, "IQ_FIRSTPRICINGDATE")</f>
        <v>#NAME?</v>
      </c>
      <c r="K46" s="68" t="e">
        <f ca="1">_xll.ciqfunctions.udf.CIQ($A46, "IQ_TOTAL_DEBT", IQ_LTM, $L$2,$L$4, $L$3, $L$5, $L$6)</f>
        <v>#NAME?</v>
      </c>
      <c r="L46" s="68" t="e">
        <f ca="1">_xll.ciqfunctions.udf.CIQ($A46, "IQ_PREF_EQUITY", IQ_LTM, $L$2, $L$4, $L$3, $L$5, $L$6)</f>
        <v>#NAME?</v>
      </c>
      <c r="M46" s="68" t="e">
        <f ca="1">_xll.ciqfunctions.udf.CIQ($A46, "IQ_MINORITY_INTEREST_TOTAL", IQ_LTM, $L$2, $L$4, $L$3, $L$5, $L$6)</f>
        <v>#NAME?</v>
      </c>
      <c r="N46" s="68" t="e">
        <f ca="1">_xll.ciqfunctions.udf.CIQ($A46, "IQ_CASH_ST_INVEST", IQ_LTM, $L$2, $L$4, $L$3, $L$5, $L$6)</f>
        <v>#NAME?</v>
      </c>
      <c r="O46" s="68" t="e">
        <f ca="1">_xll.ciqfunctions.udf.CIQ($A46, "IQ_TOTAL_REV", IQ_LTM-8, $L$2, $L$4, $L$3, $L$5, $L$6)</f>
        <v>#NAME?</v>
      </c>
      <c r="P46" s="68" t="e">
        <f ca="1">_xll.ciqfunctions.udf.CIQ($A46, "IQ_TOTAL_REV", IQ_LTM - 4, $L$2, $L$4, $L$3, $L$5,$L$6)</f>
        <v>#NAME?</v>
      </c>
      <c r="Q46" s="68" t="e">
        <f ca="1">_xll.ciqfunctions.udf.CIQ($A46, "IQ_TOTAL_REV", IQ_LTM, $L$2, $L$4, $L$3, $L$5, $L$6)</f>
        <v>#NAME?</v>
      </c>
      <c r="R46" s="68" t="e">
        <f ca="1">_xll.ciqfunctions.udf.CIQ($A46, "IQ_TOTAL_REV", $B$2, $L$2, $L$4, $L$3, $L$5, $L$6)</f>
        <v>#NAME?</v>
      </c>
      <c r="S46" s="68" t="e">
        <f ca="1">IF(_xll.ciqfunctions.udf.CIQ($A46, "IQ_TOTAL_REV", $B$3, $L$2,$L$4, $L$3, $L$5, $L$6)=0,Q46,_xll.ciqfunctions.udf.CIQ($A46, "IQ_TOTAL_REV", $B$3, $L$2,$L$4, $L$3, $L$5, $L$6))</f>
        <v>#NAME?</v>
      </c>
      <c r="T46" s="68" t="e">
        <f ca="1">IF(_xll.ciqfunctions.udf.CIQ($A46, "IQ_REVENUE_EST",$B$4, $L$2, "CON", $L$3, $L$5, $L$6)=0,"n/a",_xll.ciqfunctions.udf.CIQ($A46, "IQ_REVENUE_EST",$B$4, $L$2, "CON", $L$3, $L$5, $L$6))</f>
        <v>#NAME?</v>
      </c>
      <c r="U46" s="68" t="e">
        <f ca="1">IF(_xll.ciqfunctions.udf.CIQ($A46, "IQ_REVENUE_EST",$B$5, $L$2, "CON", $L$3, $L$5, $L$6)=0,"n/a",_xll.ciqfunctions.udf.CIQ($A46, "IQ_REVENUE_EST",$B$5, $L$2, "CON", $L$3, $L$5, $L$6))</f>
        <v>#NAME?</v>
      </c>
      <c r="V46" s="68" t="e">
        <f ca="1">IF(_xll.ciqfunctions.udf.CIQ($A46, "IQ_REVENUE_EST",$B$6, $L$2, "CON", $L$3, $L$5, $L$6)=0,"n/a",_xll.ciqfunctions.udf.CIQ($A46, "IQ_REVENUE_EST",$B$6, $L$2, "CON", $L$3, $L$5, $L$6))</f>
        <v>#NAME?</v>
      </c>
      <c r="W46" s="68" t="e">
        <f ca="1">IF(_xll.ciqfunctions.udf.CIQ($A46, "IQ_REVENUE_EST", $B$7, $L$2, "CON", $L$3, $L$5, $L$6)=0,"n/a",_xll.ciqfunctions.udf.CIQ($A46, "IQ_REVENUE_EST",$B$7, $L$2, "CON", $L$3, $L$5, $L$6))</f>
        <v>#NAME?</v>
      </c>
      <c r="X46" s="68" t="e">
        <f ca="1">_xll.ciqfunctions.udf.CIQ($A46, "IQ_EBITDA", IQ_LTM-8, $L$2, $L$4, $L$3, $L$5, $L$6)</f>
        <v>#NAME?</v>
      </c>
      <c r="Y46" s="68" t="e">
        <f ca="1">_xll.ciqfunctions.udf.CIQ($A46, "IQ_EBITDA", IQ_LTM-4, $L$2,$L$4, $L$3, $L$5, $L$6)</f>
        <v>#NAME?</v>
      </c>
      <c r="Z46" s="68" t="e">
        <f ca="1">_xll.ciqfunctions.udf.CIQ($A46, "IQ_EBITDA", IQ_LTM, $L$2, $L$4, $L$3, $L$5, $L$6)</f>
        <v>#NAME?</v>
      </c>
      <c r="AA46" s="68" t="e">
        <f ca="1">_xll.ciqfunctions.udf.CIQ($A46, "IQ_EBITDA", $B$2, $L$2, $L$4, $L$3, $L$5, $L$6)</f>
        <v>#NAME?</v>
      </c>
      <c r="AB46" s="68" t="e">
        <f ca="1">IF(_xll.ciqfunctions.udf.CIQ($A46, "IQ_EBITDA", $B$3, $L$2,$L$4, $L$3, $L$5, $L$6)=0,Z46,_xll.ciqfunctions.udf.CIQ($A46, "IQ_EBITDA", $B$3, $L$2,$L$4, $L$3, $L$5, $L$6))</f>
        <v>#NAME?</v>
      </c>
      <c r="AC46" s="68" t="e">
        <f ca="1">IF(_xll.ciqfunctions.udf.CIQ($A46, "IQ_EBITDA_EST",$B$4, $L$2, "CON", $L$3, $L$5, $L$6)=0,"n/a",_xll.ciqfunctions.udf.CIQ($A46, "IQ_EBITDA_EST",$B$4, $L$2, "CON", $L$3, $L$5, $L$6))</f>
        <v>#NAME?</v>
      </c>
      <c r="AD46" s="45" t="e">
        <f ca="1">IF(_xll.ciqfunctions.udf.CIQ($A46, "IQ_EBITDA_EST",$B$5, $L$2, "CON", $L$3, $L$5, $L$6)=0,"n/a",_xll.ciqfunctions.udf.CIQ($A46, "IQ_EBITDA_EST",$B$5, $L$2, "CON", $L$3, $L$5, $L$6))</f>
        <v>#NAME?</v>
      </c>
      <c r="AE46" s="68" t="e">
        <f ca="1">IF(_xll.ciqfunctions.udf.CIQ($A46, "IQ_EBITDA_EST",$B$6, $L$2, "CON", $L$3, $L$5, $L$6)=0,"n/a",_xll.ciqfunctions.udf.CIQ($A46, "IQ_EBITDA_EST",$B$6, $L$2, "CON", $L$3, $L$5, $L$6))</f>
        <v>#NAME?</v>
      </c>
      <c r="AF46" s="69" t="str">
        <f ca="1">IF(ISERROR(_xll.ciqfunctions.udf.CIQ($A46, "IQ_GROSS_MARGIN", IQ_LTM, $L$2,$L$4, $L$3, $L$5, $L$6)/100), "n/a", _xll.ciqfunctions.udf.CIQ($A46,  "IQ_GROSS_MARGIN", IQ_LTM, $L$2, $L$4, $L$3, $L$5, $L$6)/100)</f>
        <v>n/a</v>
      </c>
      <c r="AG46" s="69" t="str">
        <f ca="1">IF(ISERROR(_xll.ciqfunctions.udf.CIQ($A46,"IQ_EBITDA_MARGIN", IQ_LTM, $L$2, $L$4, $L$3, $L$5, $L$6)/100), "n/a", _xll.ciqfunctions.udf.CIQ($A46, "IQ_EBITDA_MARGIN", IQ_LTM, $L$2, $L$4, $L$3, $L$5, $L$6)/100)</f>
        <v>n/a</v>
      </c>
      <c r="AH46" s="69" t="str">
        <f ca="1">IF(ISERROR(_xll.ciqfunctions.udf.CIQ($A46,"IQ_EBIT_MARGIN", IQ_LTM, $L$2, $L$4, $L$3, $L$5, $L$6)/100), "n/a", _xll.ciqfunctions.udf.CIQ($A46, "IQ_EBIT_MARGIN", IQ_LTM, $L$2, $L$4, $L$3, $L$5, $L$6)/100)</f>
        <v>n/a</v>
      </c>
      <c r="AI46" s="69" t="str">
        <f ca="1">IF(ISERROR(_xll.ciqfunctions.udf.CIQ($A46,"IQ_NI_MARGIN", IQ_LTM, $L$2, $L$4, $L$3, $L$5, $L$6)/100), "n/a", _xll.ciqfunctions.udf.CIQ($A46, "IQ_NI_MARGIN", IQ_LTM, $L$2, $L$4, $L$3, $L$5, $L$6)/100)</f>
        <v>n/a</v>
      </c>
      <c r="AJ46" s="68" t="str">
        <f ca="1">IF(ISERROR(_xll.ciqfunctions.udf.CIQ($A46, "IQ_NET_WORKING_CAP", IQ_LTM-8, $L$2, $L$4, $L$3, $L$5, $L$6)), "n/a", _xll.ciqfunctions.udf.CIQ($A46, "IQ_NET_WORKING_CAP", IQ_LTM-8, $L$2, $L$4, $L$3, $L$5, $L$6))</f>
        <v>n/a</v>
      </c>
      <c r="AK46" s="68" t="str">
        <f ca="1">IF(ISERROR(_xll.ciqfunctions.udf.CIQ($A46, "IQ_NET_WORKING_CAP", IQ_LTM-4, $L$2, $L$4, $L$3, $L$5, $L$6)), "n/a", _xll.ciqfunctions.udf.CIQ($A46, "IQ_NET_WORKING_CAP", IQ_LTM-4, $L$2, $L$4, $L$3, $L$5, $L$6))</f>
        <v>n/a</v>
      </c>
      <c r="AL46" s="68" t="str">
        <f ca="1">IF(ISERROR(_xll.ciqfunctions.udf.CIQ($A46, "IQ_NET_WORKING_CAP", IQ_LTM, $L$2,$L$4, $L$3, $L$5, $L$6)), "n/a", _xll.ciqfunctions.udf.CIQ($A46, "IQ_NET_WORKING_CAP", IQ_LTM, $L$2, $L$4, $L$3, $L$5, $L$6))</f>
        <v>n/a</v>
      </c>
      <c r="AM46" s="68" t="str">
        <f ca="1">IF(ISERROR(_xll.ciqfunctions.udf.CIQ($A46, "IQ_Capex", IQ_LTM-8, $L$2,$L$4, $L$3, $L$5, $L$6)), "n/a", _xll.ciqfunctions.udf.CIQ($A46, "IQ_Capex", IQ_LTM-8, $L$2, $L$4, $L$3, $L$5, $L$6))</f>
        <v>n/a</v>
      </c>
      <c r="AN46" s="68" t="str">
        <f ca="1">IF(ISERROR(_xll.ciqfunctions.udf.CIQ($A46, "IQ_Capex", IQ_LTM-4, $L$2,$L$4, $L$3, $L$5, $L$6)), "n/a", _xll.ciqfunctions.udf.CIQ($A46, "IQ_Capex", IQ_LTM-4, $L$2,$L$4, $L$3, $L$5, $L$6))</f>
        <v>n/a</v>
      </c>
      <c r="AO46" s="68" t="str">
        <f ca="1">IF(ISERROR(_xll.ciqfunctions.udf.CIQ($A46, "IQ_Capex", IQ_LTM, $L$2, $L$4, $L$3, $L$5, $L$6)), "n/a", _xll.ciqfunctions.udf.CIQ($A46, "IQ_Capex", IQ_LTM, $L$2, $L$4, $L$3, $L$5, $L$6))</f>
        <v>n/a</v>
      </c>
      <c r="AP46" s="70" t="e">
        <f ca="1">_xll.ciqfunctions.udf.CIQ(A46, "IQ_BUSINESS_DESCRIPTION")</f>
        <v>#NAME?</v>
      </c>
      <c r="AQ46" s="71" t="e">
        <f ca="1">_xll.ciqfunctions.udf.CIQ($A46, "IQ_BETA_1YR", $B$1)</f>
        <v>#NAME?</v>
      </c>
      <c r="AR46" s="71" t="e">
        <f ca="1">_xll.ciqfunctions.udf.CIQ($A46, "IQ_BETA_2YR", $B$1)</f>
        <v>#NAME?</v>
      </c>
      <c r="AS46" s="71" t="e">
        <f ca="1">_xll.ciqfunctions.udf.CIQ($A46, "IQ_BETA_5YR", $B$1)</f>
        <v>#NAME?</v>
      </c>
      <c r="AT46" s="45" t="e">
        <f ca="1">_xll.ciqfunctions.udf.CIQ($B46, "IQ_GP", IQ_LTM,$B$1, ,,"USD")</f>
        <v>#NAME?</v>
      </c>
      <c r="AU46" s="68" t="e">
        <f ca="1">_xll.ciqfunctions.udf.CIQ($A46, "IQ_EARNING_CO", IQ_LTM-8, $L$2, $L$4, $L$3, $L$5, $L$6)</f>
        <v>#NAME?</v>
      </c>
      <c r="AV46" s="68" t="e">
        <f ca="1">_xll.ciqfunctions.udf.CIQ($A46, "IQ_EARNING_CO", IQ_LTM-4, $L$2, $L$4, $L$3, $L$5, $L$6)</f>
        <v>#NAME?</v>
      </c>
      <c r="AW46" s="68" t="e">
        <f ca="1">_xll.ciqfunctions.udf.CIQ($A46, "IQ_EARNING_CO", IQ_LTM, $L$2, $L$4, $L$3, $L$5, $L$6)</f>
        <v>#NAME?</v>
      </c>
      <c r="AX46" s="68" t="e">
        <f ca="1">_xll.ciqfunctions.udf.CIQ($A46, "IQ_EARNING_CO", $B$2, $L$2, $L$4, $L$3, $L$5, $L$6)</f>
        <v>#NAME?</v>
      </c>
      <c r="AY46" s="68" t="e">
        <f ca="1">IF(_xll.ciqfunctions.udf.CIQ($A46, "IQ_EARNING_CO", $B$3, $L$2,$L$4, $L$3, $L$5, $L$6)=0,AW46,_xll.ciqfunctions.udf.CIQ($A46, "IQ_EARNING_CO", $B$3, $L$2,$L$4, $L$3, $L$5, $L$6))</f>
        <v>#NAME?</v>
      </c>
      <c r="AZ46" s="68" t="e">
        <f ca="1">_xll.ciqfunctions.udf.CIQ($A46, "IQ_TOTAL_EQUITY", IQ_LTM-8, $L$2, $L$4, $L$3, $L$5, $L$6)</f>
        <v>#NAME?</v>
      </c>
      <c r="BA46" s="68" t="e">
        <f ca="1">_xll.ciqfunctions.udf.CIQ($A46, "IQ_TOTAL_EQUITY", IQ_LTM-4, $L$2, $L$4, $L$3, $L$5, $L$6)</f>
        <v>#NAME?</v>
      </c>
      <c r="BB46" s="68" t="e">
        <f ca="1">_xll.ciqfunctions.udf.CIQ($A46, "IQ_TOTAL_EQUITY", IQ_LTM, $L$2, $L$4, $L$3, $L$5, $L$6)</f>
        <v>#NAME?</v>
      </c>
      <c r="BC46" s="68" t="e">
        <f ca="1">_xll.ciqfunctions.udf.CIQ($A46, "IQ_TOTAL_EQUITY", $B$2, $L$2, $L$4, $L$3, $L$5, $L$6)</f>
        <v>#NAME?</v>
      </c>
      <c r="BD46" s="68" t="e">
        <f ca="1">IF(_xll.ciqfunctions.udf.CIQ($A46, "IQ_TOTAL_EQUITY", $B$3, $L$2,$L$4, $L$3, $L$5, $L$6)=0,BB46,_xll.ciqfunctions.udf.CIQ($A46, "IQ_TOTAL_EQUITY", $B$3, $L$2,$L$4, $L$3, $L$5, $L$6))</f>
        <v>#NAME?</v>
      </c>
      <c r="BE46" s="68" t="e">
        <f ca="1">_xll.ciqfunctions.udf.CIQ(A46, "IQ_LASTSALEPRICE", $B$8)</f>
        <v>#NAME?</v>
      </c>
      <c r="BF46" s="68" t="e">
        <f ca="1">_xll.ciqfunctions.udf.CIQ($A46, "IQ_MARKETCAP", $B$8, $L$5, $L$6)</f>
        <v>#NAME?</v>
      </c>
      <c r="BG46" s="68" t="e">
        <f ca="1">_xll.ciqfunctions.udf.CIQ($A46, "IQ_TOTAL_DEBT", IQ_LTM, $B$8,$L$4, $L$3, $L$5, $L$6)</f>
        <v>#NAME?</v>
      </c>
      <c r="BH46" s="44" t="e">
        <f ca="1">_xll.ciqfunctions.udf.CIQ($A46,"IQ_PREF_EQUITY",IQ_LTM,$B$8,$L$4,$L$3,$L$5,$L$6)</f>
        <v>#NAME?</v>
      </c>
      <c r="BI46" s="44" t="e">
        <f ca="1">_xll.ciqfunctions.udf.CIQ($A46, "IQ_MINORITY_INTEREST_TOTAL", IQ_LTM,$B$8,$L$4,$L$3,$L$5,$L$6)</f>
        <v>#NAME?</v>
      </c>
      <c r="BJ46" s="68" t="e">
        <f ca="1">_xll.ciqfunctions.udf.CIQ($A46, "IQ_CASH_ST_INVEST", IQ_LTM, $B$8, $L$4, $L$3, $L$5, $L$6)</f>
        <v>#NAME?</v>
      </c>
      <c r="BK46" s="44" t="e">
        <f ca="1">_xll.ciqfunctions.udf.CIQ($A46, "IQ_EFFECT_TAX_RATE")</f>
        <v>#NAME?</v>
      </c>
      <c r="BL46" s="44" t="e">
        <f ca="1">IF(_xll.ciqfunctions.udf.CIQ($A46, "IQ_TOTAL_REV_2YR_ANN_CAGR", IQ_LTM, $B$1,$L$4, $L$3, $L$5, $L$6)="NM","n/a",(_xll.ciqfunctions.udf.CIQ($A46, "IQ_TOTAL_REV_2YR_ANN_CAGR", IQ_LTM, $B$1,$L$4, $L$3, $L$5, $L$6)/100))</f>
        <v>#NAME?</v>
      </c>
      <c r="BM46" s="44" t="e">
        <f ca="1">IF(_xll.ciqfunctions.udf.CIQ($A46, "IQ_TOTAL_REV_3YR_ANN_CAGR", IQ_LTM, $B$1,$L$4, $L$3, $L$5, $L$6)="NM","n/a",(_xll.ciqfunctions.udf.CIQ($A46, "IQ_TOTAL_REV_3YR_ANN_CAGR", IQ_LTM, $B$1,$L$4, $L$3, $L$5, $L$6)/100))</f>
        <v>#NAME?</v>
      </c>
      <c r="BN46" s="44" t="e">
        <f ca="1">IF(_xll.ciqfunctions.udf.CIQ($A46, "IQ_TOTAL_REV_5YR_ANN_CAGR", IQ_LTM, $B$1,$L$4, $L$3, $L$5, $L$6)="NM","n/a",(_xll.ciqfunctions.udf.CIQ($A46, "IQ_TOTAL_REV_5YR_ANN_CAGR", IQ_LTM, $B$1,$L$4, $L$3, $L$5, $L$6)/100))</f>
        <v>#NAME?</v>
      </c>
      <c r="BO46" s="44" t="e">
        <f ca="1">IF(_xll.ciqfunctions.udf.CIQ($A46,"IQ_EBITDA_2YR_ANN_CAGR", IQ_LTM,$B$1,$L$4, $L$3, $L$5, $L$6)="NM","n/a",(_xll.ciqfunctions.udf.CIQ($A46,"IQ_EBITDA_2YR_ANN_CAGR", IQ_LTM,$B$1,$L$4, $L$3, $L$5, $L$6)/100))</f>
        <v>#NAME?</v>
      </c>
      <c r="BP46" s="44" t="e">
        <f ca="1">IF(_xll.ciqfunctions.udf.CIQ($A46,"IQ_EBITDA_3YR_ANN_CAGR", IQ_LTM,$B$1,$L$4, $L$3, $L$5, $L$6)="NM","n/a",(_xll.ciqfunctions.udf.CIQ($A46,"IQ_EBITDA_3YR_ANN_CAGR", IQ_LTM,$B$1,$L$4, $L$3, $L$5, $L$6)/100))</f>
        <v>#NAME?</v>
      </c>
      <c r="BQ46" s="44" t="e">
        <f ca="1">IF(_xll.ciqfunctions.udf.CIQ($A46,"IQ_EBITDA_5YR_ANN_CAGR", IQ_LTM,$B$1,$L$4, $L$3, $L$5, $L$6)="NM","n/a",(_xll.ciqfunctions.udf.CIQ($A46,"IQ_EBITDA_5YR_ANN_CAGR", IQ_LTM,$B$1,$L$4, $L$3, $L$5, $L$6)/100))</f>
        <v>#NAME?</v>
      </c>
      <c r="BR46" s="48" t="str">
        <f ca="1">IFERROR((_xll.ciqfunctions.udf.CIQ($A46, "IQ_DA_CF", IQ_LTM, $B$1, $L$4, $L$3, $L$5, $L$6)/Q46),"NM")</f>
        <v>NM</v>
      </c>
      <c r="BS46" s="69" t="e">
        <f>'Capital IQ Sheet-GPC'!BS46</f>
        <v>#VALUE!</v>
      </c>
      <c r="BT46" s="69" t="e">
        <f>'Capital IQ Sheet-GPC'!BT46</f>
        <v>#VALUE!</v>
      </c>
      <c r="BU46" s="69" t="e">
        <f>'Capital IQ Sheet-GPC'!BU46</f>
        <v>#VALUE!</v>
      </c>
      <c r="BV46" s="69" t="e">
        <f>'Capital IQ Sheet-GPC'!BV46</f>
        <v>#VALUE!</v>
      </c>
      <c r="BW46" s="69" t="e">
        <f>'Capital IQ Sheet-GPC'!BW46</f>
        <v>#VALUE!</v>
      </c>
      <c r="BX46" s="69" t="e">
        <f>'Capital IQ Sheet-GPC'!BX46</f>
        <v>#VALUE!</v>
      </c>
      <c r="BY46" s="69" t="e">
        <f>'Capital IQ Sheet-GPC'!BY46</f>
        <v>#VALUE!</v>
      </c>
      <c r="BZ46" s="69" t="e">
        <f>'Capital IQ Sheet-GPC'!BZ46</f>
        <v>#VALUE!</v>
      </c>
    </row>
    <row r="47" spans="1:83">
      <c r="A47" s="45" t="e">
        <f ca="1">_xll.ciqfunctions.udf.CIQ($B47,"IQ_COMPANY_TICKER")</f>
        <v>#NAME?</v>
      </c>
      <c r="B47" s="67" t="str">
        <f>'Capital IQ Sheet-GPC'!B47</f>
        <v>(Invalid Identifier)</v>
      </c>
      <c r="C47" s="45" t="e">
        <f ca="1">_xll.ciqfunctions.udf.CIQ($A47,"IQ_COMPANY_NAME")</f>
        <v>#NAME?</v>
      </c>
      <c r="D47" s="45" t="e">
        <f ca="1">_xll.ciqfunctions.udf.CIQ($A47, "IQ_EXCHANGE")</f>
        <v>#NAME?</v>
      </c>
      <c r="E47" s="66" t="e">
        <f ca="1">_xll.ciqfunctions.udf.CIQ($A47, "IQ_PERIODDATE_IS", IQ_FY)</f>
        <v>#NAME?</v>
      </c>
      <c r="F47" s="66" t="e">
        <f ca="1">_xll.ciqfunctions.udf.CIQ(A47, "IQ_PERIODDATE_IS", IQ_LTM, $B$1,$L$4,$L$3)</f>
        <v>#NAME?</v>
      </c>
      <c r="G47" s="66" t="e">
        <f ca="1">_xll.ciqfunctions.udf.CIQ($A47, "IQ_FIRSTPRICINGDATE")</f>
        <v>#NAME?</v>
      </c>
      <c r="H47" s="68" t="e">
        <f ca="1">_xll.ciqfunctions.udf.CIQ($A47, "IQ_TEV", $L$2, $L$5, $L$6)</f>
        <v>#NAME?</v>
      </c>
      <c r="I47" s="68" t="e">
        <f ca="1">_xll.ciqfunctions.udf.CIQ(A47, "IQ_LASTSALEPRICE", $B$1,$L$5)</f>
        <v>#NAME?</v>
      </c>
      <c r="J47" s="66" t="e">
        <f ca="1">_xll.ciqfunctions.udf.CIQ($B47, "IQ_FIRSTPRICINGDATE")</f>
        <v>#NAME?</v>
      </c>
      <c r="K47" s="68" t="e">
        <f ca="1">_xll.ciqfunctions.udf.CIQ($A47, "IQ_TOTAL_DEBT", IQ_LTM, $L$2,$L$4, $L$3, $L$5, $L$6)</f>
        <v>#NAME?</v>
      </c>
      <c r="L47" s="68" t="e">
        <f ca="1">_xll.ciqfunctions.udf.CIQ($A47, "IQ_PREF_EQUITY", IQ_LTM, $L$2, $L$4, $L$3, $L$5, $L$6)</f>
        <v>#NAME?</v>
      </c>
      <c r="M47" s="68" t="e">
        <f ca="1">_xll.ciqfunctions.udf.CIQ($A47, "IQ_MINORITY_INTEREST_TOTAL", IQ_LTM, $L$2, $L$4, $L$3, $L$5, $L$6)</f>
        <v>#NAME?</v>
      </c>
      <c r="N47" s="68" t="e">
        <f ca="1">_xll.ciqfunctions.udf.CIQ($A47, "IQ_CASH_ST_INVEST", IQ_LTM, $L$2, $L$4, $L$3, $L$5, $L$6)</f>
        <v>#NAME?</v>
      </c>
      <c r="O47" s="68" t="e">
        <f ca="1">_xll.ciqfunctions.udf.CIQ($A47, "IQ_TOTAL_REV", IQ_LTM-8, $L$2, $L$4, $L$3, $L$5, $L$6)</f>
        <v>#NAME?</v>
      </c>
      <c r="P47" s="68" t="e">
        <f ca="1">_xll.ciqfunctions.udf.CIQ($A47, "IQ_TOTAL_REV", IQ_LTM - 4, $L$2, $L$4, $L$3, $L$5,$L$6)</f>
        <v>#NAME?</v>
      </c>
      <c r="Q47" s="68" t="e">
        <f ca="1">_xll.ciqfunctions.udf.CIQ($A47, "IQ_TOTAL_REV", IQ_LTM, $L$2, $L$4, $L$3, $L$5, $L$6)</f>
        <v>#NAME?</v>
      </c>
      <c r="R47" s="68" t="e">
        <f ca="1">_xll.ciqfunctions.udf.CIQ($A47, "IQ_TOTAL_REV", $B$2, $L$2, $L$4, $L$3, $L$5, $L$6)</f>
        <v>#NAME?</v>
      </c>
      <c r="S47" s="68" t="e">
        <f ca="1">IF(_xll.ciqfunctions.udf.CIQ($A47, "IQ_TOTAL_REV", $B$3, $L$2,$L$4, $L$3, $L$5, $L$6)=0,Q47,_xll.ciqfunctions.udf.CIQ($A47, "IQ_TOTAL_REV", $B$3, $L$2,$L$4, $L$3, $L$5, $L$6))</f>
        <v>#NAME?</v>
      </c>
      <c r="T47" s="68" t="e">
        <f ca="1">IF(_xll.ciqfunctions.udf.CIQ($A47, "IQ_REVENUE_EST",$B$4, $L$2, "CON", $L$3, $L$5, $L$6)=0,"n/a",_xll.ciqfunctions.udf.CIQ($A47, "IQ_REVENUE_EST",$B$4, $L$2, "CON", $L$3, $L$5, $L$6))</f>
        <v>#NAME?</v>
      </c>
      <c r="U47" s="68" t="e">
        <f ca="1">IF(_xll.ciqfunctions.udf.CIQ($A47, "IQ_REVENUE_EST",$B$5, $L$2, "CON", $L$3, $L$5, $L$6)=0,"n/a",_xll.ciqfunctions.udf.CIQ($A47, "IQ_REVENUE_EST",$B$5, $L$2, "CON", $L$3, $L$5, $L$6))</f>
        <v>#NAME?</v>
      </c>
      <c r="V47" s="68" t="e">
        <f ca="1">IF(_xll.ciqfunctions.udf.CIQ($A47, "IQ_REVENUE_EST",$B$6, $L$2, "CON", $L$3, $L$5, $L$6)=0,"n/a",_xll.ciqfunctions.udf.CIQ($A47, "IQ_REVENUE_EST",$B$6, $L$2, "CON", $L$3, $L$5, $L$6))</f>
        <v>#NAME?</v>
      </c>
      <c r="W47" s="68" t="e">
        <f ca="1">IF(_xll.ciqfunctions.udf.CIQ($A47, "IQ_REVENUE_EST", $B$7, $L$2, "CON", $L$3, $L$5, $L$6)=0,"n/a",_xll.ciqfunctions.udf.CIQ($A47, "IQ_REVENUE_EST",$B$7, $L$2, "CON", $L$3, $L$5, $L$6))</f>
        <v>#NAME?</v>
      </c>
      <c r="X47" s="68" t="e">
        <f ca="1">_xll.ciqfunctions.udf.CIQ($A47, "IQ_EBITDA", IQ_LTM-8, $L$2, $L$4, $L$3, $L$5, $L$6)</f>
        <v>#NAME?</v>
      </c>
      <c r="Y47" s="68" t="e">
        <f ca="1">_xll.ciqfunctions.udf.CIQ($A47, "IQ_EBITDA", IQ_LTM-4, $L$2,$L$4, $L$3, $L$5, $L$6)</f>
        <v>#NAME?</v>
      </c>
      <c r="Z47" s="68" t="e">
        <f ca="1">_xll.ciqfunctions.udf.CIQ($A47, "IQ_EBITDA", IQ_LTM, $L$2, $L$4, $L$3, $L$5, $L$6)</f>
        <v>#NAME?</v>
      </c>
      <c r="AA47" s="68" t="e">
        <f ca="1">_xll.ciqfunctions.udf.CIQ($A47, "IQ_EBITDA", $B$2, $L$2, $L$4, $L$3, $L$5, $L$6)</f>
        <v>#NAME?</v>
      </c>
      <c r="AB47" s="68" t="e">
        <f ca="1">IF(_xll.ciqfunctions.udf.CIQ($A47, "IQ_EBITDA", $B$3, $L$2,$L$4, $L$3, $L$5, $L$6)=0,Z47,_xll.ciqfunctions.udf.CIQ($A47, "IQ_EBITDA", $B$3, $L$2,$L$4, $L$3, $L$5, $L$6))</f>
        <v>#NAME?</v>
      </c>
      <c r="AC47" s="68" t="e">
        <f ca="1">IF(_xll.ciqfunctions.udf.CIQ($A47, "IQ_EBITDA_EST",$B$4, $L$2, "CON", $L$3, $L$5, $L$6)=0,"n/a",_xll.ciqfunctions.udf.CIQ($A47, "IQ_EBITDA_EST",$B$4, $L$2, "CON", $L$3, $L$5, $L$6))</f>
        <v>#NAME?</v>
      </c>
      <c r="AD47" s="45" t="e">
        <f ca="1">IF(_xll.ciqfunctions.udf.CIQ($A47, "IQ_EBITDA_EST",$B$5, $L$2, "CON", $L$3, $L$5, $L$6)=0,"n/a",_xll.ciqfunctions.udf.CIQ($A47, "IQ_EBITDA_EST",$B$5, $L$2, "CON", $L$3, $L$5, $L$6))</f>
        <v>#NAME?</v>
      </c>
      <c r="AE47" s="68" t="e">
        <f ca="1">IF(_xll.ciqfunctions.udf.CIQ($A47, "IQ_EBITDA_EST",$B$6, $L$2, "CON", $L$3, $L$5, $L$6)=0,"n/a",_xll.ciqfunctions.udf.CIQ($A47, "IQ_EBITDA_EST",$B$6, $L$2, "CON", $L$3, $L$5, $L$6))</f>
        <v>#NAME?</v>
      </c>
      <c r="AF47" s="69" t="str">
        <f ca="1">IF(ISERROR(_xll.ciqfunctions.udf.CIQ($A47, "IQ_GROSS_MARGIN", IQ_LTM, $L$2,$L$4, $L$3, $L$5, $L$6)/100), "n/a", _xll.ciqfunctions.udf.CIQ($A47,  "IQ_GROSS_MARGIN", IQ_LTM, $L$2, $L$4, $L$3, $L$5, $L$6)/100)</f>
        <v>n/a</v>
      </c>
      <c r="AG47" s="69" t="str">
        <f ca="1">IF(ISERROR(_xll.ciqfunctions.udf.CIQ($A47,"IQ_EBITDA_MARGIN", IQ_LTM, $L$2, $L$4, $L$3, $L$5, $L$6)/100), "n/a", _xll.ciqfunctions.udf.CIQ($A47, "IQ_EBITDA_MARGIN", IQ_LTM, $L$2, $L$4, $L$3, $L$5, $L$6)/100)</f>
        <v>n/a</v>
      </c>
      <c r="AH47" s="69" t="str">
        <f ca="1">IF(ISERROR(_xll.ciqfunctions.udf.CIQ($A47,"IQ_EBIT_MARGIN", IQ_LTM, $L$2, $L$4, $L$3, $L$5, $L$6)/100), "n/a", _xll.ciqfunctions.udf.CIQ($A47, "IQ_EBIT_MARGIN", IQ_LTM, $L$2, $L$4, $L$3, $L$5, $L$6)/100)</f>
        <v>n/a</v>
      </c>
      <c r="AI47" s="69" t="str">
        <f ca="1">IF(ISERROR(_xll.ciqfunctions.udf.CIQ($A47,"IQ_NI_MARGIN", IQ_LTM, $L$2, $L$4, $L$3, $L$5, $L$6)/100), "n/a", _xll.ciqfunctions.udf.CIQ($A47, "IQ_NI_MARGIN", IQ_LTM, $L$2, $L$4, $L$3, $L$5, $L$6)/100)</f>
        <v>n/a</v>
      </c>
      <c r="AJ47" s="68" t="str">
        <f ca="1">IF(ISERROR(_xll.ciqfunctions.udf.CIQ($A47, "IQ_NET_WORKING_CAP", IQ_LTM-8, $L$2, $L$4, $L$3, $L$5, $L$6)), "n/a", _xll.ciqfunctions.udf.CIQ($A47, "IQ_NET_WORKING_CAP", IQ_LTM-8, $L$2, $L$4, $L$3, $L$5, $L$6))</f>
        <v>n/a</v>
      </c>
      <c r="AK47" s="68" t="str">
        <f ca="1">IF(ISERROR(_xll.ciqfunctions.udf.CIQ($A47, "IQ_NET_WORKING_CAP", IQ_LTM-4, $L$2, $L$4, $L$3, $L$5, $L$6)), "n/a", _xll.ciqfunctions.udf.CIQ($A47, "IQ_NET_WORKING_CAP", IQ_LTM-4, $L$2, $L$4, $L$3, $L$5, $L$6))</f>
        <v>n/a</v>
      </c>
      <c r="AL47" s="68" t="str">
        <f ca="1">IF(ISERROR(_xll.ciqfunctions.udf.CIQ($A47, "IQ_NET_WORKING_CAP", IQ_LTM, $L$2,$L$4, $L$3, $L$5, $L$6)), "n/a", _xll.ciqfunctions.udf.CIQ($A47, "IQ_NET_WORKING_CAP", IQ_LTM, $L$2, $L$4, $L$3, $L$5, $L$6))</f>
        <v>n/a</v>
      </c>
      <c r="AM47" s="68" t="str">
        <f ca="1">IF(ISERROR(_xll.ciqfunctions.udf.CIQ($A47, "IQ_Capex", IQ_LTM-8, $L$2,$L$4, $L$3, $L$5, $L$6)), "n/a", _xll.ciqfunctions.udf.CIQ($A47, "IQ_Capex", IQ_LTM-8, $L$2, $L$4, $L$3, $L$5, $L$6))</f>
        <v>n/a</v>
      </c>
      <c r="AN47" s="68" t="str">
        <f ca="1">IF(ISERROR(_xll.ciqfunctions.udf.CIQ($A47, "IQ_Capex", IQ_LTM-4, $L$2,$L$4, $L$3, $L$5, $L$6)), "n/a", _xll.ciqfunctions.udf.CIQ($A47, "IQ_Capex", IQ_LTM-4, $L$2,$L$4, $L$3, $L$5, $L$6))</f>
        <v>n/a</v>
      </c>
      <c r="AO47" s="68" t="str">
        <f ca="1">IF(ISERROR(_xll.ciqfunctions.udf.CIQ($A47, "IQ_Capex", IQ_LTM, $L$2, $L$4, $L$3, $L$5, $L$6)), "n/a", _xll.ciqfunctions.udf.CIQ($A47, "IQ_Capex", IQ_LTM, $L$2, $L$4, $L$3, $L$5, $L$6))</f>
        <v>n/a</v>
      </c>
      <c r="AP47" s="70" t="e">
        <f ca="1">_xll.ciqfunctions.udf.CIQ(A47, "IQ_BUSINESS_DESCRIPTION")</f>
        <v>#NAME?</v>
      </c>
      <c r="AQ47" s="71" t="e">
        <f ca="1">_xll.ciqfunctions.udf.CIQ($A47, "IQ_BETA_1YR", $B$1)</f>
        <v>#NAME?</v>
      </c>
      <c r="AR47" s="71" t="e">
        <f ca="1">_xll.ciqfunctions.udf.CIQ($A47, "IQ_BETA_2YR", $B$1)</f>
        <v>#NAME?</v>
      </c>
      <c r="AS47" s="71" t="e">
        <f ca="1">_xll.ciqfunctions.udf.CIQ($A47, "IQ_BETA_5YR", $B$1)</f>
        <v>#NAME?</v>
      </c>
      <c r="AT47" s="45" t="e">
        <f ca="1">_xll.ciqfunctions.udf.CIQ($B47, "IQ_GP", IQ_LTM,$B$1, ,,"USD")</f>
        <v>#NAME?</v>
      </c>
      <c r="AU47" s="68" t="e">
        <f ca="1">_xll.ciqfunctions.udf.CIQ($A47, "IQ_EARNING_CO", IQ_LTM-8, $L$2, $L$4, $L$3, $L$5, $L$6)</f>
        <v>#NAME?</v>
      </c>
      <c r="AV47" s="68" t="e">
        <f ca="1">_xll.ciqfunctions.udf.CIQ($A47, "IQ_EARNING_CO", IQ_LTM-4, $L$2, $L$4, $L$3, $L$5, $L$6)</f>
        <v>#NAME?</v>
      </c>
      <c r="AW47" s="68" t="e">
        <f ca="1">_xll.ciqfunctions.udf.CIQ($A47, "IQ_EARNING_CO", IQ_LTM, $L$2, $L$4, $L$3, $L$5, $L$6)</f>
        <v>#NAME?</v>
      </c>
      <c r="AX47" s="68" t="e">
        <f ca="1">_xll.ciqfunctions.udf.CIQ($A47, "IQ_EARNING_CO", $B$2, $L$2, $L$4, $L$3, $L$5, $L$6)</f>
        <v>#NAME?</v>
      </c>
      <c r="AY47" s="68" t="e">
        <f ca="1">IF(_xll.ciqfunctions.udf.CIQ($A47, "IQ_EARNING_CO", $B$3, $L$2,$L$4, $L$3, $L$5, $L$6)=0,AW47,_xll.ciqfunctions.udf.CIQ($A47, "IQ_EARNING_CO", $B$3, $L$2,$L$4, $L$3, $L$5, $L$6))</f>
        <v>#NAME?</v>
      </c>
      <c r="AZ47" s="68" t="e">
        <f ca="1">_xll.ciqfunctions.udf.CIQ($A47, "IQ_TOTAL_EQUITY", IQ_LTM-8, $L$2, $L$4, $L$3, $L$5, $L$6)</f>
        <v>#NAME?</v>
      </c>
      <c r="BA47" s="68" t="e">
        <f ca="1">_xll.ciqfunctions.udf.CIQ($A47, "IQ_TOTAL_EQUITY", IQ_LTM-4, $L$2, $L$4, $L$3, $L$5, $L$6)</f>
        <v>#NAME?</v>
      </c>
      <c r="BB47" s="68" t="e">
        <f ca="1">_xll.ciqfunctions.udf.CIQ($A47, "IQ_TOTAL_EQUITY", IQ_LTM, $L$2, $L$4, $L$3, $L$5, $L$6)</f>
        <v>#NAME?</v>
      </c>
      <c r="BC47" s="68" t="e">
        <f ca="1">_xll.ciqfunctions.udf.CIQ($A47, "IQ_TOTAL_EQUITY", $B$2, $L$2, $L$4, $L$3, $L$5, $L$6)</f>
        <v>#NAME?</v>
      </c>
      <c r="BD47" s="68" t="e">
        <f ca="1">IF(_xll.ciqfunctions.udf.CIQ($A47, "IQ_TOTAL_EQUITY", $B$3, $L$2,$L$4, $L$3, $L$5, $L$6)=0,BB47,_xll.ciqfunctions.udf.CIQ($A47, "IQ_TOTAL_EQUITY", $B$3, $L$2,$L$4, $L$3, $L$5, $L$6))</f>
        <v>#NAME?</v>
      </c>
      <c r="BE47" s="68" t="e">
        <f ca="1">_xll.ciqfunctions.udf.CIQ(A47, "IQ_LASTSALEPRICE", $B$8)</f>
        <v>#NAME?</v>
      </c>
      <c r="BF47" s="68" t="e">
        <f ca="1">_xll.ciqfunctions.udf.CIQ($A47, "IQ_MARKETCAP", $B$8, $L$5, $L$6)</f>
        <v>#NAME?</v>
      </c>
      <c r="BG47" s="68" t="e">
        <f ca="1">_xll.ciqfunctions.udf.CIQ($A47, "IQ_TOTAL_DEBT", IQ_LTM, $B$8,$L$4, $L$3, $L$5, $L$6)</f>
        <v>#NAME?</v>
      </c>
      <c r="BH47" s="44" t="e">
        <f ca="1">_xll.ciqfunctions.udf.CIQ($A47,"IQ_PREF_EQUITY",IQ_LTM,$B$8,$L$4,$L$3,$L$5,$L$6)</f>
        <v>#NAME?</v>
      </c>
      <c r="BI47" s="44" t="e">
        <f ca="1">_xll.ciqfunctions.udf.CIQ($A47, "IQ_MINORITY_INTEREST_TOTAL", IQ_LTM,$B$8,$L$4,$L$3,$L$5,$L$6)</f>
        <v>#NAME?</v>
      </c>
      <c r="BJ47" s="68" t="e">
        <f ca="1">_xll.ciqfunctions.udf.CIQ($A47, "IQ_CASH_ST_INVEST", IQ_LTM, $B$8, $L$4, $L$3, $L$5, $L$6)</f>
        <v>#NAME?</v>
      </c>
      <c r="BK47" s="44" t="e">
        <f ca="1">_xll.ciqfunctions.udf.CIQ($A47, "IQ_EFFECT_TAX_RATE")</f>
        <v>#NAME?</v>
      </c>
      <c r="BL47" s="44" t="e">
        <f ca="1">IF(_xll.ciqfunctions.udf.CIQ($A47, "IQ_TOTAL_REV_2YR_ANN_CAGR", IQ_LTM, $B$1,$L$4, $L$3, $L$5, $L$6)="NM","n/a",(_xll.ciqfunctions.udf.CIQ($A47, "IQ_TOTAL_REV_2YR_ANN_CAGR", IQ_LTM, $B$1,$L$4, $L$3, $L$5, $L$6)/100))</f>
        <v>#NAME?</v>
      </c>
      <c r="BM47" s="44" t="e">
        <f ca="1">IF(_xll.ciqfunctions.udf.CIQ($A47, "IQ_TOTAL_REV_3YR_ANN_CAGR", IQ_LTM, $B$1,$L$4, $L$3, $L$5, $L$6)="NM","n/a",(_xll.ciqfunctions.udf.CIQ($A47, "IQ_TOTAL_REV_3YR_ANN_CAGR", IQ_LTM, $B$1,$L$4, $L$3, $L$5, $L$6)/100))</f>
        <v>#NAME?</v>
      </c>
      <c r="BN47" s="44" t="e">
        <f ca="1">IF(_xll.ciqfunctions.udf.CIQ($A47, "IQ_TOTAL_REV_5YR_ANN_CAGR", IQ_LTM, $B$1,$L$4, $L$3, $L$5, $L$6)="NM","n/a",(_xll.ciqfunctions.udf.CIQ($A47, "IQ_TOTAL_REV_5YR_ANN_CAGR", IQ_LTM, $B$1,$L$4, $L$3, $L$5, $L$6)/100))</f>
        <v>#NAME?</v>
      </c>
      <c r="BO47" s="44" t="e">
        <f ca="1">IF(_xll.ciqfunctions.udf.CIQ($A47,"IQ_EBITDA_2YR_ANN_CAGR", IQ_LTM,$B$1,$L$4, $L$3, $L$5, $L$6)="NM","n/a",(_xll.ciqfunctions.udf.CIQ($A47,"IQ_EBITDA_2YR_ANN_CAGR", IQ_LTM,$B$1,$L$4, $L$3, $L$5, $L$6)/100))</f>
        <v>#NAME?</v>
      </c>
      <c r="BP47" s="44" t="e">
        <f ca="1">IF(_xll.ciqfunctions.udf.CIQ($A47,"IQ_EBITDA_3YR_ANN_CAGR", IQ_LTM,$B$1,$L$4, $L$3, $L$5, $L$6)="NM","n/a",(_xll.ciqfunctions.udf.CIQ($A47,"IQ_EBITDA_3YR_ANN_CAGR", IQ_LTM,$B$1,$L$4, $L$3, $L$5, $L$6)/100))</f>
        <v>#NAME?</v>
      </c>
      <c r="BQ47" s="44" t="e">
        <f ca="1">IF(_xll.ciqfunctions.udf.CIQ($A47,"IQ_EBITDA_5YR_ANN_CAGR", IQ_LTM,$B$1,$L$4, $L$3, $L$5, $L$6)="NM","n/a",(_xll.ciqfunctions.udf.CIQ($A47,"IQ_EBITDA_5YR_ANN_CAGR", IQ_LTM,$B$1,$L$4, $L$3, $L$5, $L$6)/100))</f>
        <v>#NAME?</v>
      </c>
      <c r="BR47" s="48" t="str">
        <f ca="1">IFERROR((_xll.ciqfunctions.udf.CIQ($A47, "IQ_DA_CF", IQ_LTM, $B$1, $L$4, $L$3, $L$5, $L$6)/Q47),"NM")</f>
        <v>NM</v>
      </c>
      <c r="BS47" s="69" t="e">
        <f>'Capital IQ Sheet-GPC'!BS47</f>
        <v>#VALUE!</v>
      </c>
      <c r="BT47" s="69" t="e">
        <f>'Capital IQ Sheet-GPC'!BT47</f>
        <v>#VALUE!</v>
      </c>
      <c r="BU47" s="69" t="e">
        <f>'Capital IQ Sheet-GPC'!BU47</f>
        <v>#VALUE!</v>
      </c>
      <c r="BV47" s="69" t="e">
        <f>'Capital IQ Sheet-GPC'!BV47</f>
        <v>#VALUE!</v>
      </c>
      <c r="BW47" s="69" t="e">
        <f>'Capital IQ Sheet-GPC'!BW47</f>
        <v>#VALUE!</v>
      </c>
      <c r="BX47" s="69" t="e">
        <f>'Capital IQ Sheet-GPC'!BX47</f>
        <v>#VALUE!</v>
      </c>
      <c r="BY47" s="69" t="e">
        <f>'Capital IQ Sheet-GPC'!BY47</f>
        <v>#VALUE!</v>
      </c>
      <c r="BZ47" s="69" t="e">
        <f>'Capital IQ Sheet-GPC'!BZ47</f>
        <v>#VALUE!</v>
      </c>
    </row>
    <row r="48" spans="1:83">
      <c r="A48" s="45" t="e">
        <f ca="1">_xll.ciqfunctions.udf.CIQ($B48,"IQ_COMPANY_TICKER")</f>
        <v>#NAME?</v>
      </c>
      <c r="B48" s="67" t="str">
        <f>'Capital IQ Sheet-GPC'!B48</f>
        <v>(Invalid Identifier)</v>
      </c>
      <c r="C48" s="45" t="e">
        <f ca="1">_xll.ciqfunctions.udf.CIQ($A48,"IQ_COMPANY_NAME")</f>
        <v>#NAME?</v>
      </c>
      <c r="D48" s="45" t="e">
        <f ca="1">_xll.ciqfunctions.udf.CIQ($A48, "IQ_EXCHANGE")</f>
        <v>#NAME?</v>
      </c>
      <c r="E48" s="66" t="e">
        <f ca="1">_xll.ciqfunctions.udf.CIQ($A48, "IQ_PERIODDATE_IS", IQ_FY)</f>
        <v>#NAME?</v>
      </c>
      <c r="F48" s="66" t="e">
        <f ca="1">_xll.ciqfunctions.udf.CIQ(A48, "IQ_PERIODDATE_IS", IQ_LTM, $B$1,$L$4,$L$3)</f>
        <v>#NAME?</v>
      </c>
      <c r="G48" s="66" t="e">
        <f ca="1">_xll.ciqfunctions.udf.CIQ($A48, "IQ_FIRSTPRICINGDATE")</f>
        <v>#NAME?</v>
      </c>
      <c r="H48" s="68" t="e">
        <f ca="1">_xll.ciqfunctions.udf.CIQ($A48, "IQ_TEV", $L$2, $L$5, $L$6)</f>
        <v>#NAME?</v>
      </c>
      <c r="I48" s="68" t="e">
        <f ca="1">_xll.ciqfunctions.udf.CIQ(A48, "IQ_LASTSALEPRICE", $B$1,$L$5)</f>
        <v>#NAME?</v>
      </c>
      <c r="J48" s="66" t="e">
        <f ca="1">_xll.ciqfunctions.udf.CIQ($B48, "IQ_FIRSTPRICINGDATE")</f>
        <v>#NAME?</v>
      </c>
      <c r="K48" s="68" t="e">
        <f ca="1">_xll.ciqfunctions.udf.CIQ($A48, "IQ_TOTAL_DEBT", IQ_LTM, $L$2,$L$4, $L$3, $L$5, $L$6)</f>
        <v>#NAME?</v>
      </c>
      <c r="L48" s="68" t="e">
        <f ca="1">_xll.ciqfunctions.udf.CIQ($A48, "IQ_PREF_EQUITY", IQ_LTM, $L$2, $L$4, $L$3, $L$5, $L$6)</f>
        <v>#NAME?</v>
      </c>
      <c r="M48" s="68" t="e">
        <f ca="1">_xll.ciqfunctions.udf.CIQ($A48, "IQ_MINORITY_INTEREST_TOTAL", IQ_LTM, $L$2, $L$4, $L$3, $L$5, $L$6)</f>
        <v>#NAME?</v>
      </c>
      <c r="N48" s="68" t="e">
        <f ca="1">_xll.ciqfunctions.udf.CIQ($A48, "IQ_CASH_ST_INVEST", IQ_LTM, $L$2, $L$4, $L$3, $L$5, $L$6)</f>
        <v>#NAME?</v>
      </c>
      <c r="O48" s="68" t="e">
        <f ca="1">_xll.ciqfunctions.udf.CIQ($A48, "IQ_TOTAL_REV", IQ_LTM-8, $L$2, $L$4, $L$3, $L$5, $L$6)</f>
        <v>#NAME?</v>
      </c>
      <c r="P48" s="68" t="e">
        <f ca="1">_xll.ciqfunctions.udf.CIQ($A48, "IQ_TOTAL_REV", IQ_LTM - 4, $L$2, $L$4, $L$3, $L$5,$L$6)</f>
        <v>#NAME?</v>
      </c>
      <c r="Q48" s="68" t="e">
        <f ca="1">_xll.ciqfunctions.udf.CIQ($A48, "IQ_TOTAL_REV", IQ_LTM, $L$2, $L$4, $L$3, $L$5, $L$6)</f>
        <v>#NAME?</v>
      </c>
      <c r="R48" s="68" t="e">
        <f ca="1">_xll.ciqfunctions.udf.CIQ($A48, "IQ_TOTAL_REV", $B$2, $L$2, $L$4, $L$3, $L$5, $L$6)</f>
        <v>#NAME?</v>
      </c>
      <c r="S48" s="68" t="e">
        <f ca="1">IF(_xll.ciqfunctions.udf.CIQ($A48, "IQ_TOTAL_REV", $B$3, $L$2,$L$4, $L$3, $L$5, $L$6)=0,Q48,_xll.ciqfunctions.udf.CIQ($A48, "IQ_TOTAL_REV", $B$3, $L$2,$L$4, $L$3, $L$5, $L$6))</f>
        <v>#NAME?</v>
      </c>
      <c r="T48" s="68" t="e">
        <f ca="1">IF(_xll.ciqfunctions.udf.CIQ($A48, "IQ_REVENUE_EST",$B$4, $L$2, "CON", $L$3, $L$5, $L$6)=0,"n/a",_xll.ciqfunctions.udf.CIQ($A48, "IQ_REVENUE_EST",$B$4, $L$2, "CON", $L$3, $L$5, $L$6))</f>
        <v>#NAME?</v>
      </c>
      <c r="U48" s="68" t="e">
        <f ca="1">IF(_xll.ciqfunctions.udf.CIQ($A48, "IQ_REVENUE_EST",$B$5, $L$2, "CON", $L$3, $L$5, $L$6)=0,"n/a",_xll.ciqfunctions.udf.CIQ($A48, "IQ_REVENUE_EST",$B$5, $L$2, "CON", $L$3, $L$5, $L$6))</f>
        <v>#NAME?</v>
      </c>
      <c r="V48" s="68" t="e">
        <f ca="1">IF(_xll.ciqfunctions.udf.CIQ($A48, "IQ_REVENUE_EST",$B$6, $L$2, "CON", $L$3, $L$5, $L$6)=0,"n/a",_xll.ciqfunctions.udf.CIQ($A48, "IQ_REVENUE_EST",$B$6, $L$2, "CON", $L$3, $L$5, $L$6))</f>
        <v>#NAME?</v>
      </c>
      <c r="W48" s="68" t="e">
        <f ca="1">IF(_xll.ciqfunctions.udf.CIQ($A48, "IQ_REVENUE_EST", $B$7, $L$2, "CON", $L$3, $L$5, $L$6)=0,"n/a",_xll.ciqfunctions.udf.CIQ($A48, "IQ_REVENUE_EST",$B$7, $L$2, "CON", $L$3, $L$5, $L$6))</f>
        <v>#NAME?</v>
      </c>
      <c r="X48" s="68" t="e">
        <f ca="1">_xll.ciqfunctions.udf.CIQ($A48, "IQ_EBITDA", IQ_LTM-8, $L$2, $L$4, $L$3, $L$5, $L$6)</f>
        <v>#NAME?</v>
      </c>
      <c r="Y48" s="68" t="e">
        <f ca="1">_xll.ciqfunctions.udf.CIQ($A48, "IQ_EBITDA", IQ_LTM-4, $L$2,$L$4, $L$3, $L$5, $L$6)</f>
        <v>#NAME?</v>
      </c>
      <c r="Z48" s="68" t="e">
        <f ca="1">_xll.ciqfunctions.udf.CIQ($A48, "IQ_EBITDA", IQ_LTM, $L$2, $L$4, $L$3, $L$5, $L$6)</f>
        <v>#NAME?</v>
      </c>
      <c r="AA48" s="68" t="e">
        <f ca="1">_xll.ciqfunctions.udf.CIQ($A48, "IQ_EBITDA", $B$2, $L$2, $L$4, $L$3, $L$5, $L$6)</f>
        <v>#NAME?</v>
      </c>
      <c r="AB48" s="68" t="e">
        <f ca="1">IF(_xll.ciqfunctions.udf.CIQ($A48, "IQ_EBITDA", $B$3, $L$2,$L$4, $L$3, $L$5, $L$6)=0,Z48,_xll.ciqfunctions.udf.CIQ($A48, "IQ_EBITDA", $B$3, $L$2,$L$4, $L$3, $L$5, $L$6))</f>
        <v>#NAME?</v>
      </c>
      <c r="AC48" s="68" t="e">
        <f ca="1">IF(_xll.ciqfunctions.udf.CIQ($A48, "IQ_EBITDA_EST",$B$4, $L$2, "CON", $L$3, $L$5, $L$6)=0,"n/a",_xll.ciqfunctions.udf.CIQ($A48, "IQ_EBITDA_EST",$B$4, $L$2, "CON", $L$3, $L$5, $L$6))</f>
        <v>#NAME?</v>
      </c>
      <c r="AD48" s="45" t="e">
        <f ca="1">IF(_xll.ciqfunctions.udf.CIQ($A48, "IQ_EBITDA_EST",$B$5, $L$2, "CON", $L$3, $L$5, $L$6)=0,"n/a",_xll.ciqfunctions.udf.CIQ($A48, "IQ_EBITDA_EST",$B$5, $L$2, "CON", $L$3, $L$5, $L$6))</f>
        <v>#NAME?</v>
      </c>
      <c r="AE48" s="68" t="e">
        <f ca="1">IF(_xll.ciqfunctions.udf.CIQ($A48, "IQ_EBITDA_EST",$B$6, $L$2, "CON", $L$3, $L$5, $L$6)=0,"n/a",_xll.ciqfunctions.udf.CIQ($A48, "IQ_EBITDA_EST",$B$6, $L$2, "CON", $L$3, $L$5, $L$6))</f>
        <v>#NAME?</v>
      </c>
      <c r="AF48" s="69" t="str">
        <f ca="1">IF(ISERROR(_xll.ciqfunctions.udf.CIQ($A48, "IQ_GROSS_MARGIN", IQ_LTM, $L$2,$L$4, $L$3, $L$5, $L$6)/100), "n/a", _xll.ciqfunctions.udf.CIQ($A48,  "IQ_GROSS_MARGIN", IQ_LTM, $L$2, $L$4, $L$3, $L$5, $L$6)/100)</f>
        <v>n/a</v>
      </c>
      <c r="AG48" s="69" t="str">
        <f ca="1">IF(ISERROR(_xll.ciqfunctions.udf.CIQ($A48,"IQ_EBITDA_MARGIN", IQ_LTM, $L$2, $L$4, $L$3, $L$5, $L$6)/100), "n/a", _xll.ciqfunctions.udf.CIQ($A48, "IQ_EBITDA_MARGIN", IQ_LTM, $L$2, $L$4, $L$3, $L$5, $L$6)/100)</f>
        <v>n/a</v>
      </c>
      <c r="AH48" s="69" t="str">
        <f ca="1">IF(ISERROR(_xll.ciqfunctions.udf.CIQ($A48,"IQ_EBIT_MARGIN", IQ_LTM, $L$2, $L$4, $L$3, $L$5, $L$6)/100), "n/a", _xll.ciqfunctions.udf.CIQ($A48, "IQ_EBIT_MARGIN", IQ_LTM, $L$2, $L$4, $L$3, $L$5, $L$6)/100)</f>
        <v>n/a</v>
      </c>
      <c r="AI48" s="69" t="str">
        <f ca="1">IF(ISERROR(_xll.ciqfunctions.udf.CIQ($A48,"IQ_NI_MARGIN", IQ_LTM, $L$2, $L$4, $L$3, $L$5, $L$6)/100), "n/a", _xll.ciqfunctions.udf.CIQ($A48, "IQ_NI_MARGIN", IQ_LTM, $L$2, $L$4, $L$3, $L$5, $L$6)/100)</f>
        <v>n/a</v>
      </c>
      <c r="AJ48" s="68" t="str">
        <f ca="1">IF(ISERROR(_xll.ciqfunctions.udf.CIQ($A48, "IQ_NET_WORKING_CAP", IQ_LTM-8, $L$2, $L$4, $L$3, $L$5, $L$6)), "n/a", _xll.ciqfunctions.udf.CIQ($A48, "IQ_NET_WORKING_CAP", IQ_LTM-8, $L$2, $L$4, $L$3, $L$5, $L$6))</f>
        <v>n/a</v>
      </c>
      <c r="AK48" s="68" t="str">
        <f ca="1">IF(ISERROR(_xll.ciqfunctions.udf.CIQ($A48, "IQ_NET_WORKING_CAP", IQ_LTM-4, $L$2, $L$4, $L$3, $L$5, $L$6)), "n/a", _xll.ciqfunctions.udf.CIQ($A48, "IQ_NET_WORKING_CAP", IQ_LTM-4, $L$2, $L$4, $L$3, $L$5, $L$6))</f>
        <v>n/a</v>
      </c>
      <c r="AL48" s="68" t="str">
        <f ca="1">IF(ISERROR(_xll.ciqfunctions.udf.CIQ($A48, "IQ_NET_WORKING_CAP", IQ_LTM, $L$2,$L$4, $L$3, $L$5, $L$6)), "n/a", _xll.ciqfunctions.udf.CIQ($A48, "IQ_NET_WORKING_CAP", IQ_LTM, $L$2, $L$4, $L$3, $L$5, $L$6))</f>
        <v>n/a</v>
      </c>
      <c r="AM48" s="68" t="str">
        <f ca="1">IF(ISERROR(_xll.ciqfunctions.udf.CIQ($A48, "IQ_Capex", IQ_LTM-8, $L$2,$L$4, $L$3, $L$5, $L$6)), "n/a", _xll.ciqfunctions.udf.CIQ($A48, "IQ_Capex", IQ_LTM-8, $L$2, $L$4, $L$3, $L$5, $L$6))</f>
        <v>n/a</v>
      </c>
      <c r="AN48" s="68" t="str">
        <f ca="1">IF(ISERROR(_xll.ciqfunctions.udf.CIQ($A48, "IQ_Capex", IQ_LTM-4, $L$2,$L$4, $L$3, $L$5, $L$6)), "n/a", _xll.ciqfunctions.udf.CIQ($A48, "IQ_Capex", IQ_LTM-4, $L$2,$L$4, $L$3, $L$5, $L$6))</f>
        <v>n/a</v>
      </c>
      <c r="AO48" s="68" t="str">
        <f ca="1">IF(ISERROR(_xll.ciqfunctions.udf.CIQ($A48, "IQ_Capex", IQ_LTM, $L$2, $L$4, $L$3, $L$5, $L$6)), "n/a", _xll.ciqfunctions.udf.CIQ($A48, "IQ_Capex", IQ_LTM, $L$2, $L$4, $L$3, $L$5, $L$6))</f>
        <v>n/a</v>
      </c>
      <c r="AP48" s="70" t="e">
        <f ca="1">_xll.ciqfunctions.udf.CIQ(A48, "IQ_BUSINESS_DESCRIPTION")</f>
        <v>#NAME?</v>
      </c>
      <c r="AQ48" s="71" t="e">
        <f ca="1">_xll.ciqfunctions.udf.CIQ($A48, "IQ_BETA_1YR", $B$1)</f>
        <v>#NAME?</v>
      </c>
      <c r="AR48" s="71" t="e">
        <f ca="1">_xll.ciqfunctions.udf.CIQ($A48, "IQ_BETA_2YR", $B$1)</f>
        <v>#NAME?</v>
      </c>
      <c r="AS48" s="71" t="e">
        <f ca="1">_xll.ciqfunctions.udf.CIQ($A48, "IQ_BETA_5YR", $B$1)</f>
        <v>#NAME?</v>
      </c>
      <c r="AT48" s="45" t="e">
        <f ca="1">_xll.ciqfunctions.udf.CIQ($B48, "IQ_GP", IQ_LTM,$B$1, ,,"USD")</f>
        <v>#NAME?</v>
      </c>
      <c r="AU48" s="68" t="e">
        <f ca="1">_xll.ciqfunctions.udf.CIQ($A48, "IQ_EARNING_CO", IQ_LTM-8, $L$2, $L$4, $L$3, $L$5, $L$6)</f>
        <v>#NAME?</v>
      </c>
      <c r="AV48" s="68" t="e">
        <f ca="1">_xll.ciqfunctions.udf.CIQ($A48, "IQ_EARNING_CO", IQ_LTM-4, $L$2, $L$4, $L$3, $L$5, $L$6)</f>
        <v>#NAME?</v>
      </c>
      <c r="AW48" s="68" t="e">
        <f ca="1">_xll.ciqfunctions.udf.CIQ($A48, "IQ_EARNING_CO", IQ_LTM, $L$2, $L$4, $L$3, $L$5, $L$6)</f>
        <v>#NAME?</v>
      </c>
      <c r="AX48" s="68" t="e">
        <f ca="1">_xll.ciqfunctions.udf.CIQ($A48, "IQ_EARNING_CO", $B$2, $L$2, $L$4, $L$3, $L$5, $L$6)</f>
        <v>#NAME?</v>
      </c>
      <c r="AY48" s="68" t="e">
        <f ca="1">IF(_xll.ciqfunctions.udf.CIQ($A48, "IQ_EARNING_CO", $B$3, $L$2,$L$4, $L$3, $L$5, $L$6)=0,AW48,_xll.ciqfunctions.udf.CIQ($A48, "IQ_EARNING_CO", $B$3, $L$2,$L$4, $L$3, $L$5, $L$6))</f>
        <v>#NAME?</v>
      </c>
      <c r="AZ48" s="68" t="e">
        <f ca="1">_xll.ciqfunctions.udf.CIQ($A48, "IQ_TOTAL_EQUITY", IQ_LTM-8, $L$2, $L$4, $L$3, $L$5, $L$6)</f>
        <v>#NAME?</v>
      </c>
      <c r="BA48" s="68" t="e">
        <f ca="1">_xll.ciqfunctions.udf.CIQ($A48, "IQ_TOTAL_EQUITY", IQ_LTM-4, $L$2, $L$4, $L$3, $L$5, $L$6)</f>
        <v>#NAME?</v>
      </c>
      <c r="BB48" s="68" t="e">
        <f ca="1">_xll.ciqfunctions.udf.CIQ($A48, "IQ_TOTAL_EQUITY", IQ_LTM, $L$2, $L$4, $L$3, $L$5, $L$6)</f>
        <v>#NAME?</v>
      </c>
      <c r="BC48" s="68" t="e">
        <f ca="1">_xll.ciqfunctions.udf.CIQ($A48, "IQ_TOTAL_EQUITY", $B$2, $L$2, $L$4, $L$3, $L$5, $L$6)</f>
        <v>#NAME?</v>
      </c>
      <c r="BD48" s="68" t="e">
        <f ca="1">IF(_xll.ciqfunctions.udf.CIQ($A48, "IQ_TOTAL_EQUITY", $B$3, $L$2,$L$4, $L$3, $L$5, $L$6)=0,BB48,_xll.ciqfunctions.udf.CIQ($A48, "IQ_TOTAL_EQUITY", $B$3, $L$2,$L$4, $L$3, $L$5, $L$6))</f>
        <v>#NAME?</v>
      </c>
      <c r="BE48" s="68" t="e">
        <f ca="1">_xll.ciqfunctions.udf.CIQ(A48, "IQ_LASTSALEPRICE", $B$8)</f>
        <v>#NAME?</v>
      </c>
      <c r="BF48" s="68" t="e">
        <f ca="1">_xll.ciqfunctions.udf.CIQ($A48, "IQ_MARKETCAP", $B$8, $L$5, $L$6)</f>
        <v>#NAME?</v>
      </c>
      <c r="BG48" s="68" t="e">
        <f ca="1">_xll.ciqfunctions.udf.CIQ($A48, "IQ_TOTAL_DEBT", IQ_LTM, $B$8,$L$4, $L$3, $L$5, $L$6)</f>
        <v>#NAME?</v>
      </c>
      <c r="BH48" s="44" t="e">
        <f ca="1">_xll.ciqfunctions.udf.CIQ($A48,"IQ_PREF_EQUITY",IQ_LTM,$B$8,$L$4,$L$3,$L$5,$L$6)</f>
        <v>#NAME?</v>
      </c>
      <c r="BI48" s="44" t="e">
        <f ca="1">_xll.ciqfunctions.udf.CIQ($A48, "IQ_MINORITY_INTEREST_TOTAL", IQ_LTM,$B$8,$L$4,$L$3,$L$5,$L$6)</f>
        <v>#NAME?</v>
      </c>
      <c r="BJ48" s="68" t="e">
        <f ca="1">_xll.ciqfunctions.udf.CIQ($A48, "IQ_CASH_ST_INVEST", IQ_LTM, $B$8, $L$4, $L$3, $L$5, $L$6)</f>
        <v>#NAME?</v>
      </c>
      <c r="BK48" s="44" t="e">
        <f ca="1">_xll.ciqfunctions.udf.CIQ($A48, "IQ_EFFECT_TAX_RATE")</f>
        <v>#NAME?</v>
      </c>
      <c r="BL48" s="44" t="e">
        <f ca="1">IF(_xll.ciqfunctions.udf.CIQ($A48, "IQ_TOTAL_REV_2YR_ANN_CAGR", IQ_LTM, $B$1,$L$4, $L$3, $L$5, $L$6)="NM","n/a",(_xll.ciqfunctions.udf.CIQ($A48, "IQ_TOTAL_REV_2YR_ANN_CAGR", IQ_LTM, $B$1,$L$4, $L$3, $L$5, $L$6)/100))</f>
        <v>#NAME?</v>
      </c>
      <c r="BM48" s="44" t="e">
        <f ca="1">IF(_xll.ciqfunctions.udf.CIQ($A48, "IQ_TOTAL_REV_3YR_ANN_CAGR", IQ_LTM, $B$1,$L$4, $L$3, $L$5, $L$6)="NM","n/a",(_xll.ciqfunctions.udf.CIQ($A48, "IQ_TOTAL_REV_3YR_ANN_CAGR", IQ_LTM, $B$1,$L$4, $L$3, $L$5, $L$6)/100))</f>
        <v>#NAME?</v>
      </c>
      <c r="BN48" s="44" t="e">
        <f ca="1">IF(_xll.ciqfunctions.udf.CIQ($A48, "IQ_TOTAL_REV_5YR_ANN_CAGR", IQ_LTM, $B$1,$L$4, $L$3, $L$5, $L$6)="NM","n/a",(_xll.ciqfunctions.udf.CIQ($A48, "IQ_TOTAL_REV_5YR_ANN_CAGR", IQ_LTM, $B$1,$L$4, $L$3, $L$5, $L$6)/100))</f>
        <v>#NAME?</v>
      </c>
      <c r="BO48" s="44" t="e">
        <f ca="1">IF(_xll.ciqfunctions.udf.CIQ($A48,"IQ_EBITDA_2YR_ANN_CAGR", IQ_LTM,$B$1,$L$4, $L$3, $L$5, $L$6)="NM","n/a",(_xll.ciqfunctions.udf.CIQ($A48,"IQ_EBITDA_2YR_ANN_CAGR", IQ_LTM,$B$1,$L$4, $L$3, $L$5, $L$6)/100))</f>
        <v>#NAME?</v>
      </c>
      <c r="BP48" s="44" t="e">
        <f ca="1">IF(_xll.ciqfunctions.udf.CIQ($A48,"IQ_EBITDA_3YR_ANN_CAGR", IQ_LTM,$B$1,$L$4, $L$3, $L$5, $L$6)="NM","n/a",(_xll.ciqfunctions.udf.CIQ($A48,"IQ_EBITDA_3YR_ANN_CAGR", IQ_LTM,$B$1,$L$4, $L$3, $L$5, $L$6)/100))</f>
        <v>#NAME?</v>
      </c>
      <c r="BQ48" s="44" t="e">
        <f ca="1">IF(_xll.ciqfunctions.udf.CIQ($A48,"IQ_EBITDA_5YR_ANN_CAGR", IQ_LTM,$B$1,$L$4, $L$3, $L$5, $L$6)="NM","n/a",(_xll.ciqfunctions.udf.CIQ($A48,"IQ_EBITDA_5YR_ANN_CAGR", IQ_LTM,$B$1,$L$4, $L$3, $L$5, $L$6)/100))</f>
        <v>#NAME?</v>
      </c>
      <c r="BR48" s="48" t="str">
        <f ca="1">IFERROR((_xll.ciqfunctions.udf.CIQ($A48, "IQ_DA_CF", IQ_LTM, $B$1, $L$4, $L$3, $L$5, $L$6)/Q48),"NM")</f>
        <v>NM</v>
      </c>
      <c r="BS48" s="69" t="e">
        <f>'Capital IQ Sheet-GPC'!BS48</f>
        <v>#VALUE!</v>
      </c>
      <c r="BT48" s="69" t="e">
        <f>'Capital IQ Sheet-GPC'!BT48</f>
        <v>#VALUE!</v>
      </c>
      <c r="BU48" s="69" t="e">
        <f>'Capital IQ Sheet-GPC'!BU48</f>
        <v>#VALUE!</v>
      </c>
      <c r="BV48" s="69" t="e">
        <f>'Capital IQ Sheet-GPC'!BV48</f>
        <v>#VALUE!</v>
      </c>
      <c r="BW48" s="69" t="e">
        <f>'Capital IQ Sheet-GPC'!BW48</f>
        <v>#VALUE!</v>
      </c>
      <c r="BX48" s="69" t="e">
        <f>'Capital IQ Sheet-GPC'!BX48</f>
        <v>#VALUE!</v>
      </c>
      <c r="BY48" s="69" t="e">
        <f>'Capital IQ Sheet-GPC'!BY48</f>
        <v>#VALUE!</v>
      </c>
      <c r="BZ48" s="69" t="e">
        <f>'Capital IQ Sheet-GPC'!BZ48</f>
        <v>#VALUE!</v>
      </c>
    </row>
    <row r="49" spans="1:83">
      <c r="A49" s="45" t="e">
        <f ca="1">_xll.ciqfunctions.udf.CIQ($B49,"IQ_COMPANY_TICKER")</f>
        <v>#NAME?</v>
      </c>
      <c r="B49" s="67" t="str">
        <f>'Capital IQ Sheet-GPC'!B49</f>
        <v>(Invalid Identifier)</v>
      </c>
      <c r="C49" s="45" t="e">
        <f ca="1">_xll.ciqfunctions.udf.CIQ($A49,"IQ_COMPANY_NAME")</f>
        <v>#NAME?</v>
      </c>
      <c r="D49" s="45" t="e">
        <f ca="1">_xll.ciqfunctions.udf.CIQ($A49, "IQ_EXCHANGE")</f>
        <v>#NAME?</v>
      </c>
      <c r="E49" s="66" t="e">
        <f ca="1">_xll.ciqfunctions.udf.CIQ($A49, "IQ_PERIODDATE_IS", IQ_FY)</f>
        <v>#NAME?</v>
      </c>
      <c r="F49" s="66" t="e">
        <f ca="1">_xll.ciqfunctions.udf.CIQ(A49, "IQ_PERIODDATE_IS", IQ_LTM, $B$1,$L$4,$L$3)</f>
        <v>#NAME?</v>
      </c>
      <c r="G49" s="66" t="e">
        <f ca="1">_xll.ciqfunctions.udf.CIQ($A49, "IQ_FIRSTPRICINGDATE")</f>
        <v>#NAME?</v>
      </c>
      <c r="H49" s="68" t="e">
        <f ca="1">_xll.ciqfunctions.udf.CIQ($A49, "IQ_TEV", $L$2, $L$5, $L$6)</f>
        <v>#NAME?</v>
      </c>
      <c r="I49" s="68" t="e">
        <f ca="1">_xll.ciqfunctions.udf.CIQ(A49, "IQ_LASTSALEPRICE", $B$1,$L$5)</f>
        <v>#NAME?</v>
      </c>
      <c r="J49" s="66" t="e">
        <f ca="1">_xll.ciqfunctions.udf.CIQ($B49, "IQ_FIRSTPRICINGDATE")</f>
        <v>#NAME?</v>
      </c>
      <c r="K49" s="68" t="e">
        <f ca="1">_xll.ciqfunctions.udf.CIQ($A49, "IQ_TOTAL_DEBT", IQ_LTM, $L$2,$L$4, $L$3, $L$5, $L$6)</f>
        <v>#NAME?</v>
      </c>
      <c r="L49" s="68" t="e">
        <f ca="1">_xll.ciqfunctions.udf.CIQ($A49, "IQ_PREF_EQUITY", IQ_LTM, $L$2, $L$4, $L$3, $L$5, $L$6)</f>
        <v>#NAME?</v>
      </c>
      <c r="M49" s="68" t="e">
        <f ca="1">_xll.ciqfunctions.udf.CIQ($A49, "IQ_MINORITY_INTEREST_TOTAL", IQ_LTM, $L$2, $L$4, $L$3, $L$5, $L$6)</f>
        <v>#NAME?</v>
      </c>
      <c r="N49" s="68" t="e">
        <f ca="1">_xll.ciqfunctions.udf.CIQ($A49, "IQ_CASH_ST_INVEST", IQ_LTM, $L$2, $L$4, $L$3, $L$5, $L$6)</f>
        <v>#NAME?</v>
      </c>
      <c r="O49" s="68" t="e">
        <f ca="1">_xll.ciqfunctions.udf.CIQ($A49, "IQ_TOTAL_REV", IQ_LTM-8, $L$2, $L$4, $L$3, $L$5, $L$6)</f>
        <v>#NAME?</v>
      </c>
      <c r="P49" s="68" t="e">
        <f ca="1">_xll.ciqfunctions.udf.CIQ($A49, "IQ_TOTAL_REV", IQ_LTM - 4, $L$2, $L$4, $L$3, $L$5,$L$6)</f>
        <v>#NAME?</v>
      </c>
      <c r="Q49" s="68" t="e">
        <f ca="1">_xll.ciqfunctions.udf.CIQ($A49, "IQ_TOTAL_REV", IQ_LTM, $L$2, $L$4, $L$3, $L$5, $L$6)</f>
        <v>#NAME?</v>
      </c>
      <c r="R49" s="68" t="e">
        <f ca="1">_xll.ciqfunctions.udf.CIQ($A49, "IQ_TOTAL_REV", $B$2, $L$2, $L$4, $L$3, $L$5, $L$6)</f>
        <v>#NAME?</v>
      </c>
      <c r="S49" s="68" t="e">
        <f ca="1">IF(_xll.ciqfunctions.udf.CIQ($A49, "IQ_TOTAL_REV", $B$3, $L$2,$L$4, $L$3, $L$5, $L$6)=0,Q49,_xll.ciqfunctions.udf.CIQ($A49, "IQ_TOTAL_REV", $B$3, $L$2,$L$4, $L$3, $L$5, $L$6))</f>
        <v>#NAME?</v>
      </c>
      <c r="T49" s="68" t="e">
        <f ca="1">IF(_xll.ciqfunctions.udf.CIQ($A49, "IQ_REVENUE_EST",$B$4, $L$2, "CON", $L$3, $L$5, $L$6)=0,"n/a",_xll.ciqfunctions.udf.CIQ($A49, "IQ_REVENUE_EST",$B$4, $L$2, "CON", $L$3, $L$5, $L$6))</f>
        <v>#NAME?</v>
      </c>
      <c r="U49" s="68" t="e">
        <f ca="1">IF(_xll.ciqfunctions.udf.CIQ($A49, "IQ_REVENUE_EST",$B$5, $L$2, "CON", $L$3, $L$5, $L$6)=0,"n/a",_xll.ciqfunctions.udf.CIQ($A49, "IQ_REVENUE_EST",$B$5, $L$2, "CON", $L$3, $L$5, $L$6))</f>
        <v>#NAME?</v>
      </c>
      <c r="V49" s="68" t="e">
        <f ca="1">IF(_xll.ciqfunctions.udf.CIQ($A49, "IQ_REVENUE_EST",$B$6, $L$2, "CON", $L$3, $L$5, $L$6)=0,"n/a",_xll.ciqfunctions.udf.CIQ($A49, "IQ_REVENUE_EST",$B$6, $L$2, "CON", $L$3, $L$5, $L$6))</f>
        <v>#NAME?</v>
      </c>
      <c r="W49" s="68" t="e">
        <f ca="1">IF(_xll.ciqfunctions.udf.CIQ($A49, "IQ_REVENUE_EST", $B$7, $L$2, "CON", $L$3, $L$5, $L$6)=0,"n/a",_xll.ciqfunctions.udf.CIQ($A49, "IQ_REVENUE_EST",$B$7, $L$2, "CON", $L$3, $L$5, $L$6))</f>
        <v>#NAME?</v>
      </c>
      <c r="X49" s="68" t="e">
        <f ca="1">_xll.ciqfunctions.udf.CIQ($A49, "IQ_EBITDA", IQ_LTM-8, $L$2, $L$4, $L$3, $L$5, $L$6)</f>
        <v>#NAME?</v>
      </c>
      <c r="Y49" s="68" t="e">
        <f ca="1">_xll.ciqfunctions.udf.CIQ($A49, "IQ_EBITDA", IQ_LTM-4, $L$2,$L$4, $L$3, $L$5, $L$6)</f>
        <v>#NAME?</v>
      </c>
      <c r="Z49" s="68" t="e">
        <f ca="1">_xll.ciqfunctions.udf.CIQ($A49, "IQ_EBITDA", IQ_LTM, $L$2, $L$4, $L$3, $L$5, $L$6)</f>
        <v>#NAME?</v>
      </c>
      <c r="AA49" s="68" t="e">
        <f ca="1">_xll.ciqfunctions.udf.CIQ($A49, "IQ_EBITDA", $B$2, $L$2, $L$4, $L$3, $L$5, $L$6)</f>
        <v>#NAME?</v>
      </c>
      <c r="AB49" s="68" t="e">
        <f ca="1">IF(_xll.ciqfunctions.udf.CIQ($A49, "IQ_EBITDA", $B$3, $L$2,$L$4, $L$3, $L$5, $L$6)=0,Z49,_xll.ciqfunctions.udf.CIQ($A49, "IQ_EBITDA", $B$3, $L$2,$L$4, $L$3, $L$5, $L$6))</f>
        <v>#NAME?</v>
      </c>
      <c r="AC49" s="68" t="e">
        <f ca="1">IF(_xll.ciqfunctions.udf.CIQ($A49, "IQ_EBITDA_EST",$B$4, $L$2, "CON", $L$3, $L$5, $L$6)=0,"n/a",_xll.ciqfunctions.udf.CIQ($A49, "IQ_EBITDA_EST",$B$4, $L$2, "CON", $L$3, $L$5, $L$6))</f>
        <v>#NAME?</v>
      </c>
      <c r="AD49" s="45" t="e">
        <f ca="1">IF(_xll.ciqfunctions.udf.CIQ($A49, "IQ_EBITDA_EST",$B$5, $L$2, "CON", $L$3, $L$5, $L$6)=0,"n/a",_xll.ciqfunctions.udf.CIQ($A49, "IQ_EBITDA_EST",$B$5, $L$2, "CON", $L$3, $L$5, $L$6))</f>
        <v>#NAME?</v>
      </c>
      <c r="AE49" s="68" t="e">
        <f ca="1">IF(_xll.ciqfunctions.udf.CIQ($A49, "IQ_EBITDA_EST",$B$6, $L$2, "CON", $L$3, $L$5, $L$6)=0,"n/a",_xll.ciqfunctions.udf.CIQ($A49, "IQ_EBITDA_EST",$B$6, $L$2, "CON", $L$3, $L$5, $L$6))</f>
        <v>#NAME?</v>
      </c>
      <c r="AF49" s="69" t="str">
        <f ca="1">IF(ISERROR(_xll.ciqfunctions.udf.CIQ($A49, "IQ_GROSS_MARGIN", IQ_LTM, $L$2,$L$4, $L$3, $L$5, $L$6)/100), "n/a", _xll.ciqfunctions.udf.CIQ($A49,  "IQ_GROSS_MARGIN", IQ_LTM, $L$2, $L$4, $L$3, $L$5, $L$6)/100)</f>
        <v>n/a</v>
      </c>
      <c r="AG49" s="69" t="str">
        <f ca="1">IF(ISERROR(_xll.ciqfunctions.udf.CIQ($A49,"IQ_EBITDA_MARGIN", IQ_LTM, $L$2, $L$4, $L$3, $L$5, $L$6)/100), "n/a", _xll.ciqfunctions.udf.CIQ($A49, "IQ_EBITDA_MARGIN", IQ_LTM, $L$2, $L$4, $L$3, $L$5, $L$6)/100)</f>
        <v>n/a</v>
      </c>
      <c r="AH49" s="69" t="str">
        <f ca="1">IF(ISERROR(_xll.ciqfunctions.udf.CIQ($A49,"IQ_EBIT_MARGIN", IQ_LTM, $L$2, $L$4, $L$3, $L$5, $L$6)/100), "n/a", _xll.ciqfunctions.udf.CIQ($A49, "IQ_EBIT_MARGIN", IQ_LTM, $L$2, $L$4, $L$3, $L$5, $L$6)/100)</f>
        <v>n/a</v>
      </c>
      <c r="AI49" s="69" t="str">
        <f ca="1">IF(ISERROR(_xll.ciqfunctions.udf.CIQ($A49,"IQ_NI_MARGIN", IQ_LTM, $L$2, $L$4, $L$3, $L$5, $L$6)/100), "n/a", _xll.ciqfunctions.udf.CIQ($A49, "IQ_NI_MARGIN", IQ_LTM, $L$2, $L$4, $L$3, $L$5, $L$6)/100)</f>
        <v>n/a</v>
      </c>
      <c r="AJ49" s="68" t="str">
        <f ca="1">IF(ISERROR(_xll.ciqfunctions.udf.CIQ($A49, "IQ_NET_WORKING_CAP", IQ_LTM-8, $L$2, $L$4, $L$3, $L$5, $L$6)), "n/a", _xll.ciqfunctions.udf.CIQ($A49, "IQ_NET_WORKING_CAP", IQ_LTM-8, $L$2, $L$4, $L$3, $L$5, $L$6))</f>
        <v>n/a</v>
      </c>
      <c r="AK49" s="68" t="str">
        <f ca="1">IF(ISERROR(_xll.ciqfunctions.udf.CIQ($A49, "IQ_NET_WORKING_CAP", IQ_LTM-4, $L$2, $L$4, $L$3, $L$5, $L$6)), "n/a", _xll.ciqfunctions.udf.CIQ($A49, "IQ_NET_WORKING_CAP", IQ_LTM-4, $L$2, $L$4, $L$3, $L$5, $L$6))</f>
        <v>n/a</v>
      </c>
      <c r="AL49" s="68" t="str">
        <f ca="1">IF(ISERROR(_xll.ciqfunctions.udf.CIQ($A49, "IQ_NET_WORKING_CAP", IQ_LTM, $L$2,$L$4, $L$3, $L$5, $L$6)), "n/a", _xll.ciqfunctions.udf.CIQ($A49, "IQ_NET_WORKING_CAP", IQ_LTM, $L$2, $L$4, $L$3, $L$5, $L$6))</f>
        <v>n/a</v>
      </c>
      <c r="AM49" s="68" t="str">
        <f ca="1">IF(ISERROR(_xll.ciqfunctions.udf.CIQ($A49, "IQ_Capex", IQ_LTM-8, $L$2,$L$4, $L$3, $L$5, $L$6)), "n/a", _xll.ciqfunctions.udf.CIQ($A49, "IQ_Capex", IQ_LTM-8, $L$2, $L$4, $L$3, $L$5, $L$6))</f>
        <v>n/a</v>
      </c>
      <c r="AN49" s="68" t="str">
        <f ca="1">IF(ISERROR(_xll.ciqfunctions.udf.CIQ($A49, "IQ_Capex", IQ_LTM-4, $L$2,$L$4, $L$3, $L$5, $L$6)), "n/a", _xll.ciqfunctions.udf.CIQ($A49, "IQ_Capex", IQ_LTM-4, $L$2,$L$4, $L$3, $L$5, $L$6))</f>
        <v>n/a</v>
      </c>
      <c r="AO49" s="68" t="str">
        <f ca="1">IF(ISERROR(_xll.ciqfunctions.udf.CIQ($A49, "IQ_Capex", IQ_LTM, $L$2, $L$4, $L$3, $L$5, $L$6)), "n/a", _xll.ciqfunctions.udf.CIQ($A49, "IQ_Capex", IQ_LTM, $L$2, $L$4, $L$3, $L$5, $L$6))</f>
        <v>n/a</v>
      </c>
      <c r="AP49" s="70" t="e">
        <f ca="1">_xll.ciqfunctions.udf.CIQ(A49, "IQ_BUSINESS_DESCRIPTION")</f>
        <v>#NAME?</v>
      </c>
      <c r="AQ49" s="71" t="e">
        <f ca="1">_xll.ciqfunctions.udf.CIQ($A49, "IQ_BETA_1YR", $B$1)</f>
        <v>#NAME?</v>
      </c>
      <c r="AR49" s="71" t="e">
        <f ca="1">_xll.ciqfunctions.udf.CIQ($A49, "IQ_BETA_2YR", $B$1)</f>
        <v>#NAME?</v>
      </c>
      <c r="AS49" s="71" t="e">
        <f ca="1">_xll.ciqfunctions.udf.CIQ($A49, "IQ_BETA_5YR", $B$1)</f>
        <v>#NAME?</v>
      </c>
      <c r="AT49" s="45" t="e">
        <f ca="1">_xll.ciqfunctions.udf.CIQ($B49, "IQ_GP", IQ_LTM,$B$1, ,,"USD")</f>
        <v>#NAME?</v>
      </c>
      <c r="AU49" s="68" t="e">
        <f ca="1">_xll.ciqfunctions.udf.CIQ($A49, "IQ_EARNING_CO", IQ_LTM-8, $L$2, $L$4, $L$3, $L$5, $L$6)</f>
        <v>#NAME?</v>
      </c>
      <c r="AV49" s="68" t="e">
        <f ca="1">_xll.ciqfunctions.udf.CIQ($A49, "IQ_EARNING_CO", IQ_LTM-4, $L$2, $L$4, $L$3, $L$5, $L$6)</f>
        <v>#NAME?</v>
      </c>
      <c r="AW49" s="68" t="e">
        <f ca="1">_xll.ciqfunctions.udf.CIQ($A49, "IQ_EARNING_CO", IQ_LTM, $L$2, $L$4, $L$3, $L$5, $L$6)</f>
        <v>#NAME?</v>
      </c>
      <c r="AX49" s="68" t="e">
        <f ca="1">_xll.ciqfunctions.udf.CIQ($A49, "IQ_EARNING_CO", $B$2, $L$2, $L$4, $L$3, $L$5, $L$6)</f>
        <v>#NAME?</v>
      </c>
      <c r="AY49" s="68" t="e">
        <f ca="1">IF(_xll.ciqfunctions.udf.CIQ($A49, "IQ_EARNING_CO", $B$3, $L$2,$L$4, $L$3, $L$5, $L$6)=0,AW49,_xll.ciqfunctions.udf.CIQ($A49, "IQ_EARNING_CO", $B$3, $L$2,$L$4, $L$3, $L$5, $L$6))</f>
        <v>#NAME?</v>
      </c>
      <c r="AZ49" s="68" t="e">
        <f ca="1">_xll.ciqfunctions.udf.CIQ($A49, "IQ_TOTAL_EQUITY", IQ_LTM-8, $L$2, $L$4, $L$3, $L$5, $L$6)</f>
        <v>#NAME?</v>
      </c>
      <c r="BA49" s="68" t="e">
        <f ca="1">_xll.ciqfunctions.udf.CIQ($A49, "IQ_TOTAL_EQUITY", IQ_LTM-4, $L$2, $L$4, $L$3, $L$5, $L$6)</f>
        <v>#NAME?</v>
      </c>
      <c r="BB49" s="68" t="e">
        <f ca="1">_xll.ciqfunctions.udf.CIQ($A49, "IQ_TOTAL_EQUITY", IQ_LTM, $L$2, $L$4, $L$3, $L$5, $L$6)</f>
        <v>#NAME?</v>
      </c>
      <c r="BC49" s="68" t="e">
        <f ca="1">_xll.ciqfunctions.udf.CIQ($A49, "IQ_TOTAL_EQUITY", $B$2, $L$2, $L$4, $L$3, $L$5, $L$6)</f>
        <v>#NAME?</v>
      </c>
      <c r="BD49" s="68" t="e">
        <f ca="1">IF(_xll.ciqfunctions.udf.CIQ($A49, "IQ_TOTAL_EQUITY", $B$3, $L$2,$L$4, $L$3, $L$5, $L$6)=0,BB49,_xll.ciqfunctions.udf.CIQ($A49, "IQ_TOTAL_EQUITY", $B$3, $L$2,$L$4, $L$3, $L$5, $L$6))</f>
        <v>#NAME?</v>
      </c>
      <c r="BE49" s="68" t="e">
        <f ca="1">_xll.ciqfunctions.udf.CIQ(A49, "IQ_LASTSALEPRICE", $B$8)</f>
        <v>#NAME?</v>
      </c>
      <c r="BF49" s="68" t="e">
        <f ca="1">_xll.ciqfunctions.udf.CIQ($A49, "IQ_MARKETCAP", $B$8, $L$5, $L$6)</f>
        <v>#NAME?</v>
      </c>
      <c r="BG49" s="68" t="e">
        <f ca="1">_xll.ciqfunctions.udf.CIQ($A49, "IQ_TOTAL_DEBT", IQ_LTM, $B$8,$L$4, $L$3, $L$5, $L$6)</f>
        <v>#NAME?</v>
      </c>
      <c r="BH49" s="44" t="e">
        <f ca="1">_xll.ciqfunctions.udf.CIQ($A49,"IQ_PREF_EQUITY",IQ_LTM,$B$8,$L$4,$L$3,$L$5,$L$6)</f>
        <v>#NAME?</v>
      </c>
      <c r="BI49" s="44" t="e">
        <f ca="1">_xll.ciqfunctions.udf.CIQ($A49, "IQ_MINORITY_INTEREST_TOTAL", IQ_LTM,$B$8,$L$4,$L$3,$L$5,$L$6)</f>
        <v>#NAME?</v>
      </c>
      <c r="BJ49" s="68" t="e">
        <f ca="1">_xll.ciqfunctions.udf.CIQ($A49, "IQ_CASH_ST_INVEST", IQ_LTM, $B$8, $L$4, $L$3, $L$5, $L$6)</f>
        <v>#NAME?</v>
      </c>
      <c r="BK49" s="44" t="e">
        <f ca="1">_xll.ciqfunctions.udf.CIQ($A49, "IQ_EFFECT_TAX_RATE")</f>
        <v>#NAME?</v>
      </c>
      <c r="BL49" s="44" t="e">
        <f ca="1">IF(_xll.ciqfunctions.udf.CIQ($A49, "IQ_TOTAL_REV_2YR_ANN_CAGR", IQ_LTM, $B$1,$L$4, $L$3, $L$5, $L$6)="NM","n/a",(_xll.ciqfunctions.udf.CIQ($A49, "IQ_TOTAL_REV_2YR_ANN_CAGR", IQ_LTM, $B$1,$L$4, $L$3, $L$5, $L$6)/100))</f>
        <v>#NAME?</v>
      </c>
      <c r="BM49" s="44" t="e">
        <f ca="1">IF(_xll.ciqfunctions.udf.CIQ($A49, "IQ_TOTAL_REV_3YR_ANN_CAGR", IQ_LTM, $B$1,$L$4, $L$3, $L$5, $L$6)="NM","n/a",(_xll.ciqfunctions.udf.CIQ($A49, "IQ_TOTAL_REV_3YR_ANN_CAGR", IQ_LTM, $B$1,$L$4, $L$3, $L$5, $L$6)/100))</f>
        <v>#NAME?</v>
      </c>
      <c r="BN49" s="44" t="e">
        <f ca="1">IF(_xll.ciqfunctions.udf.CIQ($A49, "IQ_TOTAL_REV_5YR_ANN_CAGR", IQ_LTM, $B$1,$L$4, $L$3, $L$5, $L$6)="NM","n/a",(_xll.ciqfunctions.udf.CIQ($A49, "IQ_TOTAL_REV_5YR_ANN_CAGR", IQ_LTM, $B$1,$L$4, $L$3, $L$5, $L$6)/100))</f>
        <v>#NAME?</v>
      </c>
      <c r="BO49" s="44" t="e">
        <f ca="1">IF(_xll.ciqfunctions.udf.CIQ($A49,"IQ_EBITDA_2YR_ANN_CAGR", IQ_LTM,$B$1,$L$4, $L$3, $L$5, $L$6)="NM","n/a",(_xll.ciqfunctions.udf.CIQ($A49,"IQ_EBITDA_2YR_ANN_CAGR", IQ_LTM,$B$1,$L$4, $L$3, $L$5, $L$6)/100))</f>
        <v>#NAME?</v>
      </c>
      <c r="BP49" s="44" t="e">
        <f ca="1">IF(_xll.ciqfunctions.udf.CIQ($A49,"IQ_EBITDA_3YR_ANN_CAGR", IQ_LTM,$B$1,$L$4, $L$3, $L$5, $L$6)="NM","n/a",(_xll.ciqfunctions.udf.CIQ($A49,"IQ_EBITDA_3YR_ANN_CAGR", IQ_LTM,$B$1,$L$4, $L$3, $L$5, $L$6)/100))</f>
        <v>#NAME?</v>
      </c>
      <c r="BQ49" s="44" t="e">
        <f ca="1">IF(_xll.ciqfunctions.udf.CIQ($A49,"IQ_EBITDA_5YR_ANN_CAGR", IQ_LTM,$B$1,$L$4, $L$3, $L$5, $L$6)="NM","n/a",(_xll.ciqfunctions.udf.CIQ($A49,"IQ_EBITDA_5YR_ANN_CAGR", IQ_LTM,$B$1,$L$4, $L$3, $L$5, $L$6)/100))</f>
        <v>#NAME?</v>
      </c>
      <c r="BR49" s="48" t="str">
        <f ca="1">IFERROR((_xll.ciqfunctions.udf.CIQ($A49, "IQ_DA_CF", IQ_LTM, $B$1, $L$4, $L$3, $L$5, $L$6)/Q49),"NM")</f>
        <v>NM</v>
      </c>
      <c r="BS49" s="69" t="e">
        <f>'Capital IQ Sheet-GPC'!BS49</f>
        <v>#VALUE!</v>
      </c>
      <c r="BT49" s="69" t="e">
        <f>'Capital IQ Sheet-GPC'!BT49</f>
        <v>#VALUE!</v>
      </c>
      <c r="BU49" s="69" t="e">
        <f>'Capital IQ Sheet-GPC'!BU49</f>
        <v>#VALUE!</v>
      </c>
      <c r="BV49" s="69" t="e">
        <f>'Capital IQ Sheet-GPC'!BV49</f>
        <v>#VALUE!</v>
      </c>
      <c r="BW49" s="69" t="e">
        <f>'Capital IQ Sheet-GPC'!BW49</f>
        <v>#VALUE!</v>
      </c>
      <c r="BX49" s="69" t="e">
        <f>'Capital IQ Sheet-GPC'!BX49</f>
        <v>#VALUE!</v>
      </c>
      <c r="BY49" s="69" t="e">
        <f>'Capital IQ Sheet-GPC'!BY49</f>
        <v>#VALUE!</v>
      </c>
      <c r="BZ49" s="69" t="e">
        <f>'Capital IQ Sheet-GPC'!BZ49</f>
        <v>#VALUE!</v>
      </c>
    </row>
    <row r="50" spans="1:83">
      <c r="A50" s="45" t="e">
        <f ca="1">_xll.ciqfunctions.udf.CIQ($B50,"IQ_COMPANY_TICKER")</f>
        <v>#NAME?</v>
      </c>
      <c r="B50" s="67" t="str">
        <f>'Capital IQ Sheet-GPC'!B50</f>
        <v>(Invalid Identifier)</v>
      </c>
      <c r="C50" s="45" t="e">
        <f ca="1">_xll.ciqfunctions.udf.CIQ($A50,"IQ_COMPANY_NAME")</f>
        <v>#NAME?</v>
      </c>
      <c r="D50" s="45" t="e">
        <f ca="1">_xll.ciqfunctions.udf.CIQ($A50, "IQ_EXCHANGE")</f>
        <v>#NAME?</v>
      </c>
      <c r="E50" s="66" t="e">
        <f ca="1">_xll.ciqfunctions.udf.CIQ($A50, "IQ_PERIODDATE_IS", IQ_FY)</f>
        <v>#NAME?</v>
      </c>
      <c r="F50" s="66" t="e">
        <f ca="1">_xll.ciqfunctions.udf.CIQ(A50, "IQ_PERIODDATE_IS", IQ_LTM, $B$1,$L$4,$L$3)</f>
        <v>#NAME?</v>
      </c>
      <c r="G50" s="66" t="e">
        <f ca="1">_xll.ciqfunctions.udf.CIQ($A50, "IQ_FIRSTPRICINGDATE")</f>
        <v>#NAME?</v>
      </c>
      <c r="H50" s="68" t="e">
        <f ca="1">_xll.ciqfunctions.udf.CIQ($A50, "IQ_TEV", $L$2, $L$5, $L$6)</f>
        <v>#NAME?</v>
      </c>
      <c r="I50" s="68" t="e">
        <f ca="1">_xll.ciqfunctions.udf.CIQ(A50, "IQ_LASTSALEPRICE", $B$1,$L$5)</f>
        <v>#NAME?</v>
      </c>
      <c r="J50" s="66" t="e">
        <f ca="1">_xll.ciqfunctions.udf.CIQ($B50, "IQ_FIRSTPRICINGDATE")</f>
        <v>#NAME?</v>
      </c>
      <c r="K50" s="68" t="e">
        <f ca="1">_xll.ciqfunctions.udf.CIQ($A50, "IQ_TOTAL_DEBT", IQ_LTM, $L$2,$L$4, $L$3, $L$5, $L$6)</f>
        <v>#NAME?</v>
      </c>
      <c r="L50" s="68" t="e">
        <f ca="1">_xll.ciqfunctions.udf.CIQ($A50, "IQ_PREF_EQUITY", IQ_LTM, $L$2, $L$4, $L$3, $L$5, $L$6)</f>
        <v>#NAME?</v>
      </c>
      <c r="M50" s="68" t="e">
        <f ca="1">_xll.ciqfunctions.udf.CIQ($A50, "IQ_MINORITY_INTEREST_TOTAL", IQ_LTM, $L$2, $L$4, $L$3, $L$5, $L$6)</f>
        <v>#NAME?</v>
      </c>
      <c r="N50" s="68" t="e">
        <f ca="1">_xll.ciqfunctions.udf.CIQ($A50, "IQ_CASH_ST_INVEST", IQ_LTM, $L$2, $L$4, $L$3, $L$5, $L$6)</f>
        <v>#NAME?</v>
      </c>
      <c r="O50" s="68" t="e">
        <f ca="1">_xll.ciqfunctions.udf.CIQ($A50, "IQ_TOTAL_REV", IQ_LTM-8, $L$2, $L$4, $L$3, $L$5, $L$6)</f>
        <v>#NAME?</v>
      </c>
      <c r="P50" s="68" t="e">
        <f ca="1">_xll.ciqfunctions.udf.CIQ($A50, "IQ_TOTAL_REV", IQ_LTM - 4, $L$2, $L$4, $L$3, $L$5,$L$6)</f>
        <v>#NAME?</v>
      </c>
      <c r="Q50" s="68" t="e">
        <f ca="1">_xll.ciqfunctions.udf.CIQ($A50, "IQ_TOTAL_REV", IQ_LTM, $L$2, $L$4, $L$3, $L$5, $L$6)</f>
        <v>#NAME?</v>
      </c>
      <c r="R50" s="68" t="e">
        <f ca="1">_xll.ciqfunctions.udf.CIQ($A50, "IQ_TOTAL_REV", $B$2, $L$2, $L$4, $L$3, $L$5, $L$6)</f>
        <v>#NAME?</v>
      </c>
      <c r="S50" s="68" t="e">
        <f ca="1">IF(_xll.ciqfunctions.udf.CIQ($A50, "IQ_TOTAL_REV", $B$3, $L$2,$L$4, $L$3, $L$5, $L$6)=0,Q50,_xll.ciqfunctions.udf.CIQ($A50, "IQ_TOTAL_REV", $B$3, $L$2,$L$4, $L$3, $L$5, $L$6))</f>
        <v>#NAME?</v>
      </c>
      <c r="T50" s="68" t="e">
        <f ca="1">IF(_xll.ciqfunctions.udf.CIQ($A50, "IQ_REVENUE_EST",$B$4, $L$2, "CON", $L$3, $L$5, $L$6)=0,"n/a",_xll.ciqfunctions.udf.CIQ($A50, "IQ_REVENUE_EST",$B$4, $L$2, "CON", $L$3, $L$5, $L$6))</f>
        <v>#NAME?</v>
      </c>
      <c r="U50" s="68" t="e">
        <f ca="1">IF(_xll.ciqfunctions.udf.CIQ($A50, "IQ_REVENUE_EST",$B$5, $L$2, "CON", $L$3, $L$5, $L$6)=0,"n/a",_xll.ciqfunctions.udf.CIQ($A50, "IQ_REVENUE_EST",$B$5, $L$2, "CON", $L$3, $L$5, $L$6))</f>
        <v>#NAME?</v>
      </c>
      <c r="V50" s="68" t="e">
        <f ca="1">IF(_xll.ciqfunctions.udf.CIQ($A50, "IQ_REVENUE_EST",$B$6, $L$2, "CON", $L$3, $L$5, $L$6)=0,"n/a",_xll.ciqfunctions.udf.CIQ($A50, "IQ_REVENUE_EST",$B$6, $L$2, "CON", $L$3, $L$5, $L$6))</f>
        <v>#NAME?</v>
      </c>
      <c r="W50" s="68" t="e">
        <f ca="1">IF(_xll.ciqfunctions.udf.CIQ($A50, "IQ_REVENUE_EST", $B$7, $L$2, "CON", $L$3, $L$5, $L$6)=0,"n/a",_xll.ciqfunctions.udf.CIQ($A50, "IQ_REVENUE_EST",$B$7, $L$2, "CON", $L$3, $L$5, $L$6))</f>
        <v>#NAME?</v>
      </c>
      <c r="X50" s="68" t="e">
        <f ca="1">_xll.ciqfunctions.udf.CIQ($A50, "IQ_EBITDA", IQ_LTM-8, $L$2, $L$4, $L$3, $L$5, $L$6)</f>
        <v>#NAME?</v>
      </c>
      <c r="Y50" s="68" t="e">
        <f ca="1">_xll.ciqfunctions.udf.CIQ($A50, "IQ_EBITDA", IQ_LTM-4, $L$2,$L$4, $L$3, $L$5, $L$6)</f>
        <v>#NAME?</v>
      </c>
      <c r="Z50" s="68" t="e">
        <f ca="1">_xll.ciqfunctions.udf.CIQ($A50, "IQ_EBITDA", IQ_LTM, $L$2, $L$4, $L$3, $L$5, $L$6)</f>
        <v>#NAME?</v>
      </c>
      <c r="AA50" s="68" t="e">
        <f ca="1">_xll.ciqfunctions.udf.CIQ($A50, "IQ_EBITDA", $B$2, $L$2, $L$4, $L$3, $L$5, $L$6)</f>
        <v>#NAME?</v>
      </c>
      <c r="AB50" s="68" t="e">
        <f ca="1">IF(_xll.ciqfunctions.udf.CIQ($A50, "IQ_EBITDA", $B$3, $L$2,$L$4, $L$3, $L$5, $L$6)=0,Z50,_xll.ciqfunctions.udf.CIQ($A50, "IQ_EBITDA", $B$3, $L$2,$L$4, $L$3, $L$5, $L$6))</f>
        <v>#NAME?</v>
      </c>
      <c r="AC50" s="68" t="e">
        <f ca="1">IF(_xll.ciqfunctions.udf.CIQ($A50, "IQ_EBITDA_EST",$B$4, $L$2, "CON", $L$3, $L$5, $L$6)=0,"n/a",_xll.ciqfunctions.udf.CIQ($A50, "IQ_EBITDA_EST",$B$4, $L$2, "CON", $L$3, $L$5, $L$6))</f>
        <v>#NAME?</v>
      </c>
      <c r="AD50" s="45" t="e">
        <f ca="1">IF(_xll.ciqfunctions.udf.CIQ($A50, "IQ_EBITDA_EST",$B$5, $L$2, "CON", $L$3, $L$5, $L$6)=0,"n/a",_xll.ciqfunctions.udf.CIQ($A50, "IQ_EBITDA_EST",$B$5, $L$2, "CON", $L$3, $L$5, $L$6))</f>
        <v>#NAME?</v>
      </c>
      <c r="AE50" s="68" t="e">
        <f ca="1">IF(_xll.ciqfunctions.udf.CIQ($A50, "IQ_EBITDA_EST",$B$6, $L$2, "CON", $L$3, $L$5, $L$6)=0,"n/a",_xll.ciqfunctions.udf.CIQ($A50, "IQ_EBITDA_EST",$B$6, $L$2, "CON", $L$3, $L$5, $L$6))</f>
        <v>#NAME?</v>
      </c>
      <c r="AF50" s="69" t="str">
        <f ca="1">IF(ISERROR(_xll.ciqfunctions.udf.CIQ($A50, "IQ_GROSS_MARGIN", IQ_LTM, $L$2,$L$4, $L$3, $L$5, $L$6)/100), "n/a", _xll.ciqfunctions.udf.CIQ($A50,  "IQ_GROSS_MARGIN", IQ_LTM, $L$2, $L$4, $L$3, $L$5, $L$6)/100)</f>
        <v>n/a</v>
      </c>
      <c r="AG50" s="69" t="str">
        <f ca="1">IF(ISERROR(_xll.ciqfunctions.udf.CIQ($A50,"IQ_EBITDA_MARGIN", IQ_LTM, $L$2, $L$4, $L$3, $L$5, $L$6)/100), "n/a", _xll.ciqfunctions.udf.CIQ($A50, "IQ_EBITDA_MARGIN", IQ_LTM, $L$2, $L$4, $L$3, $L$5, $L$6)/100)</f>
        <v>n/a</v>
      </c>
      <c r="AH50" s="69" t="str">
        <f ca="1">IF(ISERROR(_xll.ciqfunctions.udf.CIQ($A50,"IQ_EBIT_MARGIN", IQ_LTM, $L$2, $L$4, $L$3, $L$5, $L$6)/100), "n/a", _xll.ciqfunctions.udf.CIQ($A50, "IQ_EBIT_MARGIN", IQ_LTM, $L$2, $L$4, $L$3, $L$5, $L$6)/100)</f>
        <v>n/a</v>
      </c>
      <c r="AI50" s="69" t="str">
        <f ca="1">IF(ISERROR(_xll.ciqfunctions.udf.CIQ($A50,"IQ_NI_MARGIN", IQ_LTM, $L$2, $L$4, $L$3, $L$5, $L$6)/100), "n/a", _xll.ciqfunctions.udf.CIQ($A50, "IQ_NI_MARGIN", IQ_LTM, $L$2, $L$4, $L$3, $L$5, $L$6)/100)</f>
        <v>n/a</v>
      </c>
      <c r="AJ50" s="68" t="str">
        <f ca="1">IF(ISERROR(_xll.ciqfunctions.udf.CIQ($A50, "IQ_NET_WORKING_CAP", IQ_LTM-8, $L$2, $L$4, $L$3, $L$5, $L$6)), "n/a", _xll.ciqfunctions.udf.CIQ($A50, "IQ_NET_WORKING_CAP", IQ_LTM-8, $L$2, $L$4, $L$3, $L$5, $L$6))</f>
        <v>n/a</v>
      </c>
      <c r="AK50" s="68" t="str">
        <f ca="1">IF(ISERROR(_xll.ciqfunctions.udf.CIQ($A50, "IQ_NET_WORKING_CAP", IQ_LTM-4, $L$2, $L$4, $L$3, $L$5, $L$6)), "n/a", _xll.ciqfunctions.udf.CIQ($A50, "IQ_NET_WORKING_CAP", IQ_LTM-4, $L$2, $L$4, $L$3, $L$5, $L$6))</f>
        <v>n/a</v>
      </c>
      <c r="AL50" s="68" t="str">
        <f ca="1">IF(ISERROR(_xll.ciqfunctions.udf.CIQ($A50, "IQ_NET_WORKING_CAP", IQ_LTM, $L$2,$L$4, $L$3, $L$5, $L$6)), "n/a", _xll.ciqfunctions.udf.CIQ($A50, "IQ_NET_WORKING_CAP", IQ_LTM, $L$2, $L$4, $L$3, $L$5, $L$6))</f>
        <v>n/a</v>
      </c>
      <c r="AM50" s="68" t="str">
        <f ca="1">IF(ISERROR(_xll.ciqfunctions.udf.CIQ($A50, "IQ_Capex", IQ_LTM-8, $L$2,$L$4, $L$3, $L$5, $L$6)), "n/a", _xll.ciqfunctions.udf.CIQ($A50, "IQ_Capex", IQ_LTM-8, $L$2, $L$4, $L$3, $L$5, $L$6))</f>
        <v>n/a</v>
      </c>
      <c r="AN50" s="68" t="str">
        <f ca="1">IF(ISERROR(_xll.ciqfunctions.udf.CIQ($A50, "IQ_Capex", IQ_LTM-4, $L$2,$L$4, $L$3, $L$5, $L$6)), "n/a", _xll.ciqfunctions.udf.CIQ($A50, "IQ_Capex", IQ_LTM-4, $L$2,$L$4, $L$3, $L$5, $L$6))</f>
        <v>n/a</v>
      </c>
      <c r="AO50" s="68" t="str">
        <f ca="1">IF(ISERROR(_xll.ciqfunctions.udf.CIQ($A50, "IQ_Capex", IQ_LTM, $L$2, $L$4, $L$3, $L$5, $L$6)), "n/a", _xll.ciqfunctions.udf.CIQ($A50, "IQ_Capex", IQ_LTM, $L$2, $L$4, $L$3, $L$5, $L$6))</f>
        <v>n/a</v>
      </c>
      <c r="AP50" s="70" t="e">
        <f ca="1">_xll.ciqfunctions.udf.CIQ(A50, "IQ_BUSINESS_DESCRIPTION")</f>
        <v>#NAME?</v>
      </c>
      <c r="AQ50" s="71" t="e">
        <f ca="1">_xll.ciqfunctions.udf.CIQ($A50, "IQ_BETA_1YR", $B$1)</f>
        <v>#NAME?</v>
      </c>
      <c r="AR50" s="71" t="e">
        <f ca="1">_xll.ciqfunctions.udf.CIQ($A50, "IQ_BETA_2YR", $B$1)</f>
        <v>#NAME?</v>
      </c>
      <c r="AS50" s="71" t="e">
        <f ca="1">_xll.ciqfunctions.udf.CIQ($A50, "IQ_BETA_5YR", $B$1)</f>
        <v>#NAME?</v>
      </c>
      <c r="AT50" s="45" t="e">
        <f ca="1">_xll.ciqfunctions.udf.CIQ($B50, "IQ_GP", IQ_LTM,$B$1, ,,"USD")</f>
        <v>#NAME?</v>
      </c>
      <c r="AU50" s="68" t="e">
        <f ca="1">_xll.ciqfunctions.udf.CIQ($A50, "IQ_EARNING_CO", IQ_LTM-8, $L$2, $L$4, $L$3, $L$5, $L$6)</f>
        <v>#NAME?</v>
      </c>
      <c r="AV50" s="68" t="e">
        <f ca="1">_xll.ciqfunctions.udf.CIQ($A50, "IQ_EARNING_CO", IQ_LTM-4, $L$2, $L$4, $L$3, $L$5, $L$6)</f>
        <v>#NAME?</v>
      </c>
      <c r="AW50" s="68" t="e">
        <f ca="1">_xll.ciqfunctions.udf.CIQ($A50, "IQ_EARNING_CO", IQ_LTM, $L$2, $L$4, $L$3, $L$5, $L$6)</f>
        <v>#NAME?</v>
      </c>
      <c r="AX50" s="68" t="e">
        <f ca="1">_xll.ciqfunctions.udf.CIQ($A50, "IQ_EARNING_CO", $B$2, $L$2, $L$4, $L$3, $L$5, $L$6)</f>
        <v>#NAME?</v>
      </c>
      <c r="AY50" s="68" t="e">
        <f ca="1">IF(_xll.ciqfunctions.udf.CIQ($A50, "IQ_EARNING_CO", $B$3, $L$2,$L$4, $L$3, $L$5, $L$6)=0,AW50,_xll.ciqfunctions.udf.CIQ($A50, "IQ_EARNING_CO", $B$3, $L$2,$L$4, $L$3, $L$5, $L$6))</f>
        <v>#NAME?</v>
      </c>
      <c r="AZ50" s="68" t="e">
        <f ca="1">_xll.ciqfunctions.udf.CIQ($A50, "IQ_TOTAL_EQUITY", IQ_LTM-8, $L$2, $L$4, $L$3, $L$5, $L$6)</f>
        <v>#NAME?</v>
      </c>
      <c r="BA50" s="68" t="e">
        <f ca="1">_xll.ciqfunctions.udf.CIQ($A50, "IQ_TOTAL_EQUITY", IQ_LTM-4, $L$2, $L$4, $L$3, $L$5, $L$6)</f>
        <v>#NAME?</v>
      </c>
      <c r="BB50" s="68" t="e">
        <f ca="1">_xll.ciqfunctions.udf.CIQ($A50, "IQ_TOTAL_EQUITY", IQ_LTM, $L$2, $L$4, $L$3, $L$5, $L$6)</f>
        <v>#NAME?</v>
      </c>
      <c r="BC50" s="68" t="e">
        <f ca="1">_xll.ciqfunctions.udf.CIQ($A50, "IQ_TOTAL_EQUITY", $B$2, $L$2, $L$4, $L$3, $L$5, $L$6)</f>
        <v>#NAME?</v>
      </c>
      <c r="BD50" s="68" t="e">
        <f ca="1">IF(_xll.ciqfunctions.udf.CIQ($A50, "IQ_TOTAL_EQUITY", $B$3, $L$2,$L$4, $L$3, $L$5, $L$6)=0,BB50,_xll.ciqfunctions.udf.CIQ($A50, "IQ_TOTAL_EQUITY", $B$3, $L$2,$L$4, $L$3, $L$5, $L$6))</f>
        <v>#NAME?</v>
      </c>
      <c r="BE50" s="68" t="e">
        <f ca="1">_xll.ciqfunctions.udf.CIQ(A50, "IQ_LASTSALEPRICE", $B$8)</f>
        <v>#NAME?</v>
      </c>
      <c r="BF50" s="68" t="e">
        <f ca="1">_xll.ciqfunctions.udf.CIQ($A50, "IQ_MARKETCAP", $B$8, $L$5, $L$6)</f>
        <v>#NAME?</v>
      </c>
      <c r="BG50" s="68" t="e">
        <f ca="1">_xll.ciqfunctions.udf.CIQ($A50, "IQ_TOTAL_DEBT", IQ_LTM, $B$8,$L$4, $L$3, $L$5, $L$6)</f>
        <v>#NAME?</v>
      </c>
      <c r="BH50" s="44" t="e">
        <f ca="1">_xll.ciqfunctions.udf.CIQ($A50,"IQ_PREF_EQUITY",IQ_LTM,$B$8,$L$4,$L$3,$L$5,$L$6)</f>
        <v>#NAME?</v>
      </c>
      <c r="BI50" s="44" t="e">
        <f ca="1">_xll.ciqfunctions.udf.CIQ($A50, "IQ_MINORITY_INTEREST_TOTAL", IQ_LTM,$B$8,$L$4,$L$3,$L$5,$L$6)</f>
        <v>#NAME?</v>
      </c>
      <c r="BJ50" s="68" t="e">
        <f ca="1">_xll.ciqfunctions.udf.CIQ($A50, "IQ_CASH_ST_INVEST", IQ_LTM, $B$8, $L$4, $L$3, $L$5, $L$6)</f>
        <v>#NAME?</v>
      </c>
      <c r="BK50" s="44" t="e">
        <f ca="1">_xll.ciqfunctions.udf.CIQ($A50, "IQ_EFFECT_TAX_RATE")</f>
        <v>#NAME?</v>
      </c>
      <c r="BL50" s="44" t="e">
        <f ca="1">IF(_xll.ciqfunctions.udf.CIQ($A50, "IQ_TOTAL_REV_2YR_ANN_CAGR", IQ_LTM, $B$1,$L$4, $L$3, $L$5, $L$6)="NM","n/a",(_xll.ciqfunctions.udf.CIQ($A50, "IQ_TOTAL_REV_2YR_ANN_CAGR", IQ_LTM, $B$1,$L$4, $L$3, $L$5, $L$6)/100))</f>
        <v>#NAME?</v>
      </c>
      <c r="BM50" s="44" t="e">
        <f ca="1">IF(_xll.ciqfunctions.udf.CIQ($A50, "IQ_TOTAL_REV_3YR_ANN_CAGR", IQ_LTM, $B$1,$L$4, $L$3, $L$5, $L$6)="NM","n/a",(_xll.ciqfunctions.udf.CIQ($A50, "IQ_TOTAL_REV_3YR_ANN_CAGR", IQ_LTM, $B$1,$L$4, $L$3, $L$5, $L$6)/100))</f>
        <v>#NAME?</v>
      </c>
      <c r="BN50" s="44" t="e">
        <f ca="1">IF(_xll.ciqfunctions.udf.CIQ($A50, "IQ_TOTAL_REV_5YR_ANN_CAGR", IQ_LTM, $B$1,$L$4, $L$3, $L$5, $L$6)="NM","n/a",(_xll.ciqfunctions.udf.CIQ($A50, "IQ_TOTAL_REV_5YR_ANN_CAGR", IQ_LTM, $B$1,$L$4, $L$3, $L$5, $L$6)/100))</f>
        <v>#NAME?</v>
      </c>
      <c r="BO50" s="44" t="e">
        <f ca="1">IF(_xll.ciqfunctions.udf.CIQ($A50,"IQ_EBITDA_2YR_ANN_CAGR", IQ_LTM,$B$1,$L$4, $L$3, $L$5, $L$6)="NM","n/a",(_xll.ciqfunctions.udf.CIQ($A50,"IQ_EBITDA_2YR_ANN_CAGR", IQ_LTM,$B$1,$L$4, $L$3, $L$5, $L$6)/100))</f>
        <v>#NAME?</v>
      </c>
      <c r="BP50" s="44" t="e">
        <f ca="1">IF(_xll.ciqfunctions.udf.CIQ($A50,"IQ_EBITDA_3YR_ANN_CAGR", IQ_LTM,$B$1,$L$4, $L$3, $L$5, $L$6)="NM","n/a",(_xll.ciqfunctions.udf.CIQ($A50,"IQ_EBITDA_3YR_ANN_CAGR", IQ_LTM,$B$1,$L$4, $L$3, $L$5, $L$6)/100))</f>
        <v>#NAME?</v>
      </c>
      <c r="BQ50" s="44" t="e">
        <f ca="1">IF(_xll.ciqfunctions.udf.CIQ($A50,"IQ_EBITDA_5YR_ANN_CAGR", IQ_LTM,$B$1,$L$4, $L$3, $L$5, $L$6)="NM","n/a",(_xll.ciqfunctions.udf.CIQ($A50,"IQ_EBITDA_5YR_ANN_CAGR", IQ_LTM,$B$1,$L$4, $L$3, $L$5, $L$6)/100))</f>
        <v>#NAME?</v>
      </c>
      <c r="BR50" s="48" t="str">
        <f ca="1">IFERROR((_xll.ciqfunctions.udf.CIQ($A50, "IQ_DA_CF", IQ_LTM, $B$1, $L$4, $L$3, $L$5, $L$6)/Q50),"NM")</f>
        <v>NM</v>
      </c>
      <c r="BS50" s="69" t="e">
        <f>'Capital IQ Sheet-GPC'!BS50</f>
        <v>#VALUE!</v>
      </c>
      <c r="BT50" s="69" t="e">
        <f>'Capital IQ Sheet-GPC'!BT50</f>
        <v>#VALUE!</v>
      </c>
      <c r="BU50" s="69" t="e">
        <f>'Capital IQ Sheet-GPC'!BU50</f>
        <v>#VALUE!</v>
      </c>
      <c r="BV50" s="69" t="e">
        <f>'Capital IQ Sheet-GPC'!BV50</f>
        <v>#VALUE!</v>
      </c>
      <c r="BW50" s="69" t="e">
        <f>'Capital IQ Sheet-GPC'!BW50</f>
        <v>#VALUE!</v>
      </c>
      <c r="BX50" s="69" t="e">
        <f>'Capital IQ Sheet-GPC'!BX50</f>
        <v>#VALUE!</v>
      </c>
      <c r="BY50" s="69" t="e">
        <f>'Capital IQ Sheet-GPC'!BY50</f>
        <v>#VALUE!</v>
      </c>
      <c r="BZ50" s="69" t="e">
        <f>'Capital IQ Sheet-GPC'!BZ50</f>
        <v>#VALUE!</v>
      </c>
    </row>
    <row r="51" spans="1:83">
      <c r="A51" s="45" t="e">
        <f ca="1">_xll.ciqfunctions.udf.CIQ($B51,"IQ_COMPANY_TICKER")</f>
        <v>#NAME?</v>
      </c>
      <c r="B51" s="67" t="str">
        <f>'Capital IQ Sheet-GPC'!B51</f>
        <v>(Invalid Identifier)</v>
      </c>
      <c r="C51" s="45" t="e">
        <f ca="1">_xll.ciqfunctions.udf.CIQ($A51,"IQ_COMPANY_NAME")</f>
        <v>#NAME?</v>
      </c>
      <c r="D51" s="45" t="e">
        <f ca="1">_xll.ciqfunctions.udf.CIQ($A51, "IQ_EXCHANGE")</f>
        <v>#NAME?</v>
      </c>
      <c r="E51" s="66" t="e">
        <f ca="1">_xll.ciqfunctions.udf.CIQ($A51, "IQ_PERIODDATE_IS", IQ_FY)</f>
        <v>#NAME?</v>
      </c>
      <c r="F51" s="66" t="e">
        <f ca="1">_xll.ciqfunctions.udf.CIQ(A51, "IQ_PERIODDATE_IS", IQ_LTM, $B$1,$L$4,$L$3)</f>
        <v>#NAME?</v>
      </c>
      <c r="G51" s="66" t="e">
        <f ca="1">_xll.ciqfunctions.udf.CIQ($A51, "IQ_FIRSTPRICINGDATE")</f>
        <v>#NAME?</v>
      </c>
      <c r="H51" s="68" t="e">
        <f ca="1">_xll.ciqfunctions.udf.CIQ($A51, "IQ_TEV", $L$2, $L$5, $L$6)</f>
        <v>#NAME?</v>
      </c>
      <c r="I51" s="68" t="e">
        <f ca="1">_xll.ciqfunctions.udf.CIQ(A51, "IQ_LASTSALEPRICE", $B$1,$L$5)</f>
        <v>#NAME?</v>
      </c>
      <c r="J51" s="66" t="e">
        <f ca="1">_xll.ciqfunctions.udf.CIQ($B51, "IQ_FIRSTPRICINGDATE")</f>
        <v>#NAME?</v>
      </c>
      <c r="K51" s="68" t="e">
        <f ca="1">_xll.ciqfunctions.udf.CIQ($A51, "IQ_TOTAL_DEBT", IQ_LTM, $L$2,$L$4, $L$3, $L$5, $L$6)</f>
        <v>#NAME?</v>
      </c>
      <c r="L51" s="68" t="e">
        <f ca="1">_xll.ciqfunctions.udf.CIQ($A51, "IQ_PREF_EQUITY", IQ_LTM, $L$2, $L$4, $L$3, $L$5, $L$6)</f>
        <v>#NAME?</v>
      </c>
      <c r="M51" s="68" t="e">
        <f ca="1">_xll.ciqfunctions.udf.CIQ($A51, "IQ_MINORITY_INTEREST_TOTAL", IQ_LTM, $L$2, $L$4, $L$3, $L$5, $L$6)</f>
        <v>#NAME?</v>
      </c>
      <c r="N51" s="68" t="e">
        <f ca="1">_xll.ciqfunctions.udf.CIQ($A51, "IQ_CASH_ST_INVEST", IQ_LTM, $L$2, $L$4, $L$3, $L$5, $L$6)</f>
        <v>#NAME?</v>
      </c>
      <c r="O51" s="68" t="e">
        <f ca="1">_xll.ciqfunctions.udf.CIQ($A51, "IQ_TOTAL_REV", IQ_LTM-8, $L$2, $L$4, $L$3, $L$5, $L$6)</f>
        <v>#NAME?</v>
      </c>
      <c r="P51" s="68" t="e">
        <f ca="1">_xll.ciqfunctions.udf.CIQ($A51, "IQ_TOTAL_REV", IQ_LTM - 4, $L$2, $L$4, $L$3, $L$5,$L$6)</f>
        <v>#NAME?</v>
      </c>
      <c r="Q51" s="68" t="e">
        <f ca="1">_xll.ciqfunctions.udf.CIQ($A51, "IQ_TOTAL_REV", IQ_LTM, $L$2, $L$4, $L$3, $L$5, $L$6)</f>
        <v>#NAME?</v>
      </c>
      <c r="R51" s="68" t="e">
        <f ca="1">_xll.ciqfunctions.udf.CIQ($A51, "IQ_TOTAL_REV", $B$2, $L$2, $L$4, $L$3, $L$5, $L$6)</f>
        <v>#NAME?</v>
      </c>
      <c r="S51" s="68" t="e">
        <f ca="1">IF(_xll.ciqfunctions.udf.CIQ($A51, "IQ_TOTAL_REV", $B$3, $L$2,$L$4, $L$3, $L$5, $L$6)=0,Q51,_xll.ciqfunctions.udf.CIQ($A51, "IQ_TOTAL_REV", $B$3, $L$2,$L$4, $L$3, $L$5, $L$6))</f>
        <v>#NAME?</v>
      </c>
      <c r="T51" s="68" t="e">
        <f ca="1">IF(_xll.ciqfunctions.udf.CIQ($A51, "IQ_REVENUE_EST",$B$4, $L$2, "CON", $L$3, $L$5, $L$6)=0,"n/a",_xll.ciqfunctions.udf.CIQ($A51, "IQ_REVENUE_EST",$B$4, $L$2, "CON", $L$3, $L$5, $L$6))</f>
        <v>#NAME?</v>
      </c>
      <c r="U51" s="68" t="e">
        <f ca="1">IF(_xll.ciqfunctions.udf.CIQ($A51, "IQ_REVENUE_EST",$B$5, $L$2, "CON", $L$3, $L$5, $L$6)=0,"n/a",_xll.ciqfunctions.udf.CIQ($A51, "IQ_REVENUE_EST",$B$5, $L$2, "CON", $L$3, $L$5, $L$6))</f>
        <v>#NAME?</v>
      </c>
      <c r="V51" s="68" t="e">
        <f ca="1">IF(_xll.ciqfunctions.udf.CIQ($A51, "IQ_REVENUE_EST",$B$6, $L$2, "CON", $L$3, $L$5, $L$6)=0,"n/a",_xll.ciqfunctions.udf.CIQ($A51, "IQ_REVENUE_EST",$B$6, $L$2, "CON", $L$3, $L$5, $L$6))</f>
        <v>#NAME?</v>
      </c>
      <c r="W51" s="68" t="e">
        <f ca="1">IF(_xll.ciqfunctions.udf.CIQ($A51, "IQ_REVENUE_EST", $B$7, $L$2, "CON", $L$3, $L$5, $L$6)=0,"n/a",_xll.ciqfunctions.udf.CIQ($A51, "IQ_REVENUE_EST",$B$7, $L$2, "CON", $L$3, $L$5, $L$6))</f>
        <v>#NAME?</v>
      </c>
      <c r="X51" s="68" t="e">
        <f ca="1">_xll.ciqfunctions.udf.CIQ($A51, "IQ_EBITDA", IQ_LTM-8, $L$2, $L$4, $L$3, $L$5, $L$6)</f>
        <v>#NAME?</v>
      </c>
      <c r="Y51" s="68" t="e">
        <f ca="1">_xll.ciqfunctions.udf.CIQ($A51, "IQ_EBITDA", IQ_LTM-4, $L$2,$L$4, $L$3, $L$5, $L$6)</f>
        <v>#NAME?</v>
      </c>
      <c r="Z51" s="68" t="e">
        <f ca="1">_xll.ciqfunctions.udf.CIQ($A51, "IQ_EBITDA", IQ_LTM, $L$2, $L$4, $L$3, $L$5, $L$6)</f>
        <v>#NAME?</v>
      </c>
      <c r="AA51" s="68" t="e">
        <f ca="1">_xll.ciqfunctions.udf.CIQ($A51, "IQ_EBITDA", $B$2, $L$2, $L$4, $L$3, $L$5, $L$6)</f>
        <v>#NAME?</v>
      </c>
      <c r="AB51" s="68" t="e">
        <f ca="1">IF(_xll.ciqfunctions.udf.CIQ($A51, "IQ_EBITDA", $B$3, $L$2,$L$4, $L$3, $L$5, $L$6)=0,Z51,_xll.ciqfunctions.udf.CIQ($A51, "IQ_EBITDA", $B$3, $L$2,$L$4, $L$3, $L$5, $L$6))</f>
        <v>#NAME?</v>
      </c>
      <c r="AC51" s="68" t="e">
        <f ca="1">IF(_xll.ciqfunctions.udf.CIQ($A51, "IQ_EBITDA_EST",$B$4, $L$2, "CON", $L$3, $L$5, $L$6)=0,"n/a",_xll.ciqfunctions.udf.CIQ($A51, "IQ_EBITDA_EST",$B$4, $L$2, "CON", $L$3, $L$5, $L$6))</f>
        <v>#NAME?</v>
      </c>
      <c r="AD51" s="45" t="e">
        <f ca="1">IF(_xll.ciqfunctions.udf.CIQ($A51, "IQ_EBITDA_EST",$B$5, $L$2, "CON", $L$3, $L$5, $L$6)=0,"n/a",_xll.ciqfunctions.udf.CIQ($A51, "IQ_EBITDA_EST",$B$5, $L$2, "CON", $L$3, $L$5, $L$6))</f>
        <v>#NAME?</v>
      </c>
      <c r="AE51" s="68" t="e">
        <f ca="1">IF(_xll.ciqfunctions.udf.CIQ($A51, "IQ_EBITDA_EST",$B$6, $L$2, "CON", $L$3, $L$5, $L$6)=0,"n/a",_xll.ciqfunctions.udf.CIQ($A51, "IQ_EBITDA_EST",$B$6, $L$2, "CON", $L$3, $L$5, $L$6))</f>
        <v>#NAME?</v>
      </c>
      <c r="AF51" s="69" t="str">
        <f ca="1">IF(ISERROR(_xll.ciqfunctions.udf.CIQ($A51, "IQ_GROSS_MARGIN", IQ_LTM, $L$2,$L$4, $L$3, $L$5, $L$6)/100), "n/a", _xll.ciqfunctions.udf.CIQ($A51,  "IQ_GROSS_MARGIN", IQ_LTM, $L$2, $L$4, $L$3, $L$5, $L$6)/100)</f>
        <v>n/a</v>
      </c>
      <c r="AG51" s="69" t="str">
        <f ca="1">IF(ISERROR(_xll.ciqfunctions.udf.CIQ($A51,"IQ_EBITDA_MARGIN", IQ_LTM, $L$2, $L$4, $L$3, $L$5, $L$6)/100), "n/a", _xll.ciqfunctions.udf.CIQ($A51, "IQ_EBITDA_MARGIN", IQ_LTM, $L$2, $L$4, $L$3, $L$5, $L$6)/100)</f>
        <v>n/a</v>
      </c>
      <c r="AH51" s="69" t="str">
        <f ca="1">IF(ISERROR(_xll.ciqfunctions.udf.CIQ($A51,"IQ_EBIT_MARGIN", IQ_LTM, $L$2, $L$4, $L$3, $L$5, $L$6)/100), "n/a", _xll.ciqfunctions.udf.CIQ($A51, "IQ_EBIT_MARGIN", IQ_LTM, $L$2, $L$4, $L$3, $L$5, $L$6)/100)</f>
        <v>n/a</v>
      </c>
      <c r="AI51" s="69" t="str">
        <f ca="1">IF(ISERROR(_xll.ciqfunctions.udf.CIQ($A51,"IQ_NI_MARGIN", IQ_LTM, $L$2, $L$4, $L$3, $L$5, $L$6)/100), "n/a", _xll.ciqfunctions.udf.CIQ($A51, "IQ_NI_MARGIN", IQ_LTM, $L$2, $L$4, $L$3, $L$5, $L$6)/100)</f>
        <v>n/a</v>
      </c>
      <c r="AJ51" s="68" t="str">
        <f ca="1">IF(ISERROR(_xll.ciqfunctions.udf.CIQ($A51, "IQ_NET_WORKING_CAP", IQ_LTM-8, $L$2, $L$4, $L$3, $L$5, $L$6)), "n/a", _xll.ciqfunctions.udf.CIQ($A51, "IQ_NET_WORKING_CAP", IQ_LTM-8, $L$2, $L$4, $L$3, $L$5, $L$6))</f>
        <v>n/a</v>
      </c>
      <c r="AK51" s="68" t="str">
        <f ca="1">IF(ISERROR(_xll.ciqfunctions.udf.CIQ($A51, "IQ_NET_WORKING_CAP", IQ_LTM-4, $L$2, $L$4, $L$3, $L$5, $L$6)), "n/a", _xll.ciqfunctions.udf.CIQ($A51, "IQ_NET_WORKING_CAP", IQ_LTM-4, $L$2, $L$4, $L$3, $L$5, $L$6))</f>
        <v>n/a</v>
      </c>
      <c r="AL51" s="68" t="str">
        <f ca="1">IF(ISERROR(_xll.ciqfunctions.udf.CIQ($A51, "IQ_NET_WORKING_CAP", IQ_LTM, $L$2,$L$4, $L$3, $L$5, $L$6)), "n/a", _xll.ciqfunctions.udf.CIQ($A51, "IQ_NET_WORKING_CAP", IQ_LTM, $L$2, $L$4, $L$3, $L$5, $L$6))</f>
        <v>n/a</v>
      </c>
      <c r="AM51" s="68" t="str">
        <f ca="1">IF(ISERROR(_xll.ciqfunctions.udf.CIQ($A51, "IQ_Capex", IQ_LTM-8, $L$2,$L$4, $L$3, $L$5, $L$6)), "n/a", _xll.ciqfunctions.udf.CIQ($A51, "IQ_Capex", IQ_LTM-8, $L$2, $L$4, $L$3, $L$5, $L$6))</f>
        <v>n/a</v>
      </c>
      <c r="AN51" s="68" t="str">
        <f ca="1">IF(ISERROR(_xll.ciqfunctions.udf.CIQ($A51, "IQ_Capex", IQ_LTM-4, $L$2,$L$4, $L$3, $L$5, $L$6)), "n/a", _xll.ciqfunctions.udf.CIQ($A51, "IQ_Capex", IQ_LTM-4, $L$2,$L$4, $L$3, $L$5, $L$6))</f>
        <v>n/a</v>
      </c>
      <c r="AO51" s="68" t="str">
        <f ca="1">IF(ISERROR(_xll.ciqfunctions.udf.CIQ($A51, "IQ_Capex", IQ_LTM, $L$2, $L$4, $L$3, $L$5, $L$6)), "n/a", _xll.ciqfunctions.udf.CIQ($A51, "IQ_Capex", IQ_LTM, $L$2, $L$4, $L$3, $L$5, $L$6))</f>
        <v>n/a</v>
      </c>
      <c r="AP51" s="70" t="e">
        <f ca="1">_xll.ciqfunctions.udf.CIQ(A51, "IQ_BUSINESS_DESCRIPTION")</f>
        <v>#NAME?</v>
      </c>
      <c r="AQ51" s="71" t="e">
        <f ca="1">_xll.ciqfunctions.udf.CIQ($A51, "IQ_BETA_1YR", $B$1)</f>
        <v>#NAME?</v>
      </c>
      <c r="AR51" s="71" t="e">
        <f ca="1">_xll.ciqfunctions.udf.CIQ($A51, "IQ_BETA_2YR", $B$1)</f>
        <v>#NAME?</v>
      </c>
      <c r="AS51" s="71" t="e">
        <f ca="1">_xll.ciqfunctions.udf.CIQ($A51, "IQ_BETA_5YR", $B$1)</f>
        <v>#NAME?</v>
      </c>
      <c r="AT51" s="45" t="e">
        <f ca="1">_xll.ciqfunctions.udf.CIQ($B51, "IQ_GP", IQ_LTM,$B$1, ,,"USD")</f>
        <v>#NAME?</v>
      </c>
      <c r="AU51" s="68" t="e">
        <f ca="1">_xll.ciqfunctions.udf.CIQ($A51, "IQ_EARNING_CO", IQ_LTM-8, $L$2, $L$4, $L$3, $L$5, $L$6)</f>
        <v>#NAME?</v>
      </c>
      <c r="AV51" s="68" t="e">
        <f ca="1">_xll.ciqfunctions.udf.CIQ($A51, "IQ_EARNING_CO", IQ_LTM-4, $L$2, $L$4, $L$3, $L$5, $L$6)</f>
        <v>#NAME?</v>
      </c>
      <c r="AW51" s="68" t="e">
        <f ca="1">_xll.ciqfunctions.udf.CIQ($A51, "IQ_EARNING_CO", IQ_LTM, $L$2, $L$4, $L$3, $L$5, $L$6)</f>
        <v>#NAME?</v>
      </c>
      <c r="AX51" s="68" t="e">
        <f ca="1">_xll.ciqfunctions.udf.CIQ($A51, "IQ_EARNING_CO", $B$2, $L$2, $L$4, $L$3, $L$5, $L$6)</f>
        <v>#NAME?</v>
      </c>
      <c r="AY51" s="68" t="e">
        <f ca="1">IF(_xll.ciqfunctions.udf.CIQ($A51, "IQ_EARNING_CO", $B$3, $L$2,$L$4, $L$3, $L$5, $L$6)=0,AW51,_xll.ciqfunctions.udf.CIQ($A51, "IQ_EARNING_CO", $B$3, $L$2,$L$4, $L$3, $L$5, $L$6))</f>
        <v>#NAME?</v>
      </c>
      <c r="AZ51" s="68" t="e">
        <f ca="1">_xll.ciqfunctions.udf.CIQ($A51, "IQ_TOTAL_EQUITY", IQ_LTM-8, $L$2, $L$4, $L$3, $L$5, $L$6)</f>
        <v>#NAME?</v>
      </c>
      <c r="BA51" s="68" t="e">
        <f ca="1">_xll.ciqfunctions.udf.CIQ($A51, "IQ_TOTAL_EQUITY", IQ_LTM-4, $L$2, $L$4, $L$3, $L$5, $L$6)</f>
        <v>#NAME?</v>
      </c>
      <c r="BB51" s="68" t="e">
        <f ca="1">_xll.ciqfunctions.udf.CIQ($A51, "IQ_TOTAL_EQUITY", IQ_LTM, $L$2, $L$4, $L$3, $L$5, $L$6)</f>
        <v>#NAME?</v>
      </c>
      <c r="BC51" s="68" t="e">
        <f ca="1">_xll.ciqfunctions.udf.CIQ($A51, "IQ_TOTAL_EQUITY", $B$2, $L$2, $L$4, $L$3, $L$5, $L$6)</f>
        <v>#NAME?</v>
      </c>
      <c r="BD51" s="68" t="e">
        <f ca="1">IF(_xll.ciqfunctions.udf.CIQ($A51, "IQ_TOTAL_EQUITY", $B$3, $L$2,$L$4, $L$3, $L$5, $L$6)=0,BB51,_xll.ciqfunctions.udf.CIQ($A51, "IQ_TOTAL_EQUITY", $B$3, $L$2,$L$4, $L$3, $L$5, $L$6))</f>
        <v>#NAME?</v>
      </c>
      <c r="BE51" s="68" t="e">
        <f ca="1">_xll.ciqfunctions.udf.CIQ(A51, "IQ_LASTSALEPRICE", $B$8)</f>
        <v>#NAME?</v>
      </c>
      <c r="BF51" s="68" t="e">
        <f ca="1">_xll.ciqfunctions.udf.CIQ($A51, "IQ_MARKETCAP", $B$8, $L$5, $L$6)</f>
        <v>#NAME?</v>
      </c>
      <c r="BG51" s="68" t="e">
        <f ca="1">_xll.ciqfunctions.udf.CIQ($A51, "IQ_TOTAL_DEBT", IQ_LTM, $B$8,$L$4, $L$3, $L$5, $L$6)</f>
        <v>#NAME?</v>
      </c>
      <c r="BH51" s="44" t="e">
        <f ca="1">_xll.ciqfunctions.udf.CIQ($A51,"IQ_PREF_EQUITY",IQ_LTM,$B$8,$L$4,$L$3,$L$5,$L$6)</f>
        <v>#NAME?</v>
      </c>
      <c r="BI51" s="44" t="e">
        <f ca="1">_xll.ciqfunctions.udf.CIQ($A51, "IQ_MINORITY_INTEREST_TOTAL", IQ_LTM,$B$8,$L$4,$L$3,$L$5,$L$6)</f>
        <v>#NAME?</v>
      </c>
      <c r="BJ51" s="68" t="e">
        <f ca="1">_xll.ciqfunctions.udf.CIQ($A51, "IQ_CASH_ST_INVEST", IQ_LTM, $B$8, $L$4, $L$3, $L$5, $L$6)</f>
        <v>#NAME?</v>
      </c>
      <c r="BK51" s="44" t="e">
        <f ca="1">_xll.ciqfunctions.udf.CIQ($A51, "IQ_EFFECT_TAX_RATE")</f>
        <v>#NAME?</v>
      </c>
      <c r="BL51" s="44" t="e">
        <f ca="1">IF(_xll.ciqfunctions.udf.CIQ($A51, "IQ_TOTAL_REV_2YR_ANN_CAGR", IQ_LTM, $B$1,$L$4, $L$3, $L$5, $L$6)="NM","n/a",(_xll.ciqfunctions.udf.CIQ($A51, "IQ_TOTAL_REV_2YR_ANN_CAGR", IQ_LTM, $B$1,$L$4, $L$3, $L$5, $L$6)/100))</f>
        <v>#NAME?</v>
      </c>
      <c r="BM51" s="44" t="e">
        <f ca="1">IF(_xll.ciqfunctions.udf.CIQ($A51, "IQ_TOTAL_REV_3YR_ANN_CAGR", IQ_LTM, $B$1,$L$4, $L$3, $L$5, $L$6)="NM","n/a",(_xll.ciqfunctions.udf.CIQ($A51, "IQ_TOTAL_REV_3YR_ANN_CAGR", IQ_LTM, $B$1,$L$4, $L$3, $L$5, $L$6)/100))</f>
        <v>#NAME?</v>
      </c>
      <c r="BN51" s="44" t="e">
        <f ca="1">IF(_xll.ciqfunctions.udf.CIQ($A51, "IQ_TOTAL_REV_5YR_ANN_CAGR", IQ_LTM, $B$1,$L$4, $L$3, $L$5, $L$6)="NM","n/a",(_xll.ciqfunctions.udf.CIQ($A51, "IQ_TOTAL_REV_5YR_ANN_CAGR", IQ_LTM, $B$1,$L$4, $L$3, $L$5, $L$6)/100))</f>
        <v>#NAME?</v>
      </c>
      <c r="BO51" s="44" t="e">
        <f ca="1">IF(_xll.ciqfunctions.udf.CIQ($A51,"IQ_EBITDA_2YR_ANN_CAGR", IQ_LTM,$B$1,$L$4, $L$3, $L$5, $L$6)="NM","n/a",(_xll.ciqfunctions.udf.CIQ($A51,"IQ_EBITDA_2YR_ANN_CAGR", IQ_LTM,$B$1,$L$4, $L$3, $L$5, $L$6)/100))</f>
        <v>#NAME?</v>
      </c>
      <c r="BP51" s="44" t="e">
        <f ca="1">IF(_xll.ciqfunctions.udf.CIQ($A51,"IQ_EBITDA_3YR_ANN_CAGR", IQ_LTM,$B$1,$L$4, $L$3, $L$5, $L$6)="NM","n/a",(_xll.ciqfunctions.udf.CIQ($A51,"IQ_EBITDA_3YR_ANN_CAGR", IQ_LTM,$B$1,$L$4, $L$3, $L$5, $L$6)/100))</f>
        <v>#NAME?</v>
      </c>
      <c r="BQ51" s="44" t="e">
        <f ca="1">IF(_xll.ciqfunctions.udf.CIQ($A51,"IQ_EBITDA_5YR_ANN_CAGR", IQ_LTM,$B$1,$L$4, $L$3, $L$5, $L$6)="NM","n/a",(_xll.ciqfunctions.udf.CIQ($A51,"IQ_EBITDA_5YR_ANN_CAGR", IQ_LTM,$B$1,$L$4, $L$3, $L$5, $L$6)/100))</f>
        <v>#NAME?</v>
      </c>
      <c r="BR51" s="48" t="str">
        <f ca="1">IFERROR((_xll.ciqfunctions.udf.CIQ($A51, "IQ_DA_CF", IQ_LTM, $B$1, $L$4, $L$3, $L$5, $L$6)/Q51),"NM")</f>
        <v>NM</v>
      </c>
      <c r="BS51" s="69" t="e">
        <f>'Capital IQ Sheet-GPC'!BS51</f>
        <v>#VALUE!</v>
      </c>
      <c r="BT51" s="69" t="e">
        <f>'Capital IQ Sheet-GPC'!BT51</f>
        <v>#VALUE!</v>
      </c>
      <c r="BU51" s="69" t="e">
        <f>'Capital IQ Sheet-GPC'!BU51</f>
        <v>#VALUE!</v>
      </c>
      <c r="BV51" s="69" t="e">
        <f>'Capital IQ Sheet-GPC'!BV51</f>
        <v>#VALUE!</v>
      </c>
      <c r="BW51" s="69" t="e">
        <f>'Capital IQ Sheet-GPC'!BW51</f>
        <v>#VALUE!</v>
      </c>
      <c r="BX51" s="69" t="e">
        <f>'Capital IQ Sheet-GPC'!BX51</f>
        <v>#VALUE!</v>
      </c>
      <c r="BY51" s="69" t="e">
        <f>'Capital IQ Sheet-GPC'!BY51</f>
        <v>#VALUE!</v>
      </c>
      <c r="BZ51" s="69" t="e">
        <f>'Capital IQ Sheet-GPC'!BZ51</f>
        <v>#VALUE!</v>
      </c>
    </row>
    <row r="52" spans="1:83">
      <c r="A52" s="45" t="e">
        <f ca="1">_xll.ciqfunctions.udf.CIQ($B52,"IQ_COMPANY_TICKER")</f>
        <v>#NAME?</v>
      </c>
      <c r="B52" s="67" t="str">
        <f>'Capital IQ Sheet-GPC'!B52</f>
        <v>(Invalid Identifier)</v>
      </c>
      <c r="C52" s="45" t="e">
        <f ca="1">_xll.ciqfunctions.udf.CIQ($A52,"IQ_COMPANY_NAME")</f>
        <v>#NAME?</v>
      </c>
      <c r="D52" s="45" t="e">
        <f ca="1">_xll.ciqfunctions.udf.CIQ($A52, "IQ_EXCHANGE")</f>
        <v>#NAME?</v>
      </c>
      <c r="E52" s="66" t="e">
        <f ca="1">_xll.ciqfunctions.udf.CIQ($A52, "IQ_PERIODDATE_IS", IQ_FY)</f>
        <v>#NAME?</v>
      </c>
      <c r="F52" s="66" t="e">
        <f ca="1">_xll.ciqfunctions.udf.CIQ(A52, "IQ_PERIODDATE_IS", IQ_LTM, $B$1,$L$4,$L$3)</f>
        <v>#NAME?</v>
      </c>
      <c r="G52" s="66" t="e">
        <f ca="1">_xll.ciqfunctions.udf.CIQ($A52, "IQ_FIRSTPRICINGDATE")</f>
        <v>#NAME?</v>
      </c>
      <c r="H52" s="68" t="e">
        <f ca="1">_xll.ciqfunctions.udf.CIQ($A52, "IQ_TEV", $L$2, $L$5, $L$6)</f>
        <v>#NAME?</v>
      </c>
      <c r="I52" s="68" t="e">
        <f ca="1">_xll.ciqfunctions.udf.CIQ(A52, "IQ_LASTSALEPRICE", $B$1,$L$5)</f>
        <v>#NAME?</v>
      </c>
      <c r="J52" s="66" t="e">
        <f ca="1">_xll.ciqfunctions.udf.CIQ($B52, "IQ_FIRSTPRICINGDATE")</f>
        <v>#NAME?</v>
      </c>
      <c r="K52" s="68" t="e">
        <f ca="1">_xll.ciqfunctions.udf.CIQ($A52, "IQ_TOTAL_DEBT", IQ_LTM, $L$2,$L$4, $L$3, $L$5, $L$6)</f>
        <v>#NAME?</v>
      </c>
      <c r="L52" s="68" t="e">
        <f ca="1">_xll.ciqfunctions.udf.CIQ($A52, "IQ_PREF_EQUITY", IQ_LTM, $L$2, $L$4, $L$3, $L$5, $L$6)</f>
        <v>#NAME?</v>
      </c>
      <c r="M52" s="68" t="e">
        <f ca="1">_xll.ciqfunctions.udf.CIQ($A52, "IQ_MINORITY_INTEREST_TOTAL", IQ_LTM, $L$2, $L$4, $L$3, $L$5, $L$6)</f>
        <v>#NAME?</v>
      </c>
      <c r="N52" s="68" t="e">
        <f ca="1">_xll.ciqfunctions.udf.CIQ($A52, "IQ_CASH_ST_INVEST", IQ_LTM, $L$2, $L$4, $L$3, $L$5, $L$6)</f>
        <v>#NAME?</v>
      </c>
      <c r="O52" s="68" t="e">
        <f ca="1">_xll.ciqfunctions.udf.CIQ($A52, "IQ_TOTAL_REV", IQ_LTM-8, $L$2, $L$4, $L$3, $L$5, $L$6)</f>
        <v>#NAME?</v>
      </c>
      <c r="P52" s="68" t="e">
        <f ca="1">_xll.ciqfunctions.udf.CIQ($A52, "IQ_TOTAL_REV", IQ_LTM - 4, $L$2, $L$4, $L$3, $L$5,$L$6)</f>
        <v>#NAME?</v>
      </c>
      <c r="Q52" s="68" t="e">
        <f ca="1">_xll.ciqfunctions.udf.CIQ($A52, "IQ_TOTAL_REV", IQ_LTM, $L$2, $L$4, $L$3, $L$5, $L$6)</f>
        <v>#NAME?</v>
      </c>
      <c r="R52" s="68" t="e">
        <f ca="1">_xll.ciqfunctions.udf.CIQ($A52, "IQ_TOTAL_REV", $B$2, $L$2, $L$4, $L$3, $L$5, $L$6)</f>
        <v>#NAME?</v>
      </c>
      <c r="S52" s="68" t="e">
        <f ca="1">IF(_xll.ciqfunctions.udf.CIQ($A52, "IQ_TOTAL_REV", $B$3, $L$2,$L$4, $L$3, $L$5, $L$6)=0,Q52,_xll.ciqfunctions.udf.CIQ($A52, "IQ_TOTAL_REV", $B$3, $L$2,$L$4, $L$3, $L$5, $L$6))</f>
        <v>#NAME?</v>
      </c>
      <c r="T52" s="68" t="e">
        <f ca="1">IF(_xll.ciqfunctions.udf.CIQ($A52, "IQ_REVENUE_EST",$B$4, $L$2, "CON", $L$3, $L$5, $L$6)=0,"n/a",_xll.ciqfunctions.udf.CIQ($A52, "IQ_REVENUE_EST",$B$4, $L$2, "CON", $L$3, $L$5, $L$6))</f>
        <v>#NAME?</v>
      </c>
      <c r="U52" s="68" t="e">
        <f ca="1">IF(_xll.ciqfunctions.udf.CIQ($A52, "IQ_REVENUE_EST",$B$5, $L$2, "CON", $L$3, $L$5, $L$6)=0,"n/a",_xll.ciqfunctions.udf.CIQ($A52, "IQ_REVENUE_EST",$B$5, $L$2, "CON", $L$3, $L$5, $L$6))</f>
        <v>#NAME?</v>
      </c>
      <c r="V52" s="68" t="e">
        <f ca="1">IF(_xll.ciqfunctions.udf.CIQ($A52, "IQ_REVENUE_EST",$B$6, $L$2, "CON", $L$3, $L$5, $L$6)=0,"n/a",_xll.ciqfunctions.udf.CIQ($A52, "IQ_REVENUE_EST",$B$6, $L$2, "CON", $L$3, $L$5, $L$6))</f>
        <v>#NAME?</v>
      </c>
      <c r="W52" s="68" t="e">
        <f ca="1">IF(_xll.ciqfunctions.udf.CIQ($A52, "IQ_REVENUE_EST", $B$7, $L$2, "CON", $L$3, $L$5, $L$6)=0,"n/a",_xll.ciqfunctions.udf.CIQ($A52, "IQ_REVENUE_EST",$B$7, $L$2, "CON", $L$3, $L$5, $L$6))</f>
        <v>#NAME?</v>
      </c>
      <c r="X52" s="68" t="e">
        <f ca="1">_xll.ciqfunctions.udf.CIQ($A52, "IQ_EBITDA", IQ_LTM-8, $L$2, $L$4, $L$3, $L$5, $L$6)</f>
        <v>#NAME?</v>
      </c>
      <c r="Y52" s="68" t="e">
        <f ca="1">_xll.ciqfunctions.udf.CIQ($A52, "IQ_EBITDA", IQ_LTM-4, $L$2,$L$4, $L$3, $L$5, $L$6)</f>
        <v>#NAME?</v>
      </c>
      <c r="Z52" s="68" t="e">
        <f ca="1">_xll.ciqfunctions.udf.CIQ($A52, "IQ_EBITDA", IQ_LTM, $L$2, $L$4, $L$3, $L$5, $L$6)</f>
        <v>#NAME?</v>
      </c>
      <c r="AA52" s="68" t="e">
        <f ca="1">_xll.ciqfunctions.udf.CIQ($A52, "IQ_EBITDA", $B$2, $L$2, $L$4, $L$3, $L$5, $L$6)</f>
        <v>#NAME?</v>
      </c>
      <c r="AB52" s="68" t="e">
        <f ca="1">IF(_xll.ciqfunctions.udf.CIQ($A52, "IQ_EBITDA", $B$3, $L$2,$L$4, $L$3, $L$5, $L$6)=0,Z52,_xll.ciqfunctions.udf.CIQ($A52, "IQ_EBITDA", $B$3, $L$2,$L$4, $L$3, $L$5, $L$6))</f>
        <v>#NAME?</v>
      </c>
      <c r="AC52" s="68" t="e">
        <f ca="1">IF(_xll.ciqfunctions.udf.CIQ($A52, "IQ_EBITDA_EST",$B$4, $L$2, "CON", $L$3, $L$5, $L$6)=0,"n/a",_xll.ciqfunctions.udf.CIQ($A52, "IQ_EBITDA_EST",$B$4, $L$2, "CON", $L$3, $L$5, $L$6))</f>
        <v>#NAME?</v>
      </c>
      <c r="AD52" s="45" t="e">
        <f ca="1">IF(_xll.ciqfunctions.udf.CIQ($A52, "IQ_EBITDA_EST",$B$5, $L$2, "CON", $L$3, $L$5, $L$6)=0,"n/a",_xll.ciqfunctions.udf.CIQ($A52, "IQ_EBITDA_EST",$B$5, $L$2, "CON", $L$3, $L$5, $L$6))</f>
        <v>#NAME?</v>
      </c>
      <c r="AE52" s="68" t="e">
        <f ca="1">IF(_xll.ciqfunctions.udf.CIQ($A52, "IQ_EBITDA_EST",$B$6, $L$2, "CON", $L$3, $L$5, $L$6)=0,"n/a",_xll.ciqfunctions.udf.CIQ($A52, "IQ_EBITDA_EST",$B$6, $L$2, "CON", $L$3, $L$5, $L$6))</f>
        <v>#NAME?</v>
      </c>
      <c r="AF52" s="69" t="str">
        <f ca="1">IF(ISERROR(_xll.ciqfunctions.udf.CIQ($A52, "IQ_GROSS_MARGIN", IQ_LTM, $L$2,$L$4, $L$3, $L$5, $L$6)/100), "n/a", _xll.ciqfunctions.udf.CIQ($A52,  "IQ_GROSS_MARGIN", IQ_LTM, $L$2, $L$4, $L$3, $L$5, $L$6)/100)</f>
        <v>n/a</v>
      </c>
      <c r="AG52" s="69" t="str">
        <f ca="1">IF(ISERROR(_xll.ciqfunctions.udf.CIQ($A52,"IQ_EBITDA_MARGIN", IQ_LTM, $L$2, $L$4, $L$3, $L$5, $L$6)/100), "n/a", _xll.ciqfunctions.udf.CIQ($A52, "IQ_EBITDA_MARGIN", IQ_LTM, $L$2, $L$4, $L$3, $L$5, $L$6)/100)</f>
        <v>n/a</v>
      </c>
      <c r="AH52" s="69" t="str">
        <f ca="1">IF(ISERROR(_xll.ciqfunctions.udf.CIQ($A52,"IQ_EBIT_MARGIN", IQ_LTM, $L$2, $L$4, $L$3, $L$5, $L$6)/100), "n/a", _xll.ciqfunctions.udf.CIQ($A52, "IQ_EBIT_MARGIN", IQ_LTM, $L$2, $L$4, $L$3, $L$5, $L$6)/100)</f>
        <v>n/a</v>
      </c>
      <c r="AI52" s="69" t="str">
        <f ca="1">IF(ISERROR(_xll.ciqfunctions.udf.CIQ($A52,"IQ_NI_MARGIN", IQ_LTM, $L$2, $L$4, $L$3, $L$5, $L$6)/100), "n/a", _xll.ciqfunctions.udf.CIQ($A52, "IQ_NI_MARGIN", IQ_LTM, $L$2, $L$4, $L$3, $L$5, $L$6)/100)</f>
        <v>n/a</v>
      </c>
      <c r="AJ52" s="68" t="str">
        <f ca="1">IF(ISERROR(_xll.ciqfunctions.udf.CIQ($A52, "IQ_NET_WORKING_CAP", IQ_LTM-8, $L$2, $L$4, $L$3, $L$5, $L$6)), "n/a", _xll.ciqfunctions.udf.CIQ($A52, "IQ_NET_WORKING_CAP", IQ_LTM-8, $L$2, $L$4, $L$3, $L$5, $L$6))</f>
        <v>n/a</v>
      </c>
      <c r="AK52" s="68" t="str">
        <f ca="1">IF(ISERROR(_xll.ciqfunctions.udf.CIQ($A52, "IQ_NET_WORKING_CAP", IQ_LTM-4, $L$2, $L$4, $L$3, $L$5, $L$6)), "n/a", _xll.ciqfunctions.udf.CIQ($A52, "IQ_NET_WORKING_CAP", IQ_LTM-4, $L$2, $L$4, $L$3, $L$5, $L$6))</f>
        <v>n/a</v>
      </c>
      <c r="AL52" s="68" t="str">
        <f ca="1">IF(ISERROR(_xll.ciqfunctions.udf.CIQ($A52, "IQ_NET_WORKING_CAP", IQ_LTM, $L$2,$L$4, $L$3, $L$5, $L$6)), "n/a", _xll.ciqfunctions.udf.CIQ($A52, "IQ_NET_WORKING_CAP", IQ_LTM, $L$2, $L$4, $L$3, $L$5, $L$6))</f>
        <v>n/a</v>
      </c>
      <c r="AM52" s="68" t="str">
        <f ca="1">IF(ISERROR(_xll.ciqfunctions.udf.CIQ($A52, "IQ_Capex", IQ_LTM-8, $L$2,$L$4, $L$3, $L$5, $L$6)), "n/a", _xll.ciqfunctions.udf.CIQ($A52, "IQ_Capex", IQ_LTM-8, $L$2, $L$4, $L$3, $L$5, $L$6))</f>
        <v>n/a</v>
      </c>
      <c r="AN52" s="68" t="str">
        <f ca="1">IF(ISERROR(_xll.ciqfunctions.udf.CIQ($A52, "IQ_Capex", IQ_LTM-4, $L$2,$L$4, $L$3, $L$5, $L$6)), "n/a", _xll.ciqfunctions.udf.CIQ($A52, "IQ_Capex", IQ_LTM-4, $L$2,$L$4, $L$3, $L$5, $L$6))</f>
        <v>n/a</v>
      </c>
      <c r="AO52" s="68" t="str">
        <f ca="1">IF(ISERROR(_xll.ciqfunctions.udf.CIQ($A52, "IQ_Capex", IQ_LTM, $L$2, $L$4, $L$3, $L$5, $L$6)), "n/a", _xll.ciqfunctions.udf.CIQ($A52, "IQ_Capex", IQ_LTM, $L$2, $L$4, $L$3, $L$5, $L$6))</f>
        <v>n/a</v>
      </c>
      <c r="AP52" s="70" t="e">
        <f ca="1">_xll.ciqfunctions.udf.CIQ(A52, "IQ_BUSINESS_DESCRIPTION")</f>
        <v>#NAME?</v>
      </c>
      <c r="AQ52" s="71" t="e">
        <f ca="1">_xll.ciqfunctions.udf.CIQ($A52, "IQ_BETA_1YR", $B$1)</f>
        <v>#NAME?</v>
      </c>
      <c r="AR52" s="71" t="e">
        <f ca="1">_xll.ciqfunctions.udf.CIQ($A52, "IQ_BETA_2YR", $B$1)</f>
        <v>#NAME?</v>
      </c>
      <c r="AS52" s="71" t="e">
        <f ca="1">_xll.ciqfunctions.udf.CIQ($A52, "IQ_BETA_5YR", $B$1)</f>
        <v>#NAME?</v>
      </c>
      <c r="AT52" s="45" t="e">
        <f ca="1">_xll.ciqfunctions.udf.CIQ($B52, "IQ_GP", IQ_LTM,$B$1, ,,"USD")</f>
        <v>#NAME?</v>
      </c>
      <c r="AU52" s="68" t="e">
        <f ca="1">_xll.ciqfunctions.udf.CIQ($A52, "IQ_EARNING_CO", IQ_LTM-8, $L$2, $L$4, $L$3, $L$5, $L$6)</f>
        <v>#NAME?</v>
      </c>
      <c r="AV52" s="68" t="e">
        <f ca="1">_xll.ciqfunctions.udf.CIQ($A52, "IQ_EARNING_CO", IQ_LTM-4, $L$2, $L$4, $L$3, $L$5, $L$6)</f>
        <v>#NAME?</v>
      </c>
      <c r="AW52" s="68" t="e">
        <f ca="1">_xll.ciqfunctions.udf.CIQ($A52, "IQ_EARNING_CO", IQ_LTM, $L$2, $L$4, $L$3, $L$5, $L$6)</f>
        <v>#NAME?</v>
      </c>
      <c r="AX52" s="68" t="e">
        <f ca="1">_xll.ciqfunctions.udf.CIQ($A52, "IQ_EARNING_CO", $B$2, $L$2, $L$4, $L$3, $L$5, $L$6)</f>
        <v>#NAME?</v>
      </c>
      <c r="AY52" s="68" t="e">
        <f ca="1">IF(_xll.ciqfunctions.udf.CIQ($A52, "IQ_EARNING_CO", $B$3, $L$2,$L$4, $L$3, $L$5, $L$6)=0,AW52,_xll.ciqfunctions.udf.CIQ($A52, "IQ_EARNING_CO", $B$3, $L$2,$L$4, $L$3, $L$5, $L$6))</f>
        <v>#NAME?</v>
      </c>
      <c r="AZ52" s="68" t="e">
        <f ca="1">_xll.ciqfunctions.udf.CIQ($A52, "IQ_TOTAL_EQUITY", IQ_LTM-8, $L$2, $L$4, $L$3, $L$5, $L$6)</f>
        <v>#NAME?</v>
      </c>
      <c r="BA52" s="68" t="e">
        <f ca="1">_xll.ciqfunctions.udf.CIQ($A52, "IQ_TOTAL_EQUITY", IQ_LTM-4, $L$2, $L$4, $L$3, $L$5, $L$6)</f>
        <v>#NAME?</v>
      </c>
      <c r="BB52" s="68" t="e">
        <f ca="1">_xll.ciqfunctions.udf.CIQ($A52, "IQ_TOTAL_EQUITY", IQ_LTM, $L$2, $L$4, $L$3, $L$5, $L$6)</f>
        <v>#NAME?</v>
      </c>
      <c r="BC52" s="68" t="e">
        <f ca="1">_xll.ciqfunctions.udf.CIQ($A52, "IQ_TOTAL_EQUITY", $B$2, $L$2, $L$4, $L$3, $L$5, $L$6)</f>
        <v>#NAME?</v>
      </c>
      <c r="BD52" s="68" t="e">
        <f ca="1">IF(_xll.ciqfunctions.udf.CIQ($A52, "IQ_TOTAL_EQUITY", $B$3, $L$2,$L$4, $L$3, $L$5, $L$6)=0,BB52,_xll.ciqfunctions.udf.CIQ($A52, "IQ_TOTAL_EQUITY", $B$3, $L$2,$L$4, $L$3, $L$5, $L$6))</f>
        <v>#NAME?</v>
      </c>
      <c r="BE52" s="68" t="e">
        <f ca="1">_xll.ciqfunctions.udf.CIQ(A52, "IQ_LASTSALEPRICE", $B$8)</f>
        <v>#NAME?</v>
      </c>
      <c r="BF52" s="68" t="e">
        <f ca="1">_xll.ciqfunctions.udf.CIQ($A52, "IQ_MARKETCAP", $B$8, $L$5, $L$6)</f>
        <v>#NAME?</v>
      </c>
      <c r="BG52" s="68" t="e">
        <f ca="1">_xll.ciqfunctions.udf.CIQ($A52, "IQ_TOTAL_DEBT", IQ_LTM, $B$8,$L$4, $L$3, $L$5, $L$6)</f>
        <v>#NAME?</v>
      </c>
      <c r="BH52" s="44" t="e">
        <f ca="1">_xll.ciqfunctions.udf.CIQ($A52,"IQ_PREF_EQUITY",IQ_LTM,$B$8,$L$4,$L$3,$L$5,$L$6)</f>
        <v>#NAME?</v>
      </c>
      <c r="BI52" s="44" t="e">
        <f ca="1">_xll.ciqfunctions.udf.CIQ($A52, "IQ_MINORITY_INTEREST_TOTAL", IQ_LTM,$B$8,$L$4,$L$3,$L$5,$L$6)</f>
        <v>#NAME?</v>
      </c>
      <c r="BJ52" s="68" t="e">
        <f ca="1">_xll.ciqfunctions.udf.CIQ($A52, "IQ_CASH_ST_INVEST", IQ_LTM, $B$8, $L$4, $L$3, $L$5, $L$6)</f>
        <v>#NAME?</v>
      </c>
      <c r="BK52" s="44" t="e">
        <f ca="1">_xll.ciqfunctions.udf.CIQ($A52, "IQ_EFFECT_TAX_RATE")</f>
        <v>#NAME?</v>
      </c>
      <c r="BL52" s="44" t="e">
        <f ca="1">IF(_xll.ciqfunctions.udf.CIQ($A52, "IQ_TOTAL_REV_2YR_ANN_CAGR", IQ_LTM, $B$1,$L$4, $L$3, $L$5, $L$6)="NM","n/a",(_xll.ciqfunctions.udf.CIQ($A52, "IQ_TOTAL_REV_2YR_ANN_CAGR", IQ_LTM, $B$1,$L$4, $L$3, $L$5, $L$6)/100))</f>
        <v>#NAME?</v>
      </c>
      <c r="BM52" s="44" t="e">
        <f ca="1">IF(_xll.ciqfunctions.udf.CIQ($A52, "IQ_TOTAL_REV_3YR_ANN_CAGR", IQ_LTM, $B$1,$L$4, $L$3, $L$5, $L$6)="NM","n/a",(_xll.ciqfunctions.udf.CIQ($A52, "IQ_TOTAL_REV_3YR_ANN_CAGR", IQ_LTM, $B$1,$L$4, $L$3, $L$5, $L$6)/100))</f>
        <v>#NAME?</v>
      </c>
      <c r="BN52" s="44" t="e">
        <f ca="1">IF(_xll.ciqfunctions.udf.CIQ($A52, "IQ_TOTAL_REV_5YR_ANN_CAGR", IQ_LTM, $B$1,$L$4, $L$3, $L$5, $L$6)="NM","n/a",(_xll.ciqfunctions.udf.CIQ($A52, "IQ_TOTAL_REV_5YR_ANN_CAGR", IQ_LTM, $B$1,$L$4, $L$3, $L$5, $L$6)/100))</f>
        <v>#NAME?</v>
      </c>
      <c r="BO52" s="44" t="e">
        <f ca="1">IF(_xll.ciqfunctions.udf.CIQ($A52,"IQ_EBITDA_2YR_ANN_CAGR", IQ_LTM,$B$1,$L$4, $L$3, $L$5, $L$6)="NM","n/a",(_xll.ciqfunctions.udf.CIQ($A52,"IQ_EBITDA_2YR_ANN_CAGR", IQ_LTM,$B$1,$L$4, $L$3, $L$5, $L$6)/100))</f>
        <v>#NAME?</v>
      </c>
      <c r="BP52" s="44" t="e">
        <f ca="1">IF(_xll.ciqfunctions.udf.CIQ($A52,"IQ_EBITDA_3YR_ANN_CAGR", IQ_LTM,$B$1,$L$4, $L$3, $L$5, $L$6)="NM","n/a",(_xll.ciqfunctions.udf.CIQ($A52,"IQ_EBITDA_3YR_ANN_CAGR", IQ_LTM,$B$1,$L$4, $L$3, $L$5, $L$6)/100))</f>
        <v>#NAME?</v>
      </c>
      <c r="BQ52" s="44" t="e">
        <f ca="1">IF(_xll.ciqfunctions.udf.CIQ($A52,"IQ_EBITDA_5YR_ANN_CAGR", IQ_LTM,$B$1,$L$4, $L$3, $L$5, $L$6)="NM","n/a",(_xll.ciqfunctions.udf.CIQ($A52,"IQ_EBITDA_5YR_ANN_CAGR", IQ_LTM,$B$1,$L$4, $L$3, $L$5, $L$6)/100))</f>
        <v>#NAME?</v>
      </c>
      <c r="BR52" s="48" t="str">
        <f ca="1">IFERROR((_xll.ciqfunctions.udf.CIQ($A52, "IQ_DA_CF", IQ_LTM, $B$1, $L$4, $L$3, $L$5, $L$6)/Q52),"NM")</f>
        <v>NM</v>
      </c>
      <c r="BS52" s="69" t="e">
        <f>'Capital IQ Sheet-GPC'!BS52</f>
        <v>#VALUE!</v>
      </c>
      <c r="BT52" s="69" t="e">
        <f>'Capital IQ Sheet-GPC'!BT52</f>
        <v>#VALUE!</v>
      </c>
      <c r="BU52" s="69" t="e">
        <f>'Capital IQ Sheet-GPC'!BU52</f>
        <v>#VALUE!</v>
      </c>
      <c r="BV52" s="69" t="e">
        <f>'Capital IQ Sheet-GPC'!BV52</f>
        <v>#VALUE!</v>
      </c>
      <c r="BW52" s="69" t="e">
        <f>'Capital IQ Sheet-GPC'!BW52</f>
        <v>#VALUE!</v>
      </c>
      <c r="BX52" s="69" t="e">
        <f>'Capital IQ Sheet-GPC'!BX52</f>
        <v>#VALUE!</v>
      </c>
      <c r="BY52" s="69" t="e">
        <f>'Capital IQ Sheet-GPC'!BY52</f>
        <v>#VALUE!</v>
      </c>
      <c r="BZ52" s="69" t="e">
        <f>'Capital IQ Sheet-GPC'!BZ52</f>
        <v>#VALUE!</v>
      </c>
    </row>
    <row r="53" spans="1:83">
      <c r="A53" s="45" t="e">
        <f ca="1">_xll.ciqfunctions.udf.CIQ($B53,"IQ_COMPANY_TICKER")</f>
        <v>#NAME?</v>
      </c>
      <c r="B53" s="67" t="str">
        <f>'Capital IQ Sheet-GPC'!B53</f>
        <v>(Invalid Identifier)</v>
      </c>
      <c r="C53" s="45" t="e">
        <f ca="1">_xll.ciqfunctions.udf.CIQ($A53,"IQ_COMPANY_NAME")</f>
        <v>#NAME?</v>
      </c>
      <c r="D53" s="45" t="e">
        <f ca="1">_xll.ciqfunctions.udf.CIQ($A53, "IQ_EXCHANGE")</f>
        <v>#NAME?</v>
      </c>
      <c r="E53" s="66" t="e">
        <f ca="1">_xll.ciqfunctions.udf.CIQ($A53, "IQ_PERIODDATE_IS", IQ_FY)</f>
        <v>#NAME?</v>
      </c>
      <c r="F53" s="66" t="e">
        <f ca="1">_xll.ciqfunctions.udf.CIQ(A53, "IQ_PERIODDATE_IS", IQ_LTM, $B$1,$L$4,$L$3)</f>
        <v>#NAME?</v>
      </c>
      <c r="G53" s="66" t="e">
        <f ca="1">_xll.ciqfunctions.udf.CIQ($A53, "IQ_FIRSTPRICINGDATE")</f>
        <v>#NAME?</v>
      </c>
      <c r="H53" s="68" t="e">
        <f ca="1">_xll.ciqfunctions.udf.CIQ($A53, "IQ_TEV", $L$2, $L$5, $L$6)</f>
        <v>#NAME?</v>
      </c>
      <c r="I53" s="68" t="e">
        <f ca="1">_xll.ciqfunctions.udf.CIQ(A53, "IQ_LASTSALEPRICE", $B$1,$L$5)</f>
        <v>#NAME?</v>
      </c>
      <c r="J53" s="66" t="e">
        <f ca="1">_xll.ciqfunctions.udf.CIQ($B53, "IQ_FIRSTPRICINGDATE")</f>
        <v>#NAME?</v>
      </c>
      <c r="K53" s="68" t="e">
        <f ca="1">_xll.ciqfunctions.udf.CIQ($A53, "IQ_TOTAL_DEBT", IQ_LTM, $L$2,$L$4, $L$3, $L$5, $L$6)</f>
        <v>#NAME?</v>
      </c>
      <c r="L53" s="68" t="e">
        <f ca="1">_xll.ciqfunctions.udf.CIQ($A53, "IQ_PREF_EQUITY", IQ_LTM, $L$2, $L$4, $L$3, $L$5, $L$6)</f>
        <v>#NAME?</v>
      </c>
      <c r="M53" s="68" t="e">
        <f ca="1">_xll.ciqfunctions.udf.CIQ($A53, "IQ_MINORITY_INTEREST_TOTAL", IQ_LTM, $L$2, $L$4, $L$3, $L$5, $L$6)</f>
        <v>#NAME?</v>
      </c>
      <c r="N53" s="68" t="e">
        <f ca="1">_xll.ciqfunctions.udf.CIQ($A53, "IQ_CASH_ST_INVEST", IQ_LTM, $L$2, $L$4, $L$3, $L$5, $L$6)</f>
        <v>#NAME?</v>
      </c>
      <c r="O53" s="68" t="e">
        <f ca="1">_xll.ciqfunctions.udf.CIQ($A53, "IQ_TOTAL_REV", IQ_LTM-8, $L$2, $L$4, $L$3, $L$5, $L$6)</f>
        <v>#NAME?</v>
      </c>
      <c r="P53" s="68" t="e">
        <f ca="1">_xll.ciqfunctions.udf.CIQ($A53, "IQ_TOTAL_REV", IQ_LTM - 4, $L$2, $L$4, $L$3, $L$5,$L$6)</f>
        <v>#NAME?</v>
      </c>
      <c r="Q53" s="68" t="e">
        <f ca="1">_xll.ciqfunctions.udf.CIQ($A53, "IQ_TOTAL_REV", IQ_LTM, $L$2, $L$4, $L$3, $L$5, $L$6)</f>
        <v>#NAME?</v>
      </c>
      <c r="R53" s="68" t="e">
        <f ca="1">_xll.ciqfunctions.udf.CIQ($A53, "IQ_TOTAL_REV", $B$2, $L$2, $L$4, $L$3, $L$5, $L$6)</f>
        <v>#NAME?</v>
      </c>
      <c r="S53" s="68" t="e">
        <f ca="1">IF(_xll.ciqfunctions.udf.CIQ($A53, "IQ_TOTAL_REV", $B$3, $L$2,$L$4, $L$3, $L$5, $L$6)=0,Q53,_xll.ciqfunctions.udf.CIQ($A53, "IQ_TOTAL_REV", $B$3, $L$2,$L$4, $L$3, $L$5, $L$6))</f>
        <v>#NAME?</v>
      </c>
      <c r="T53" s="68" t="e">
        <f ca="1">IF(_xll.ciqfunctions.udf.CIQ($A53, "IQ_REVENUE_EST",$B$4, $L$2, "CON", $L$3, $L$5, $L$6)=0,"n/a",_xll.ciqfunctions.udf.CIQ($A53, "IQ_REVENUE_EST",$B$4, $L$2, "CON", $L$3, $L$5, $L$6))</f>
        <v>#NAME?</v>
      </c>
      <c r="U53" s="68" t="e">
        <f ca="1">IF(_xll.ciqfunctions.udf.CIQ($A53, "IQ_REVENUE_EST",$B$5, $L$2, "CON", $L$3, $L$5, $L$6)=0,"n/a",_xll.ciqfunctions.udf.CIQ($A53, "IQ_REVENUE_EST",$B$5, $L$2, "CON", $L$3, $L$5, $L$6))</f>
        <v>#NAME?</v>
      </c>
      <c r="V53" s="68" t="e">
        <f ca="1">IF(_xll.ciqfunctions.udf.CIQ($A53, "IQ_REVENUE_EST",$B$6, $L$2, "CON", $L$3, $L$5, $L$6)=0,"n/a",_xll.ciqfunctions.udf.CIQ($A53, "IQ_REVENUE_EST",$B$6, $L$2, "CON", $L$3, $L$5, $L$6))</f>
        <v>#NAME?</v>
      </c>
      <c r="W53" s="68" t="e">
        <f ca="1">IF(_xll.ciqfunctions.udf.CIQ($A53, "IQ_REVENUE_EST", $B$7, $L$2, "CON", $L$3, $L$5, $L$6)=0,"n/a",_xll.ciqfunctions.udf.CIQ($A53, "IQ_REVENUE_EST",$B$7, $L$2, "CON", $L$3, $L$5, $L$6))</f>
        <v>#NAME?</v>
      </c>
      <c r="X53" s="68" t="e">
        <f ca="1">_xll.ciqfunctions.udf.CIQ($A53, "IQ_EBITDA", IQ_LTM-8, $L$2, $L$4, $L$3, $L$5, $L$6)</f>
        <v>#NAME?</v>
      </c>
      <c r="Y53" s="68" t="e">
        <f ca="1">_xll.ciqfunctions.udf.CIQ($A53, "IQ_EBITDA", IQ_LTM-4, $L$2,$L$4, $L$3, $L$5, $L$6)</f>
        <v>#NAME?</v>
      </c>
      <c r="Z53" s="68" t="e">
        <f ca="1">_xll.ciqfunctions.udf.CIQ($A53, "IQ_EBITDA", IQ_LTM, $L$2, $L$4, $L$3, $L$5, $L$6)</f>
        <v>#NAME?</v>
      </c>
      <c r="AA53" s="68" t="e">
        <f ca="1">_xll.ciqfunctions.udf.CIQ($A53, "IQ_EBITDA", $B$2, $L$2, $L$4, $L$3, $L$5, $L$6)</f>
        <v>#NAME?</v>
      </c>
      <c r="AB53" s="68" t="e">
        <f ca="1">IF(_xll.ciqfunctions.udf.CIQ($A53, "IQ_EBITDA", $B$3, $L$2,$L$4, $L$3, $L$5, $L$6)=0,Z53,_xll.ciqfunctions.udf.CIQ($A53, "IQ_EBITDA", $B$3, $L$2,$L$4, $L$3, $L$5, $L$6))</f>
        <v>#NAME?</v>
      </c>
      <c r="AC53" s="68" t="e">
        <f ca="1">IF(_xll.ciqfunctions.udf.CIQ($A53, "IQ_EBITDA_EST",$B$4, $L$2, "CON", $L$3, $L$5, $L$6)=0,"n/a",_xll.ciqfunctions.udf.CIQ($A53, "IQ_EBITDA_EST",$B$4, $L$2, "CON", $L$3, $L$5, $L$6))</f>
        <v>#NAME?</v>
      </c>
      <c r="AD53" s="45" t="e">
        <f ca="1">IF(_xll.ciqfunctions.udf.CIQ($A53, "IQ_EBITDA_EST",$B$5, $L$2, "CON", $L$3, $L$5, $L$6)=0,"n/a",_xll.ciqfunctions.udf.CIQ($A53, "IQ_EBITDA_EST",$B$5, $L$2, "CON", $L$3, $L$5, $L$6))</f>
        <v>#NAME?</v>
      </c>
      <c r="AE53" s="68" t="e">
        <f ca="1">IF(_xll.ciqfunctions.udf.CIQ($A53, "IQ_EBITDA_EST",$B$6, $L$2, "CON", $L$3, $L$5, $L$6)=0,"n/a",_xll.ciqfunctions.udf.CIQ($A53, "IQ_EBITDA_EST",$B$6, $L$2, "CON", $L$3, $L$5, $L$6))</f>
        <v>#NAME?</v>
      </c>
      <c r="AF53" s="69" t="str">
        <f ca="1">IF(ISERROR(_xll.ciqfunctions.udf.CIQ($A53, "IQ_GROSS_MARGIN", IQ_LTM, $L$2,$L$4, $L$3, $L$5, $L$6)/100), "n/a", _xll.ciqfunctions.udf.CIQ($A53,  "IQ_GROSS_MARGIN", IQ_LTM, $L$2, $L$4, $L$3, $L$5, $L$6)/100)</f>
        <v>n/a</v>
      </c>
      <c r="AG53" s="69" t="str">
        <f ca="1">IF(ISERROR(_xll.ciqfunctions.udf.CIQ($A53,"IQ_EBITDA_MARGIN", IQ_LTM, $L$2, $L$4, $L$3, $L$5, $L$6)/100), "n/a", _xll.ciqfunctions.udf.CIQ($A53, "IQ_EBITDA_MARGIN", IQ_LTM, $L$2, $L$4, $L$3, $L$5, $L$6)/100)</f>
        <v>n/a</v>
      </c>
      <c r="AH53" s="69" t="str">
        <f ca="1">IF(ISERROR(_xll.ciqfunctions.udf.CIQ($A53,"IQ_EBIT_MARGIN", IQ_LTM, $L$2, $L$4, $L$3, $L$5, $L$6)/100), "n/a", _xll.ciqfunctions.udf.CIQ($A53, "IQ_EBIT_MARGIN", IQ_LTM, $L$2, $L$4, $L$3, $L$5, $L$6)/100)</f>
        <v>n/a</v>
      </c>
      <c r="AI53" s="69" t="str">
        <f ca="1">IF(ISERROR(_xll.ciqfunctions.udf.CIQ($A53,"IQ_NI_MARGIN", IQ_LTM, $L$2, $L$4, $L$3, $L$5, $L$6)/100), "n/a", _xll.ciqfunctions.udf.CIQ($A53, "IQ_NI_MARGIN", IQ_LTM, $L$2, $L$4, $L$3, $L$5, $L$6)/100)</f>
        <v>n/a</v>
      </c>
      <c r="AJ53" s="68" t="str">
        <f ca="1">IF(ISERROR(_xll.ciqfunctions.udf.CIQ($A53, "IQ_NET_WORKING_CAP", IQ_LTM-8, $L$2, $L$4, $L$3, $L$5, $L$6)), "n/a", _xll.ciqfunctions.udf.CIQ($A53, "IQ_NET_WORKING_CAP", IQ_LTM-8, $L$2, $L$4, $L$3, $L$5, $L$6))</f>
        <v>n/a</v>
      </c>
      <c r="AK53" s="68" t="str">
        <f ca="1">IF(ISERROR(_xll.ciqfunctions.udf.CIQ($A53, "IQ_NET_WORKING_CAP", IQ_LTM-4, $L$2, $L$4, $L$3, $L$5, $L$6)), "n/a", _xll.ciqfunctions.udf.CIQ($A53, "IQ_NET_WORKING_CAP", IQ_LTM-4, $L$2, $L$4, $L$3, $L$5, $L$6))</f>
        <v>n/a</v>
      </c>
      <c r="AL53" s="68" t="str">
        <f ca="1">IF(ISERROR(_xll.ciqfunctions.udf.CIQ($A53, "IQ_NET_WORKING_CAP", IQ_LTM, $L$2,$L$4, $L$3, $L$5, $L$6)), "n/a", _xll.ciqfunctions.udf.CIQ($A53, "IQ_NET_WORKING_CAP", IQ_LTM, $L$2, $L$4, $L$3, $L$5, $L$6))</f>
        <v>n/a</v>
      </c>
      <c r="AM53" s="68" t="str">
        <f ca="1">IF(ISERROR(_xll.ciqfunctions.udf.CIQ($A53, "IQ_Capex", IQ_LTM-8, $L$2,$L$4, $L$3, $L$5, $L$6)), "n/a", _xll.ciqfunctions.udf.CIQ($A53, "IQ_Capex", IQ_LTM-8, $L$2, $L$4, $L$3, $L$5, $L$6))</f>
        <v>n/a</v>
      </c>
      <c r="AN53" s="68" t="str">
        <f ca="1">IF(ISERROR(_xll.ciqfunctions.udf.CIQ($A53, "IQ_Capex", IQ_LTM-4, $L$2,$L$4, $L$3, $L$5, $L$6)), "n/a", _xll.ciqfunctions.udf.CIQ($A53, "IQ_Capex", IQ_LTM-4, $L$2,$L$4, $L$3, $L$5, $L$6))</f>
        <v>n/a</v>
      </c>
      <c r="AO53" s="68" t="str">
        <f ca="1">IF(ISERROR(_xll.ciqfunctions.udf.CIQ($A53, "IQ_Capex", IQ_LTM, $L$2, $L$4, $L$3, $L$5, $L$6)), "n/a", _xll.ciqfunctions.udf.CIQ($A53, "IQ_Capex", IQ_LTM, $L$2, $L$4, $L$3, $L$5, $L$6))</f>
        <v>n/a</v>
      </c>
      <c r="AP53" s="70" t="e">
        <f ca="1">_xll.ciqfunctions.udf.CIQ(A53, "IQ_BUSINESS_DESCRIPTION")</f>
        <v>#NAME?</v>
      </c>
      <c r="AQ53" s="71" t="e">
        <f ca="1">_xll.ciqfunctions.udf.CIQ($A53, "IQ_BETA_1YR", $B$1)</f>
        <v>#NAME?</v>
      </c>
      <c r="AR53" s="71" t="e">
        <f ca="1">_xll.ciqfunctions.udf.CIQ($A53, "IQ_BETA_2YR", $B$1)</f>
        <v>#NAME?</v>
      </c>
      <c r="AS53" s="71" t="e">
        <f ca="1">_xll.ciqfunctions.udf.CIQ($A53, "IQ_BETA_5YR", $B$1)</f>
        <v>#NAME?</v>
      </c>
      <c r="AT53" s="45" t="e">
        <f ca="1">_xll.ciqfunctions.udf.CIQ($B53, "IQ_GP", IQ_LTM,$B$1, ,,"USD")</f>
        <v>#NAME?</v>
      </c>
      <c r="AU53" s="68" t="e">
        <f ca="1">_xll.ciqfunctions.udf.CIQ($A53, "IQ_EARNING_CO", IQ_LTM-8, $L$2, $L$4, $L$3, $L$5, $L$6)</f>
        <v>#NAME?</v>
      </c>
      <c r="AV53" s="68" t="e">
        <f ca="1">_xll.ciqfunctions.udf.CIQ($A53, "IQ_EARNING_CO", IQ_LTM-4, $L$2, $L$4, $L$3, $L$5, $L$6)</f>
        <v>#NAME?</v>
      </c>
      <c r="AW53" s="68" t="e">
        <f ca="1">_xll.ciqfunctions.udf.CIQ($A53, "IQ_EARNING_CO", IQ_LTM, $L$2, $L$4, $L$3, $L$5, $L$6)</f>
        <v>#NAME?</v>
      </c>
      <c r="AX53" s="68" t="e">
        <f ca="1">_xll.ciqfunctions.udf.CIQ($A53, "IQ_EARNING_CO", $B$2, $L$2, $L$4, $L$3, $L$5, $L$6)</f>
        <v>#NAME?</v>
      </c>
      <c r="AY53" s="68" t="e">
        <f ca="1">IF(_xll.ciqfunctions.udf.CIQ($A53, "IQ_EARNING_CO", $B$3, $L$2,$L$4, $L$3, $L$5, $L$6)=0,AW53,_xll.ciqfunctions.udf.CIQ($A53, "IQ_EARNING_CO", $B$3, $L$2,$L$4, $L$3, $L$5, $L$6))</f>
        <v>#NAME?</v>
      </c>
      <c r="AZ53" s="68" t="e">
        <f ca="1">_xll.ciqfunctions.udf.CIQ($A53, "IQ_TOTAL_EQUITY", IQ_LTM-8, $L$2, $L$4, $L$3, $L$5, $L$6)</f>
        <v>#NAME?</v>
      </c>
      <c r="BA53" s="68" t="e">
        <f ca="1">_xll.ciqfunctions.udf.CIQ($A53, "IQ_TOTAL_EQUITY", IQ_LTM-4, $L$2, $L$4, $L$3, $L$5, $L$6)</f>
        <v>#NAME?</v>
      </c>
      <c r="BB53" s="68" t="e">
        <f ca="1">_xll.ciqfunctions.udf.CIQ($A53, "IQ_TOTAL_EQUITY", IQ_LTM, $L$2, $L$4, $L$3, $L$5, $L$6)</f>
        <v>#NAME?</v>
      </c>
      <c r="BC53" s="68" t="e">
        <f ca="1">_xll.ciqfunctions.udf.CIQ($A53, "IQ_TOTAL_EQUITY", $B$2, $L$2, $L$4, $L$3, $L$5, $L$6)</f>
        <v>#NAME?</v>
      </c>
      <c r="BD53" s="68" t="e">
        <f ca="1">IF(_xll.ciqfunctions.udf.CIQ($A53, "IQ_TOTAL_EQUITY", $B$3, $L$2,$L$4, $L$3, $L$5, $L$6)=0,BB53,_xll.ciqfunctions.udf.CIQ($A53, "IQ_TOTAL_EQUITY", $B$3, $L$2,$L$4, $L$3, $L$5, $L$6))</f>
        <v>#NAME?</v>
      </c>
      <c r="BE53" s="68" t="e">
        <f ca="1">_xll.ciqfunctions.udf.CIQ(A53, "IQ_LASTSALEPRICE", $B$8)</f>
        <v>#NAME?</v>
      </c>
      <c r="BF53" s="68" t="e">
        <f ca="1">_xll.ciqfunctions.udf.CIQ($A53, "IQ_MARKETCAP", $B$8, $L$5, $L$6)</f>
        <v>#NAME?</v>
      </c>
      <c r="BG53" s="68" t="e">
        <f ca="1">_xll.ciqfunctions.udf.CIQ($A53, "IQ_TOTAL_DEBT", IQ_LTM, $B$8,$L$4, $L$3, $L$5, $L$6)</f>
        <v>#NAME?</v>
      </c>
      <c r="BH53" s="44" t="e">
        <f ca="1">_xll.ciqfunctions.udf.CIQ($A53,"IQ_PREF_EQUITY",IQ_LTM,$B$8,$L$4,$L$3,$L$5,$L$6)</f>
        <v>#NAME?</v>
      </c>
      <c r="BI53" s="44" t="e">
        <f ca="1">_xll.ciqfunctions.udf.CIQ($A53, "IQ_MINORITY_INTEREST_TOTAL", IQ_LTM,$B$8,$L$4,$L$3,$L$5,$L$6)</f>
        <v>#NAME?</v>
      </c>
      <c r="BJ53" s="68" t="e">
        <f ca="1">_xll.ciqfunctions.udf.CIQ($A53, "IQ_CASH_ST_INVEST", IQ_LTM, $B$8, $L$4, $L$3, $L$5, $L$6)</f>
        <v>#NAME?</v>
      </c>
      <c r="BK53" s="44" t="e">
        <f ca="1">_xll.ciqfunctions.udf.CIQ($A53, "IQ_EFFECT_TAX_RATE")</f>
        <v>#NAME?</v>
      </c>
      <c r="BL53" s="44" t="e">
        <f ca="1">IF(_xll.ciqfunctions.udf.CIQ($A53, "IQ_TOTAL_REV_2YR_ANN_CAGR", IQ_LTM, $B$1,$L$4, $L$3, $L$5, $L$6)="NM","n/a",(_xll.ciqfunctions.udf.CIQ($A53, "IQ_TOTAL_REV_2YR_ANN_CAGR", IQ_LTM, $B$1,$L$4, $L$3, $L$5, $L$6)/100))</f>
        <v>#NAME?</v>
      </c>
      <c r="BM53" s="44" t="e">
        <f ca="1">IF(_xll.ciqfunctions.udf.CIQ($A53, "IQ_TOTAL_REV_3YR_ANN_CAGR", IQ_LTM, $B$1,$L$4, $L$3, $L$5, $L$6)="NM","n/a",(_xll.ciqfunctions.udf.CIQ($A53, "IQ_TOTAL_REV_3YR_ANN_CAGR", IQ_LTM, $B$1,$L$4, $L$3, $L$5, $L$6)/100))</f>
        <v>#NAME?</v>
      </c>
      <c r="BN53" s="44" t="e">
        <f ca="1">IF(_xll.ciqfunctions.udf.CIQ($A53, "IQ_TOTAL_REV_5YR_ANN_CAGR", IQ_LTM, $B$1,$L$4, $L$3, $L$5, $L$6)="NM","n/a",(_xll.ciqfunctions.udf.CIQ($A53, "IQ_TOTAL_REV_5YR_ANN_CAGR", IQ_LTM, $B$1,$L$4, $L$3, $L$5, $L$6)/100))</f>
        <v>#NAME?</v>
      </c>
      <c r="BO53" s="44" t="e">
        <f ca="1">IF(_xll.ciqfunctions.udf.CIQ($A53,"IQ_EBITDA_2YR_ANN_CAGR", IQ_LTM,$B$1,$L$4, $L$3, $L$5, $L$6)="NM","n/a",(_xll.ciqfunctions.udf.CIQ($A53,"IQ_EBITDA_2YR_ANN_CAGR", IQ_LTM,$B$1,$L$4, $L$3, $L$5, $L$6)/100))</f>
        <v>#NAME?</v>
      </c>
      <c r="BP53" s="44" t="e">
        <f ca="1">IF(_xll.ciqfunctions.udf.CIQ($A53,"IQ_EBITDA_3YR_ANN_CAGR", IQ_LTM,$B$1,$L$4, $L$3, $L$5, $L$6)="NM","n/a",(_xll.ciqfunctions.udf.CIQ($A53,"IQ_EBITDA_3YR_ANN_CAGR", IQ_LTM,$B$1,$L$4, $L$3, $L$5, $L$6)/100))</f>
        <v>#NAME?</v>
      </c>
      <c r="BQ53" s="44" t="e">
        <f ca="1">IF(_xll.ciqfunctions.udf.CIQ($A53,"IQ_EBITDA_5YR_ANN_CAGR", IQ_LTM,$B$1,$L$4, $L$3, $L$5, $L$6)="NM","n/a",(_xll.ciqfunctions.udf.CIQ($A53,"IQ_EBITDA_5YR_ANN_CAGR", IQ_LTM,$B$1,$L$4, $L$3, $L$5, $L$6)/100))</f>
        <v>#NAME?</v>
      </c>
      <c r="BR53" s="48" t="str">
        <f ca="1">IFERROR((_xll.ciqfunctions.udf.CIQ($A53, "IQ_DA_CF", IQ_LTM, $B$1, $L$4, $L$3, $L$5, $L$6)/Q53),"NM")</f>
        <v>NM</v>
      </c>
      <c r="BS53" s="69" t="e">
        <f>'Capital IQ Sheet-GPC'!BS53</f>
        <v>#VALUE!</v>
      </c>
      <c r="BT53" s="69" t="e">
        <f>'Capital IQ Sheet-GPC'!BT53</f>
        <v>#VALUE!</v>
      </c>
      <c r="BU53" s="69" t="e">
        <f>'Capital IQ Sheet-GPC'!BU53</f>
        <v>#VALUE!</v>
      </c>
      <c r="BV53" s="69" t="e">
        <f>'Capital IQ Sheet-GPC'!BV53</f>
        <v>#VALUE!</v>
      </c>
      <c r="BW53" s="69" t="e">
        <f>'Capital IQ Sheet-GPC'!BW53</f>
        <v>#VALUE!</v>
      </c>
      <c r="BX53" s="69" t="e">
        <f>'Capital IQ Sheet-GPC'!BX53</f>
        <v>#VALUE!</v>
      </c>
      <c r="BY53" s="69" t="e">
        <f>'Capital IQ Sheet-GPC'!BY53</f>
        <v>#VALUE!</v>
      </c>
      <c r="BZ53" s="69" t="e">
        <f>'Capital IQ Sheet-GPC'!BZ53</f>
        <v>#VALUE!</v>
      </c>
    </row>
    <row r="54" spans="1:83">
      <c r="A54" s="43"/>
      <c r="J54" s="66"/>
      <c r="M54" s="47"/>
      <c r="N54" s="47"/>
      <c r="O54" s="47"/>
      <c r="P54" s="47"/>
      <c r="Q54" s="47"/>
      <c r="R54" s="47"/>
      <c r="S54" s="47"/>
      <c r="T54" s="47"/>
      <c r="U54" s="47"/>
      <c r="V54" s="47"/>
      <c r="W54" s="47"/>
      <c r="X54" s="47"/>
      <c r="Y54" s="47"/>
      <c r="Z54" s="47"/>
      <c r="AA54" s="47"/>
      <c r="AB54" s="47"/>
      <c r="AC54" s="47"/>
      <c r="AD54" s="47"/>
      <c r="AE54" s="47"/>
      <c r="AF54" s="47"/>
      <c r="AG54" s="47"/>
      <c r="AH54" s="47"/>
      <c r="AI54" s="47"/>
      <c r="AJ54" s="47"/>
      <c r="AK54" s="47"/>
      <c r="AL54" s="47"/>
      <c r="AM54" s="47"/>
      <c r="AN54" s="47"/>
      <c r="AO54" s="47"/>
      <c r="AP54" s="47"/>
      <c r="AQ54" s="43"/>
      <c r="AR54" s="47"/>
      <c r="AS54" s="43"/>
      <c r="AT54" s="47"/>
      <c r="AU54" s="43"/>
      <c r="AV54" s="43"/>
      <c r="AW54" s="43"/>
      <c r="AX54" s="43"/>
      <c r="AY54" s="43"/>
      <c r="AZ54" s="43"/>
      <c r="BA54" s="43"/>
      <c r="BB54" s="43"/>
      <c r="BC54" s="47"/>
      <c r="BD54" s="43"/>
      <c r="BE54" s="43"/>
      <c r="BF54" s="43"/>
      <c r="BG54" s="43"/>
      <c r="BH54" s="43"/>
      <c r="BI54" s="43"/>
      <c r="BJ54" s="43"/>
      <c r="BK54" s="43"/>
      <c r="BL54" s="43"/>
      <c r="BM54" s="43"/>
      <c r="BN54" s="43"/>
      <c r="BO54" s="43"/>
      <c r="BP54" s="43"/>
      <c r="BQ54" s="43"/>
      <c r="BR54" s="43"/>
      <c r="BS54" s="43"/>
      <c r="BT54" s="43"/>
      <c r="BU54" s="43"/>
      <c r="BV54" s="43"/>
      <c r="BW54" s="43"/>
      <c r="BX54" s="43"/>
      <c r="BY54" s="43"/>
      <c r="BZ54" s="43"/>
      <c r="CE54" s="43"/>
    </row>
    <row r="55" spans="1:83">
      <c r="A55" s="43"/>
      <c r="J55" s="66"/>
      <c r="L55" s="63"/>
      <c r="M55" s="47"/>
      <c r="N55" s="47"/>
      <c r="O55" s="47"/>
      <c r="P55" s="47"/>
      <c r="Q55" s="47"/>
      <c r="R55" s="47"/>
      <c r="S55" s="47"/>
      <c r="T55" s="47"/>
      <c r="U55" s="47"/>
      <c r="V55" s="47"/>
      <c r="W55" s="47"/>
      <c r="X55" s="47"/>
      <c r="Y55" s="47"/>
      <c r="Z55" s="47"/>
      <c r="AA55" s="47"/>
      <c r="AB55" s="47"/>
      <c r="AC55" s="47"/>
      <c r="AD55" s="47"/>
      <c r="AE55" s="47"/>
      <c r="AF55" s="47"/>
      <c r="AG55" s="47"/>
      <c r="AH55" s="47"/>
      <c r="AI55" s="47"/>
      <c r="AJ55" s="47"/>
      <c r="AK55" s="47"/>
      <c r="AL55" s="47"/>
      <c r="AM55" s="47"/>
      <c r="AN55" s="47"/>
      <c r="AO55" s="47"/>
      <c r="AP55" s="47"/>
      <c r="AQ55" s="43"/>
      <c r="AR55" s="47"/>
      <c r="AS55" s="43"/>
      <c r="AT55" s="47"/>
      <c r="AU55" s="43"/>
      <c r="AV55" s="43"/>
      <c r="AW55" s="43"/>
      <c r="AX55" s="43"/>
      <c r="AY55" s="43"/>
      <c r="AZ55" s="43"/>
      <c r="BA55" s="43"/>
      <c r="BB55" s="43"/>
      <c r="BC55" s="47"/>
      <c r="BD55" s="43"/>
      <c r="BE55" s="43"/>
      <c r="BF55" s="43"/>
      <c r="BG55" s="43"/>
      <c r="BH55" s="43"/>
      <c r="BI55" s="43"/>
      <c r="BJ55" s="43"/>
      <c r="BK55" s="43"/>
      <c r="BL55" s="43"/>
      <c r="BM55" s="43"/>
      <c r="BN55" s="43"/>
      <c r="BO55" s="43"/>
      <c r="BP55" s="43"/>
      <c r="BQ55" s="43"/>
      <c r="BR55" s="43"/>
      <c r="BS55" s="43"/>
      <c r="BT55" s="43"/>
      <c r="BU55" s="43"/>
      <c r="BV55" s="43"/>
      <c r="BW55" s="43"/>
      <c r="BX55" s="43"/>
      <c r="BY55" s="43"/>
      <c r="BZ55" s="43"/>
      <c r="CE55" s="43"/>
    </row>
    <row r="56" spans="1:83" ht="12.75">
      <c r="A56" s="43"/>
      <c r="B56" s="113" t="s">
        <v>128</v>
      </c>
      <c r="C56" s="114" t="s">
        <v>632</v>
      </c>
      <c r="D56" s="115" t="s">
        <v>633</v>
      </c>
      <c r="E56" s="116" t="s">
        <v>127</v>
      </c>
      <c r="F56" s="117"/>
      <c r="G56" s="117"/>
      <c r="H56" s="117"/>
      <c r="I56" s="117"/>
      <c r="J56" s="110"/>
      <c r="K56" s="111"/>
      <c r="L56" s="63"/>
      <c r="M56" s="47"/>
      <c r="N56" s="47"/>
      <c r="O56" s="47"/>
      <c r="P56" s="47"/>
      <c r="Q56" s="47"/>
      <c r="R56" s="47"/>
      <c r="S56" s="47"/>
      <c r="T56" s="47"/>
      <c r="U56" s="47"/>
      <c r="V56" s="47"/>
      <c r="W56" s="47"/>
      <c r="X56" s="47"/>
      <c r="Y56" s="47"/>
      <c r="Z56" s="47"/>
      <c r="AA56" s="47"/>
      <c r="AB56" s="47"/>
      <c r="AC56" s="47"/>
      <c r="AD56" s="47"/>
      <c r="AE56" s="47"/>
      <c r="AF56" s="47"/>
      <c r="AG56" s="47"/>
      <c r="AH56" s="47"/>
      <c r="AI56" s="47"/>
      <c r="AJ56" s="47"/>
      <c r="AK56" s="47"/>
      <c r="AL56" s="47"/>
      <c r="AM56" s="47"/>
      <c r="AN56" s="47"/>
      <c r="AO56" s="47"/>
      <c r="AP56" s="47"/>
      <c r="AQ56" s="43"/>
      <c r="AR56" s="47"/>
      <c r="AS56" s="43"/>
      <c r="AT56" s="47"/>
      <c r="AU56" s="43"/>
      <c r="AV56" s="43"/>
      <c r="AW56" s="43"/>
      <c r="AX56" s="43"/>
      <c r="AY56" s="43"/>
      <c r="AZ56" s="43"/>
      <c r="BA56" s="43"/>
      <c r="BB56" s="43"/>
      <c r="BC56" s="47"/>
      <c r="BD56" s="43"/>
      <c r="BE56" s="43"/>
      <c r="BF56" s="43"/>
      <c r="BG56" s="43"/>
      <c r="BH56" s="43"/>
      <c r="BI56" s="43"/>
      <c r="BJ56" s="43"/>
      <c r="BK56" s="43"/>
      <c r="BL56" s="43"/>
      <c r="BM56" s="43"/>
      <c r="BN56" s="43"/>
      <c r="BO56" s="43"/>
      <c r="BP56" s="43"/>
      <c r="BQ56" s="43"/>
      <c r="BR56" s="43"/>
      <c r="BS56" s="43"/>
      <c r="BT56" s="43"/>
      <c r="BU56" s="43"/>
      <c r="BV56" s="43"/>
      <c r="BW56" s="43"/>
      <c r="BX56" s="43"/>
      <c r="BY56" s="43"/>
      <c r="BZ56" s="43"/>
      <c r="CE56" s="43"/>
    </row>
    <row r="57" spans="1:83" ht="12.75">
      <c r="A57" s="43"/>
      <c r="B57" s="81" t="s">
        <v>131</v>
      </c>
      <c r="C57" s="118">
        <f>1/12</f>
        <v>8.3333333333333329E-2</v>
      </c>
      <c r="D57" s="119" t="e">
        <f ca="1">_xll.ciqfunctions.udf.CIQSP(B57, "IQ_LASTSALEPRICE",$B$1)/100</f>
        <v>#NAME?</v>
      </c>
      <c r="E57" s="120" t="e">
        <f ca="1">IF((_xll.ciqfunctions.udf.CIQ(B57, "IQ_COMPANY_NAME"))="(Invalid Identifier)","",(_xll.ciqfunctions.udf.CIQ(B57, "IQ_COMPANY_NAME")))</f>
        <v>#NAME?</v>
      </c>
      <c r="F57" s="121"/>
      <c r="G57" s="121"/>
      <c r="H57" s="121"/>
      <c r="I57" s="121"/>
      <c r="J57" s="86"/>
      <c r="K57" s="87"/>
      <c r="M57" s="47"/>
      <c r="N57" s="47"/>
      <c r="O57" s="47"/>
      <c r="P57" s="47"/>
      <c r="Q57" s="47"/>
      <c r="R57" s="47"/>
      <c r="S57" s="47"/>
      <c r="T57" s="47"/>
      <c r="U57" s="47"/>
      <c r="V57" s="47"/>
      <c r="W57" s="47"/>
      <c r="X57" s="47"/>
      <c r="Y57" s="47"/>
      <c r="Z57" s="47"/>
      <c r="AA57" s="47"/>
      <c r="AB57" s="47"/>
      <c r="AC57" s="47"/>
      <c r="AD57" s="47"/>
      <c r="AE57" s="47"/>
      <c r="AF57" s="47"/>
      <c r="AG57" s="47"/>
      <c r="AH57" s="47"/>
      <c r="AI57" s="47"/>
      <c r="AJ57" s="47"/>
      <c r="AK57" s="47"/>
      <c r="AL57" s="47"/>
      <c r="AM57" s="47"/>
      <c r="AN57" s="47"/>
      <c r="AO57" s="47"/>
      <c r="AP57" s="47"/>
      <c r="AQ57" s="43"/>
      <c r="AR57" s="47"/>
      <c r="AS57" s="43"/>
      <c r="AT57" s="47"/>
      <c r="AU57" s="43"/>
      <c r="AV57" s="43"/>
      <c r="AW57" s="43"/>
      <c r="AX57" s="43"/>
      <c r="AY57" s="43"/>
      <c r="AZ57" s="43"/>
      <c r="BA57" s="43"/>
      <c r="BB57" s="43"/>
      <c r="BC57" s="47"/>
      <c r="BD57" s="43"/>
      <c r="BE57" s="43"/>
      <c r="BF57" s="43"/>
      <c r="BG57" s="43"/>
      <c r="BH57" s="43"/>
      <c r="BI57" s="43"/>
      <c r="BJ57" s="43"/>
      <c r="BK57" s="43"/>
      <c r="BL57" s="43"/>
      <c r="BM57" s="43"/>
      <c r="BN57" s="43"/>
      <c r="BO57" s="43"/>
      <c r="BP57" s="43"/>
      <c r="BQ57" s="43"/>
      <c r="BR57" s="43"/>
      <c r="BS57" s="43"/>
      <c r="BT57" s="43"/>
      <c r="BU57" s="43"/>
      <c r="BV57" s="43"/>
      <c r="BW57" s="43"/>
      <c r="BX57" s="43"/>
      <c r="BY57" s="43"/>
      <c r="BZ57" s="43"/>
      <c r="CE57" s="43"/>
    </row>
    <row r="58" spans="1:83" ht="12.75">
      <c r="A58" s="43"/>
      <c r="B58" s="122" t="s">
        <v>132</v>
      </c>
      <c r="C58" s="123">
        <f>3/12</f>
        <v>0.25</v>
      </c>
      <c r="D58" s="53" t="e">
        <f ca="1">_xll.ciqfunctions.udf.CIQSP(B58, "IQ_LASTSALEPRICE",$B$1)/100</f>
        <v>#NAME?</v>
      </c>
      <c r="E58" s="120" t="e">
        <f ca="1">IF((_xll.ciqfunctions.udf.CIQ(B58, "IQ_COMPANY_NAME"))="(Invalid Identifier)","",(_xll.ciqfunctions.udf.CIQ(B58, "IQ_COMPANY_NAME")))</f>
        <v>#NAME?</v>
      </c>
      <c r="F58" s="121"/>
      <c r="G58" s="121"/>
      <c r="H58" s="121"/>
      <c r="I58" s="121"/>
      <c r="J58" s="86"/>
      <c r="K58" s="87"/>
      <c r="M58" s="47"/>
      <c r="N58" s="47"/>
      <c r="O58" s="47"/>
      <c r="P58" s="47"/>
      <c r="Q58" s="47"/>
      <c r="R58" s="47"/>
      <c r="S58" s="47"/>
      <c r="T58" s="47"/>
      <c r="U58" s="47"/>
      <c r="V58" s="47"/>
      <c r="W58" s="47"/>
      <c r="X58" s="47"/>
      <c r="Y58" s="47"/>
      <c r="Z58" s="47"/>
      <c r="AA58" s="47"/>
      <c r="AB58" s="47"/>
      <c r="AC58" s="47"/>
      <c r="AD58" s="47"/>
      <c r="AE58" s="47"/>
      <c r="AF58" s="47"/>
      <c r="AG58" s="47"/>
      <c r="AH58" s="47"/>
      <c r="AI58" s="47"/>
      <c r="AJ58" s="47"/>
      <c r="AK58" s="47"/>
      <c r="AL58" s="47"/>
      <c r="AM58" s="47"/>
      <c r="AN58" s="47"/>
      <c r="AO58" s="47"/>
      <c r="AP58" s="47"/>
      <c r="AQ58" s="43"/>
      <c r="AR58" s="47"/>
      <c r="AS58" s="43"/>
      <c r="AT58" s="47"/>
      <c r="AU58" s="43"/>
      <c r="AV58" s="43"/>
      <c r="AW58" s="43"/>
      <c r="AX58" s="43"/>
      <c r="AY58" s="43"/>
      <c r="AZ58" s="43"/>
      <c r="BA58" s="43"/>
      <c r="BB58" s="43"/>
      <c r="BC58" s="47"/>
      <c r="BD58" s="43"/>
      <c r="BE58" s="43"/>
      <c r="BF58" s="43"/>
      <c r="BG58" s="43"/>
      <c r="BH58" s="43"/>
      <c r="BI58" s="43"/>
      <c r="BJ58" s="43"/>
      <c r="BK58" s="43"/>
      <c r="BL58" s="43"/>
      <c r="BM58" s="43"/>
      <c r="BN58" s="43"/>
      <c r="BO58" s="43"/>
      <c r="BP58" s="43"/>
      <c r="BQ58" s="43"/>
      <c r="BR58" s="43"/>
      <c r="BS58" s="43"/>
      <c r="BT58" s="43"/>
      <c r="BU58" s="43"/>
      <c r="BV58" s="43"/>
      <c r="BW58" s="43"/>
      <c r="BX58" s="43"/>
      <c r="BY58" s="43"/>
      <c r="BZ58" s="43"/>
      <c r="CE58" s="43"/>
    </row>
    <row r="59" spans="1:83" ht="12.75">
      <c r="A59" s="43"/>
      <c r="B59" s="122" t="s">
        <v>133</v>
      </c>
      <c r="C59" s="123">
        <f>6/12</f>
        <v>0.5</v>
      </c>
      <c r="D59" s="53" t="e">
        <f ca="1">_xll.ciqfunctions.udf.CIQSP(B59, "IQ_LASTSALEPRICE",$B$1)/100</f>
        <v>#NAME?</v>
      </c>
      <c r="E59" s="120" t="e">
        <f ca="1">IF((_xll.ciqfunctions.udf.CIQ(B59, "IQ_COMPANY_NAME"))="(Invalid Identifier)","",(_xll.ciqfunctions.udf.CIQ(B59, "IQ_COMPANY_NAME")))</f>
        <v>#NAME?</v>
      </c>
      <c r="F59" s="121"/>
      <c r="G59" s="121"/>
      <c r="H59" s="121"/>
      <c r="I59" s="121"/>
      <c r="J59" s="86"/>
      <c r="K59" s="87"/>
      <c r="M59" s="47"/>
      <c r="N59" s="47"/>
      <c r="O59" s="47"/>
      <c r="P59" s="47"/>
      <c r="Q59" s="47"/>
      <c r="R59" s="47"/>
      <c r="S59" s="47"/>
      <c r="T59" s="47"/>
      <c r="U59" s="47"/>
      <c r="V59" s="47"/>
      <c r="W59" s="47"/>
      <c r="X59" s="47"/>
      <c r="Y59" s="47"/>
      <c r="Z59" s="47"/>
      <c r="AA59" s="47"/>
      <c r="AB59" s="47"/>
      <c r="AC59" s="47"/>
      <c r="AD59" s="47"/>
      <c r="AE59" s="47"/>
      <c r="AF59" s="47"/>
      <c r="AG59" s="47"/>
      <c r="AH59" s="47"/>
      <c r="AI59" s="47"/>
      <c r="AJ59" s="47"/>
      <c r="AK59" s="47"/>
      <c r="AL59" s="47"/>
      <c r="AM59" s="47"/>
      <c r="AN59" s="47"/>
      <c r="AO59" s="47"/>
      <c r="AP59" s="47"/>
      <c r="AQ59" s="43"/>
      <c r="AR59" s="47"/>
      <c r="AS59" s="43"/>
      <c r="AT59" s="47"/>
      <c r="AU59" s="43"/>
      <c r="AV59" s="43"/>
      <c r="AW59" s="43"/>
      <c r="AX59" s="43"/>
      <c r="AY59" s="43"/>
      <c r="AZ59" s="43"/>
      <c r="BA59" s="43"/>
      <c r="BB59" s="43"/>
      <c r="BC59" s="47"/>
      <c r="BD59" s="43"/>
      <c r="BE59" s="43"/>
      <c r="BF59" s="43"/>
      <c r="BG59" s="43"/>
      <c r="BH59" s="43"/>
      <c r="BI59" s="43"/>
      <c r="BJ59" s="43"/>
      <c r="BK59" s="43"/>
      <c r="BL59" s="43"/>
      <c r="BM59" s="43"/>
      <c r="BN59" s="43"/>
      <c r="BO59" s="43"/>
      <c r="BP59" s="43"/>
      <c r="BQ59" s="43"/>
      <c r="BR59" s="43"/>
      <c r="BS59" s="43"/>
      <c r="BT59" s="43"/>
      <c r="BU59" s="43"/>
      <c r="BV59" s="43"/>
      <c r="BW59" s="43"/>
      <c r="BX59" s="43"/>
      <c r="BY59" s="43"/>
      <c r="BZ59" s="43"/>
      <c r="CE59" s="43"/>
    </row>
    <row r="60" spans="1:83" ht="12.75">
      <c r="A60" s="43"/>
      <c r="B60" s="122" t="s">
        <v>134</v>
      </c>
      <c r="C60" s="123">
        <v>1</v>
      </c>
      <c r="D60" s="53" t="e">
        <f ca="1">_xll.ciqfunctions.udf.CIQSP(B60, "IQ_LASTSALEPRICE",$B$1)/100</f>
        <v>#NAME?</v>
      </c>
      <c r="E60" s="120" t="e">
        <f ca="1">IF((_xll.ciqfunctions.udf.CIQ(B60, "IQ_COMPANY_NAME"))="(Invalid Identifier)","",(_xll.ciqfunctions.udf.CIQ(B60, "IQ_COMPANY_NAME")))</f>
        <v>#NAME?</v>
      </c>
      <c r="F60" s="121"/>
      <c r="G60" s="121"/>
      <c r="H60" s="121"/>
      <c r="I60" s="121"/>
      <c r="J60" s="86"/>
      <c r="K60" s="87"/>
      <c r="M60" s="47"/>
      <c r="N60" s="47"/>
      <c r="O60" s="47"/>
      <c r="P60" s="47"/>
      <c r="Q60" s="47"/>
      <c r="R60" s="47"/>
      <c r="S60" s="47"/>
      <c r="T60" s="47"/>
      <c r="U60" s="47"/>
      <c r="V60" s="47"/>
      <c r="W60" s="47"/>
      <c r="X60" s="47"/>
      <c r="Y60" s="47"/>
      <c r="Z60" s="47"/>
      <c r="AA60" s="47"/>
      <c r="AB60" s="47"/>
      <c r="AC60" s="47"/>
      <c r="AD60" s="47"/>
      <c r="AE60" s="47"/>
      <c r="AF60" s="47"/>
      <c r="AG60" s="47"/>
      <c r="AH60" s="47"/>
      <c r="AI60" s="47"/>
      <c r="AJ60" s="47"/>
      <c r="AK60" s="47"/>
      <c r="AL60" s="47"/>
      <c r="AM60" s="47"/>
      <c r="AN60" s="47"/>
      <c r="AO60" s="47"/>
      <c r="AP60" s="47"/>
      <c r="AQ60" s="43"/>
      <c r="AR60" s="47"/>
      <c r="AS60" s="43"/>
      <c r="AT60" s="47"/>
      <c r="AU60" s="43"/>
      <c r="AV60" s="43"/>
      <c r="AW60" s="43"/>
      <c r="AX60" s="43"/>
      <c r="AY60" s="43"/>
      <c r="AZ60" s="43"/>
      <c r="BA60" s="43"/>
      <c r="BB60" s="43"/>
      <c r="BC60" s="47"/>
      <c r="BD60" s="43"/>
      <c r="BE60" s="43"/>
      <c r="BF60" s="43"/>
      <c r="BG60" s="43"/>
      <c r="BH60" s="43"/>
      <c r="BI60" s="43"/>
      <c r="BJ60" s="43"/>
      <c r="BK60" s="43"/>
      <c r="BL60" s="43"/>
      <c r="BM60" s="43"/>
      <c r="BN60" s="43"/>
      <c r="BO60" s="43"/>
      <c r="BP60" s="43"/>
      <c r="BQ60" s="43"/>
      <c r="BR60" s="43"/>
      <c r="BS60" s="43"/>
      <c r="BT60" s="43"/>
      <c r="BU60" s="43"/>
      <c r="BV60" s="43"/>
      <c r="BW60" s="43"/>
      <c r="BX60" s="43"/>
      <c r="BY60" s="43"/>
      <c r="BZ60" s="43"/>
      <c r="CE60" s="43"/>
    </row>
    <row r="61" spans="1:83" ht="12.75">
      <c r="A61" s="43"/>
      <c r="B61" s="122" t="s">
        <v>135</v>
      </c>
      <c r="C61" s="123">
        <v>2</v>
      </c>
      <c r="D61" s="53" t="e">
        <f ca="1">_xll.ciqfunctions.udf.CIQSP(B61, "IQ_LASTSALEPRICE",$B$1)/100</f>
        <v>#NAME?</v>
      </c>
      <c r="E61" s="120" t="e">
        <f ca="1">IF((_xll.ciqfunctions.udf.CIQ(B61, "IQ_COMPANY_NAME"))="(Invalid Identifier)","",(_xll.ciqfunctions.udf.CIQ(B61, "IQ_COMPANY_NAME")))</f>
        <v>#NAME?</v>
      </c>
      <c r="F61" s="121"/>
      <c r="G61" s="121"/>
      <c r="H61" s="121"/>
      <c r="I61" s="121"/>
      <c r="J61" s="86"/>
      <c r="K61" s="87"/>
      <c r="M61" s="47"/>
      <c r="N61" s="47"/>
      <c r="O61" s="47"/>
      <c r="P61" s="47"/>
      <c r="Q61" s="47"/>
      <c r="R61" s="47"/>
      <c r="S61" s="47"/>
      <c r="T61" s="47"/>
      <c r="U61" s="47"/>
      <c r="V61" s="47"/>
      <c r="W61" s="47"/>
      <c r="X61" s="47"/>
      <c r="Y61" s="47"/>
      <c r="Z61" s="47"/>
      <c r="AA61" s="47"/>
      <c r="AB61" s="47"/>
      <c r="AC61" s="47"/>
      <c r="AD61" s="47"/>
      <c r="AE61" s="47"/>
      <c r="AF61" s="47"/>
      <c r="AG61" s="47"/>
      <c r="AH61" s="47"/>
      <c r="AI61" s="47"/>
      <c r="AJ61" s="47"/>
      <c r="AK61" s="47"/>
      <c r="AL61" s="47"/>
      <c r="AM61" s="47"/>
      <c r="AN61" s="47"/>
      <c r="AO61" s="47"/>
      <c r="AP61" s="47"/>
      <c r="AQ61" s="43"/>
      <c r="AR61" s="47"/>
      <c r="AS61" s="43"/>
      <c r="AT61" s="47"/>
      <c r="AU61" s="43"/>
      <c r="AV61" s="43"/>
      <c r="AW61" s="43"/>
      <c r="AX61" s="43"/>
      <c r="AY61" s="43"/>
      <c r="AZ61" s="43"/>
      <c r="BA61" s="43"/>
      <c r="BB61" s="43"/>
      <c r="BC61" s="47"/>
      <c r="BD61" s="43"/>
      <c r="BE61" s="43"/>
      <c r="BF61" s="43"/>
      <c r="BG61" s="43"/>
      <c r="BH61" s="43"/>
      <c r="BI61" s="43"/>
      <c r="BJ61" s="43"/>
      <c r="BK61" s="43"/>
      <c r="BL61" s="43"/>
      <c r="BM61" s="43"/>
      <c r="BN61" s="43"/>
      <c r="BO61" s="43"/>
      <c r="BP61" s="43"/>
      <c r="BQ61" s="43"/>
      <c r="BR61" s="43"/>
      <c r="BS61" s="43"/>
      <c r="BT61" s="43"/>
      <c r="BU61" s="43"/>
      <c r="BV61" s="43"/>
      <c r="BW61" s="43"/>
      <c r="BX61" s="43"/>
      <c r="BY61" s="43"/>
      <c r="BZ61" s="43"/>
      <c r="CE61" s="43"/>
    </row>
    <row r="62" spans="1:83" ht="12.75">
      <c r="A62" s="43"/>
      <c r="B62" s="122" t="s">
        <v>136</v>
      </c>
      <c r="C62" s="123">
        <v>3</v>
      </c>
      <c r="D62" s="53" t="e">
        <f ca="1">_xll.ciqfunctions.udf.CIQSP(B62, "IQ_LASTSALEPRICE",$B$1)/100</f>
        <v>#NAME?</v>
      </c>
      <c r="E62" s="120" t="e">
        <f ca="1">IF((_xll.ciqfunctions.udf.CIQ(B62, "IQ_COMPANY_NAME"))="(Invalid Identifier)","",(_xll.ciqfunctions.udf.CIQ(B62, "IQ_COMPANY_NAME")))</f>
        <v>#NAME?</v>
      </c>
      <c r="F62" s="121"/>
      <c r="G62" s="121"/>
      <c r="H62" s="121"/>
      <c r="I62" s="121"/>
      <c r="J62" s="86"/>
      <c r="K62" s="87"/>
      <c r="M62" s="47"/>
      <c r="N62" s="47"/>
      <c r="O62" s="47"/>
      <c r="P62" s="47"/>
      <c r="Q62" s="47"/>
      <c r="R62" s="47"/>
      <c r="S62" s="47"/>
      <c r="T62" s="47"/>
      <c r="U62" s="47"/>
      <c r="V62" s="47"/>
      <c r="W62" s="47"/>
      <c r="X62" s="47"/>
      <c r="Y62" s="47"/>
      <c r="Z62" s="47"/>
      <c r="AA62" s="47"/>
      <c r="AB62" s="47"/>
      <c r="AC62" s="47"/>
      <c r="AD62" s="47"/>
      <c r="AE62" s="47"/>
      <c r="AF62" s="47"/>
      <c r="AG62" s="47"/>
      <c r="AH62" s="47"/>
      <c r="AI62" s="47"/>
      <c r="AJ62" s="47"/>
      <c r="AK62" s="47"/>
      <c r="AL62" s="47"/>
      <c r="AM62" s="47"/>
      <c r="AN62" s="47"/>
      <c r="AO62" s="47"/>
      <c r="AP62" s="47"/>
      <c r="AQ62" s="43"/>
      <c r="AR62" s="47"/>
      <c r="AS62" s="43"/>
      <c r="AT62" s="47"/>
      <c r="AU62" s="43"/>
      <c r="AV62" s="43"/>
      <c r="AW62" s="43"/>
      <c r="AX62" s="43"/>
      <c r="AY62" s="43"/>
      <c r="AZ62" s="43"/>
      <c r="BA62" s="43"/>
      <c r="BB62" s="43"/>
      <c r="BC62" s="47"/>
      <c r="BD62" s="43"/>
      <c r="BE62" s="43"/>
      <c r="BF62" s="43"/>
      <c r="BG62" s="43"/>
      <c r="BH62" s="43"/>
      <c r="BI62" s="43"/>
      <c r="BJ62" s="43"/>
      <c r="BK62" s="43"/>
      <c r="BL62" s="43"/>
      <c r="BM62" s="43"/>
      <c r="BN62" s="43"/>
      <c r="BO62" s="43"/>
      <c r="BP62" s="43"/>
      <c r="BQ62" s="43"/>
      <c r="BR62" s="43"/>
      <c r="BS62" s="43"/>
      <c r="BT62" s="43"/>
      <c r="BU62" s="43"/>
      <c r="BV62" s="43"/>
      <c r="BW62" s="43"/>
      <c r="BX62" s="43"/>
      <c r="BY62" s="43"/>
      <c r="BZ62" s="43"/>
      <c r="CE62" s="43"/>
    </row>
    <row r="63" spans="1:83" ht="12.75">
      <c r="A63" s="43"/>
      <c r="B63" s="122" t="s">
        <v>137</v>
      </c>
      <c r="C63" s="123">
        <v>5</v>
      </c>
      <c r="D63" s="53" t="e">
        <f ca="1">_xll.ciqfunctions.udf.CIQSP(B63, "IQ_LASTSALEPRICE",$B$1)/100</f>
        <v>#NAME?</v>
      </c>
      <c r="E63" s="120" t="e">
        <f ca="1">IF((_xll.ciqfunctions.udf.CIQ(B63, "IQ_COMPANY_NAME"))="(Invalid Identifier)","",(_xll.ciqfunctions.udf.CIQ(B63, "IQ_COMPANY_NAME")))</f>
        <v>#NAME?</v>
      </c>
      <c r="F63" s="121"/>
      <c r="G63" s="121"/>
      <c r="H63" s="121"/>
      <c r="I63" s="121"/>
      <c r="J63" s="86"/>
      <c r="K63" s="87"/>
      <c r="M63" s="47"/>
      <c r="N63" s="47"/>
      <c r="O63" s="47"/>
      <c r="P63" s="47"/>
      <c r="Q63" s="47"/>
      <c r="R63" s="47"/>
      <c r="S63" s="47"/>
      <c r="T63" s="47"/>
      <c r="U63" s="47"/>
      <c r="V63" s="47"/>
      <c r="W63" s="47"/>
      <c r="X63" s="47"/>
      <c r="Y63" s="47"/>
      <c r="Z63" s="47"/>
      <c r="AA63" s="47"/>
      <c r="AB63" s="47"/>
      <c r="AC63" s="47"/>
      <c r="AD63" s="47"/>
      <c r="AE63" s="47"/>
      <c r="AF63" s="47"/>
      <c r="AG63" s="47"/>
      <c r="AH63" s="47"/>
      <c r="AI63" s="47"/>
      <c r="AJ63" s="47"/>
      <c r="AK63" s="47"/>
      <c r="AL63" s="47"/>
      <c r="AM63" s="47"/>
      <c r="AN63" s="47"/>
      <c r="AO63" s="47"/>
      <c r="AP63" s="47"/>
      <c r="AQ63" s="43"/>
      <c r="AR63" s="47"/>
      <c r="AS63" s="43"/>
      <c r="AT63" s="47"/>
      <c r="AU63" s="43"/>
      <c r="AV63" s="43"/>
      <c r="AW63" s="43"/>
      <c r="AX63" s="43"/>
      <c r="AY63" s="43"/>
      <c r="AZ63" s="43"/>
      <c r="BA63" s="43"/>
      <c r="BB63" s="43"/>
      <c r="BC63" s="47"/>
      <c r="BD63" s="43"/>
      <c r="BE63" s="43"/>
      <c r="BF63" s="43"/>
      <c r="BG63" s="43"/>
      <c r="BH63" s="43"/>
      <c r="BI63" s="43"/>
      <c r="BJ63" s="43"/>
      <c r="BK63" s="43"/>
      <c r="BL63" s="43"/>
      <c r="BM63" s="43"/>
      <c r="BN63" s="43"/>
      <c r="BO63" s="43"/>
      <c r="BP63" s="43"/>
      <c r="BQ63" s="43"/>
      <c r="BR63" s="43"/>
      <c r="BS63" s="43"/>
      <c r="BT63" s="43"/>
      <c r="BU63" s="43"/>
      <c r="BV63" s="43"/>
      <c r="BW63" s="43"/>
      <c r="BX63" s="43"/>
      <c r="BY63" s="43"/>
      <c r="BZ63" s="43"/>
      <c r="CE63" s="43"/>
    </row>
    <row r="64" spans="1:83" ht="12.75">
      <c r="A64" s="43"/>
      <c r="B64" s="122" t="s">
        <v>138</v>
      </c>
      <c r="C64" s="123">
        <v>7</v>
      </c>
      <c r="D64" s="53" t="e">
        <f ca="1">_xll.ciqfunctions.udf.CIQSP(B64, "IQ_LASTSALEPRICE",$B$1)/100</f>
        <v>#NAME?</v>
      </c>
      <c r="E64" s="120" t="e">
        <f ca="1">IF((_xll.ciqfunctions.udf.CIQ(B64, "IQ_COMPANY_NAME"))="(Invalid Identifier)","",(_xll.ciqfunctions.udf.CIQ(B64, "IQ_COMPANY_NAME")))</f>
        <v>#NAME?</v>
      </c>
      <c r="F64" s="121"/>
      <c r="G64" s="121"/>
      <c r="H64" s="121"/>
      <c r="I64" s="121"/>
      <c r="J64" s="86"/>
      <c r="K64" s="87"/>
      <c r="M64" s="47"/>
      <c r="N64" s="47"/>
      <c r="O64" s="47"/>
      <c r="P64" s="47"/>
      <c r="Q64" s="47"/>
      <c r="R64" s="47"/>
      <c r="S64" s="47"/>
      <c r="T64" s="47"/>
      <c r="U64" s="47"/>
      <c r="V64" s="47"/>
      <c r="W64" s="47"/>
      <c r="X64" s="47"/>
      <c r="Y64" s="47"/>
      <c r="Z64" s="47"/>
      <c r="AA64" s="47"/>
      <c r="AB64" s="47"/>
      <c r="AC64" s="47"/>
      <c r="AD64" s="47"/>
      <c r="AE64" s="47"/>
      <c r="AF64" s="47"/>
      <c r="AG64" s="47"/>
      <c r="AH64" s="47"/>
      <c r="AI64" s="47"/>
      <c r="AJ64" s="47"/>
      <c r="AK64" s="47"/>
      <c r="AL64" s="47"/>
      <c r="AM64" s="47"/>
      <c r="AN64" s="47"/>
      <c r="AO64" s="47"/>
      <c r="AP64" s="47"/>
      <c r="AQ64" s="43"/>
      <c r="AR64" s="47"/>
      <c r="AS64" s="43"/>
      <c r="AT64" s="47"/>
      <c r="AU64" s="43"/>
      <c r="AV64" s="43"/>
      <c r="AW64" s="43"/>
      <c r="AX64" s="43"/>
      <c r="AY64" s="43"/>
      <c r="AZ64" s="43"/>
      <c r="BA64" s="43"/>
      <c r="BB64" s="43"/>
      <c r="BC64" s="47"/>
      <c r="BD64" s="43"/>
      <c r="BE64" s="43"/>
      <c r="BF64" s="43"/>
      <c r="BG64" s="43"/>
      <c r="BH64" s="43"/>
      <c r="BI64" s="43"/>
      <c r="BJ64" s="43"/>
      <c r="BK64" s="43"/>
      <c r="BL64" s="43"/>
      <c r="BM64" s="43"/>
      <c r="BN64" s="43"/>
      <c r="BO64" s="43"/>
      <c r="BP64" s="43"/>
      <c r="BQ64" s="43"/>
      <c r="BR64" s="43"/>
      <c r="BS64" s="43"/>
      <c r="BT64" s="43"/>
      <c r="BU64" s="43"/>
      <c r="BV64" s="43"/>
      <c r="BW64" s="43"/>
      <c r="BX64" s="43"/>
      <c r="BY64" s="43"/>
      <c r="BZ64" s="43"/>
      <c r="CE64" s="43"/>
    </row>
    <row r="65" spans="1:83" ht="12.75">
      <c r="A65" s="43"/>
      <c r="B65" s="122" t="s">
        <v>139</v>
      </c>
      <c r="C65" s="123">
        <v>10</v>
      </c>
      <c r="D65" s="53" t="e">
        <f ca="1">_xll.ciqfunctions.udf.CIQSP(B65, "IQ_LASTSALEPRICE",$B$1)/100</f>
        <v>#NAME?</v>
      </c>
      <c r="E65" s="120" t="e">
        <f ca="1">IF((_xll.ciqfunctions.udf.CIQ(B65, "IQ_COMPANY_NAME"))="(Invalid Identifier)","",(_xll.ciqfunctions.udf.CIQ(B65, "IQ_COMPANY_NAME")))</f>
        <v>#NAME?</v>
      </c>
      <c r="F65" s="121"/>
      <c r="G65" s="121"/>
      <c r="H65" s="121"/>
      <c r="I65" s="121"/>
      <c r="J65" s="86"/>
      <c r="K65" s="87"/>
      <c r="M65" s="47"/>
      <c r="N65" s="47"/>
      <c r="O65" s="47"/>
      <c r="P65" s="47"/>
      <c r="Q65" s="47"/>
      <c r="R65" s="47"/>
      <c r="S65" s="47"/>
      <c r="T65" s="47"/>
      <c r="U65" s="47"/>
      <c r="V65" s="47"/>
      <c r="W65" s="47"/>
      <c r="X65" s="47"/>
      <c r="Y65" s="47"/>
      <c r="Z65" s="47"/>
      <c r="AA65" s="47"/>
      <c r="AB65" s="47"/>
      <c r="AC65" s="47"/>
      <c r="AD65" s="47"/>
      <c r="AE65" s="47"/>
      <c r="AF65" s="47"/>
      <c r="AG65" s="47"/>
      <c r="AH65" s="47"/>
      <c r="AI65" s="47"/>
      <c r="AJ65" s="47"/>
      <c r="AK65" s="47"/>
      <c r="AL65" s="47"/>
      <c r="AM65" s="47"/>
      <c r="AN65" s="47"/>
      <c r="AO65" s="47"/>
      <c r="AP65" s="47"/>
      <c r="AQ65" s="43"/>
      <c r="AR65" s="47"/>
      <c r="AS65" s="43"/>
      <c r="AT65" s="47"/>
      <c r="AU65" s="43"/>
      <c r="AV65" s="43"/>
      <c r="AW65" s="43"/>
      <c r="AX65" s="43"/>
      <c r="AY65" s="43"/>
      <c r="AZ65" s="43"/>
      <c r="BA65" s="43"/>
      <c r="BB65" s="43"/>
      <c r="BC65" s="47"/>
      <c r="BD65" s="43"/>
      <c r="BE65" s="43"/>
      <c r="BF65" s="43"/>
      <c r="BG65" s="43"/>
      <c r="BH65" s="43"/>
      <c r="BI65" s="43"/>
      <c r="BJ65" s="43"/>
      <c r="BK65" s="43"/>
      <c r="BL65" s="43"/>
      <c r="BM65" s="43"/>
      <c r="BN65" s="43"/>
      <c r="BO65" s="43"/>
      <c r="BP65" s="43"/>
      <c r="BQ65" s="43"/>
      <c r="BR65" s="43"/>
      <c r="BS65" s="43"/>
      <c r="BT65" s="43"/>
      <c r="BU65" s="43"/>
      <c r="BV65" s="43"/>
      <c r="BW65" s="43"/>
      <c r="BX65" s="43"/>
      <c r="BY65" s="43"/>
      <c r="BZ65" s="43"/>
      <c r="CE65" s="43"/>
    </row>
    <row r="66" spans="1:83" ht="12.75">
      <c r="A66" s="43"/>
      <c r="B66" s="122" t="s">
        <v>140</v>
      </c>
      <c r="C66" s="123">
        <v>20</v>
      </c>
      <c r="D66" s="53" t="e">
        <f ca="1">_xll.ciqfunctions.udf.CIQSP(B66, "IQ_LASTSALEPRICE",$B$1)/100</f>
        <v>#NAME?</v>
      </c>
      <c r="E66" s="120" t="e">
        <f ca="1">IF((_xll.ciqfunctions.udf.CIQ(B66, "IQ_COMPANY_NAME"))="(Invalid Identifier)","",(_xll.ciqfunctions.udf.CIQ(B66, "IQ_COMPANY_NAME")))</f>
        <v>#NAME?</v>
      </c>
      <c r="F66" s="121"/>
      <c r="G66" s="121"/>
      <c r="H66" s="121"/>
      <c r="I66" s="121"/>
      <c r="J66" s="86"/>
      <c r="K66" s="87"/>
      <c r="M66" s="47"/>
      <c r="N66" s="47"/>
      <c r="O66" s="47"/>
      <c r="P66" s="47"/>
      <c r="Q66" s="47"/>
      <c r="R66" s="47"/>
      <c r="S66" s="47"/>
      <c r="T66" s="47"/>
      <c r="U66" s="47"/>
      <c r="V66" s="47"/>
      <c r="W66" s="47"/>
      <c r="X66" s="47"/>
      <c r="Y66" s="47"/>
      <c r="Z66" s="47"/>
      <c r="AA66" s="47"/>
      <c r="AB66" s="47"/>
      <c r="AC66" s="47"/>
      <c r="AD66" s="47"/>
      <c r="AE66" s="47"/>
      <c r="AF66" s="47"/>
      <c r="AG66" s="47"/>
      <c r="AH66" s="47"/>
      <c r="AI66" s="47"/>
      <c r="AJ66" s="47"/>
      <c r="AK66" s="47"/>
      <c r="AL66" s="47"/>
      <c r="AM66" s="47"/>
      <c r="AN66" s="47"/>
      <c r="AO66" s="47"/>
      <c r="AP66" s="47"/>
      <c r="AQ66" s="43"/>
      <c r="AR66" s="47"/>
      <c r="AS66" s="43"/>
      <c r="AT66" s="47"/>
      <c r="AU66" s="43"/>
      <c r="AV66" s="43"/>
      <c r="AW66" s="43"/>
      <c r="AX66" s="43"/>
      <c r="AY66" s="43"/>
      <c r="AZ66" s="43"/>
      <c r="BA66" s="43"/>
      <c r="BB66" s="43"/>
      <c r="BC66" s="47"/>
      <c r="BD66" s="43"/>
      <c r="BE66" s="43"/>
      <c r="BF66" s="43"/>
      <c r="BG66" s="43"/>
      <c r="BH66" s="43"/>
      <c r="BI66" s="43"/>
      <c r="BJ66" s="43"/>
      <c r="BK66" s="43"/>
      <c r="BL66" s="43"/>
      <c r="BM66" s="43"/>
      <c r="BN66" s="43"/>
      <c r="BO66" s="43"/>
      <c r="BP66" s="43"/>
      <c r="BQ66" s="43"/>
      <c r="BR66" s="43"/>
      <c r="BS66" s="43"/>
      <c r="BT66" s="43"/>
      <c r="BU66" s="43"/>
      <c r="BV66" s="43"/>
      <c r="BW66" s="43"/>
      <c r="BX66" s="43"/>
      <c r="BY66" s="43"/>
      <c r="BZ66" s="43"/>
      <c r="CE66" s="43"/>
    </row>
    <row r="67" spans="1:83" ht="12.75">
      <c r="A67" s="43"/>
      <c r="B67" s="124" t="s">
        <v>141</v>
      </c>
      <c r="C67" s="125">
        <v>30</v>
      </c>
      <c r="D67" s="50" t="e">
        <f ca="1">_xll.ciqfunctions.udf.CIQSP(B67, "IQ_LASTSALEPRICE",$B$1)/100</f>
        <v>#NAME?</v>
      </c>
      <c r="E67" s="126" t="e">
        <f ca="1">IF((_xll.ciqfunctions.udf.CIQ(B67, "IQ_COMPANY_NAME"))="(Invalid Identifier)","",(_xll.ciqfunctions.udf.CIQ(B67, "IQ_COMPANY_NAME")))</f>
        <v>#NAME?</v>
      </c>
      <c r="F67" s="127"/>
      <c r="G67" s="127"/>
      <c r="H67" s="127"/>
      <c r="I67" s="127"/>
      <c r="J67" s="94"/>
      <c r="K67" s="95"/>
      <c r="M67" s="47"/>
      <c r="N67" s="47"/>
      <c r="O67" s="47"/>
      <c r="P67" s="47"/>
      <c r="Q67" s="47"/>
      <c r="R67" s="47"/>
      <c r="S67" s="47"/>
      <c r="T67" s="47"/>
      <c r="U67" s="47"/>
      <c r="V67" s="47"/>
      <c r="W67" s="47"/>
      <c r="X67" s="47"/>
      <c r="Y67" s="47"/>
      <c r="Z67" s="47"/>
      <c r="AA67" s="47"/>
      <c r="AB67" s="47"/>
      <c r="AC67" s="47"/>
      <c r="AD67" s="47"/>
      <c r="AE67" s="47"/>
      <c r="AF67" s="47"/>
      <c r="AG67" s="47"/>
      <c r="AH67" s="47"/>
      <c r="AI67" s="47"/>
      <c r="AJ67" s="47"/>
      <c r="AK67" s="47"/>
      <c r="AL67" s="47"/>
      <c r="AM67" s="47"/>
      <c r="AN67" s="47"/>
      <c r="AO67" s="47"/>
      <c r="AP67" s="47"/>
      <c r="AQ67" s="43"/>
      <c r="AR67" s="47"/>
      <c r="AS67" s="43"/>
      <c r="AT67" s="47"/>
      <c r="AU67" s="43"/>
      <c r="AV67" s="43"/>
      <c r="AW67" s="43"/>
      <c r="AX67" s="43"/>
      <c r="AY67" s="43"/>
      <c r="AZ67" s="43"/>
      <c r="BA67" s="43"/>
      <c r="BB67" s="43"/>
      <c r="BC67" s="47"/>
      <c r="BD67" s="43"/>
      <c r="BE67" s="43"/>
      <c r="BF67" s="43"/>
      <c r="BG67" s="43"/>
      <c r="BH67" s="43"/>
      <c r="BI67" s="43"/>
      <c r="BJ67" s="43"/>
      <c r="BK67" s="43"/>
      <c r="BL67" s="43"/>
      <c r="BM67" s="43"/>
      <c r="BN67" s="43"/>
      <c r="BO67" s="43"/>
      <c r="BP67" s="43"/>
      <c r="BQ67" s="43"/>
      <c r="BR67" s="43"/>
      <c r="BS67" s="43"/>
      <c r="BT67" s="43"/>
      <c r="BU67" s="43"/>
      <c r="BV67" s="43"/>
      <c r="BW67" s="43"/>
      <c r="BX67" s="43"/>
      <c r="BY67" s="43"/>
      <c r="BZ67" s="43"/>
      <c r="CE67" s="43"/>
    </row>
    <row r="70" spans="1:83">
      <c r="A70" s="43"/>
      <c r="B70" s="96" t="s">
        <v>634</v>
      </c>
      <c r="K70" s="47"/>
      <c r="L70" s="47"/>
      <c r="M70" s="47"/>
      <c r="N70" s="47"/>
      <c r="O70" s="47"/>
      <c r="P70" s="47"/>
      <c r="Q70" s="47"/>
      <c r="R70" s="47"/>
      <c r="S70" s="47"/>
      <c r="T70" s="47"/>
      <c r="U70" s="47"/>
      <c r="V70" s="47"/>
      <c r="W70" s="47"/>
      <c r="X70" s="47"/>
      <c r="Y70" s="47"/>
      <c r="Z70" s="47"/>
      <c r="AA70" s="47"/>
      <c r="AB70" s="47"/>
      <c r="AC70" s="47"/>
      <c r="AD70" s="47"/>
      <c r="AE70" s="47"/>
      <c r="AF70" s="47"/>
      <c r="AG70" s="47"/>
      <c r="AH70" s="47"/>
      <c r="AI70" s="47"/>
      <c r="AJ70" s="47"/>
      <c r="AK70" s="47"/>
      <c r="AL70" s="47"/>
      <c r="AM70" s="47"/>
      <c r="AN70" s="47"/>
      <c r="AO70" s="47"/>
      <c r="AP70" s="47"/>
      <c r="AQ70" s="43"/>
      <c r="AR70" s="47"/>
      <c r="AS70" s="43"/>
      <c r="AT70" s="47"/>
      <c r="AU70" s="43"/>
      <c r="AV70" s="43"/>
      <c r="AW70" s="43"/>
      <c r="AX70" s="43"/>
      <c r="AY70" s="43"/>
      <c r="AZ70" s="43"/>
      <c r="BA70" s="43"/>
      <c r="BB70" s="43"/>
      <c r="BC70" s="47"/>
      <c r="BD70" s="43"/>
      <c r="BE70" s="43"/>
      <c r="BF70" s="43"/>
      <c r="BG70" s="43"/>
      <c r="BH70" s="43"/>
      <c r="BI70" s="43"/>
      <c r="BJ70" s="43"/>
      <c r="BK70" s="43"/>
      <c r="BL70" s="43"/>
      <c r="BM70" s="43"/>
      <c r="BN70" s="43"/>
      <c r="BO70" s="43"/>
      <c r="BP70" s="43"/>
      <c r="BQ70" s="43"/>
      <c r="BR70" s="43"/>
      <c r="BS70" s="43"/>
      <c r="BT70" s="43"/>
      <c r="BU70" s="43"/>
      <c r="BV70" s="43"/>
      <c r="BW70" s="43"/>
      <c r="BX70" s="43"/>
      <c r="BY70" s="43"/>
      <c r="BZ70" s="43"/>
      <c r="CE70" s="43"/>
    </row>
    <row r="71" spans="1:83" ht="12.75">
      <c r="A71" s="43"/>
      <c r="B71" s="128" t="s">
        <v>635</v>
      </c>
      <c r="C71" s="98" t="e">
        <f ca="1">_xll.ciqfunctions.udf.CIQSP(B71, "IQ_LASTSALEPRICE",$B$1)/100</f>
        <v>#NAME?</v>
      </c>
      <c r="D71" s="129" t="s">
        <v>725</v>
      </c>
      <c r="E71" s="130"/>
      <c r="F71" s="130"/>
      <c r="G71" s="130"/>
      <c r="H71" s="130"/>
      <c r="I71" s="130"/>
      <c r="J71" s="131"/>
      <c r="K71" s="47"/>
      <c r="L71" s="47"/>
      <c r="M71" s="47"/>
      <c r="N71" s="47"/>
      <c r="O71" s="47"/>
      <c r="P71" s="47"/>
      <c r="Q71" s="47"/>
      <c r="R71" s="47"/>
      <c r="S71" s="47"/>
      <c r="T71" s="47"/>
      <c r="U71" s="47"/>
      <c r="V71" s="47"/>
      <c r="W71" s="47"/>
      <c r="X71" s="47"/>
      <c r="Y71" s="47"/>
      <c r="Z71" s="47"/>
      <c r="AA71" s="47"/>
      <c r="AB71" s="47"/>
      <c r="AC71" s="47"/>
      <c r="AD71" s="47"/>
      <c r="AE71" s="47"/>
      <c r="AF71" s="47"/>
      <c r="AG71" s="47"/>
      <c r="AH71" s="47"/>
      <c r="AI71" s="47"/>
      <c r="AJ71" s="47"/>
      <c r="AK71" s="47"/>
      <c r="AL71" s="47"/>
      <c r="AM71" s="47"/>
      <c r="AN71" s="47"/>
      <c r="AO71" s="47"/>
      <c r="AP71" s="47"/>
      <c r="AQ71" s="43"/>
      <c r="AR71" s="47"/>
      <c r="AS71" s="43"/>
      <c r="AT71" s="47"/>
      <c r="AU71" s="43"/>
      <c r="AV71" s="43"/>
      <c r="AW71" s="43"/>
      <c r="AX71" s="43"/>
      <c r="AY71" s="43"/>
      <c r="AZ71" s="43"/>
      <c r="BA71" s="43"/>
      <c r="BB71" s="43"/>
      <c r="BC71" s="47"/>
      <c r="BD71" s="43"/>
      <c r="BE71" s="43"/>
      <c r="BF71" s="43"/>
      <c r="BG71" s="43"/>
      <c r="BH71" s="43"/>
      <c r="BI71" s="43"/>
      <c r="BJ71" s="43"/>
      <c r="BK71" s="43"/>
      <c r="BL71" s="43"/>
      <c r="BM71" s="43"/>
      <c r="BN71" s="43"/>
      <c r="BO71" s="43"/>
      <c r="BP71" s="43"/>
      <c r="BQ71" s="43"/>
      <c r="BR71" s="43"/>
      <c r="BS71" s="43"/>
      <c r="BT71" s="43"/>
      <c r="BU71" s="43"/>
      <c r="BV71" s="43"/>
      <c r="BW71" s="43"/>
      <c r="BX71" s="43"/>
      <c r="BY71" s="43"/>
      <c r="BZ71" s="43"/>
      <c r="CE71" s="43"/>
    </row>
    <row r="73" spans="1:83">
      <c r="A73" s="43"/>
      <c r="B73" s="96" t="s">
        <v>636</v>
      </c>
      <c r="K73" s="47"/>
      <c r="L73" s="47"/>
      <c r="M73" s="47"/>
      <c r="N73" s="47"/>
      <c r="O73" s="47"/>
      <c r="P73" s="47"/>
      <c r="Q73" s="47"/>
      <c r="R73" s="47"/>
      <c r="S73" s="47"/>
      <c r="T73" s="47"/>
      <c r="U73" s="47"/>
      <c r="V73" s="47"/>
      <c r="W73" s="47"/>
      <c r="X73" s="47"/>
      <c r="Y73" s="47"/>
      <c r="Z73" s="47"/>
      <c r="AA73" s="47"/>
      <c r="AB73" s="47"/>
      <c r="AC73" s="47"/>
      <c r="AD73" s="47"/>
      <c r="AE73" s="47"/>
      <c r="AF73" s="47"/>
      <c r="AG73" s="47"/>
      <c r="AH73" s="47"/>
      <c r="AI73" s="47"/>
      <c r="AJ73" s="47"/>
      <c r="AK73" s="47"/>
      <c r="AL73" s="47"/>
      <c r="AM73" s="47"/>
      <c r="AN73" s="47"/>
      <c r="AO73" s="47"/>
      <c r="AP73" s="47"/>
      <c r="AQ73" s="43"/>
      <c r="AR73" s="47"/>
      <c r="AS73" s="43"/>
      <c r="AT73" s="47"/>
      <c r="AU73" s="43"/>
      <c r="AV73" s="43"/>
      <c r="AW73" s="43"/>
      <c r="AX73" s="43"/>
      <c r="AY73" s="43"/>
      <c r="AZ73" s="43"/>
      <c r="BA73" s="43"/>
      <c r="BB73" s="43"/>
      <c r="BC73" s="47"/>
      <c r="BD73" s="43"/>
      <c r="BE73" s="43"/>
      <c r="BF73" s="43"/>
      <c r="BG73" s="43"/>
      <c r="BH73" s="43"/>
      <c r="BI73" s="43"/>
      <c r="BJ73" s="43"/>
      <c r="BK73" s="43"/>
      <c r="BL73" s="43"/>
      <c r="BM73" s="43"/>
      <c r="BN73" s="43"/>
      <c r="BO73" s="43"/>
      <c r="BP73" s="43"/>
      <c r="BQ73" s="43"/>
      <c r="BR73" s="43"/>
      <c r="BS73" s="43"/>
      <c r="BT73" s="43"/>
      <c r="BU73" s="43"/>
      <c r="BV73" s="43"/>
      <c r="BW73" s="43"/>
      <c r="BX73" s="43"/>
      <c r="BY73" s="43"/>
      <c r="BZ73" s="43"/>
      <c r="CE73" s="43"/>
    </row>
    <row r="74" spans="1:83" ht="12.75">
      <c r="A74" s="43"/>
      <c r="B74" s="128" t="s">
        <v>637</v>
      </c>
      <c r="C74" s="98" t="str">
        <f ca="1">IF(ISERROR(_xll.ciqfunctions.udf.CIQ("%USPMRT","IQ_LASTSALEPRICE",B1)/100),"NM",_xll.ciqfunctions.udf.CIQ("%USPMRT","IQ_LASTSALEPRICE",B1)/100)</f>
        <v>NM</v>
      </c>
      <c r="D74" s="129"/>
      <c r="E74" s="130"/>
      <c r="F74" s="130"/>
      <c r="G74" s="130"/>
      <c r="H74" s="130"/>
      <c r="I74" s="130"/>
      <c r="J74" s="131"/>
      <c r="K74" s="47"/>
      <c r="L74" s="47"/>
      <c r="M74" s="47"/>
      <c r="N74" s="47"/>
      <c r="O74" s="47"/>
      <c r="P74" s="47"/>
      <c r="Q74" s="47"/>
      <c r="R74" s="47"/>
      <c r="S74" s="47"/>
      <c r="T74" s="47"/>
      <c r="U74" s="47"/>
      <c r="V74" s="47"/>
      <c r="W74" s="47"/>
      <c r="X74" s="47"/>
      <c r="Y74" s="47"/>
      <c r="Z74" s="47"/>
      <c r="AA74" s="47"/>
      <c r="AB74" s="47"/>
      <c r="AC74" s="47"/>
      <c r="AD74" s="47"/>
      <c r="AE74" s="47"/>
      <c r="AF74" s="47"/>
      <c r="AG74" s="47"/>
      <c r="AH74" s="47"/>
      <c r="AI74" s="47"/>
      <c r="AJ74" s="47"/>
      <c r="AK74" s="47"/>
      <c r="AL74" s="47"/>
      <c r="AM74" s="47"/>
      <c r="AN74" s="47"/>
      <c r="AO74" s="47"/>
      <c r="AP74" s="47"/>
      <c r="AQ74" s="43"/>
      <c r="AR74" s="47"/>
      <c r="AS74" s="43"/>
      <c r="AT74" s="47"/>
      <c r="AU74" s="43"/>
      <c r="AV74" s="43"/>
      <c r="AW74" s="43"/>
      <c r="AX74" s="43"/>
      <c r="AY74" s="43"/>
      <c r="AZ74" s="43"/>
      <c r="BA74" s="43"/>
      <c r="BB74" s="43"/>
      <c r="BC74" s="47"/>
      <c r="BD74" s="43"/>
      <c r="BE74" s="43"/>
      <c r="BF74" s="43"/>
      <c r="BG74" s="43"/>
      <c r="BH74" s="43"/>
      <c r="BI74" s="43"/>
      <c r="BJ74" s="43"/>
      <c r="BK74" s="43"/>
      <c r="BL74" s="43"/>
      <c r="BM74" s="43"/>
      <c r="BN74" s="43"/>
      <c r="BO74" s="43"/>
      <c r="BP74" s="43"/>
      <c r="BQ74" s="43"/>
      <c r="BR74" s="43"/>
      <c r="BS74" s="43"/>
      <c r="BT74" s="43"/>
      <c r="BU74" s="43"/>
      <c r="BV74" s="43"/>
      <c r="BW74" s="43"/>
      <c r="BX74" s="43"/>
      <c r="BY74" s="43"/>
      <c r="BZ74" s="43"/>
      <c r="CE74" s="43"/>
    </row>
  </sheetData>
  <dataValidations count="1">
    <dataValidation type="list" allowBlank="1" showInputMessage="1" showErrorMessage="1" sqref="CC13:CD42" xr:uid="{00000000-0002-0000-3A00-000000000000}">
      <formula1>#REF!</formula1>
    </dataValidation>
  </dataValidations>
  <pageMargins left="0.7" right="0.7" top="0.75" bottom="0.75" header="0.3" footer="0.3"/>
  <pageSetup scale="81" orientation="portrait" r:id="rId1"/>
  <colBreaks count="2" manualBreakCount="2">
    <brk id="58" max="73" man="1"/>
    <brk id="67" max="73" man="1"/>
  </colBreaks>
  <legacy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55"/>
  <dimension ref="B1:AJ57"/>
  <sheetViews>
    <sheetView workbookViewId="0"/>
  </sheetViews>
  <sheetFormatPr defaultRowHeight="12.75" outlineLevelCol="1"/>
  <cols>
    <col min="1" max="1" width="2.83203125" style="108" customWidth="1"/>
    <col min="2" max="2" width="11.83203125" style="108" customWidth="1"/>
    <col min="3" max="3" width="28.83203125" style="108" customWidth="1"/>
    <col min="4" max="4" width="26.33203125" style="108" customWidth="1"/>
    <col min="5" max="5" width="26.33203125" style="108" hidden="1" customWidth="1" outlineLevel="1"/>
    <col min="6" max="6" width="10.1640625" style="108" bestFit="1" customWidth="1" collapsed="1"/>
    <col min="7" max="7" width="10" style="108" hidden="1" customWidth="1" outlineLevel="1"/>
    <col min="8" max="8" width="2.83203125" style="108" customWidth="1" collapsed="1"/>
    <col min="9" max="11" width="16.33203125" style="108" customWidth="1"/>
    <col min="12" max="12" width="15.6640625" style="108" customWidth="1"/>
    <col min="13" max="13" width="2.83203125" style="108" customWidth="1"/>
    <col min="14" max="16" width="19.1640625" style="108" customWidth="1"/>
    <col min="17" max="17" width="2.83203125" style="108" customWidth="1"/>
    <col min="18" max="20" width="11.33203125" style="108" customWidth="1"/>
    <col min="21" max="22" width="11.33203125" style="108" hidden="1" customWidth="1" outlineLevel="1"/>
    <col min="23" max="23" width="2.83203125" style="108" customWidth="1" collapsed="1"/>
    <col min="24" max="26" width="11.33203125" style="108" hidden="1" customWidth="1" outlineLevel="1"/>
    <col min="27" max="27" width="2.83203125" style="108" hidden="1" customWidth="1" outlineLevel="1"/>
    <col min="28" max="30" width="11.33203125" style="108" hidden="1" customWidth="1" outlineLevel="1"/>
    <col min="31" max="31" width="2.83203125" style="108" hidden="1" customWidth="1" outlineLevel="1"/>
    <col min="32" max="32" width="12.1640625" style="108" customWidth="1" collapsed="1"/>
    <col min="33" max="33" width="11.6640625" style="108" customWidth="1"/>
    <col min="34" max="34" width="2.83203125" style="108" customWidth="1"/>
    <col min="35" max="35" width="24.6640625" style="108" customWidth="1"/>
    <col min="36" max="36" width="51.1640625" style="108" customWidth="1"/>
    <col min="37" max="16384" width="9.33203125" style="108"/>
  </cols>
  <sheetData>
    <row r="1" spans="2:36" s="37" customFormat="1" ht="10.7" customHeight="1" thickBot="1"/>
    <row r="2" spans="2:36" s="37" customFormat="1" ht="16.5" customHeight="1" thickTop="1">
      <c r="B2" s="4" t="s">
        <v>562</v>
      </c>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I2" s="102" t="s">
        <v>87</v>
      </c>
      <c r="AJ2" s="132">
        <f>+'Capital IQ Sheet-STM'!AL2</f>
        <v>43496</v>
      </c>
    </row>
    <row r="3" spans="2:36" s="37" customFormat="1" ht="15.75" customHeight="1">
      <c r="B3" s="5" t="s">
        <v>671</v>
      </c>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I3" s="36" t="s">
        <v>378</v>
      </c>
      <c r="AJ3" s="34" t="s">
        <v>380</v>
      </c>
    </row>
    <row r="4" spans="2:36" s="37" customFormat="1" ht="16.5" customHeight="1" thickBot="1">
      <c r="B4" s="6" t="s">
        <v>605</v>
      </c>
      <c r="C4" s="6"/>
      <c r="D4" s="6"/>
      <c r="E4" s="6"/>
      <c r="F4" s="6"/>
      <c r="G4" s="6"/>
      <c r="H4" s="6"/>
      <c r="I4" s="6"/>
      <c r="J4" s="6"/>
      <c r="K4" s="6"/>
      <c r="L4" s="6"/>
      <c r="M4" s="6"/>
      <c r="N4" s="7"/>
      <c r="O4" s="7"/>
      <c r="P4" s="7"/>
      <c r="Q4" s="7" t="s">
        <v>88</v>
      </c>
      <c r="R4" s="7"/>
      <c r="S4" s="7"/>
      <c r="T4" s="7"/>
      <c r="U4" s="7"/>
      <c r="V4" s="7"/>
      <c r="W4" s="7"/>
      <c r="X4" s="7"/>
      <c r="Y4" s="7"/>
      <c r="Z4" s="7"/>
      <c r="AA4" s="7"/>
      <c r="AB4" s="7"/>
      <c r="AC4" s="7"/>
      <c r="AD4" s="7"/>
      <c r="AE4" s="7"/>
      <c r="AF4" s="7"/>
      <c r="AG4" s="7"/>
      <c r="AI4" s="36" t="s">
        <v>379</v>
      </c>
      <c r="AJ4" s="34" t="s">
        <v>381</v>
      </c>
    </row>
    <row r="5" spans="2:36" s="8" customFormat="1" ht="12.75" customHeight="1" thickTop="1">
      <c r="B5" s="37"/>
      <c r="C5" s="37"/>
      <c r="D5" s="37"/>
      <c r="E5" s="37"/>
      <c r="F5" s="37"/>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14" t="s">
        <v>89</v>
      </c>
      <c r="AJ5" s="133" t="s">
        <v>90</v>
      </c>
    </row>
    <row r="6" spans="2:36" s="134" customFormat="1" ht="12.75" customHeight="1">
      <c r="C6" s="108"/>
      <c r="D6" s="135"/>
    </row>
    <row r="7" spans="2:36" s="134" customFormat="1" ht="12.75" customHeight="1">
      <c r="I7" s="136" t="s">
        <v>393</v>
      </c>
      <c r="J7" s="180"/>
      <c r="K7" s="180"/>
      <c r="L7" s="137"/>
      <c r="N7" s="136" t="s">
        <v>305</v>
      </c>
      <c r="O7" s="138"/>
      <c r="P7" s="137"/>
      <c r="R7" s="136" t="s">
        <v>304</v>
      </c>
      <c r="S7" s="138"/>
      <c r="T7" s="137"/>
      <c r="U7" s="138"/>
      <c r="V7" s="137"/>
      <c r="X7" s="136" t="s">
        <v>306</v>
      </c>
      <c r="Y7" s="138"/>
      <c r="Z7" s="137"/>
      <c r="AB7" s="136" t="s">
        <v>307</v>
      </c>
      <c r="AC7" s="138"/>
      <c r="AD7" s="137"/>
      <c r="AF7" s="136" t="s">
        <v>310</v>
      </c>
      <c r="AG7" s="139"/>
    </row>
    <row r="8" spans="2:36" s="143" customFormat="1" ht="30.75" customHeight="1">
      <c r="B8" s="140" t="s">
        <v>299</v>
      </c>
      <c r="C8" s="141" t="s">
        <v>718</v>
      </c>
      <c r="D8" s="141" t="s">
        <v>300</v>
      </c>
      <c r="E8" s="141" t="s">
        <v>397</v>
      </c>
      <c r="F8" s="142" t="s">
        <v>301</v>
      </c>
      <c r="G8" s="142" t="s">
        <v>303</v>
      </c>
      <c r="I8" s="140" t="s">
        <v>146</v>
      </c>
      <c r="J8" s="181" t="s">
        <v>1759</v>
      </c>
      <c r="K8" s="181" t="s">
        <v>1760</v>
      </c>
      <c r="L8" s="142" t="s">
        <v>394</v>
      </c>
      <c r="M8" s="144"/>
      <c r="N8" s="140" t="s">
        <v>158</v>
      </c>
      <c r="O8" s="141" t="s">
        <v>167</v>
      </c>
      <c r="P8" s="142" t="s">
        <v>168</v>
      </c>
      <c r="R8" s="140" t="s">
        <v>158</v>
      </c>
      <c r="S8" s="141" t="s">
        <v>167</v>
      </c>
      <c r="T8" s="142" t="s">
        <v>168</v>
      </c>
      <c r="U8" s="141" t="s">
        <v>395</v>
      </c>
      <c r="V8" s="142" t="s">
        <v>396</v>
      </c>
      <c r="X8" s="140" t="s">
        <v>158</v>
      </c>
      <c r="Y8" s="141" t="s">
        <v>167</v>
      </c>
      <c r="Z8" s="142" t="s">
        <v>168</v>
      </c>
      <c r="AB8" s="140" t="s">
        <v>158</v>
      </c>
      <c r="AC8" s="141" t="s">
        <v>167</v>
      </c>
      <c r="AD8" s="142" t="s">
        <v>168</v>
      </c>
      <c r="AF8" s="145" t="s">
        <v>308</v>
      </c>
      <c r="AG8" s="146" t="s">
        <v>309</v>
      </c>
      <c r="AI8" s="147" t="s">
        <v>302</v>
      </c>
    </row>
    <row r="9" spans="2:36" s="134" customFormat="1" ht="12.75" customHeight="1"/>
    <row r="10" spans="2:36" s="149" customFormat="1" ht="12.75" customHeight="1">
      <c r="B10" s="148" t="e">
        <f ca="1">_xll.ciqfunctions.udf.CIQ($AI10,"IQ_TR_CLOSED_DATE")</f>
        <v>#NAME?</v>
      </c>
      <c r="C10" s="149" t="e">
        <f ca="1">_xll.ciqfunctions.udf.CIQ($AI10,"IQ_TR_BUYERNAME")</f>
        <v>#NAME?</v>
      </c>
      <c r="D10" s="149" t="e">
        <f ca="1">_xll.ciqfunctions.udf.CIQ($AI10,"IQ_TR_TARGETNAME")</f>
        <v>#NAME?</v>
      </c>
      <c r="E10" s="149" t="e">
        <f ca="1">_xll.ciqfunctions.udf.CIQ($AI10, "IQ_PRIMARY_INDUSTRY")</f>
        <v>#NAME?</v>
      </c>
      <c r="F10" s="150" t="e">
        <f ca="1">_xll.ciqfunctions.udf.CIQ($AI10, "IQ_TR_PCT_SOUGHT")/100</f>
        <v>#NAME?</v>
      </c>
      <c r="G10" s="151" t="e">
        <f ca="1">_xll.ciqfunctions.udf.CIQ(AI10, "IQ_TR_MAJ_MIN_STAKE")</f>
        <v>#NAME?</v>
      </c>
      <c r="I10" s="152" t="e">
        <f ca="1">_xll.ciqfunctions.udf.CIQ($AI10, "IQ_TR_IMPLIED_EV_FINAL", , $AJ$4,$AJ$5)</f>
        <v>#NAME?</v>
      </c>
      <c r="J10" s="152" t="e">
        <f ca="1">IF(_xll.ciqfunctions.udf.CIQ(AI10, "IQ_TR_TOTAL_CASH")="n/a",0,_xll.ciqfunctions.udf.CIQ(AI10, "IQ_TR_TOTAL_CASH"))+IF(_xll.ciqfunctions.udf.CIQ(AI10, "IQ_TR_TOTAL_STOCK")="n/a",0,_xll.ciqfunctions.udf.CIQ(AI10, "IQ_TR_TOTAL_STOCK"))</f>
        <v>#NAME?</v>
      </c>
      <c r="K10" s="27" t="e">
        <f ca="1">_xll.ciqfunctions.udf.CIQ(AI10, "IQ_TR_EARNOUTS")</f>
        <v>#NAME?</v>
      </c>
      <c r="L10" s="152" t="e">
        <f ca="1">IF(_xll.ciqfunctions.udf.CIQ($AI10, "IQ_TR_TOTAL_GROSS_TV",$AJ$4,$AJ$5)=0,"NA",_xll.ciqfunctions.udf.CIQ($AI10, "IQ_TR_TOTAL_GROSS_TV",,"USD"))</f>
        <v>#NAME?</v>
      </c>
      <c r="M10" s="153"/>
      <c r="N10" s="152" t="e">
        <f ca="1">_xll.ciqfunctions.udf.CIQ($AI10, "IQ_TR_TARGET_TOTAL_REV",,$AJ$4,$AJ$5)</f>
        <v>#NAME?</v>
      </c>
      <c r="O10" s="152" t="e">
        <f ca="1">_xll.ciqfunctions.udf.CIQ($AI10, "IQ_TR_TARGET_EBITDA", , $AJ$4,$AJ$5)</f>
        <v>#NAME?</v>
      </c>
      <c r="P10" s="152" t="e">
        <f ca="1">_xll.ciqfunctions.udf.CIQ($AI10, "IQ_TR_TARGET_EBIT", , $AJ$4,$AJ$5)</f>
        <v>#NAME?</v>
      </c>
      <c r="Q10" s="153"/>
      <c r="R10" s="154" t="str">
        <f ca="1">IF(ISERROR($I10/N10), "n/a", $I10/N10)</f>
        <v>n/a</v>
      </c>
      <c r="S10" s="154" t="str">
        <f ca="1">IF(ISERROR($I10/O10), "n/a", $I10/O10)</f>
        <v>n/a</v>
      </c>
      <c r="T10" s="154" t="str">
        <f ca="1">IF(ISERROR($I10/P10), "n/a", $I10/P10)</f>
        <v>n/a</v>
      </c>
      <c r="U10" s="154" t="e">
        <f ca="1">IF(_xll.ciqfunctions.udf.CIQ($AI10, "IQ_TR_IMPLIED_EQ_BV")=0,"NA",_xll.ciqfunctions.udf.CIQ($AI10, "IQ_TR_IMPLIED_EQ_BV"))</f>
        <v>#NAME?</v>
      </c>
      <c r="V10" s="154" t="e">
        <f ca="1">IF(_xll.ciqfunctions.udf.CIQ($AI10, "IQ_TR_IMPLIED_EQ_NI_LTM")=0,"NA",_xll.ciqfunctions.udf.CIQ($AI10, "IQ_TR_IMPLIED_EQ_NI_LTM"))</f>
        <v>#NAME?</v>
      </c>
      <c r="W10" s="153"/>
      <c r="X10" s="152" t="e">
        <f ca="1">_xll.ciqfunctions.udf.CIQ($AI10, "IQ_TR_TARGET_REVENUE_EST",, $AJ$4,$AJ$5)</f>
        <v>#NAME?</v>
      </c>
      <c r="Y10" s="152" t="e">
        <f ca="1">_xll.ciqfunctions.udf.CIQ($AI10, "IQ_TR_TARGET_EBITDA_EST",, $AJ$4,$AJ$5)</f>
        <v>#NAME?</v>
      </c>
      <c r="Z10" s="152" t="e">
        <f ca="1">_xll.ciqfunctions.udf.CIQ(AI10, "IQ_TR_IMPLIED_EV_EBIT_FWD")</f>
        <v>#NAME?</v>
      </c>
      <c r="AA10" s="153"/>
      <c r="AB10" s="154" t="str">
        <f ca="1">IF(ISERROR($I10/X10), "n/a", $I10/X10)</f>
        <v>n/a</v>
      </c>
      <c r="AC10" s="154" t="str">
        <f ca="1">IF(ISERROR($I10/Y10), "n/a", $I10/Y10)</f>
        <v>n/a</v>
      </c>
      <c r="AD10" s="154" t="str">
        <f ca="1">IF(ISERROR($I10/Z10), "n/a", $I10/Z10)</f>
        <v>n/a</v>
      </c>
      <c r="AF10" s="155" t="e">
        <f ca="1">IF((_xll.ciqfunctions.udf.CIQ($AI10, "IQ_TR_TARGET_STOCKPREMIUM_1W")/100)&lt;=0,"NM",_xll.ciqfunctions.udf.CIQ($AI10, "IQ_TR_TARGET_STOCKPREMIUM_1W")/100)</f>
        <v>#NAME?</v>
      </c>
      <c r="AG10" s="155" t="e">
        <f ca="1">IF((_xll.ciqfunctions.udf.CIQ($AI10, "IQ_TR_TARGET_STOCKPREMIUM_1M")/100)&lt;=0,"NM",_xll.ciqfunctions.udf.CIQ($AI10, "IQ_TR_TARGET_STOCKPREMIUM_1M")/100)</f>
        <v>#NAME?</v>
      </c>
      <c r="AI10" s="156" t="str">
        <f>+'Capital IQ Sheet-STM'!AK10</f>
        <v>IQTR580298049</v>
      </c>
      <c r="AJ10" s="149" t="e">
        <f ca="1">_xll.ciqfunctions.udf.CIQ(AI10, "IQ_BUSINESS_DESCRIPTION")</f>
        <v>#NAME?</v>
      </c>
    </row>
    <row r="11" spans="2:36" s="149" customFormat="1" ht="12.75" customHeight="1">
      <c r="B11" s="148" t="e">
        <f ca="1">_xll.ciqfunctions.udf.CIQ($AI11,"IQ_TR_CLOSED_DATE")</f>
        <v>#NAME?</v>
      </c>
      <c r="C11" s="149" t="e">
        <f ca="1">_xll.ciqfunctions.udf.CIQ($AI11,"IQ_TR_BUYERNAME")</f>
        <v>#NAME?</v>
      </c>
      <c r="D11" s="149" t="e">
        <f ca="1">_xll.ciqfunctions.udf.CIQ($AI11,"IQ_TR_TARGETNAME")</f>
        <v>#NAME?</v>
      </c>
      <c r="E11" s="149" t="e">
        <f ca="1">_xll.ciqfunctions.udf.CIQ($AI11, "IQ_PRIMARY_INDUSTRY")</f>
        <v>#NAME?</v>
      </c>
      <c r="F11" s="150" t="e">
        <f ca="1">_xll.ciqfunctions.udf.CIQ($AI11, "IQ_TR_PCT_SOUGHT")/100</f>
        <v>#NAME?</v>
      </c>
      <c r="G11" s="151" t="e">
        <f ca="1">_xll.ciqfunctions.udf.CIQ(AI11, "IQ_TR_MAJ_MIN_STAKE")</f>
        <v>#NAME?</v>
      </c>
      <c r="I11" s="152" t="e">
        <f ca="1">_xll.ciqfunctions.udf.CIQ($AI11, "IQ_TR_IMPLIED_EV_FINAL", , $AJ$4,$AJ$5)</f>
        <v>#NAME?</v>
      </c>
      <c r="J11" s="152" t="e">
        <f ca="1">IF(_xll.ciqfunctions.udf.CIQ(AI11, "IQ_TR_TOTAL_CASH")="n/a",0,_xll.ciqfunctions.udf.CIQ(AI11, "IQ_TR_TOTAL_CASH"))+IF(_xll.ciqfunctions.udf.CIQ(AI11, "IQ_TR_TOTAL_STOCK")="n/a",0,_xll.ciqfunctions.udf.CIQ(AI11, "IQ_TR_TOTAL_STOCK"))</f>
        <v>#NAME?</v>
      </c>
      <c r="K11" s="27" t="e">
        <f ca="1">_xll.ciqfunctions.udf.CIQ(AI11, "IQ_TR_EARNOUTS")</f>
        <v>#NAME?</v>
      </c>
      <c r="L11" s="152" t="e">
        <f ca="1">IF(_xll.ciqfunctions.udf.CIQ($AI11, "IQ_TR_TOTAL_GROSS_TV",$AJ$4,$AJ$5)=0,"NA",_xll.ciqfunctions.udf.CIQ($AI11, "IQ_TR_TOTAL_GROSS_TV",,"USD"))</f>
        <v>#NAME?</v>
      </c>
      <c r="M11" s="153"/>
      <c r="N11" s="152" t="e">
        <f ca="1">_xll.ciqfunctions.udf.CIQ($AI11, "IQ_TR_TARGET_TOTAL_REV",,$AJ$4,$AJ$5)</f>
        <v>#NAME?</v>
      </c>
      <c r="O11" s="152" t="e">
        <f ca="1">_xll.ciqfunctions.udf.CIQ($AI11, "IQ_TR_TARGET_EBITDA", , $AJ$4,$AJ$5)</f>
        <v>#NAME?</v>
      </c>
      <c r="P11" s="152" t="e">
        <f ca="1">_xll.ciqfunctions.udf.CIQ($AI11, "IQ_TR_TARGET_EBIT", , $AJ$4,$AJ$5)</f>
        <v>#NAME?</v>
      </c>
      <c r="Q11" s="153"/>
      <c r="R11" s="154" t="str">
        <f t="shared" ref="R11:T29" ca="1" si="0">IF(ISERROR($I11/N11), "n/a", $I11/N11)</f>
        <v>n/a</v>
      </c>
      <c r="S11" s="154" t="str">
        <f t="shared" ca="1" si="0"/>
        <v>n/a</v>
      </c>
      <c r="T11" s="154" t="str">
        <f t="shared" ca="1" si="0"/>
        <v>n/a</v>
      </c>
      <c r="U11" s="154" t="e">
        <f ca="1">IF(_xll.ciqfunctions.udf.CIQ($AI11, "IQ_TR_IMPLIED_EQ_BV")=0,"NA",_xll.ciqfunctions.udf.CIQ($AI11, "IQ_TR_IMPLIED_EQ_BV"))</f>
        <v>#NAME?</v>
      </c>
      <c r="V11" s="154" t="e">
        <f ca="1">IF(_xll.ciqfunctions.udf.CIQ($AI11, "IQ_TR_IMPLIED_EQ_NI_LTM")=0,"NA",_xll.ciqfunctions.udf.CIQ($AI11, "IQ_TR_IMPLIED_EQ_NI_LTM"))</f>
        <v>#NAME?</v>
      </c>
      <c r="W11" s="153"/>
      <c r="X11" s="152" t="e">
        <f ca="1">_xll.ciqfunctions.udf.CIQ($AI11, "IQ_TR_TARGET_REVENUE_EST",, $AJ$4,$AJ$5)</f>
        <v>#NAME?</v>
      </c>
      <c r="Y11" s="152" t="e">
        <f ca="1">_xll.ciqfunctions.udf.CIQ($AI11, "IQ_TR_TARGET_EBITDA_EST",, $AJ$4,$AJ$5)</f>
        <v>#NAME?</v>
      </c>
      <c r="Z11" s="152" t="e">
        <f ca="1">_xll.ciqfunctions.udf.CIQ(AI11, "IQ_TR_IMPLIED_EV_EBIT_FWD")</f>
        <v>#NAME?</v>
      </c>
      <c r="AA11" s="153"/>
      <c r="AB11" s="154" t="str">
        <f t="shared" ref="AB11:AD29" ca="1" si="1">IF(ISERROR($I11/X11), "n/a", $I11/X11)</f>
        <v>n/a</v>
      </c>
      <c r="AC11" s="154" t="str">
        <f t="shared" ca="1" si="1"/>
        <v>n/a</v>
      </c>
      <c r="AD11" s="154" t="str">
        <f t="shared" ca="1" si="1"/>
        <v>n/a</v>
      </c>
      <c r="AF11" s="155" t="e">
        <f ca="1">IF((_xll.ciqfunctions.udf.CIQ($AI11, "IQ_TR_TARGET_STOCKPREMIUM_1W")/100)&lt;=0,"NM",_xll.ciqfunctions.udf.CIQ($AI11, "IQ_TR_TARGET_STOCKPREMIUM_1W")/100)</f>
        <v>#NAME?</v>
      </c>
      <c r="AG11" s="155" t="e">
        <f ca="1">IF((_xll.ciqfunctions.udf.CIQ($AI11, "IQ_TR_TARGET_STOCKPREMIUM_1M")/100)&lt;=0,"NM",_xll.ciqfunctions.udf.CIQ($AI11, "IQ_TR_TARGET_STOCKPREMIUM_1M")/100)</f>
        <v>#NAME?</v>
      </c>
      <c r="AI11" s="156" t="str">
        <f>+'Capital IQ Sheet-STM'!AK11</f>
        <v>IQTR597077765</v>
      </c>
      <c r="AJ11" s="149" t="e">
        <f ca="1">_xll.ciqfunctions.udf.CIQ(AI11, "IQ_BUSINESS_DESCRIPTION")</f>
        <v>#NAME?</v>
      </c>
    </row>
    <row r="12" spans="2:36" s="149" customFormat="1" ht="12.75" customHeight="1">
      <c r="B12" s="148" t="e">
        <f ca="1">_xll.ciqfunctions.udf.CIQ($AI12,"IQ_TR_CLOSED_DATE")</f>
        <v>#NAME?</v>
      </c>
      <c r="C12" s="149" t="e">
        <f ca="1">_xll.ciqfunctions.udf.CIQ($AI12,"IQ_TR_BUYERNAME")</f>
        <v>#NAME?</v>
      </c>
      <c r="D12" s="149" t="e">
        <f ca="1">_xll.ciqfunctions.udf.CIQ($AI12,"IQ_TR_TARGETNAME")</f>
        <v>#NAME?</v>
      </c>
      <c r="E12" s="149" t="e">
        <f ca="1">_xll.ciqfunctions.udf.CIQ($AI12, "IQ_PRIMARY_INDUSTRY")</f>
        <v>#NAME?</v>
      </c>
      <c r="F12" s="150" t="e">
        <f ca="1">_xll.ciqfunctions.udf.CIQ($AI12, "IQ_TR_PCT_SOUGHT")/100</f>
        <v>#NAME?</v>
      </c>
      <c r="G12" s="151" t="e">
        <f ca="1">_xll.ciqfunctions.udf.CIQ(AI12, "IQ_TR_MAJ_MIN_STAKE")</f>
        <v>#NAME?</v>
      </c>
      <c r="I12" s="152" t="e">
        <f ca="1">_xll.ciqfunctions.udf.CIQ($AI12, "IQ_TR_IMPLIED_EV_FINAL", , $AJ$4,$AJ$5)</f>
        <v>#NAME?</v>
      </c>
      <c r="J12" s="152" t="e">
        <f ca="1">IF(_xll.ciqfunctions.udf.CIQ(AI12, "IQ_TR_TOTAL_CASH")="n/a",0,_xll.ciqfunctions.udf.CIQ(AI12, "IQ_TR_TOTAL_CASH"))+IF(_xll.ciqfunctions.udf.CIQ(AI12, "IQ_TR_TOTAL_STOCK")="n/a",0,_xll.ciqfunctions.udf.CIQ(AI12, "IQ_TR_TOTAL_STOCK"))</f>
        <v>#NAME?</v>
      </c>
      <c r="K12" s="27" t="e">
        <f ca="1">_xll.ciqfunctions.udf.CIQ(AI12, "IQ_TR_EARNOUTS")</f>
        <v>#NAME?</v>
      </c>
      <c r="L12" s="152" t="e">
        <f ca="1">IF(_xll.ciqfunctions.udf.CIQ($AI12, "IQ_TR_TOTAL_GROSS_TV",$AJ$4,$AJ$5)=0,"NA",_xll.ciqfunctions.udf.CIQ($AI12, "IQ_TR_TOTAL_GROSS_TV",,"USD"))</f>
        <v>#NAME?</v>
      </c>
      <c r="M12" s="153"/>
      <c r="N12" s="152" t="e">
        <f ca="1">_xll.ciqfunctions.udf.CIQ($AI12, "IQ_TR_TARGET_TOTAL_REV",,$AJ$4,$AJ$5)</f>
        <v>#NAME?</v>
      </c>
      <c r="O12" s="152" t="e">
        <f ca="1">_xll.ciqfunctions.udf.CIQ($AI12, "IQ_TR_TARGET_EBITDA", , $AJ$4,$AJ$5)</f>
        <v>#NAME?</v>
      </c>
      <c r="P12" s="152" t="e">
        <f ca="1">_xll.ciqfunctions.udf.CIQ($AI12, "IQ_TR_TARGET_EBIT", , $AJ$4,$AJ$5)</f>
        <v>#NAME?</v>
      </c>
      <c r="Q12" s="153"/>
      <c r="R12" s="154" t="str">
        <f t="shared" ca="1" si="0"/>
        <v>n/a</v>
      </c>
      <c r="S12" s="179" t="str">
        <f t="shared" ca="1" si="0"/>
        <v>n/a</v>
      </c>
      <c r="T12" s="179" t="str">
        <f t="shared" ca="1" si="0"/>
        <v>n/a</v>
      </c>
      <c r="U12" s="154" t="e">
        <f ca="1">IF(_xll.ciqfunctions.udf.CIQ($AI12, "IQ_TR_IMPLIED_EQ_BV")=0,"NA",_xll.ciqfunctions.udf.CIQ($AI12, "IQ_TR_IMPLIED_EQ_BV"))</f>
        <v>#NAME?</v>
      </c>
      <c r="V12" s="154" t="e">
        <f ca="1">IF(_xll.ciqfunctions.udf.CIQ($AI12, "IQ_TR_IMPLIED_EQ_NI_LTM")=0,"NA",_xll.ciqfunctions.udf.CIQ($AI12, "IQ_TR_IMPLIED_EQ_NI_LTM"))</f>
        <v>#NAME?</v>
      </c>
      <c r="W12" s="153"/>
      <c r="X12" s="152" t="e">
        <f ca="1">_xll.ciqfunctions.udf.CIQ($AI12, "IQ_TR_TARGET_REVENUE_EST",, $AJ$4,$AJ$5)</f>
        <v>#NAME?</v>
      </c>
      <c r="Y12" s="152" t="e">
        <f ca="1">_xll.ciqfunctions.udf.CIQ($AI12, "IQ_TR_TARGET_EBITDA_EST",, $AJ$4,$AJ$5)</f>
        <v>#NAME?</v>
      </c>
      <c r="Z12" s="152" t="e">
        <f ca="1">_xll.ciqfunctions.udf.CIQ(AI12, "IQ_TR_IMPLIED_EV_EBIT_FWD")</f>
        <v>#NAME?</v>
      </c>
      <c r="AA12" s="153"/>
      <c r="AB12" s="154" t="str">
        <f t="shared" ca="1" si="1"/>
        <v>n/a</v>
      </c>
      <c r="AC12" s="154" t="str">
        <f t="shared" ca="1" si="1"/>
        <v>n/a</v>
      </c>
      <c r="AD12" s="154" t="str">
        <f t="shared" ca="1" si="1"/>
        <v>n/a</v>
      </c>
      <c r="AF12" s="155" t="e">
        <f ca="1">IF((_xll.ciqfunctions.udf.CIQ($AI12, "IQ_TR_TARGET_STOCKPREMIUM_1W")/100)&lt;=0,"NM",_xll.ciqfunctions.udf.CIQ($AI12, "IQ_TR_TARGET_STOCKPREMIUM_1W")/100)</f>
        <v>#NAME?</v>
      </c>
      <c r="AG12" s="155" t="e">
        <f ca="1">IF((_xll.ciqfunctions.udf.CIQ($AI12, "IQ_TR_TARGET_STOCKPREMIUM_1M")/100)&lt;=0,"NM",_xll.ciqfunctions.udf.CIQ($AI12, "IQ_TR_TARGET_STOCKPREMIUM_1M")/100)</f>
        <v>#NAME?</v>
      </c>
      <c r="AI12" s="156" t="str">
        <f>+'Capital IQ Sheet-STM'!AK12</f>
        <v>IQTR563919049</v>
      </c>
      <c r="AJ12" s="149" t="e">
        <f ca="1">_xll.ciqfunctions.udf.CIQ(AI12, "IQ_BUSINESS_DESCRIPTION")</f>
        <v>#NAME?</v>
      </c>
    </row>
    <row r="13" spans="2:36" s="149" customFormat="1" ht="12.75" customHeight="1">
      <c r="B13" s="148" t="e">
        <f ca="1">_xll.ciqfunctions.udf.CIQ($AI13,"IQ_TR_CLOSED_DATE")</f>
        <v>#NAME?</v>
      </c>
      <c r="C13" s="149" t="e">
        <f ca="1">_xll.ciqfunctions.udf.CIQ($AI13,"IQ_TR_BUYERNAME")</f>
        <v>#NAME?</v>
      </c>
      <c r="D13" s="149" t="e">
        <f ca="1">_xll.ciqfunctions.udf.CIQ($AI13,"IQ_TR_TARGETNAME")</f>
        <v>#NAME?</v>
      </c>
      <c r="E13" s="149" t="e">
        <f ca="1">_xll.ciqfunctions.udf.CIQ($AI13, "IQ_PRIMARY_INDUSTRY")</f>
        <v>#NAME?</v>
      </c>
      <c r="F13" s="150" t="e">
        <f ca="1">_xll.ciqfunctions.udf.CIQ($AI13, "IQ_TR_PCT_SOUGHT")/100</f>
        <v>#NAME?</v>
      </c>
      <c r="G13" s="151" t="e">
        <f ca="1">_xll.ciqfunctions.udf.CIQ(AI13, "IQ_TR_MAJ_MIN_STAKE")</f>
        <v>#NAME?</v>
      </c>
      <c r="I13" s="152" t="e">
        <f ca="1">_xll.ciqfunctions.udf.CIQ($AI13, "IQ_TR_IMPLIED_EV_FINAL", , $AJ$4,$AJ$5)</f>
        <v>#NAME?</v>
      </c>
      <c r="J13" s="152" t="e">
        <f ca="1">IF(_xll.ciqfunctions.udf.CIQ(AI13, "IQ_TR_TOTAL_CASH")="n/a",0,_xll.ciqfunctions.udf.CIQ(AI13, "IQ_TR_TOTAL_CASH"))+IF(_xll.ciqfunctions.udf.CIQ(AI13, "IQ_TR_TOTAL_STOCK")="n/a",0,_xll.ciqfunctions.udf.CIQ(AI13, "IQ_TR_TOTAL_STOCK"))</f>
        <v>#NAME?</v>
      </c>
      <c r="K13" s="27" t="e">
        <f ca="1">_xll.ciqfunctions.udf.CIQ(AI13, "IQ_TR_EARNOUTS")</f>
        <v>#NAME?</v>
      </c>
      <c r="L13" s="152" t="e">
        <f ca="1">IF(_xll.ciqfunctions.udf.CIQ($AI13, "IQ_TR_TOTAL_GROSS_TV",$AJ$4,$AJ$5)=0,"NA",_xll.ciqfunctions.udf.CIQ($AI13, "IQ_TR_TOTAL_GROSS_TV",,"USD"))</f>
        <v>#NAME?</v>
      </c>
      <c r="M13" s="153"/>
      <c r="N13" s="152" t="e">
        <f ca="1">_xll.ciqfunctions.udf.CIQ($AI13, "IQ_TR_TARGET_TOTAL_REV",,$AJ$4,$AJ$5)</f>
        <v>#NAME?</v>
      </c>
      <c r="O13" s="152" t="e">
        <f ca="1">_xll.ciqfunctions.udf.CIQ($AI13, "IQ_TR_TARGET_EBITDA", , $AJ$4,$AJ$5)</f>
        <v>#NAME?</v>
      </c>
      <c r="P13" s="152" t="e">
        <f ca="1">_xll.ciqfunctions.udf.CIQ($AI13, "IQ_TR_TARGET_EBIT", , $AJ$4,$AJ$5)</f>
        <v>#NAME?</v>
      </c>
      <c r="Q13" s="153"/>
      <c r="R13" s="154" t="str">
        <f t="shared" ca="1" si="0"/>
        <v>n/a</v>
      </c>
      <c r="S13" s="154" t="str">
        <f t="shared" ca="1" si="0"/>
        <v>n/a</v>
      </c>
      <c r="T13" s="154" t="str">
        <f t="shared" ca="1" si="0"/>
        <v>n/a</v>
      </c>
      <c r="U13" s="154" t="e">
        <f ca="1">IF(_xll.ciqfunctions.udf.CIQ($AI13, "IQ_TR_IMPLIED_EQ_BV")=0,"NA",_xll.ciqfunctions.udf.CIQ($AI13, "IQ_TR_IMPLIED_EQ_BV"))</f>
        <v>#NAME?</v>
      </c>
      <c r="V13" s="154" t="e">
        <f ca="1">IF(_xll.ciqfunctions.udf.CIQ($AI13, "IQ_TR_IMPLIED_EQ_NI_LTM")=0,"NA",_xll.ciqfunctions.udf.CIQ($AI13, "IQ_TR_IMPLIED_EQ_NI_LTM"))</f>
        <v>#NAME?</v>
      </c>
      <c r="W13" s="153"/>
      <c r="X13" s="152" t="e">
        <f ca="1">_xll.ciqfunctions.udf.CIQ($AI13, "IQ_TR_TARGET_REVENUE_EST",, $AJ$4,$AJ$5)</f>
        <v>#NAME?</v>
      </c>
      <c r="Y13" s="152" t="e">
        <f ca="1">_xll.ciqfunctions.udf.CIQ($AI13, "IQ_TR_TARGET_EBITDA_EST",, $AJ$4,$AJ$5)</f>
        <v>#NAME?</v>
      </c>
      <c r="Z13" s="152" t="e">
        <f ca="1">_xll.ciqfunctions.udf.CIQ(AI13, "IQ_TR_IMPLIED_EV_EBIT_FWD")</f>
        <v>#NAME?</v>
      </c>
      <c r="AA13" s="153"/>
      <c r="AB13" s="154" t="str">
        <f t="shared" ca="1" si="1"/>
        <v>n/a</v>
      </c>
      <c r="AC13" s="154" t="str">
        <f t="shared" ca="1" si="1"/>
        <v>n/a</v>
      </c>
      <c r="AD13" s="154" t="str">
        <f t="shared" ca="1" si="1"/>
        <v>n/a</v>
      </c>
      <c r="AF13" s="155" t="e">
        <f ca="1">IF((_xll.ciqfunctions.udf.CIQ($AI13, "IQ_TR_TARGET_STOCKPREMIUM_1W")/100)&lt;=0,"NM",_xll.ciqfunctions.udf.CIQ($AI13, "IQ_TR_TARGET_STOCKPREMIUM_1W")/100)</f>
        <v>#NAME?</v>
      </c>
      <c r="AG13" s="155" t="e">
        <f ca="1">IF((_xll.ciqfunctions.udf.CIQ($AI13, "IQ_TR_TARGET_STOCKPREMIUM_1M")/100)&lt;=0,"NM",_xll.ciqfunctions.udf.CIQ($AI13, "IQ_TR_TARGET_STOCKPREMIUM_1M")/100)</f>
        <v>#NAME?</v>
      </c>
      <c r="AI13" s="156" t="str">
        <f>+'Capital IQ Sheet-STM'!AK13</f>
        <v>IQTR558308729</v>
      </c>
      <c r="AJ13" s="149" t="e">
        <f ca="1">_xll.ciqfunctions.udf.CIQ(AI13, "IQ_BUSINESS_DESCRIPTION")</f>
        <v>#NAME?</v>
      </c>
    </row>
    <row r="14" spans="2:36" s="149" customFormat="1" ht="12.75" customHeight="1">
      <c r="B14" s="148" t="e">
        <f ca="1">_xll.ciqfunctions.udf.CIQ($AI14,"IQ_TR_CLOSED_DATE")</f>
        <v>#NAME?</v>
      </c>
      <c r="C14" s="149" t="e">
        <f ca="1">_xll.ciqfunctions.udf.CIQ($AI14,"IQ_TR_BUYERNAME")</f>
        <v>#NAME?</v>
      </c>
      <c r="D14" s="149" t="e">
        <f ca="1">_xll.ciqfunctions.udf.CIQ($AI14,"IQ_TR_TARGETNAME")</f>
        <v>#NAME?</v>
      </c>
      <c r="E14" s="149" t="e">
        <f ca="1">_xll.ciqfunctions.udf.CIQ($AI14, "IQ_PRIMARY_INDUSTRY")</f>
        <v>#NAME?</v>
      </c>
      <c r="F14" s="150" t="e">
        <f ca="1">_xll.ciqfunctions.udf.CIQ($AI14, "IQ_TR_PCT_SOUGHT")/100</f>
        <v>#NAME?</v>
      </c>
      <c r="G14" s="151" t="e">
        <f ca="1">_xll.ciqfunctions.udf.CIQ(AI14, "IQ_TR_MAJ_MIN_STAKE")</f>
        <v>#NAME?</v>
      </c>
      <c r="I14" s="152" t="e">
        <f ca="1">_xll.ciqfunctions.udf.CIQ($AI14, "IQ_TR_IMPLIED_EV_FINAL", , $AJ$4,$AJ$5)</f>
        <v>#NAME?</v>
      </c>
      <c r="J14" s="152" t="e">
        <f ca="1">IF(_xll.ciqfunctions.udf.CIQ(AI14, "IQ_TR_TOTAL_CASH")="n/a",0,_xll.ciqfunctions.udf.CIQ(AI14, "IQ_TR_TOTAL_CASH"))+IF(_xll.ciqfunctions.udf.CIQ(AI14, "IQ_TR_TOTAL_STOCK")="n/a",0,_xll.ciqfunctions.udf.CIQ(AI14, "IQ_TR_TOTAL_STOCK"))</f>
        <v>#NAME?</v>
      </c>
      <c r="K14" s="27" t="e">
        <f ca="1">_xll.ciqfunctions.udf.CIQ(AI14, "IQ_TR_EARNOUTS")</f>
        <v>#NAME?</v>
      </c>
      <c r="L14" s="152" t="e">
        <f ca="1">IF(_xll.ciqfunctions.udf.CIQ($AI14, "IQ_TR_TOTAL_GROSS_TV",$AJ$4,$AJ$5)=0,"NA",_xll.ciqfunctions.udf.CIQ($AI14, "IQ_TR_TOTAL_GROSS_TV",,"USD"))</f>
        <v>#NAME?</v>
      </c>
      <c r="M14" s="153"/>
      <c r="N14" s="152" t="e">
        <f ca="1">_xll.ciqfunctions.udf.CIQ($AI14, "IQ_TR_TARGET_TOTAL_REV",,$AJ$4,$AJ$5)</f>
        <v>#NAME?</v>
      </c>
      <c r="O14" s="152" t="e">
        <f ca="1">_xll.ciqfunctions.udf.CIQ($AI14, "IQ_TR_TARGET_EBITDA", , $AJ$4,$AJ$5)</f>
        <v>#NAME?</v>
      </c>
      <c r="P14" s="152" t="e">
        <f ca="1">_xll.ciqfunctions.udf.CIQ($AI14, "IQ_TR_TARGET_EBIT", , $AJ$4,$AJ$5)</f>
        <v>#NAME?</v>
      </c>
      <c r="Q14" s="153"/>
      <c r="R14" s="154" t="str">
        <f t="shared" ca="1" si="0"/>
        <v>n/a</v>
      </c>
      <c r="S14" s="154" t="str">
        <f t="shared" ca="1" si="0"/>
        <v>n/a</v>
      </c>
      <c r="T14" s="154" t="str">
        <f t="shared" ca="1" si="0"/>
        <v>n/a</v>
      </c>
      <c r="U14" s="154" t="e">
        <f ca="1">IF(_xll.ciqfunctions.udf.CIQ($AI14, "IQ_TR_IMPLIED_EQ_BV")=0,"NA",_xll.ciqfunctions.udf.CIQ($AI14, "IQ_TR_IMPLIED_EQ_BV"))</f>
        <v>#NAME?</v>
      </c>
      <c r="V14" s="154" t="e">
        <f ca="1">IF(_xll.ciqfunctions.udf.CIQ($AI14, "IQ_TR_IMPLIED_EQ_NI_LTM")=0,"NA",_xll.ciqfunctions.udf.CIQ($AI14, "IQ_TR_IMPLIED_EQ_NI_LTM"))</f>
        <v>#NAME?</v>
      </c>
      <c r="W14" s="153"/>
      <c r="X14" s="152" t="e">
        <f ca="1">_xll.ciqfunctions.udf.CIQ($AI14, "IQ_TR_TARGET_REVENUE_EST",, $AJ$4,$AJ$5)</f>
        <v>#NAME?</v>
      </c>
      <c r="Y14" s="152" t="e">
        <f ca="1">_xll.ciqfunctions.udf.CIQ($AI14, "IQ_TR_TARGET_EBITDA_EST",, $AJ$4,$AJ$5)</f>
        <v>#NAME?</v>
      </c>
      <c r="Z14" s="152" t="e">
        <f ca="1">_xll.ciqfunctions.udf.CIQ(AI14, "IQ_TR_IMPLIED_EV_EBIT_FWD")</f>
        <v>#NAME?</v>
      </c>
      <c r="AA14" s="153"/>
      <c r="AB14" s="154" t="str">
        <f t="shared" ca="1" si="1"/>
        <v>n/a</v>
      </c>
      <c r="AC14" s="154" t="str">
        <f t="shared" ca="1" si="1"/>
        <v>n/a</v>
      </c>
      <c r="AD14" s="154" t="str">
        <f t="shared" ca="1" si="1"/>
        <v>n/a</v>
      </c>
      <c r="AF14" s="155" t="e">
        <f ca="1">IF((_xll.ciqfunctions.udf.CIQ($AI14, "IQ_TR_TARGET_STOCKPREMIUM_1W")/100)&lt;=0,"NM",_xll.ciqfunctions.udf.CIQ($AI14, "IQ_TR_TARGET_STOCKPREMIUM_1W")/100)</f>
        <v>#NAME?</v>
      </c>
      <c r="AG14" s="155" t="e">
        <f ca="1">IF((_xll.ciqfunctions.udf.CIQ($AI14, "IQ_TR_TARGET_STOCKPREMIUM_1M")/100)&lt;=0,"NM",_xll.ciqfunctions.udf.CIQ($AI14, "IQ_TR_TARGET_STOCKPREMIUM_1M")/100)</f>
        <v>#NAME?</v>
      </c>
      <c r="AI14" s="156" t="str">
        <f>+'Capital IQ Sheet-STM'!AK14</f>
        <v>IQTR550259397</v>
      </c>
      <c r="AJ14" s="149" t="e">
        <f ca="1">_xll.ciqfunctions.udf.CIQ(AI14, "IQ_BUSINESS_DESCRIPTION")</f>
        <v>#NAME?</v>
      </c>
    </row>
    <row r="15" spans="2:36" s="149" customFormat="1" ht="12.75" customHeight="1">
      <c r="B15" s="148" t="e">
        <f ca="1">_xll.ciqfunctions.udf.CIQ($AI15,"IQ_TR_CLOSED_DATE")</f>
        <v>#NAME?</v>
      </c>
      <c r="C15" s="149" t="e">
        <f ca="1">_xll.ciqfunctions.udf.CIQ($AI15,"IQ_TR_BUYERNAME")</f>
        <v>#NAME?</v>
      </c>
      <c r="D15" s="149" t="e">
        <f ca="1">_xll.ciqfunctions.udf.CIQ($AI15,"IQ_TR_TARGETNAME")</f>
        <v>#NAME?</v>
      </c>
      <c r="E15" s="149" t="e">
        <f ca="1">_xll.ciqfunctions.udf.CIQ($AI15, "IQ_PRIMARY_INDUSTRY")</f>
        <v>#NAME?</v>
      </c>
      <c r="F15" s="150" t="e">
        <f ca="1">_xll.ciqfunctions.udf.CIQ($AI15, "IQ_TR_PCT_SOUGHT")/100</f>
        <v>#NAME?</v>
      </c>
      <c r="G15" s="151" t="e">
        <f ca="1">_xll.ciqfunctions.udf.CIQ(AI15, "IQ_TR_MAJ_MIN_STAKE")</f>
        <v>#NAME?</v>
      </c>
      <c r="I15" s="152" t="e">
        <f ca="1">_xll.ciqfunctions.udf.CIQ($AI15, "IQ_TR_IMPLIED_EV_FINAL", , $AJ$4,$AJ$5)</f>
        <v>#NAME?</v>
      </c>
      <c r="J15" s="152" t="e">
        <f ca="1">IF(_xll.ciqfunctions.udf.CIQ(AI15, "IQ_TR_TOTAL_CASH")="n/a",0,_xll.ciqfunctions.udf.CIQ(AI15, "IQ_TR_TOTAL_CASH"))+IF(_xll.ciqfunctions.udf.CIQ(AI15, "IQ_TR_TOTAL_STOCK")="n/a",0,_xll.ciqfunctions.udf.CIQ(AI15, "IQ_TR_TOTAL_STOCK"))</f>
        <v>#NAME?</v>
      </c>
      <c r="K15" s="27" t="e">
        <f ca="1">_xll.ciqfunctions.udf.CIQ(AI15, "IQ_TR_EARNOUTS")</f>
        <v>#NAME?</v>
      </c>
      <c r="L15" s="152" t="e">
        <f ca="1">IF(_xll.ciqfunctions.udf.CIQ($AI15, "IQ_TR_TOTAL_GROSS_TV",$AJ$4,$AJ$5)=0,"NA",_xll.ciqfunctions.udf.CIQ($AI15, "IQ_TR_TOTAL_GROSS_TV",,"USD"))</f>
        <v>#NAME?</v>
      </c>
      <c r="M15" s="153"/>
      <c r="N15" s="152" t="e">
        <f ca="1">_xll.ciqfunctions.udf.CIQ($AI15, "IQ_TR_TARGET_TOTAL_REV",,$AJ$4,$AJ$5)</f>
        <v>#NAME?</v>
      </c>
      <c r="O15" s="152" t="e">
        <f ca="1">_xll.ciqfunctions.udf.CIQ($AI15, "IQ_TR_TARGET_EBITDA", , $AJ$4,$AJ$5)</f>
        <v>#NAME?</v>
      </c>
      <c r="P15" s="152" t="e">
        <f ca="1">_xll.ciqfunctions.udf.CIQ($AI15, "IQ_TR_TARGET_EBIT", , $AJ$4,$AJ$5)</f>
        <v>#NAME?</v>
      </c>
      <c r="Q15" s="153"/>
      <c r="R15" s="154" t="str">
        <f t="shared" ca="1" si="0"/>
        <v>n/a</v>
      </c>
      <c r="S15" s="154" t="str">
        <f t="shared" ca="1" si="0"/>
        <v>n/a</v>
      </c>
      <c r="T15" s="154" t="str">
        <f t="shared" ca="1" si="0"/>
        <v>n/a</v>
      </c>
      <c r="U15" s="154" t="e">
        <f ca="1">IF(_xll.ciqfunctions.udf.CIQ($AI15, "IQ_TR_IMPLIED_EQ_BV")=0,"NA",_xll.ciqfunctions.udf.CIQ($AI15, "IQ_TR_IMPLIED_EQ_BV"))</f>
        <v>#NAME?</v>
      </c>
      <c r="V15" s="154" t="e">
        <f ca="1">IF(_xll.ciqfunctions.udf.CIQ($AI15, "IQ_TR_IMPLIED_EQ_NI_LTM")=0,"NA",_xll.ciqfunctions.udf.CIQ($AI15, "IQ_TR_IMPLIED_EQ_NI_LTM"))</f>
        <v>#NAME?</v>
      </c>
      <c r="W15" s="153"/>
      <c r="X15" s="152" t="e">
        <f ca="1">_xll.ciqfunctions.udf.CIQ($AI15, "IQ_TR_TARGET_REVENUE_EST",, $AJ$4,$AJ$5)</f>
        <v>#NAME?</v>
      </c>
      <c r="Y15" s="152" t="e">
        <f ca="1">_xll.ciqfunctions.udf.CIQ($AI15, "IQ_TR_TARGET_EBITDA_EST",, $AJ$4,$AJ$5)</f>
        <v>#NAME?</v>
      </c>
      <c r="Z15" s="152" t="e">
        <f ca="1">_xll.ciqfunctions.udf.CIQ(AI15, "IQ_TR_IMPLIED_EV_EBIT_FWD")</f>
        <v>#NAME?</v>
      </c>
      <c r="AA15" s="153"/>
      <c r="AB15" s="154" t="str">
        <f t="shared" ca="1" si="1"/>
        <v>n/a</v>
      </c>
      <c r="AC15" s="154" t="str">
        <f t="shared" ca="1" si="1"/>
        <v>n/a</v>
      </c>
      <c r="AD15" s="154" t="str">
        <f t="shared" ca="1" si="1"/>
        <v>n/a</v>
      </c>
      <c r="AF15" s="155" t="e">
        <f ca="1">IF((_xll.ciqfunctions.udf.CIQ($AI15, "IQ_TR_TARGET_STOCKPREMIUM_1W")/100)&lt;=0,"NM",_xll.ciqfunctions.udf.CIQ($AI15, "IQ_TR_TARGET_STOCKPREMIUM_1W")/100)</f>
        <v>#NAME?</v>
      </c>
      <c r="AG15" s="155" t="e">
        <f ca="1">IF((_xll.ciqfunctions.udf.CIQ($AI15, "IQ_TR_TARGET_STOCKPREMIUM_1M")/100)&lt;=0,"NM",_xll.ciqfunctions.udf.CIQ($AI15, "IQ_TR_TARGET_STOCKPREMIUM_1M")/100)</f>
        <v>#NAME?</v>
      </c>
      <c r="AI15" s="156" t="str">
        <f>+'Capital IQ Sheet-STM'!AK15</f>
        <v>IQTR529191880</v>
      </c>
      <c r="AJ15" s="149" t="e">
        <f ca="1">_xll.ciqfunctions.udf.CIQ(AI15, "IQ_BUSINESS_DESCRIPTION")</f>
        <v>#NAME?</v>
      </c>
    </row>
    <row r="16" spans="2:36" s="149" customFormat="1" ht="12.75" customHeight="1">
      <c r="B16" s="148" t="e">
        <f ca="1">_xll.ciqfunctions.udf.CIQ($AI16,"IQ_TR_CLOSED_DATE")</f>
        <v>#NAME?</v>
      </c>
      <c r="C16" s="149" t="e">
        <f ca="1">_xll.ciqfunctions.udf.CIQ($AI16,"IQ_TR_BUYERNAME")</f>
        <v>#NAME?</v>
      </c>
      <c r="D16" s="149" t="e">
        <f ca="1">_xll.ciqfunctions.udf.CIQ($AI16,"IQ_TR_TARGETNAME")</f>
        <v>#NAME?</v>
      </c>
      <c r="E16" s="149" t="e">
        <f ca="1">_xll.ciqfunctions.udf.CIQ($AI16, "IQ_PRIMARY_INDUSTRY")</f>
        <v>#NAME?</v>
      </c>
      <c r="F16" s="150" t="e">
        <f ca="1">_xll.ciqfunctions.udf.CIQ($AI16, "IQ_TR_PCT_SOUGHT")/100</f>
        <v>#NAME?</v>
      </c>
      <c r="G16" s="151" t="e">
        <f ca="1">_xll.ciqfunctions.udf.CIQ(AI16, "IQ_TR_MAJ_MIN_STAKE")</f>
        <v>#NAME?</v>
      </c>
      <c r="I16" s="152" t="e">
        <f ca="1">_xll.ciqfunctions.udf.CIQ($AI16, "IQ_TR_IMPLIED_EV_FINAL", , $AJ$4,$AJ$5)</f>
        <v>#NAME?</v>
      </c>
      <c r="J16" s="152" t="e">
        <f ca="1">IF(_xll.ciqfunctions.udf.CIQ(AI16, "IQ_TR_TOTAL_CASH")="n/a",0,_xll.ciqfunctions.udf.CIQ(AI16, "IQ_TR_TOTAL_CASH"))+IF(_xll.ciqfunctions.udf.CIQ(AI16, "IQ_TR_TOTAL_STOCK")="n/a",0,_xll.ciqfunctions.udf.CIQ(AI16, "IQ_TR_TOTAL_STOCK"))</f>
        <v>#NAME?</v>
      </c>
      <c r="K16" s="27" t="e">
        <f ca="1">_xll.ciqfunctions.udf.CIQ(AI16, "IQ_TR_EARNOUTS")</f>
        <v>#NAME?</v>
      </c>
      <c r="L16" s="152" t="e">
        <f ca="1">IF(_xll.ciqfunctions.udf.CIQ($AI16, "IQ_TR_TOTAL_GROSS_TV",$AJ$4,$AJ$5)=0,"NA",_xll.ciqfunctions.udf.CIQ($AI16, "IQ_TR_TOTAL_GROSS_TV",,"USD"))</f>
        <v>#NAME?</v>
      </c>
      <c r="M16" s="153"/>
      <c r="N16" s="152" t="e">
        <f ca="1">_xll.ciqfunctions.udf.CIQ($AI16, "IQ_TR_TARGET_TOTAL_REV",,$AJ$4,$AJ$5)</f>
        <v>#NAME?</v>
      </c>
      <c r="O16" s="152" t="e">
        <f ca="1">_xll.ciqfunctions.udf.CIQ($AI16, "IQ_TR_TARGET_EBITDA", , $AJ$4,$AJ$5)</f>
        <v>#NAME?</v>
      </c>
      <c r="P16" s="152" t="e">
        <f ca="1">_xll.ciqfunctions.udf.CIQ($AI16, "IQ_TR_TARGET_EBIT", , $AJ$4,$AJ$5)</f>
        <v>#NAME?</v>
      </c>
      <c r="Q16" s="153"/>
      <c r="R16" s="154" t="str">
        <f t="shared" ca="1" si="0"/>
        <v>n/a</v>
      </c>
      <c r="S16" s="154" t="str">
        <f t="shared" ca="1" si="0"/>
        <v>n/a</v>
      </c>
      <c r="T16" s="154" t="str">
        <f t="shared" ca="1" si="0"/>
        <v>n/a</v>
      </c>
      <c r="U16" s="154" t="e">
        <f ca="1">IF(_xll.ciqfunctions.udf.CIQ($AI16, "IQ_TR_IMPLIED_EQ_BV")=0,"NA",_xll.ciqfunctions.udf.CIQ($AI16, "IQ_TR_IMPLIED_EQ_BV"))</f>
        <v>#NAME?</v>
      </c>
      <c r="V16" s="154" t="e">
        <f ca="1">IF(_xll.ciqfunctions.udf.CIQ($AI16, "IQ_TR_IMPLIED_EQ_NI_LTM")=0,"NA",_xll.ciqfunctions.udf.CIQ($AI16, "IQ_TR_IMPLIED_EQ_NI_LTM"))</f>
        <v>#NAME?</v>
      </c>
      <c r="W16" s="153"/>
      <c r="X16" s="152" t="e">
        <f ca="1">_xll.ciqfunctions.udf.CIQ($AI16, "IQ_TR_TARGET_REVENUE_EST",, $AJ$4,$AJ$5)</f>
        <v>#NAME?</v>
      </c>
      <c r="Y16" s="152" t="e">
        <f ca="1">_xll.ciqfunctions.udf.CIQ($AI16, "IQ_TR_TARGET_EBITDA_EST",, $AJ$4,$AJ$5)</f>
        <v>#NAME?</v>
      </c>
      <c r="Z16" s="152" t="e">
        <f ca="1">_xll.ciqfunctions.udf.CIQ(AI16, "IQ_TR_IMPLIED_EV_EBIT_FWD")</f>
        <v>#NAME?</v>
      </c>
      <c r="AA16" s="153"/>
      <c r="AB16" s="154" t="str">
        <f t="shared" ca="1" si="1"/>
        <v>n/a</v>
      </c>
      <c r="AC16" s="154" t="str">
        <f t="shared" ca="1" si="1"/>
        <v>n/a</v>
      </c>
      <c r="AD16" s="154" t="str">
        <f t="shared" ca="1" si="1"/>
        <v>n/a</v>
      </c>
      <c r="AF16" s="155" t="e">
        <f ca="1">IF((_xll.ciqfunctions.udf.CIQ($AI16, "IQ_TR_TARGET_STOCKPREMIUM_1W")/100)&lt;=0,"NM",_xll.ciqfunctions.udf.CIQ($AI16, "IQ_TR_TARGET_STOCKPREMIUM_1W")/100)</f>
        <v>#NAME?</v>
      </c>
      <c r="AG16" s="155" t="e">
        <f ca="1">IF((_xll.ciqfunctions.udf.CIQ($AI16, "IQ_TR_TARGET_STOCKPREMIUM_1M")/100)&lt;=0,"NM",_xll.ciqfunctions.udf.CIQ($AI16, "IQ_TR_TARGET_STOCKPREMIUM_1M")/100)</f>
        <v>#NAME?</v>
      </c>
      <c r="AI16" s="156" t="str">
        <f>+'Capital IQ Sheet-STM'!AK16</f>
        <v>IQTR528569122</v>
      </c>
      <c r="AJ16" s="149" t="e">
        <f ca="1">_xll.ciqfunctions.udf.CIQ(AI16, "IQ_BUSINESS_DESCRIPTION")</f>
        <v>#NAME?</v>
      </c>
    </row>
    <row r="17" spans="2:36" s="149" customFormat="1" ht="12.75" customHeight="1">
      <c r="B17" s="148" t="e">
        <f ca="1">_xll.ciqfunctions.udf.CIQ($AI17,"IQ_TR_CLOSED_DATE")</f>
        <v>#NAME?</v>
      </c>
      <c r="C17" s="149" t="e">
        <f ca="1">_xll.ciqfunctions.udf.CIQ($AI17,"IQ_TR_BUYERNAME")</f>
        <v>#NAME?</v>
      </c>
      <c r="D17" s="149" t="e">
        <f ca="1">_xll.ciqfunctions.udf.CIQ($AI17,"IQ_TR_TARGETNAME")</f>
        <v>#NAME?</v>
      </c>
      <c r="E17" s="149" t="e">
        <f ca="1">_xll.ciqfunctions.udf.CIQ($AI17, "IQ_PRIMARY_INDUSTRY")</f>
        <v>#NAME?</v>
      </c>
      <c r="F17" s="150" t="e">
        <f ca="1">_xll.ciqfunctions.udf.CIQ($AI17, "IQ_TR_PCT_SOUGHT")/100</f>
        <v>#NAME?</v>
      </c>
      <c r="G17" s="151" t="e">
        <f ca="1">_xll.ciqfunctions.udf.CIQ(AI17, "IQ_TR_MAJ_MIN_STAKE")</f>
        <v>#NAME?</v>
      </c>
      <c r="I17" s="152" t="e">
        <f ca="1">_xll.ciqfunctions.udf.CIQ($AI17, "IQ_TR_IMPLIED_EV_FINAL", , $AJ$4,$AJ$5)</f>
        <v>#NAME?</v>
      </c>
      <c r="J17" s="152" t="e">
        <f ca="1">IF(_xll.ciqfunctions.udf.CIQ(AI17, "IQ_TR_TOTAL_CASH")="n/a",0,_xll.ciqfunctions.udf.CIQ(AI17, "IQ_TR_TOTAL_CASH"))+IF(_xll.ciqfunctions.udf.CIQ(AI17, "IQ_TR_TOTAL_STOCK")="n/a",0,_xll.ciqfunctions.udf.CIQ(AI17, "IQ_TR_TOTAL_STOCK"))</f>
        <v>#NAME?</v>
      </c>
      <c r="K17" s="27" t="e">
        <f ca="1">_xll.ciqfunctions.udf.CIQ(AI17, "IQ_TR_EARNOUTS")</f>
        <v>#NAME?</v>
      </c>
      <c r="L17" s="152" t="e">
        <f ca="1">IF(_xll.ciqfunctions.udf.CIQ($AI17, "IQ_TR_TOTAL_GROSS_TV",$AJ$4,$AJ$5)=0,"NA",_xll.ciqfunctions.udf.CIQ($AI17, "IQ_TR_TOTAL_GROSS_TV",,"USD"))</f>
        <v>#NAME?</v>
      </c>
      <c r="M17" s="153"/>
      <c r="N17" s="152" t="e">
        <f ca="1">_xll.ciqfunctions.udf.CIQ($AI17, "IQ_TR_TARGET_TOTAL_REV",,$AJ$4,$AJ$5)</f>
        <v>#NAME?</v>
      </c>
      <c r="O17" s="152" t="e">
        <f ca="1">_xll.ciqfunctions.udf.CIQ($AI17, "IQ_TR_TARGET_EBITDA", , $AJ$4,$AJ$5)</f>
        <v>#NAME?</v>
      </c>
      <c r="P17" s="152" t="e">
        <f ca="1">_xll.ciqfunctions.udf.CIQ($AI17, "IQ_TR_TARGET_EBIT", , $AJ$4,$AJ$5)</f>
        <v>#NAME?</v>
      </c>
      <c r="Q17" s="153"/>
      <c r="R17" s="154" t="str">
        <f t="shared" ca="1" si="0"/>
        <v>n/a</v>
      </c>
      <c r="S17" s="154" t="str">
        <f t="shared" ca="1" si="0"/>
        <v>n/a</v>
      </c>
      <c r="T17" s="154" t="str">
        <f t="shared" ca="1" si="0"/>
        <v>n/a</v>
      </c>
      <c r="U17" s="154" t="e">
        <f ca="1">IF(_xll.ciqfunctions.udf.CIQ($AI17, "IQ_TR_IMPLIED_EQ_BV")=0,"NA",_xll.ciqfunctions.udf.CIQ($AI17, "IQ_TR_IMPLIED_EQ_BV"))</f>
        <v>#NAME?</v>
      </c>
      <c r="V17" s="154" t="e">
        <f ca="1">IF(_xll.ciqfunctions.udf.CIQ($AI17, "IQ_TR_IMPLIED_EQ_NI_LTM")=0,"NA",_xll.ciqfunctions.udf.CIQ($AI17, "IQ_TR_IMPLIED_EQ_NI_LTM"))</f>
        <v>#NAME?</v>
      </c>
      <c r="W17" s="153"/>
      <c r="X17" s="152" t="e">
        <f ca="1">_xll.ciqfunctions.udf.CIQ($AI17, "IQ_TR_TARGET_REVENUE_EST",, $AJ$4,$AJ$5)</f>
        <v>#NAME?</v>
      </c>
      <c r="Y17" s="152" t="e">
        <f ca="1">_xll.ciqfunctions.udf.CIQ($AI17, "IQ_TR_TARGET_EBITDA_EST",, $AJ$4,$AJ$5)</f>
        <v>#NAME?</v>
      </c>
      <c r="Z17" s="152" t="e">
        <f ca="1">_xll.ciqfunctions.udf.CIQ(AI17, "IQ_TR_IMPLIED_EV_EBIT_FWD")</f>
        <v>#NAME?</v>
      </c>
      <c r="AA17" s="153"/>
      <c r="AB17" s="154" t="str">
        <f t="shared" ca="1" si="1"/>
        <v>n/a</v>
      </c>
      <c r="AC17" s="154" t="str">
        <f t="shared" ca="1" si="1"/>
        <v>n/a</v>
      </c>
      <c r="AD17" s="154" t="str">
        <f t="shared" ca="1" si="1"/>
        <v>n/a</v>
      </c>
      <c r="AF17" s="155" t="e">
        <f ca="1">IF((_xll.ciqfunctions.udf.CIQ($AI17, "IQ_TR_TARGET_STOCKPREMIUM_1W")/100)&lt;=0,"NM",_xll.ciqfunctions.udf.CIQ($AI17, "IQ_TR_TARGET_STOCKPREMIUM_1W")/100)</f>
        <v>#NAME?</v>
      </c>
      <c r="AG17" s="155" t="e">
        <f ca="1">IF((_xll.ciqfunctions.udf.CIQ($AI17, "IQ_TR_TARGET_STOCKPREMIUM_1M")/100)&lt;=0,"NM",_xll.ciqfunctions.udf.CIQ($AI17, "IQ_TR_TARGET_STOCKPREMIUM_1M")/100)</f>
        <v>#NAME?</v>
      </c>
      <c r="AI17" s="156" t="str">
        <f>+'Capital IQ Sheet-STM'!AK17</f>
        <v>IQTR430109562</v>
      </c>
      <c r="AJ17" s="149" t="e">
        <f ca="1">_xll.ciqfunctions.udf.CIQ(AI17, "IQ_BUSINESS_DESCRIPTION")</f>
        <v>#NAME?</v>
      </c>
    </row>
    <row r="18" spans="2:36" s="149" customFormat="1" ht="12.75" customHeight="1">
      <c r="B18" s="148" t="e">
        <f ca="1">_xll.ciqfunctions.udf.CIQ($AI18,"IQ_TR_CLOSED_DATE")</f>
        <v>#NAME?</v>
      </c>
      <c r="C18" s="149" t="e">
        <f ca="1">_xll.ciqfunctions.udf.CIQ($AI18,"IQ_TR_BUYERNAME")</f>
        <v>#NAME?</v>
      </c>
      <c r="D18" s="149" t="e">
        <f ca="1">_xll.ciqfunctions.udf.CIQ($AI18,"IQ_TR_TARGETNAME")</f>
        <v>#NAME?</v>
      </c>
      <c r="E18" s="149" t="e">
        <f ca="1">_xll.ciqfunctions.udf.CIQ($AI18, "IQ_PRIMARY_INDUSTRY")</f>
        <v>#NAME?</v>
      </c>
      <c r="F18" s="150" t="e">
        <f ca="1">_xll.ciqfunctions.udf.CIQ($AI18, "IQ_TR_PCT_SOUGHT")/100</f>
        <v>#NAME?</v>
      </c>
      <c r="G18" s="151" t="e">
        <f ca="1">_xll.ciqfunctions.udf.CIQ(AI18, "IQ_TR_MAJ_MIN_STAKE")</f>
        <v>#NAME?</v>
      </c>
      <c r="I18" s="152" t="e">
        <f ca="1">_xll.ciqfunctions.udf.CIQ($AI18, "IQ_TR_IMPLIED_EV_FINAL", , $AJ$4,$AJ$5)</f>
        <v>#NAME?</v>
      </c>
      <c r="J18" s="152" t="e">
        <f ca="1">IF(_xll.ciqfunctions.udf.CIQ(AI18, "IQ_TR_TOTAL_CASH")="n/a",0,_xll.ciqfunctions.udf.CIQ(AI18, "IQ_TR_TOTAL_CASH"))+IF(_xll.ciqfunctions.udf.CIQ(AI18, "IQ_TR_TOTAL_STOCK")="n/a",0,_xll.ciqfunctions.udf.CIQ(AI18, "IQ_TR_TOTAL_STOCK"))</f>
        <v>#NAME?</v>
      </c>
      <c r="K18" s="27" t="e">
        <f ca="1">_xll.ciqfunctions.udf.CIQ(AI18, "IQ_TR_EARNOUTS")</f>
        <v>#NAME?</v>
      </c>
      <c r="L18" s="152" t="e">
        <f ca="1">IF(_xll.ciqfunctions.udf.CIQ($AI18, "IQ_TR_TOTAL_GROSS_TV",$AJ$4,$AJ$5)=0,"NA",_xll.ciqfunctions.udf.CIQ($AI18, "IQ_TR_TOTAL_GROSS_TV",,"USD"))</f>
        <v>#NAME?</v>
      </c>
      <c r="M18" s="153"/>
      <c r="N18" s="152" t="e">
        <f ca="1">_xll.ciqfunctions.udf.CIQ($AI18, "IQ_TR_TARGET_TOTAL_REV",,$AJ$4,$AJ$5)</f>
        <v>#NAME?</v>
      </c>
      <c r="O18" s="152" t="e">
        <f ca="1">_xll.ciqfunctions.udf.CIQ($AI18, "IQ_TR_TARGET_EBITDA", , $AJ$4,$AJ$5)</f>
        <v>#NAME?</v>
      </c>
      <c r="P18" s="152" t="e">
        <f ca="1">_xll.ciqfunctions.udf.CIQ($AI18, "IQ_TR_TARGET_EBIT", , $AJ$4,$AJ$5)</f>
        <v>#NAME?</v>
      </c>
      <c r="Q18" s="153"/>
      <c r="R18" s="154" t="str">
        <f t="shared" ca="1" si="0"/>
        <v>n/a</v>
      </c>
      <c r="S18" s="154" t="str">
        <f t="shared" ca="1" si="0"/>
        <v>n/a</v>
      </c>
      <c r="T18" s="154" t="str">
        <f t="shared" ca="1" si="0"/>
        <v>n/a</v>
      </c>
      <c r="U18" s="154" t="e">
        <f ca="1">IF(_xll.ciqfunctions.udf.CIQ($AI18, "IQ_TR_IMPLIED_EQ_BV")=0,"NA",_xll.ciqfunctions.udf.CIQ($AI18, "IQ_TR_IMPLIED_EQ_BV"))</f>
        <v>#NAME?</v>
      </c>
      <c r="V18" s="154" t="e">
        <f ca="1">IF(_xll.ciqfunctions.udf.CIQ($AI18, "IQ_TR_IMPLIED_EQ_NI_LTM")=0,"NA",_xll.ciqfunctions.udf.CIQ($AI18, "IQ_TR_IMPLIED_EQ_NI_LTM"))</f>
        <v>#NAME?</v>
      </c>
      <c r="W18" s="153"/>
      <c r="X18" s="152" t="e">
        <f ca="1">_xll.ciqfunctions.udf.CIQ($AI18, "IQ_TR_TARGET_REVENUE_EST",, $AJ$4,$AJ$5)</f>
        <v>#NAME?</v>
      </c>
      <c r="Y18" s="152" t="e">
        <f ca="1">_xll.ciqfunctions.udf.CIQ($AI18, "IQ_TR_TARGET_EBITDA_EST",, $AJ$4,$AJ$5)</f>
        <v>#NAME?</v>
      </c>
      <c r="Z18" s="152" t="e">
        <f ca="1">_xll.ciqfunctions.udf.CIQ(AI18, "IQ_TR_IMPLIED_EV_EBIT_FWD")</f>
        <v>#NAME?</v>
      </c>
      <c r="AA18" s="153"/>
      <c r="AB18" s="154" t="str">
        <f t="shared" ca="1" si="1"/>
        <v>n/a</v>
      </c>
      <c r="AC18" s="154" t="str">
        <f t="shared" ca="1" si="1"/>
        <v>n/a</v>
      </c>
      <c r="AD18" s="154" t="str">
        <f t="shared" ca="1" si="1"/>
        <v>n/a</v>
      </c>
      <c r="AF18" s="155" t="e">
        <f ca="1">IF((_xll.ciqfunctions.udf.CIQ($AI18, "IQ_TR_TARGET_STOCKPREMIUM_1W")/100)&lt;=0,"NM",_xll.ciqfunctions.udf.CIQ($AI18, "IQ_TR_TARGET_STOCKPREMIUM_1W")/100)</f>
        <v>#NAME?</v>
      </c>
      <c r="AG18" s="155" t="e">
        <f ca="1">IF((_xll.ciqfunctions.udf.CIQ($AI18, "IQ_TR_TARGET_STOCKPREMIUM_1M")/100)&lt;=0,"NM",_xll.ciqfunctions.udf.CIQ($AI18, "IQ_TR_TARGET_STOCKPREMIUM_1M")/100)</f>
        <v>#NAME?</v>
      </c>
      <c r="AI18" s="156" t="str">
        <f>+'Capital IQ Sheet-STM'!AK18</f>
        <v>IQTR419864301</v>
      </c>
      <c r="AJ18" s="149" t="e">
        <f ca="1">_xll.ciqfunctions.udf.CIQ(AI18, "IQ_BUSINESS_DESCRIPTION")</f>
        <v>#NAME?</v>
      </c>
    </row>
    <row r="19" spans="2:36" s="149" customFormat="1" ht="12.75" customHeight="1">
      <c r="B19" s="148" t="e">
        <f ca="1">_xll.ciqfunctions.udf.CIQ($AI19,"IQ_TR_CLOSED_DATE")</f>
        <v>#NAME?</v>
      </c>
      <c r="C19" s="149" t="e">
        <f ca="1">_xll.ciqfunctions.udf.CIQ($AI19,"IQ_TR_BUYERNAME")</f>
        <v>#NAME?</v>
      </c>
      <c r="D19" s="149" t="e">
        <f ca="1">_xll.ciqfunctions.udf.CIQ($AI19,"IQ_TR_TARGETNAME")</f>
        <v>#NAME?</v>
      </c>
      <c r="E19" s="149" t="e">
        <f ca="1">_xll.ciqfunctions.udf.CIQ($AI19, "IQ_PRIMARY_INDUSTRY")</f>
        <v>#NAME?</v>
      </c>
      <c r="F19" s="150" t="e">
        <f ca="1">_xll.ciqfunctions.udf.CIQ($AI19, "IQ_TR_PCT_SOUGHT")/100</f>
        <v>#NAME?</v>
      </c>
      <c r="G19" s="151" t="e">
        <f ca="1">_xll.ciqfunctions.udf.CIQ(AI19, "IQ_TR_MAJ_MIN_STAKE")</f>
        <v>#NAME?</v>
      </c>
      <c r="I19" s="152" t="e">
        <f ca="1">_xll.ciqfunctions.udf.CIQ($AI19, "IQ_TR_IMPLIED_EV_FINAL", , $AJ$4,$AJ$5)</f>
        <v>#NAME?</v>
      </c>
      <c r="J19" s="152" t="e">
        <f ca="1">IF(_xll.ciqfunctions.udf.CIQ(AI19, "IQ_TR_TOTAL_CASH")="n/a",0,_xll.ciqfunctions.udf.CIQ(AI19, "IQ_TR_TOTAL_CASH"))+IF(_xll.ciqfunctions.udf.CIQ(AI19, "IQ_TR_TOTAL_STOCK")="n/a",0,_xll.ciqfunctions.udf.CIQ(AI19, "IQ_TR_TOTAL_STOCK"))</f>
        <v>#NAME?</v>
      </c>
      <c r="K19" s="27" t="e">
        <f ca="1">_xll.ciqfunctions.udf.CIQ(AI19, "IQ_TR_EARNOUTS")</f>
        <v>#NAME?</v>
      </c>
      <c r="L19" s="152" t="e">
        <f ca="1">IF(_xll.ciqfunctions.udf.CIQ($AI19, "IQ_TR_TOTAL_GROSS_TV",$AJ$4,$AJ$5)=0,"NA",_xll.ciqfunctions.udf.CIQ($AI19, "IQ_TR_TOTAL_GROSS_TV",,"USD"))</f>
        <v>#NAME?</v>
      </c>
      <c r="M19" s="153"/>
      <c r="N19" s="152" t="e">
        <f ca="1">_xll.ciqfunctions.udf.CIQ($AI19, "IQ_TR_TARGET_TOTAL_REV",,$AJ$4,$AJ$5)</f>
        <v>#NAME?</v>
      </c>
      <c r="O19" s="152" t="e">
        <f ca="1">_xll.ciqfunctions.udf.CIQ($AI19, "IQ_TR_TARGET_EBITDA", , $AJ$4,$AJ$5)</f>
        <v>#NAME?</v>
      </c>
      <c r="P19" s="152" t="e">
        <f ca="1">_xll.ciqfunctions.udf.CIQ($AI19, "IQ_TR_TARGET_EBIT", , $AJ$4,$AJ$5)</f>
        <v>#NAME?</v>
      </c>
      <c r="Q19" s="153"/>
      <c r="R19" s="154" t="str">
        <f t="shared" ca="1" si="0"/>
        <v>n/a</v>
      </c>
      <c r="S19" s="154" t="str">
        <f t="shared" ca="1" si="0"/>
        <v>n/a</v>
      </c>
      <c r="T19" s="154" t="str">
        <f t="shared" ca="1" si="0"/>
        <v>n/a</v>
      </c>
      <c r="U19" s="154" t="e">
        <f ca="1">IF(_xll.ciqfunctions.udf.CIQ($AI19, "IQ_TR_IMPLIED_EQ_BV")=0,"NA",_xll.ciqfunctions.udf.CIQ($AI19, "IQ_TR_IMPLIED_EQ_BV"))</f>
        <v>#NAME?</v>
      </c>
      <c r="V19" s="154" t="e">
        <f ca="1">IF(_xll.ciqfunctions.udf.CIQ($AI19, "IQ_TR_IMPLIED_EQ_NI_LTM")=0,"NA",_xll.ciqfunctions.udf.CIQ($AI19, "IQ_TR_IMPLIED_EQ_NI_LTM"))</f>
        <v>#NAME?</v>
      </c>
      <c r="W19" s="153"/>
      <c r="X19" s="152" t="e">
        <f ca="1">_xll.ciqfunctions.udf.CIQ($AI19, "IQ_TR_TARGET_REVENUE_EST",, $AJ$4,$AJ$5)</f>
        <v>#NAME?</v>
      </c>
      <c r="Y19" s="152" t="e">
        <f ca="1">_xll.ciqfunctions.udf.CIQ($AI19, "IQ_TR_TARGET_EBITDA_EST",, $AJ$4,$AJ$5)</f>
        <v>#NAME?</v>
      </c>
      <c r="Z19" s="152" t="e">
        <f ca="1">_xll.ciqfunctions.udf.CIQ(AI19, "IQ_TR_IMPLIED_EV_EBIT_FWD")</f>
        <v>#NAME?</v>
      </c>
      <c r="AA19" s="153"/>
      <c r="AB19" s="154" t="str">
        <f t="shared" ca="1" si="1"/>
        <v>n/a</v>
      </c>
      <c r="AC19" s="154" t="str">
        <f t="shared" ca="1" si="1"/>
        <v>n/a</v>
      </c>
      <c r="AD19" s="154" t="str">
        <f t="shared" ca="1" si="1"/>
        <v>n/a</v>
      </c>
      <c r="AF19" s="155" t="e">
        <f ca="1">IF((_xll.ciqfunctions.udf.CIQ($AI19, "IQ_TR_TARGET_STOCKPREMIUM_1W")/100)&lt;=0,"NM",_xll.ciqfunctions.udf.CIQ($AI19, "IQ_TR_TARGET_STOCKPREMIUM_1W")/100)</f>
        <v>#NAME?</v>
      </c>
      <c r="AG19" s="155" t="e">
        <f ca="1">IF((_xll.ciqfunctions.udf.CIQ($AI19, "IQ_TR_TARGET_STOCKPREMIUM_1M")/100)&lt;=0,"NM",_xll.ciqfunctions.udf.CIQ($AI19, "IQ_TR_TARGET_STOCKPREMIUM_1M")/100)</f>
        <v>#NAME?</v>
      </c>
      <c r="AI19" s="156" t="str">
        <f>+'Capital IQ Sheet-STM'!AK19</f>
        <v>IQTR418083343</v>
      </c>
      <c r="AJ19" s="149" t="e">
        <f ca="1">_xll.ciqfunctions.udf.CIQ(AI19, "IQ_BUSINESS_DESCRIPTION")</f>
        <v>#NAME?</v>
      </c>
    </row>
    <row r="20" spans="2:36" s="149" customFormat="1" ht="12.75" customHeight="1">
      <c r="B20" s="148" t="e">
        <f ca="1">_xll.ciqfunctions.udf.CIQ($AI20,"IQ_TR_CLOSED_DATE")</f>
        <v>#NAME?</v>
      </c>
      <c r="C20" s="149" t="e">
        <f ca="1">_xll.ciqfunctions.udf.CIQ($AI20,"IQ_TR_BUYERNAME")</f>
        <v>#NAME?</v>
      </c>
      <c r="D20" s="149" t="e">
        <f ca="1">_xll.ciqfunctions.udf.CIQ($AI20,"IQ_TR_TARGETNAME")</f>
        <v>#NAME?</v>
      </c>
      <c r="E20" s="149" t="e">
        <f ca="1">_xll.ciqfunctions.udf.CIQ($AI20, "IQ_PRIMARY_INDUSTRY")</f>
        <v>#NAME?</v>
      </c>
      <c r="F20" s="150" t="e">
        <f ca="1">_xll.ciqfunctions.udf.CIQ($AI20, "IQ_TR_PCT_SOUGHT")/100</f>
        <v>#NAME?</v>
      </c>
      <c r="G20" s="151" t="e">
        <f ca="1">_xll.ciqfunctions.udf.CIQ(AI20, "IQ_TR_MAJ_MIN_STAKE")</f>
        <v>#NAME?</v>
      </c>
      <c r="I20" s="152" t="e">
        <f ca="1">_xll.ciqfunctions.udf.CIQ($AI20, "IQ_TR_IMPLIED_EV_FINAL", , $AJ$4,$AJ$5)</f>
        <v>#NAME?</v>
      </c>
      <c r="J20" s="152" t="e">
        <f ca="1">IF(_xll.ciqfunctions.udf.CIQ(AI20, "IQ_TR_TOTAL_CASH")="n/a",0,_xll.ciqfunctions.udf.CIQ(AI20, "IQ_TR_TOTAL_CASH"))+IF(_xll.ciqfunctions.udf.CIQ(AI20, "IQ_TR_TOTAL_STOCK")="n/a",0,_xll.ciqfunctions.udf.CIQ(AI20, "IQ_TR_TOTAL_STOCK"))</f>
        <v>#NAME?</v>
      </c>
      <c r="K20" s="27" t="e">
        <f ca="1">_xll.ciqfunctions.udf.CIQ(AI20, "IQ_TR_EARNOUTS")</f>
        <v>#NAME?</v>
      </c>
      <c r="L20" s="152" t="e">
        <f ca="1">IF(_xll.ciqfunctions.udf.CIQ($AI20, "IQ_TR_TOTAL_GROSS_TV",$AJ$4,$AJ$5)=0,"NA",_xll.ciqfunctions.udf.CIQ($AI20, "IQ_TR_TOTAL_GROSS_TV",,"USD"))</f>
        <v>#NAME?</v>
      </c>
      <c r="M20" s="153"/>
      <c r="N20" s="152" t="e">
        <f ca="1">_xll.ciqfunctions.udf.CIQ($AI20, "IQ_TR_TARGET_TOTAL_REV",,$AJ$4,$AJ$5)</f>
        <v>#NAME?</v>
      </c>
      <c r="O20" s="152" t="e">
        <f ca="1">_xll.ciqfunctions.udf.CIQ($AI20, "IQ_TR_TARGET_EBITDA", , $AJ$4,$AJ$5)</f>
        <v>#NAME?</v>
      </c>
      <c r="P20" s="152" t="e">
        <f ca="1">_xll.ciqfunctions.udf.CIQ($AI20, "IQ_TR_TARGET_EBIT", , $AJ$4,$AJ$5)</f>
        <v>#NAME?</v>
      </c>
      <c r="Q20" s="153"/>
      <c r="R20" s="154" t="str">
        <f t="shared" ca="1" si="0"/>
        <v>n/a</v>
      </c>
      <c r="S20" s="154" t="str">
        <f t="shared" ca="1" si="0"/>
        <v>n/a</v>
      </c>
      <c r="T20" s="154" t="str">
        <f t="shared" ca="1" si="0"/>
        <v>n/a</v>
      </c>
      <c r="U20" s="154" t="e">
        <f ca="1">IF(_xll.ciqfunctions.udf.CIQ($AI20, "IQ_TR_IMPLIED_EQ_BV")=0,"NA",_xll.ciqfunctions.udf.CIQ($AI20, "IQ_TR_IMPLIED_EQ_BV"))</f>
        <v>#NAME?</v>
      </c>
      <c r="V20" s="154" t="e">
        <f ca="1">IF(_xll.ciqfunctions.udf.CIQ($AI20, "IQ_TR_IMPLIED_EQ_NI_LTM")=0,"NA",_xll.ciqfunctions.udf.CIQ($AI20, "IQ_TR_IMPLIED_EQ_NI_LTM"))</f>
        <v>#NAME?</v>
      </c>
      <c r="W20" s="153"/>
      <c r="X20" s="152" t="e">
        <f ca="1">_xll.ciqfunctions.udf.CIQ($AI20, "IQ_TR_TARGET_REVENUE_EST",, $AJ$4,$AJ$5)</f>
        <v>#NAME?</v>
      </c>
      <c r="Y20" s="152" t="e">
        <f ca="1">_xll.ciqfunctions.udf.CIQ($AI20, "IQ_TR_TARGET_EBITDA_EST",, $AJ$4,$AJ$5)</f>
        <v>#NAME?</v>
      </c>
      <c r="Z20" s="152" t="e">
        <f ca="1">_xll.ciqfunctions.udf.CIQ(AI20, "IQ_TR_IMPLIED_EV_EBIT_FWD")</f>
        <v>#NAME?</v>
      </c>
      <c r="AA20" s="153"/>
      <c r="AB20" s="154" t="str">
        <f t="shared" ca="1" si="1"/>
        <v>n/a</v>
      </c>
      <c r="AC20" s="154" t="str">
        <f t="shared" ca="1" si="1"/>
        <v>n/a</v>
      </c>
      <c r="AD20" s="154" t="str">
        <f t="shared" ca="1" si="1"/>
        <v>n/a</v>
      </c>
      <c r="AF20" s="155" t="e">
        <f ca="1">IF((_xll.ciqfunctions.udf.CIQ($AI20, "IQ_TR_TARGET_STOCKPREMIUM_1W")/100)&lt;=0,"NM",_xll.ciqfunctions.udf.CIQ($AI20, "IQ_TR_TARGET_STOCKPREMIUM_1W")/100)</f>
        <v>#NAME?</v>
      </c>
      <c r="AG20" s="155" t="e">
        <f ca="1">IF((_xll.ciqfunctions.udf.CIQ($AI20, "IQ_TR_TARGET_STOCKPREMIUM_1M")/100)&lt;=0,"NM",_xll.ciqfunctions.udf.CIQ($AI20, "IQ_TR_TARGET_STOCKPREMIUM_1M")/100)</f>
        <v>#NAME?</v>
      </c>
      <c r="AI20" s="156" t="str">
        <f>+'Capital IQ Sheet-STM'!AK20</f>
        <v>IQTR547829949</v>
      </c>
      <c r="AJ20" s="149" t="e">
        <f ca="1">_xll.ciqfunctions.udf.CIQ(AI20, "IQ_BUSINESS_DESCRIPTION")</f>
        <v>#NAME?</v>
      </c>
    </row>
    <row r="21" spans="2:36" s="149" customFormat="1" ht="12.75" customHeight="1">
      <c r="B21" s="148" t="e">
        <f ca="1">_xll.ciqfunctions.udf.CIQ($AI21,"IQ_TR_CLOSED_DATE")</f>
        <v>#NAME?</v>
      </c>
      <c r="C21" s="149" t="e">
        <f ca="1">_xll.ciqfunctions.udf.CIQ($AI21,"IQ_TR_BUYERNAME")</f>
        <v>#NAME?</v>
      </c>
      <c r="D21" s="149" t="e">
        <f ca="1">_xll.ciqfunctions.udf.CIQ($AI21,"IQ_TR_TARGETNAME")</f>
        <v>#NAME?</v>
      </c>
      <c r="E21" s="149" t="e">
        <f ca="1">_xll.ciqfunctions.udf.CIQ($AI21, "IQ_PRIMARY_INDUSTRY")</f>
        <v>#NAME?</v>
      </c>
      <c r="F21" s="150" t="e">
        <f ca="1">_xll.ciqfunctions.udf.CIQ($AI21, "IQ_TR_PCT_SOUGHT")/100</f>
        <v>#NAME?</v>
      </c>
      <c r="G21" s="151" t="e">
        <f ca="1">_xll.ciqfunctions.udf.CIQ(AI21, "IQ_TR_MAJ_MIN_STAKE")</f>
        <v>#NAME?</v>
      </c>
      <c r="I21" s="152" t="e">
        <f ca="1">_xll.ciqfunctions.udf.CIQ($AI21, "IQ_TR_IMPLIED_EV_FINAL", , $AJ$4,$AJ$5)</f>
        <v>#NAME?</v>
      </c>
      <c r="J21" s="152" t="e">
        <f ca="1">IF(_xll.ciqfunctions.udf.CIQ(AI21, "IQ_TR_TOTAL_CASH")="n/a",0,_xll.ciqfunctions.udf.CIQ(AI21, "IQ_TR_TOTAL_CASH"))+IF(_xll.ciqfunctions.udf.CIQ(AI21, "IQ_TR_TOTAL_STOCK")="n/a",0,_xll.ciqfunctions.udf.CIQ(AI21, "IQ_TR_TOTAL_STOCK"))</f>
        <v>#NAME?</v>
      </c>
      <c r="K21" s="27" t="e">
        <f ca="1">_xll.ciqfunctions.udf.CIQ(AI21, "IQ_TR_EARNOUTS")</f>
        <v>#NAME?</v>
      </c>
      <c r="L21" s="152" t="e">
        <f ca="1">IF(_xll.ciqfunctions.udf.CIQ($AI21, "IQ_TR_TOTAL_GROSS_TV",$AJ$4,$AJ$5)=0,"NA",_xll.ciqfunctions.udf.CIQ($AI21, "IQ_TR_TOTAL_GROSS_TV",,"USD"))</f>
        <v>#NAME?</v>
      </c>
      <c r="M21" s="153"/>
      <c r="N21" s="152" t="e">
        <f ca="1">_xll.ciqfunctions.udf.CIQ($AI21, "IQ_TR_TARGET_TOTAL_REV",,$AJ$4,$AJ$5)</f>
        <v>#NAME?</v>
      </c>
      <c r="O21" s="152" t="e">
        <f ca="1">_xll.ciqfunctions.udf.CIQ($AI21, "IQ_TR_TARGET_EBITDA", , $AJ$4,$AJ$5)</f>
        <v>#NAME?</v>
      </c>
      <c r="P21" s="152" t="e">
        <f ca="1">_xll.ciqfunctions.udf.CIQ($AI21, "IQ_TR_TARGET_EBIT", , $AJ$4,$AJ$5)</f>
        <v>#NAME?</v>
      </c>
      <c r="Q21" s="153"/>
      <c r="R21" s="154" t="str">
        <f t="shared" ca="1" si="0"/>
        <v>n/a</v>
      </c>
      <c r="S21" s="154" t="str">
        <f t="shared" ca="1" si="0"/>
        <v>n/a</v>
      </c>
      <c r="T21" s="154" t="str">
        <f t="shared" ca="1" si="0"/>
        <v>n/a</v>
      </c>
      <c r="U21" s="154" t="e">
        <f ca="1">IF(_xll.ciqfunctions.udf.CIQ($AI21, "IQ_TR_IMPLIED_EQ_BV")=0,"NA",_xll.ciqfunctions.udf.CIQ($AI21, "IQ_TR_IMPLIED_EQ_BV"))</f>
        <v>#NAME?</v>
      </c>
      <c r="V21" s="154" t="e">
        <f ca="1">IF(_xll.ciqfunctions.udf.CIQ($AI21, "IQ_TR_IMPLIED_EQ_NI_LTM")=0,"NA",_xll.ciqfunctions.udf.CIQ($AI21, "IQ_TR_IMPLIED_EQ_NI_LTM"))</f>
        <v>#NAME?</v>
      </c>
      <c r="W21" s="153"/>
      <c r="X21" s="152" t="e">
        <f ca="1">_xll.ciqfunctions.udf.CIQ($AI21, "IQ_TR_TARGET_REVENUE_EST",, $AJ$4,$AJ$5)</f>
        <v>#NAME?</v>
      </c>
      <c r="Y21" s="152" t="e">
        <f ca="1">_xll.ciqfunctions.udf.CIQ($AI21, "IQ_TR_TARGET_EBITDA_EST",, $AJ$4,$AJ$5)</f>
        <v>#NAME?</v>
      </c>
      <c r="Z21" s="152" t="e">
        <f ca="1">_xll.ciqfunctions.udf.CIQ(AI21, "IQ_TR_IMPLIED_EV_EBIT_FWD")</f>
        <v>#NAME?</v>
      </c>
      <c r="AA21" s="153"/>
      <c r="AB21" s="154" t="str">
        <f t="shared" ca="1" si="1"/>
        <v>n/a</v>
      </c>
      <c r="AC21" s="154" t="str">
        <f t="shared" ca="1" si="1"/>
        <v>n/a</v>
      </c>
      <c r="AD21" s="154" t="str">
        <f t="shared" ca="1" si="1"/>
        <v>n/a</v>
      </c>
      <c r="AF21" s="155" t="e">
        <f ca="1">IF((_xll.ciqfunctions.udf.CIQ($AI21, "IQ_TR_TARGET_STOCKPREMIUM_1W")/100)&lt;=0,"NM",_xll.ciqfunctions.udf.CIQ($AI21, "IQ_TR_TARGET_STOCKPREMIUM_1W")/100)</f>
        <v>#NAME?</v>
      </c>
      <c r="AG21" s="155" t="e">
        <f ca="1">IF((_xll.ciqfunctions.udf.CIQ($AI21, "IQ_TR_TARGET_STOCKPREMIUM_1M")/100)&lt;=0,"NM",_xll.ciqfunctions.udf.CIQ($AI21, "IQ_TR_TARGET_STOCKPREMIUM_1M")/100)</f>
        <v>#NAME?</v>
      </c>
      <c r="AI21" s="156" t="str">
        <f>+'Capital IQ Sheet-STM'!AK21</f>
        <v>IQTR402468343</v>
      </c>
      <c r="AJ21" s="149" t="e">
        <f ca="1">_xll.ciqfunctions.udf.CIQ(AI21, "IQ_BUSINESS_DESCRIPTION")</f>
        <v>#NAME?</v>
      </c>
    </row>
    <row r="22" spans="2:36" s="149" customFormat="1" ht="12.75" customHeight="1">
      <c r="B22" s="148" t="e">
        <f ca="1">_xll.ciqfunctions.udf.CIQ($AI22,"IQ_TR_CLOSED_DATE")</f>
        <v>#NAME?</v>
      </c>
      <c r="C22" s="149" t="e">
        <f ca="1">_xll.ciqfunctions.udf.CIQ($AI22,"IQ_TR_BUYERNAME")</f>
        <v>#NAME?</v>
      </c>
      <c r="D22" s="149" t="e">
        <f ca="1">_xll.ciqfunctions.udf.CIQ($AI22,"IQ_TR_TARGETNAME")</f>
        <v>#NAME?</v>
      </c>
      <c r="E22" s="149" t="e">
        <f ca="1">_xll.ciqfunctions.udf.CIQ($AI22, "IQ_PRIMARY_INDUSTRY")</f>
        <v>#NAME?</v>
      </c>
      <c r="F22" s="150" t="e">
        <f ca="1">_xll.ciqfunctions.udf.CIQ($AI22, "IQ_TR_PCT_SOUGHT")/100</f>
        <v>#NAME?</v>
      </c>
      <c r="G22" s="151" t="e">
        <f ca="1">_xll.ciqfunctions.udf.CIQ(AI22, "IQ_TR_MAJ_MIN_STAKE")</f>
        <v>#NAME?</v>
      </c>
      <c r="I22" s="152" t="e">
        <f ca="1">_xll.ciqfunctions.udf.CIQ($AI22, "IQ_TR_IMPLIED_EV_FINAL", , $AJ$4,$AJ$5)</f>
        <v>#NAME?</v>
      </c>
      <c r="J22" s="152" t="e">
        <f ca="1">IF(_xll.ciqfunctions.udf.CIQ(AI22, "IQ_TR_TOTAL_CASH")="n/a",0,_xll.ciqfunctions.udf.CIQ(AI22, "IQ_TR_TOTAL_CASH"))+IF(_xll.ciqfunctions.udf.CIQ(AI22, "IQ_TR_TOTAL_STOCK")="n/a",0,_xll.ciqfunctions.udf.CIQ(AI22, "IQ_TR_TOTAL_STOCK"))</f>
        <v>#NAME?</v>
      </c>
      <c r="K22" s="27" t="e">
        <f ca="1">_xll.ciqfunctions.udf.CIQ(AI22, "IQ_TR_EARNOUTS")</f>
        <v>#NAME?</v>
      </c>
      <c r="L22" s="152" t="e">
        <f ca="1">IF(_xll.ciqfunctions.udf.CIQ($AI22, "IQ_TR_TOTAL_GROSS_TV",$AJ$4,$AJ$5)=0,"NA",_xll.ciqfunctions.udf.CIQ($AI22, "IQ_TR_TOTAL_GROSS_TV",,"USD"))</f>
        <v>#NAME?</v>
      </c>
      <c r="M22" s="153"/>
      <c r="N22" s="152" t="e">
        <f ca="1">_xll.ciqfunctions.udf.CIQ($AI22, "IQ_TR_TARGET_TOTAL_REV",,$AJ$4,$AJ$5)</f>
        <v>#NAME?</v>
      </c>
      <c r="O22" s="152" t="e">
        <f ca="1">_xll.ciqfunctions.udf.CIQ($AI22, "IQ_TR_TARGET_EBITDA", , $AJ$4,$AJ$5)</f>
        <v>#NAME?</v>
      </c>
      <c r="P22" s="152" t="e">
        <f ca="1">_xll.ciqfunctions.udf.CIQ($AI22, "IQ_TR_TARGET_EBIT", , $AJ$4,$AJ$5)</f>
        <v>#NAME?</v>
      </c>
      <c r="Q22" s="153"/>
      <c r="R22" s="154" t="str">
        <f t="shared" ca="1" si="0"/>
        <v>n/a</v>
      </c>
      <c r="S22" s="154" t="str">
        <f t="shared" ca="1" si="0"/>
        <v>n/a</v>
      </c>
      <c r="T22" s="154" t="str">
        <f t="shared" ca="1" si="0"/>
        <v>n/a</v>
      </c>
      <c r="U22" s="154" t="e">
        <f ca="1">IF(_xll.ciqfunctions.udf.CIQ($AI22, "IQ_TR_IMPLIED_EQ_BV")=0,"NA",_xll.ciqfunctions.udf.CIQ($AI22, "IQ_TR_IMPLIED_EQ_BV"))</f>
        <v>#NAME?</v>
      </c>
      <c r="V22" s="154" t="e">
        <f ca="1">IF(_xll.ciqfunctions.udf.CIQ($AI22, "IQ_TR_IMPLIED_EQ_NI_LTM")=0,"NA",_xll.ciqfunctions.udf.CIQ($AI22, "IQ_TR_IMPLIED_EQ_NI_LTM"))</f>
        <v>#NAME?</v>
      </c>
      <c r="W22" s="153"/>
      <c r="X22" s="152" t="e">
        <f ca="1">_xll.ciqfunctions.udf.CIQ($AI22, "IQ_TR_TARGET_REVENUE_EST",, $AJ$4,$AJ$5)</f>
        <v>#NAME?</v>
      </c>
      <c r="Y22" s="152" t="e">
        <f ca="1">_xll.ciqfunctions.udf.CIQ($AI22, "IQ_TR_TARGET_EBITDA_EST",, $AJ$4,$AJ$5)</f>
        <v>#NAME?</v>
      </c>
      <c r="Z22" s="152" t="e">
        <f ca="1">_xll.ciqfunctions.udf.CIQ(AI22, "IQ_TR_IMPLIED_EV_EBIT_FWD")</f>
        <v>#NAME?</v>
      </c>
      <c r="AA22" s="153"/>
      <c r="AB22" s="154" t="str">
        <f t="shared" ca="1" si="1"/>
        <v>n/a</v>
      </c>
      <c r="AC22" s="154" t="str">
        <f t="shared" ca="1" si="1"/>
        <v>n/a</v>
      </c>
      <c r="AD22" s="154" t="str">
        <f t="shared" ca="1" si="1"/>
        <v>n/a</v>
      </c>
      <c r="AF22" s="155" t="e">
        <f ca="1">IF((_xll.ciqfunctions.udf.CIQ($AI22, "IQ_TR_TARGET_STOCKPREMIUM_1W")/100)&lt;=0,"NM",_xll.ciqfunctions.udf.CIQ($AI22, "IQ_TR_TARGET_STOCKPREMIUM_1W")/100)</f>
        <v>#NAME?</v>
      </c>
      <c r="AG22" s="155" t="e">
        <f ca="1">IF((_xll.ciqfunctions.udf.CIQ($AI22, "IQ_TR_TARGET_STOCKPREMIUM_1M")/100)&lt;=0,"NM",_xll.ciqfunctions.udf.CIQ($AI22, "IQ_TR_TARGET_STOCKPREMIUM_1M")/100)</f>
        <v>#NAME?</v>
      </c>
      <c r="AI22" s="156" t="str">
        <f>+'Capital IQ Sheet-STM'!AK22</f>
        <v>IQTR384028496</v>
      </c>
      <c r="AJ22" s="149" t="e">
        <f ca="1">_xll.ciqfunctions.udf.CIQ(AI22, "IQ_BUSINESS_DESCRIPTION")</f>
        <v>#NAME?</v>
      </c>
    </row>
    <row r="23" spans="2:36" s="149" customFormat="1" ht="12.75" customHeight="1">
      <c r="B23" s="148" t="e">
        <f ca="1">_xll.ciqfunctions.udf.CIQ($AI23,"IQ_TR_CLOSED_DATE")</f>
        <v>#NAME?</v>
      </c>
      <c r="C23" s="149" t="e">
        <f ca="1">_xll.ciqfunctions.udf.CIQ($AI23,"IQ_TR_BUYERNAME")</f>
        <v>#NAME?</v>
      </c>
      <c r="D23" s="149" t="e">
        <f ca="1">_xll.ciqfunctions.udf.CIQ($AI23,"IQ_TR_TARGETNAME")</f>
        <v>#NAME?</v>
      </c>
      <c r="E23" s="149" t="e">
        <f ca="1">_xll.ciqfunctions.udf.CIQ($AI23, "IQ_PRIMARY_INDUSTRY")</f>
        <v>#NAME?</v>
      </c>
      <c r="F23" s="150" t="e">
        <f ca="1">_xll.ciqfunctions.udf.CIQ($AI23, "IQ_TR_PCT_SOUGHT")/100</f>
        <v>#NAME?</v>
      </c>
      <c r="G23" s="151" t="e">
        <f ca="1">_xll.ciqfunctions.udf.CIQ(AI23, "IQ_TR_MAJ_MIN_STAKE")</f>
        <v>#NAME?</v>
      </c>
      <c r="I23" s="152" t="e">
        <f ca="1">_xll.ciqfunctions.udf.CIQ($AI23, "IQ_TR_IMPLIED_EV_FINAL", , $AJ$4,$AJ$5)</f>
        <v>#NAME?</v>
      </c>
      <c r="J23" s="152" t="e">
        <f ca="1">IF(_xll.ciqfunctions.udf.CIQ(AI23, "IQ_TR_TOTAL_CASH")="n/a",0,_xll.ciqfunctions.udf.CIQ(AI23, "IQ_TR_TOTAL_CASH"))+IF(_xll.ciqfunctions.udf.CIQ(AI23, "IQ_TR_TOTAL_STOCK")="n/a",0,_xll.ciqfunctions.udf.CIQ(AI23, "IQ_TR_TOTAL_STOCK"))</f>
        <v>#NAME?</v>
      </c>
      <c r="K23" s="27" t="e">
        <f ca="1">_xll.ciqfunctions.udf.CIQ(AI23, "IQ_TR_EARNOUTS")</f>
        <v>#NAME?</v>
      </c>
      <c r="L23" s="152" t="e">
        <f ca="1">IF(_xll.ciqfunctions.udf.CIQ($AI23, "IQ_TR_TOTAL_GROSS_TV",$AJ$4,$AJ$5)=0,"NA",_xll.ciqfunctions.udf.CIQ($AI23, "IQ_TR_TOTAL_GROSS_TV",,"USD"))</f>
        <v>#NAME?</v>
      </c>
      <c r="M23" s="153"/>
      <c r="N23" s="152" t="e">
        <f ca="1">_xll.ciqfunctions.udf.CIQ($AI23, "IQ_TR_TARGET_TOTAL_REV",,$AJ$4,$AJ$5)</f>
        <v>#NAME?</v>
      </c>
      <c r="O23" s="152" t="e">
        <f ca="1">_xll.ciqfunctions.udf.CIQ($AI23, "IQ_TR_TARGET_EBITDA", , $AJ$4,$AJ$5)</f>
        <v>#NAME?</v>
      </c>
      <c r="P23" s="152" t="e">
        <f ca="1">_xll.ciqfunctions.udf.CIQ($AI23, "IQ_TR_TARGET_EBIT", , $AJ$4,$AJ$5)</f>
        <v>#NAME?</v>
      </c>
      <c r="Q23" s="153"/>
      <c r="R23" s="154" t="str">
        <f t="shared" ca="1" si="0"/>
        <v>n/a</v>
      </c>
      <c r="S23" s="154" t="str">
        <f t="shared" ca="1" si="0"/>
        <v>n/a</v>
      </c>
      <c r="T23" s="154" t="str">
        <f t="shared" ca="1" si="0"/>
        <v>n/a</v>
      </c>
      <c r="U23" s="154" t="e">
        <f ca="1">IF(_xll.ciqfunctions.udf.CIQ($AI23, "IQ_TR_IMPLIED_EQ_BV")=0,"NA",_xll.ciqfunctions.udf.CIQ($AI23, "IQ_TR_IMPLIED_EQ_BV"))</f>
        <v>#NAME?</v>
      </c>
      <c r="V23" s="154" t="e">
        <f ca="1">IF(_xll.ciqfunctions.udf.CIQ($AI23, "IQ_TR_IMPLIED_EQ_NI_LTM")=0,"NA",_xll.ciqfunctions.udf.CIQ($AI23, "IQ_TR_IMPLIED_EQ_NI_LTM"))</f>
        <v>#NAME?</v>
      </c>
      <c r="W23" s="153"/>
      <c r="X23" s="152" t="e">
        <f ca="1">_xll.ciqfunctions.udf.CIQ($AI23, "IQ_TR_TARGET_REVENUE_EST",, $AJ$4,$AJ$5)</f>
        <v>#NAME?</v>
      </c>
      <c r="Y23" s="152" t="e">
        <f ca="1">_xll.ciqfunctions.udf.CIQ($AI23, "IQ_TR_TARGET_EBITDA_EST",, $AJ$4,$AJ$5)</f>
        <v>#NAME?</v>
      </c>
      <c r="Z23" s="152" t="e">
        <f ca="1">_xll.ciqfunctions.udf.CIQ(AI23, "IQ_TR_IMPLIED_EV_EBIT_FWD")</f>
        <v>#NAME?</v>
      </c>
      <c r="AA23" s="153"/>
      <c r="AB23" s="154" t="str">
        <f t="shared" ca="1" si="1"/>
        <v>n/a</v>
      </c>
      <c r="AC23" s="154" t="str">
        <f t="shared" ca="1" si="1"/>
        <v>n/a</v>
      </c>
      <c r="AD23" s="154" t="str">
        <f t="shared" ca="1" si="1"/>
        <v>n/a</v>
      </c>
      <c r="AF23" s="155" t="e">
        <f ca="1">IF((_xll.ciqfunctions.udf.CIQ($AI23, "IQ_TR_TARGET_STOCKPREMIUM_1W")/100)&lt;=0,"NM",_xll.ciqfunctions.udf.CIQ($AI23, "IQ_TR_TARGET_STOCKPREMIUM_1W")/100)</f>
        <v>#NAME?</v>
      </c>
      <c r="AG23" s="155" t="e">
        <f ca="1">IF((_xll.ciqfunctions.udf.CIQ($AI23, "IQ_TR_TARGET_STOCKPREMIUM_1M")/100)&lt;=0,"NM",_xll.ciqfunctions.udf.CIQ($AI23, "IQ_TR_TARGET_STOCKPREMIUM_1M")/100)</f>
        <v>#NAME?</v>
      </c>
      <c r="AI23" s="156" t="str">
        <f>+'Capital IQ Sheet-STM'!AK23</f>
        <v>IQTR328978519</v>
      </c>
      <c r="AJ23" s="149" t="e">
        <f ca="1">_xll.ciqfunctions.udf.CIQ(AI23, "IQ_BUSINESS_DESCRIPTION")</f>
        <v>#NAME?</v>
      </c>
    </row>
    <row r="24" spans="2:36" s="149" customFormat="1" ht="12.75" customHeight="1">
      <c r="B24" s="148" t="e">
        <f ca="1">_xll.ciqfunctions.udf.CIQ($AI24,"IQ_TR_CLOSED_DATE")</f>
        <v>#NAME?</v>
      </c>
      <c r="C24" s="149" t="e">
        <f ca="1">_xll.ciqfunctions.udf.CIQ($AI24,"IQ_TR_BUYERNAME")</f>
        <v>#NAME?</v>
      </c>
      <c r="D24" s="149" t="e">
        <f ca="1">_xll.ciqfunctions.udf.CIQ($AI24,"IQ_TR_TARGETNAME")</f>
        <v>#NAME?</v>
      </c>
      <c r="E24" s="149" t="e">
        <f ca="1">_xll.ciqfunctions.udf.CIQ($AI24, "IQ_PRIMARY_INDUSTRY")</f>
        <v>#NAME?</v>
      </c>
      <c r="F24" s="150" t="e">
        <f ca="1">_xll.ciqfunctions.udf.CIQ($AI24, "IQ_TR_PCT_SOUGHT")/100</f>
        <v>#NAME?</v>
      </c>
      <c r="G24" s="151" t="e">
        <f ca="1">_xll.ciqfunctions.udf.CIQ(AI24, "IQ_TR_MAJ_MIN_STAKE")</f>
        <v>#NAME?</v>
      </c>
      <c r="I24" s="152" t="e">
        <f ca="1">_xll.ciqfunctions.udf.CIQ($AI24, "IQ_TR_IMPLIED_EV_FINAL", , $AJ$4,$AJ$5)</f>
        <v>#NAME?</v>
      </c>
      <c r="J24" s="152" t="e">
        <f ca="1">IF(_xll.ciqfunctions.udf.CIQ(AI24, "IQ_TR_TOTAL_CASH")="n/a",0,_xll.ciqfunctions.udf.CIQ(AI24, "IQ_TR_TOTAL_CASH"))+IF(_xll.ciqfunctions.udf.CIQ(AI24, "IQ_TR_TOTAL_STOCK")="n/a",0,_xll.ciqfunctions.udf.CIQ(AI24, "IQ_TR_TOTAL_STOCK"))</f>
        <v>#NAME?</v>
      </c>
      <c r="K24" s="27" t="e">
        <f ca="1">_xll.ciqfunctions.udf.CIQ(AI24, "IQ_TR_EARNOUTS")</f>
        <v>#NAME?</v>
      </c>
      <c r="L24" s="152" t="e">
        <f ca="1">IF(_xll.ciqfunctions.udf.CIQ($AI24, "IQ_TR_TOTAL_GROSS_TV",$AJ$4,$AJ$5)=0,"NA",_xll.ciqfunctions.udf.CIQ($AI24, "IQ_TR_TOTAL_GROSS_TV",,"USD"))</f>
        <v>#NAME?</v>
      </c>
      <c r="M24" s="153"/>
      <c r="N24" s="152" t="e">
        <f ca="1">_xll.ciqfunctions.udf.CIQ($AI24, "IQ_TR_TARGET_TOTAL_REV",,$AJ$4,$AJ$5)</f>
        <v>#NAME?</v>
      </c>
      <c r="O24" s="152" t="e">
        <f ca="1">_xll.ciqfunctions.udf.CIQ($AI24, "IQ_TR_TARGET_EBITDA", , $AJ$4,$AJ$5)</f>
        <v>#NAME?</v>
      </c>
      <c r="P24" s="152" t="e">
        <f ca="1">_xll.ciqfunctions.udf.CIQ($AI24, "IQ_TR_TARGET_EBIT", , $AJ$4,$AJ$5)</f>
        <v>#NAME?</v>
      </c>
      <c r="Q24" s="153"/>
      <c r="R24" s="154" t="str">
        <f t="shared" ca="1" si="0"/>
        <v>n/a</v>
      </c>
      <c r="S24" s="154" t="str">
        <f t="shared" ca="1" si="0"/>
        <v>n/a</v>
      </c>
      <c r="T24" s="154" t="str">
        <f t="shared" ca="1" si="0"/>
        <v>n/a</v>
      </c>
      <c r="U24" s="154" t="e">
        <f ca="1">IF(_xll.ciqfunctions.udf.CIQ($AI24, "IQ_TR_IMPLIED_EQ_BV")=0,"NA",_xll.ciqfunctions.udf.CIQ($AI24, "IQ_TR_IMPLIED_EQ_BV"))</f>
        <v>#NAME?</v>
      </c>
      <c r="V24" s="154" t="e">
        <f ca="1">IF(_xll.ciqfunctions.udf.CIQ($AI24, "IQ_TR_IMPLIED_EQ_NI_LTM")=0,"NA",_xll.ciqfunctions.udf.CIQ($AI24, "IQ_TR_IMPLIED_EQ_NI_LTM"))</f>
        <v>#NAME?</v>
      </c>
      <c r="W24" s="153"/>
      <c r="X24" s="152" t="e">
        <f ca="1">_xll.ciqfunctions.udf.CIQ($AI24, "IQ_TR_TARGET_REVENUE_EST",, $AJ$4,$AJ$5)</f>
        <v>#NAME?</v>
      </c>
      <c r="Y24" s="152" t="e">
        <f ca="1">_xll.ciqfunctions.udf.CIQ($AI24, "IQ_TR_TARGET_EBITDA_EST",, $AJ$4,$AJ$5)</f>
        <v>#NAME?</v>
      </c>
      <c r="Z24" s="152" t="e">
        <f ca="1">_xll.ciqfunctions.udf.CIQ(AI24, "IQ_TR_IMPLIED_EV_EBIT_FWD")</f>
        <v>#NAME?</v>
      </c>
      <c r="AA24" s="153"/>
      <c r="AB24" s="154" t="str">
        <f t="shared" ca="1" si="1"/>
        <v>n/a</v>
      </c>
      <c r="AC24" s="154" t="str">
        <f t="shared" ca="1" si="1"/>
        <v>n/a</v>
      </c>
      <c r="AD24" s="154" t="str">
        <f t="shared" ca="1" si="1"/>
        <v>n/a</v>
      </c>
      <c r="AF24" s="155" t="e">
        <f ca="1">IF((_xll.ciqfunctions.udf.CIQ($AI24, "IQ_TR_TARGET_STOCKPREMIUM_1W")/100)&lt;=0,"NM",_xll.ciqfunctions.udf.CIQ($AI24, "IQ_TR_TARGET_STOCKPREMIUM_1W")/100)</f>
        <v>#NAME?</v>
      </c>
      <c r="AG24" s="155" t="e">
        <f ca="1">IF((_xll.ciqfunctions.udf.CIQ($AI24, "IQ_TR_TARGET_STOCKPREMIUM_1M")/100)&lt;=0,"NM",_xll.ciqfunctions.udf.CIQ($AI24, "IQ_TR_TARGET_STOCKPREMIUM_1M")/100)</f>
        <v>#NAME?</v>
      </c>
      <c r="AI24" s="156" t="str">
        <f>+'Capital IQ Sheet-STM'!AK24</f>
        <v>IQTR326995408</v>
      </c>
      <c r="AJ24" s="149" t="e">
        <f ca="1">_xll.ciqfunctions.udf.CIQ(AI24, "IQ_BUSINESS_DESCRIPTION")</f>
        <v>#NAME?</v>
      </c>
    </row>
    <row r="25" spans="2:36" s="149" customFormat="1" ht="12.75" customHeight="1">
      <c r="B25" s="148" t="e">
        <f ca="1">_xll.ciqfunctions.udf.CIQ($AI25,"IQ_TR_CLOSED_DATE")</f>
        <v>#NAME?</v>
      </c>
      <c r="C25" s="149" t="e">
        <f ca="1">_xll.ciqfunctions.udf.CIQ($AI25,"IQ_TR_BUYERNAME")</f>
        <v>#NAME?</v>
      </c>
      <c r="D25" s="149" t="e">
        <f ca="1">_xll.ciqfunctions.udf.CIQ($AI25,"IQ_TR_TARGETNAME")</f>
        <v>#NAME?</v>
      </c>
      <c r="E25" s="149" t="e">
        <f ca="1">_xll.ciqfunctions.udf.CIQ($AI25, "IQ_PRIMARY_INDUSTRY")</f>
        <v>#NAME?</v>
      </c>
      <c r="F25" s="150" t="e">
        <f ca="1">_xll.ciqfunctions.udf.CIQ($AI25, "IQ_TR_PCT_SOUGHT")/100</f>
        <v>#NAME?</v>
      </c>
      <c r="G25" s="151" t="e">
        <f ca="1">_xll.ciqfunctions.udf.CIQ(AI25, "IQ_TR_MAJ_MIN_STAKE")</f>
        <v>#NAME?</v>
      </c>
      <c r="I25" s="152" t="e">
        <f ca="1">_xll.ciqfunctions.udf.CIQ($AI25, "IQ_TR_IMPLIED_EV_FINAL", , $AJ$4,$AJ$5)</f>
        <v>#NAME?</v>
      </c>
      <c r="J25" s="152" t="e">
        <f ca="1">IF(_xll.ciqfunctions.udf.CIQ(AI25, "IQ_TR_TOTAL_CASH")="n/a",0,_xll.ciqfunctions.udf.CIQ(AI25, "IQ_TR_TOTAL_CASH"))+IF(_xll.ciqfunctions.udf.CIQ(AI25, "IQ_TR_TOTAL_STOCK")="n/a",0,_xll.ciqfunctions.udf.CIQ(AI25, "IQ_TR_TOTAL_STOCK"))</f>
        <v>#NAME?</v>
      </c>
      <c r="K25" s="27" t="e">
        <f ca="1">_xll.ciqfunctions.udf.CIQ(AI25, "IQ_TR_EARNOUTS")</f>
        <v>#NAME?</v>
      </c>
      <c r="L25" s="152" t="e">
        <f ca="1">IF(_xll.ciqfunctions.udf.CIQ($AI25, "IQ_TR_TOTAL_GROSS_TV",$AJ$4,$AJ$5)=0,"NA",_xll.ciqfunctions.udf.CIQ($AI25, "IQ_TR_TOTAL_GROSS_TV",,"USD"))</f>
        <v>#NAME?</v>
      </c>
      <c r="M25" s="153"/>
      <c r="N25" s="152" t="e">
        <f ca="1">_xll.ciqfunctions.udf.CIQ($AI25, "IQ_TR_TARGET_TOTAL_REV",,$AJ$4,$AJ$5)</f>
        <v>#NAME?</v>
      </c>
      <c r="O25" s="152" t="e">
        <f ca="1">_xll.ciqfunctions.udf.CIQ($AI25, "IQ_TR_TARGET_EBITDA", , $AJ$4,$AJ$5)</f>
        <v>#NAME?</v>
      </c>
      <c r="P25" s="152" t="e">
        <f ca="1">_xll.ciqfunctions.udf.CIQ($AI25, "IQ_TR_TARGET_EBIT", , $AJ$4,$AJ$5)</f>
        <v>#NAME?</v>
      </c>
      <c r="Q25" s="153"/>
      <c r="R25" s="154" t="str">
        <f t="shared" ca="1" si="0"/>
        <v>n/a</v>
      </c>
      <c r="S25" s="154" t="str">
        <f t="shared" ca="1" si="0"/>
        <v>n/a</v>
      </c>
      <c r="T25" s="154" t="str">
        <f t="shared" ca="1" si="0"/>
        <v>n/a</v>
      </c>
      <c r="U25" s="154" t="e">
        <f ca="1">IF(_xll.ciqfunctions.udf.CIQ($AI25, "IQ_TR_IMPLIED_EQ_BV")=0,"NA",_xll.ciqfunctions.udf.CIQ($AI25, "IQ_TR_IMPLIED_EQ_BV"))</f>
        <v>#NAME?</v>
      </c>
      <c r="V25" s="154" t="e">
        <f ca="1">IF(_xll.ciqfunctions.udf.CIQ($AI25, "IQ_TR_IMPLIED_EQ_NI_LTM")=0,"NA",_xll.ciqfunctions.udf.CIQ($AI25, "IQ_TR_IMPLIED_EQ_NI_LTM"))</f>
        <v>#NAME?</v>
      </c>
      <c r="W25" s="153"/>
      <c r="X25" s="152" t="e">
        <f ca="1">_xll.ciqfunctions.udf.CIQ($AI25, "IQ_TR_TARGET_REVENUE_EST",, $AJ$4,$AJ$5)</f>
        <v>#NAME?</v>
      </c>
      <c r="Y25" s="152" t="e">
        <f ca="1">_xll.ciqfunctions.udf.CIQ($AI25, "IQ_TR_TARGET_EBITDA_EST",, $AJ$4,$AJ$5)</f>
        <v>#NAME?</v>
      </c>
      <c r="Z25" s="152" t="e">
        <f ca="1">_xll.ciqfunctions.udf.CIQ(AI25, "IQ_TR_IMPLIED_EV_EBIT_FWD")</f>
        <v>#NAME?</v>
      </c>
      <c r="AA25" s="153"/>
      <c r="AB25" s="154" t="str">
        <f t="shared" ca="1" si="1"/>
        <v>n/a</v>
      </c>
      <c r="AC25" s="154" t="str">
        <f t="shared" ca="1" si="1"/>
        <v>n/a</v>
      </c>
      <c r="AD25" s="154" t="str">
        <f t="shared" ca="1" si="1"/>
        <v>n/a</v>
      </c>
      <c r="AF25" s="155" t="e">
        <f ca="1">IF((_xll.ciqfunctions.udf.CIQ($AI25, "IQ_TR_TARGET_STOCKPREMIUM_1W")/100)&lt;=0,"NM",_xll.ciqfunctions.udf.CIQ($AI25, "IQ_TR_TARGET_STOCKPREMIUM_1W")/100)</f>
        <v>#NAME?</v>
      </c>
      <c r="AG25" s="155" t="e">
        <f ca="1">IF((_xll.ciqfunctions.udf.CIQ($AI25, "IQ_TR_TARGET_STOCKPREMIUM_1M")/100)&lt;=0,"NM",_xll.ciqfunctions.udf.CIQ($AI25, "IQ_TR_TARGET_STOCKPREMIUM_1M")/100)</f>
        <v>#NAME?</v>
      </c>
      <c r="AI25" s="156" t="str">
        <f>+'Capital IQ Sheet-STM'!AK25</f>
        <v>IQTR314829236</v>
      </c>
      <c r="AJ25" s="149" t="e">
        <f ca="1">_xll.ciqfunctions.udf.CIQ(AI25, "IQ_BUSINESS_DESCRIPTION")</f>
        <v>#NAME?</v>
      </c>
    </row>
    <row r="26" spans="2:36" s="149" customFormat="1" ht="12.75" customHeight="1">
      <c r="B26" s="148" t="e">
        <f ca="1">_xll.ciqfunctions.udf.CIQ($AI26,"IQ_TR_CLOSED_DATE")</f>
        <v>#NAME?</v>
      </c>
      <c r="C26" s="149" t="e">
        <f ca="1">_xll.ciqfunctions.udf.CIQ($AI26,"IQ_TR_BUYERNAME")</f>
        <v>#NAME?</v>
      </c>
      <c r="D26" s="149" t="e">
        <f ca="1">_xll.ciqfunctions.udf.CIQ($AI26,"IQ_TR_TARGETNAME")</f>
        <v>#NAME?</v>
      </c>
      <c r="E26" s="149" t="e">
        <f ca="1">_xll.ciqfunctions.udf.CIQ($AI26, "IQ_PRIMARY_INDUSTRY")</f>
        <v>#NAME?</v>
      </c>
      <c r="F26" s="150" t="e">
        <f ca="1">_xll.ciqfunctions.udf.CIQ($AI26, "IQ_TR_PCT_SOUGHT")/100</f>
        <v>#NAME?</v>
      </c>
      <c r="G26" s="151" t="e">
        <f ca="1">_xll.ciqfunctions.udf.CIQ(AI26, "IQ_TR_MAJ_MIN_STAKE")</f>
        <v>#NAME?</v>
      </c>
      <c r="I26" s="152" t="e">
        <f ca="1">_xll.ciqfunctions.udf.CIQ($AI26, "IQ_TR_IMPLIED_EV_FINAL", , $AJ$4,$AJ$5)</f>
        <v>#NAME?</v>
      </c>
      <c r="J26" s="152" t="e">
        <f ca="1">IF(_xll.ciqfunctions.udf.CIQ(AI26, "IQ_TR_TOTAL_CASH")="n/a",0,_xll.ciqfunctions.udf.CIQ(AI26, "IQ_TR_TOTAL_CASH"))+IF(_xll.ciqfunctions.udf.CIQ(AI26, "IQ_TR_TOTAL_STOCK")="n/a",0,_xll.ciqfunctions.udf.CIQ(AI26, "IQ_TR_TOTAL_STOCK"))</f>
        <v>#NAME?</v>
      </c>
      <c r="K26" s="27" t="e">
        <f ca="1">_xll.ciqfunctions.udf.CIQ(AI26, "IQ_TR_EARNOUTS")</f>
        <v>#NAME?</v>
      </c>
      <c r="L26" s="152" t="e">
        <f ca="1">IF(_xll.ciqfunctions.udf.CIQ($AI26, "IQ_TR_TOTAL_GROSS_TV",$AJ$4,$AJ$5)=0,"NA",_xll.ciqfunctions.udf.CIQ($AI26, "IQ_TR_TOTAL_GROSS_TV",,"USD"))</f>
        <v>#NAME?</v>
      </c>
      <c r="M26" s="153"/>
      <c r="N26" s="152" t="e">
        <f ca="1">_xll.ciqfunctions.udf.CIQ($AI26, "IQ_TR_TARGET_TOTAL_REV",,$AJ$4,$AJ$5)</f>
        <v>#NAME?</v>
      </c>
      <c r="O26" s="152" t="e">
        <f ca="1">_xll.ciqfunctions.udf.CIQ($AI26, "IQ_TR_TARGET_EBITDA", , $AJ$4,$AJ$5)</f>
        <v>#NAME?</v>
      </c>
      <c r="P26" s="152" t="e">
        <f ca="1">_xll.ciqfunctions.udf.CIQ($AI26, "IQ_TR_TARGET_EBIT", , $AJ$4,$AJ$5)</f>
        <v>#NAME?</v>
      </c>
      <c r="Q26" s="153"/>
      <c r="R26" s="154" t="str">
        <f t="shared" ca="1" si="0"/>
        <v>n/a</v>
      </c>
      <c r="S26" s="154" t="str">
        <f t="shared" ca="1" si="0"/>
        <v>n/a</v>
      </c>
      <c r="T26" s="154" t="str">
        <f t="shared" ca="1" si="0"/>
        <v>n/a</v>
      </c>
      <c r="U26" s="154" t="e">
        <f ca="1">IF(_xll.ciqfunctions.udf.CIQ($AI26, "IQ_TR_IMPLIED_EQ_BV")=0,"NA",_xll.ciqfunctions.udf.CIQ($AI26, "IQ_TR_IMPLIED_EQ_BV"))</f>
        <v>#NAME?</v>
      </c>
      <c r="V26" s="154" t="e">
        <f ca="1">IF(_xll.ciqfunctions.udf.CIQ($AI26, "IQ_TR_IMPLIED_EQ_NI_LTM")=0,"NA",_xll.ciqfunctions.udf.CIQ($AI26, "IQ_TR_IMPLIED_EQ_NI_LTM"))</f>
        <v>#NAME?</v>
      </c>
      <c r="W26" s="153"/>
      <c r="X26" s="152" t="e">
        <f ca="1">_xll.ciqfunctions.udf.CIQ($AI26, "IQ_TR_TARGET_REVENUE_EST",, $AJ$4,$AJ$5)</f>
        <v>#NAME?</v>
      </c>
      <c r="Y26" s="152" t="e">
        <f ca="1">_xll.ciqfunctions.udf.CIQ($AI26, "IQ_TR_TARGET_EBITDA_EST",, $AJ$4,$AJ$5)</f>
        <v>#NAME?</v>
      </c>
      <c r="Z26" s="152" t="e">
        <f ca="1">_xll.ciqfunctions.udf.CIQ(AI26, "IQ_TR_IMPLIED_EV_EBIT_FWD")</f>
        <v>#NAME?</v>
      </c>
      <c r="AA26" s="153"/>
      <c r="AB26" s="154" t="str">
        <f t="shared" ca="1" si="1"/>
        <v>n/a</v>
      </c>
      <c r="AC26" s="154" t="str">
        <f t="shared" ca="1" si="1"/>
        <v>n/a</v>
      </c>
      <c r="AD26" s="154" t="str">
        <f t="shared" ca="1" si="1"/>
        <v>n/a</v>
      </c>
      <c r="AF26" s="155" t="e">
        <f ca="1">IF((_xll.ciqfunctions.udf.CIQ($AI26, "IQ_TR_TARGET_STOCKPREMIUM_1W")/100)&lt;=0,"NM",_xll.ciqfunctions.udf.CIQ($AI26, "IQ_TR_TARGET_STOCKPREMIUM_1W")/100)</f>
        <v>#NAME?</v>
      </c>
      <c r="AG26" s="155" t="e">
        <f ca="1">IF((_xll.ciqfunctions.udf.CIQ($AI26, "IQ_TR_TARGET_STOCKPREMIUM_1M")/100)&lt;=0,"NM",_xll.ciqfunctions.udf.CIQ($AI26, "IQ_TR_TARGET_STOCKPREMIUM_1M")/100)</f>
        <v>#NAME?</v>
      </c>
      <c r="AI26" s="156" t="str">
        <f>+'Capital IQ Sheet-STM'!AK26</f>
        <v>IQTR283782713</v>
      </c>
      <c r="AJ26" s="149" t="e">
        <f ca="1">_xll.ciqfunctions.udf.CIQ(AI26, "IQ_BUSINESS_DESCRIPTION")</f>
        <v>#NAME?</v>
      </c>
    </row>
    <row r="27" spans="2:36" s="149" customFormat="1" ht="12.75" customHeight="1">
      <c r="B27" s="148" t="e">
        <f ca="1">_xll.ciqfunctions.udf.CIQ($AI27,"IQ_TR_CLOSED_DATE")</f>
        <v>#NAME?</v>
      </c>
      <c r="C27" s="149" t="e">
        <f ca="1">_xll.ciqfunctions.udf.CIQ($AI27,"IQ_TR_BUYERNAME")</f>
        <v>#NAME?</v>
      </c>
      <c r="D27" s="149" t="e">
        <f ca="1">_xll.ciqfunctions.udf.CIQ($AI27,"IQ_TR_TARGETNAME")</f>
        <v>#NAME?</v>
      </c>
      <c r="E27" s="149" t="e">
        <f ca="1">_xll.ciqfunctions.udf.CIQ($AI27, "IQ_PRIMARY_INDUSTRY")</f>
        <v>#NAME?</v>
      </c>
      <c r="F27" s="150" t="e">
        <f ca="1">_xll.ciqfunctions.udf.CIQ($AI27, "IQ_TR_PCT_SOUGHT")/100</f>
        <v>#NAME?</v>
      </c>
      <c r="G27" s="151" t="e">
        <f ca="1">_xll.ciqfunctions.udf.CIQ(AI27, "IQ_TR_MAJ_MIN_STAKE")</f>
        <v>#NAME?</v>
      </c>
      <c r="I27" s="152" t="e">
        <f ca="1">_xll.ciqfunctions.udf.CIQ($AI27, "IQ_TR_IMPLIED_EV_FINAL", , $AJ$4,$AJ$5)</f>
        <v>#NAME?</v>
      </c>
      <c r="J27" s="152" t="e">
        <f ca="1">IF(_xll.ciqfunctions.udf.CIQ(AI27, "IQ_TR_TOTAL_CASH")="n/a",0,_xll.ciqfunctions.udf.CIQ(AI27, "IQ_TR_TOTAL_CASH"))+IF(_xll.ciqfunctions.udf.CIQ(AI27, "IQ_TR_TOTAL_STOCK")="n/a",0,_xll.ciqfunctions.udf.CIQ(AI27, "IQ_TR_TOTAL_STOCK"))</f>
        <v>#NAME?</v>
      </c>
      <c r="K27" s="27" t="e">
        <f ca="1">_xll.ciqfunctions.udf.CIQ(AI27, "IQ_TR_EARNOUTS")</f>
        <v>#NAME?</v>
      </c>
      <c r="L27" s="152" t="e">
        <f ca="1">IF(_xll.ciqfunctions.udf.CIQ($AI27, "IQ_TR_TOTAL_GROSS_TV",$AJ$4,$AJ$5)=0,"NA",_xll.ciqfunctions.udf.CIQ($AI27, "IQ_TR_TOTAL_GROSS_TV",,"USD"))</f>
        <v>#NAME?</v>
      </c>
      <c r="M27" s="153"/>
      <c r="N27" s="152" t="e">
        <f ca="1">_xll.ciqfunctions.udf.CIQ($AI27, "IQ_TR_TARGET_TOTAL_REV",,$AJ$4,$AJ$5)</f>
        <v>#NAME?</v>
      </c>
      <c r="O27" s="152" t="e">
        <f ca="1">_xll.ciqfunctions.udf.CIQ($AI27, "IQ_TR_TARGET_EBITDA", , $AJ$4,$AJ$5)</f>
        <v>#NAME?</v>
      </c>
      <c r="P27" s="152" t="e">
        <f ca="1">_xll.ciqfunctions.udf.CIQ($AI27, "IQ_TR_TARGET_EBIT", , $AJ$4,$AJ$5)</f>
        <v>#NAME?</v>
      </c>
      <c r="Q27" s="153"/>
      <c r="R27" s="154" t="str">
        <f t="shared" ca="1" si="0"/>
        <v>n/a</v>
      </c>
      <c r="S27" s="154" t="str">
        <f t="shared" ca="1" si="0"/>
        <v>n/a</v>
      </c>
      <c r="T27" s="154" t="str">
        <f t="shared" ca="1" si="0"/>
        <v>n/a</v>
      </c>
      <c r="U27" s="154" t="e">
        <f ca="1">IF(_xll.ciqfunctions.udf.CIQ($AI27, "IQ_TR_IMPLIED_EQ_BV")=0,"NA",_xll.ciqfunctions.udf.CIQ($AI27, "IQ_TR_IMPLIED_EQ_BV"))</f>
        <v>#NAME?</v>
      </c>
      <c r="V27" s="154" t="e">
        <f ca="1">IF(_xll.ciqfunctions.udf.CIQ($AI27, "IQ_TR_IMPLIED_EQ_NI_LTM")=0,"NA",_xll.ciqfunctions.udf.CIQ($AI27, "IQ_TR_IMPLIED_EQ_NI_LTM"))</f>
        <v>#NAME?</v>
      </c>
      <c r="W27" s="153"/>
      <c r="X27" s="152" t="e">
        <f ca="1">_xll.ciqfunctions.udf.CIQ($AI27, "IQ_TR_TARGET_REVENUE_EST",, $AJ$4,$AJ$5)</f>
        <v>#NAME?</v>
      </c>
      <c r="Y27" s="152" t="e">
        <f ca="1">_xll.ciqfunctions.udf.CIQ($AI27, "IQ_TR_TARGET_EBITDA_EST",, $AJ$4,$AJ$5)</f>
        <v>#NAME?</v>
      </c>
      <c r="Z27" s="152" t="e">
        <f ca="1">_xll.ciqfunctions.udf.CIQ(AI27, "IQ_TR_IMPLIED_EV_EBIT_FWD")</f>
        <v>#NAME?</v>
      </c>
      <c r="AA27" s="153"/>
      <c r="AB27" s="154" t="str">
        <f t="shared" ca="1" si="1"/>
        <v>n/a</v>
      </c>
      <c r="AC27" s="154" t="str">
        <f t="shared" ca="1" si="1"/>
        <v>n/a</v>
      </c>
      <c r="AD27" s="154" t="str">
        <f t="shared" ca="1" si="1"/>
        <v>n/a</v>
      </c>
      <c r="AF27" s="155" t="e">
        <f ca="1">IF((_xll.ciqfunctions.udf.CIQ($AI27, "IQ_TR_TARGET_STOCKPREMIUM_1W")/100)&lt;=0,"NM",_xll.ciqfunctions.udf.CIQ($AI27, "IQ_TR_TARGET_STOCKPREMIUM_1W")/100)</f>
        <v>#NAME?</v>
      </c>
      <c r="AG27" s="155" t="e">
        <f ca="1">IF((_xll.ciqfunctions.udf.CIQ($AI27, "IQ_TR_TARGET_STOCKPREMIUM_1M")/100)&lt;=0,"NM",_xll.ciqfunctions.udf.CIQ($AI27, "IQ_TR_TARGET_STOCKPREMIUM_1M")/100)</f>
        <v>#NAME?</v>
      </c>
      <c r="AI27" s="156" t="str">
        <f>+'Capital IQ Sheet-STM'!AK27</f>
        <v>IQTR296628817</v>
      </c>
      <c r="AJ27" s="149" t="e">
        <f ca="1">_xll.ciqfunctions.udf.CIQ(AI27, "IQ_BUSINESS_DESCRIPTION")</f>
        <v>#NAME?</v>
      </c>
    </row>
    <row r="28" spans="2:36" s="149" customFormat="1" ht="12.75" customHeight="1">
      <c r="B28" s="148" t="e">
        <f ca="1">_xll.ciqfunctions.udf.CIQ($AI28,"IQ_TR_CLOSED_DATE")</f>
        <v>#NAME?</v>
      </c>
      <c r="C28" s="149" t="e">
        <f ca="1">_xll.ciqfunctions.udf.CIQ($AI28,"IQ_TR_BUYERNAME")</f>
        <v>#NAME?</v>
      </c>
      <c r="D28" s="149" t="e">
        <f ca="1">_xll.ciqfunctions.udf.CIQ($AI28,"IQ_TR_TARGETNAME")</f>
        <v>#NAME?</v>
      </c>
      <c r="E28" s="149" t="e">
        <f ca="1">_xll.ciqfunctions.udf.CIQ($AI28, "IQ_PRIMARY_INDUSTRY")</f>
        <v>#NAME?</v>
      </c>
      <c r="F28" s="150" t="e">
        <f ca="1">_xll.ciqfunctions.udf.CIQ($AI28, "IQ_TR_PCT_SOUGHT")/100</f>
        <v>#NAME?</v>
      </c>
      <c r="G28" s="151" t="e">
        <f ca="1">_xll.ciqfunctions.udf.CIQ(AI28, "IQ_TR_MAJ_MIN_STAKE")</f>
        <v>#NAME?</v>
      </c>
      <c r="I28" s="152" t="e">
        <f ca="1">_xll.ciqfunctions.udf.CIQ($AI28, "IQ_TR_IMPLIED_EV_FINAL", , $AJ$4,$AJ$5)</f>
        <v>#NAME?</v>
      </c>
      <c r="J28" s="152" t="e">
        <f ca="1">IF(_xll.ciqfunctions.udf.CIQ(AI28, "IQ_TR_TOTAL_CASH")="n/a",0,_xll.ciqfunctions.udf.CIQ(AI28, "IQ_TR_TOTAL_CASH"))+IF(_xll.ciqfunctions.udf.CIQ(AI28, "IQ_TR_TOTAL_STOCK")="n/a",0,_xll.ciqfunctions.udf.CIQ(AI28, "IQ_TR_TOTAL_STOCK"))</f>
        <v>#NAME?</v>
      </c>
      <c r="K28" s="27" t="e">
        <f ca="1">_xll.ciqfunctions.udf.CIQ(AI28, "IQ_TR_EARNOUTS")</f>
        <v>#NAME?</v>
      </c>
      <c r="L28" s="152" t="e">
        <f ca="1">IF(_xll.ciqfunctions.udf.CIQ($AI28, "IQ_TR_TOTAL_GROSS_TV",$AJ$4,$AJ$5)=0,"NA",_xll.ciqfunctions.udf.CIQ($AI28, "IQ_TR_TOTAL_GROSS_TV",,"USD"))</f>
        <v>#NAME?</v>
      </c>
      <c r="M28" s="153"/>
      <c r="N28" s="152" t="e">
        <f ca="1">_xll.ciqfunctions.udf.CIQ($AI28, "IQ_TR_TARGET_TOTAL_REV",,$AJ$4,$AJ$5)</f>
        <v>#NAME?</v>
      </c>
      <c r="O28" s="152" t="e">
        <f ca="1">_xll.ciqfunctions.udf.CIQ($AI28, "IQ_TR_TARGET_EBITDA", , $AJ$4,$AJ$5)</f>
        <v>#NAME?</v>
      </c>
      <c r="P28" s="152" t="e">
        <f ca="1">_xll.ciqfunctions.udf.CIQ($AI28, "IQ_TR_TARGET_EBIT", , $AJ$4,$AJ$5)</f>
        <v>#NAME?</v>
      </c>
      <c r="Q28" s="153"/>
      <c r="R28" s="154" t="str">
        <f t="shared" ca="1" si="0"/>
        <v>n/a</v>
      </c>
      <c r="S28" s="154" t="str">
        <f t="shared" ca="1" si="0"/>
        <v>n/a</v>
      </c>
      <c r="T28" s="154" t="str">
        <f t="shared" ca="1" si="0"/>
        <v>n/a</v>
      </c>
      <c r="U28" s="154" t="e">
        <f ca="1">IF(_xll.ciqfunctions.udf.CIQ($AI28, "IQ_TR_IMPLIED_EQ_BV")=0,"NA",_xll.ciqfunctions.udf.CIQ($AI28, "IQ_TR_IMPLIED_EQ_BV"))</f>
        <v>#NAME?</v>
      </c>
      <c r="V28" s="154" t="e">
        <f ca="1">IF(_xll.ciqfunctions.udf.CIQ($AI28, "IQ_TR_IMPLIED_EQ_NI_LTM")=0,"NA",_xll.ciqfunctions.udf.CIQ($AI28, "IQ_TR_IMPLIED_EQ_NI_LTM"))</f>
        <v>#NAME?</v>
      </c>
      <c r="W28" s="153"/>
      <c r="X28" s="152" t="e">
        <f ca="1">_xll.ciqfunctions.udf.CIQ($AI28, "IQ_TR_TARGET_REVENUE_EST",, $AJ$4,$AJ$5)</f>
        <v>#NAME?</v>
      </c>
      <c r="Y28" s="152" t="e">
        <f ca="1">_xll.ciqfunctions.udf.CIQ($AI28, "IQ_TR_TARGET_EBITDA_EST",, $AJ$4,$AJ$5)</f>
        <v>#NAME?</v>
      </c>
      <c r="Z28" s="152" t="e">
        <f ca="1">_xll.ciqfunctions.udf.CIQ(AI28, "IQ_TR_IMPLIED_EV_EBIT_FWD")</f>
        <v>#NAME?</v>
      </c>
      <c r="AA28" s="153"/>
      <c r="AB28" s="154" t="str">
        <f t="shared" ca="1" si="1"/>
        <v>n/a</v>
      </c>
      <c r="AC28" s="154" t="str">
        <f t="shared" ca="1" si="1"/>
        <v>n/a</v>
      </c>
      <c r="AD28" s="154" t="str">
        <f t="shared" ca="1" si="1"/>
        <v>n/a</v>
      </c>
      <c r="AF28" s="155" t="e">
        <f ca="1">IF((_xll.ciqfunctions.udf.CIQ($AI28, "IQ_TR_TARGET_STOCKPREMIUM_1W")/100)&lt;=0,"NM",_xll.ciqfunctions.udf.CIQ($AI28, "IQ_TR_TARGET_STOCKPREMIUM_1W")/100)</f>
        <v>#NAME?</v>
      </c>
      <c r="AG28" s="155" t="e">
        <f ca="1">IF((_xll.ciqfunctions.udf.CIQ($AI28, "IQ_TR_TARGET_STOCKPREMIUM_1M")/100)&lt;=0,"NM",_xll.ciqfunctions.udf.CIQ($AI28, "IQ_TR_TARGET_STOCKPREMIUM_1M")/100)</f>
        <v>#NAME?</v>
      </c>
      <c r="AI28" s="156">
        <f>+'Capital IQ Sheet-STM'!AK28</f>
        <v>0</v>
      </c>
      <c r="AJ28" s="149" t="e">
        <f ca="1">_xll.ciqfunctions.udf.CIQ(AI28, "IQ_BUSINESS_DESCRIPTION")</f>
        <v>#NAME?</v>
      </c>
    </row>
    <row r="29" spans="2:36" s="149" customFormat="1" ht="12.75" customHeight="1">
      <c r="B29" s="148" t="e">
        <f ca="1">_xll.ciqfunctions.udf.CIQ($AI29,"IQ_TR_CLOSED_DATE")</f>
        <v>#NAME?</v>
      </c>
      <c r="C29" s="149" t="e">
        <f ca="1">_xll.ciqfunctions.udf.CIQ($AI29,"IQ_TR_BUYERNAME")</f>
        <v>#NAME?</v>
      </c>
      <c r="D29" s="149" t="e">
        <f ca="1">_xll.ciqfunctions.udf.CIQ($AI29,"IQ_TR_TARGETNAME")</f>
        <v>#NAME?</v>
      </c>
      <c r="E29" s="149" t="e">
        <f ca="1">_xll.ciqfunctions.udf.CIQ($AI29, "IQ_PRIMARY_INDUSTRY")</f>
        <v>#NAME?</v>
      </c>
      <c r="F29" s="150" t="e">
        <f ca="1">_xll.ciqfunctions.udf.CIQ($AI29, "IQ_TR_PCT_SOUGHT")/100</f>
        <v>#NAME?</v>
      </c>
      <c r="G29" s="151" t="e">
        <f ca="1">_xll.ciqfunctions.udf.CIQ(AI29, "IQ_TR_MAJ_MIN_STAKE")</f>
        <v>#NAME?</v>
      </c>
      <c r="I29" s="152" t="e">
        <f ca="1">_xll.ciqfunctions.udf.CIQ($AI29, "IQ_TR_IMPLIED_EV_FINAL", , $AJ$4,$AJ$5)</f>
        <v>#NAME?</v>
      </c>
      <c r="J29" s="152" t="e">
        <f ca="1">IF(_xll.ciqfunctions.udf.CIQ(AI29, "IQ_TR_TOTAL_CASH")="n/a",0,_xll.ciqfunctions.udf.CIQ(AI29, "IQ_TR_TOTAL_CASH"))+IF(_xll.ciqfunctions.udf.CIQ(AI29, "IQ_TR_TOTAL_STOCK")="n/a",0,_xll.ciqfunctions.udf.CIQ(AI29, "IQ_TR_TOTAL_STOCK"))</f>
        <v>#NAME?</v>
      </c>
      <c r="K29" s="27" t="e">
        <f ca="1">_xll.ciqfunctions.udf.CIQ(AI29, "IQ_TR_EARNOUTS")</f>
        <v>#NAME?</v>
      </c>
      <c r="L29" s="152" t="e">
        <f ca="1">IF(_xll.ciqfunctions.udf.CIQ($AI29, "IQ_TR_TOTAL_GROSS_TV",$AJ$4,$AJ$5)=0,"NA",_xll.ciqfunctions.udf.CIQ($AI29, "IQ_TR_TOTAL_GROSS_TV",,"USD"))</f>
        <v>#NAME?</v>
      </c>
      <c r="M29" s="153"/>
      <c r="N29" s="152" t="e">
        <f ca="1">_xll.ciqfunctions.udf.CIQ($AI29, "IQ_TR_TARGET_TOTAL_REV",,$AJ$4,$AJ$5)</f>
        <v>#NAME?</v>
      </c>
      <c r="O29" s="152" t="e">
        <f ca="1">_xll.ciqfunctions.udf.CIQ($AI29, "IQ_TR_TARGET_EBITDA", , $AJ$4,$AJ$5)</f>
        <v>#NAME?</v>
      </c>
      <c r="P29" s="152" t="e">
        <f ca="1">_xll.ciqfunctions.udf.CIQ($AI29, "IQ_TR_TARGET_EBIT", , $AJ$4,$AJ$5)</f>
        <v>#NAME?</v>
      </c>
      <c r="Q29" s="153"/>
      <c r="R29" s="154" t="str">
        <f t="shared" ca="1" si="0"/>
        <v>n/a</v>
      </c>
      <c r="S29" s="154" t="str">
        <f t="shared" ca="1" si="0"/>
        <v>n/a</v>
      </c>
      <c r="T29" s="154" t="str">
        <f t="shared" ca="1" si="0"/>
        <v>n/a</v>
      </c>
      <c r="U29" s="154" t="e">
        <f ca="1">IF(_xll.ciqfunctions.udf.CIQ($AI29, "IQ_TR_IMPLIED_EQ_BV")=0,"NA",_xll.ciqfunctions.udf.CIQ($AI29, "IQ_TR_IMPLIED_EQ_BV"))</f>
        <v>#NAME?</v>
      </c>
      <c r="V29" s="154" t="e">
        <f ca="1">IF(_xll.ciqfunctions.udf.CIQ($AI29, "IQ_TR_IMPLIED_EQ_NI_LTM")=0,"NA",_xll.ciqfunctions.udf.CIQ($AI29, "IQ_TR_IMPLIED_EQ_NI_LTM"))</f>
        <v>#NAME?</v>
      </c>
      <c r="W29" s="153"/>
      <c r="X29" s="152" t="e">
        <f ca="1">_xll.ciqfunctions.udf.CIQ($AI29, "IQ_TR_TARGET_REVENUE_EST",, $AJ$4,$AJ$5)</f>
        <v>#NAME?</v>
      </c>
      <c r="Y29" s="152" t="e">
        <f ca="1">_xll.ciqfunctions.udf.CIQ($AI29, "IQ_TR_TARGET_EBITDA_EST",, $AJ$4,$AJ$5)</f>
        <v>#NAME?</v>
      </c>
      <c r="Z29" s="152" t="e">
        <f ca="1">_xll.ciqfunctions.udf.CIQ(AI29, "IQ_TR_IMPLIED_EV_EBIT_FWD")</f>
        <v>#NAME?</v>
      </c>
      <c r="AA29" s="153"/>
      <c r="AB29" s="154" t="str">
        <f t="shared" ca="1" si="1"/>
        <v>n/a</v>
      </c>
      <c r="AC29" s="154" t="str">
        <f t="shared" ca="1" si="1"/>
        <v>n/a</v>
      </c>
      <c r="AD29" s="154" t="str">
        <f t="shared" ca="1" si="1"/>
        <v>n/a</v>
      </c>
      <c r="AF29" s="155" t="e">
        <f ca="1">IF((_xll.ciqfunctions.udf.CIQ($AI29, "IQ_TR_TARGET_STOCKPREMIUM_1W")/100)&lt;=0,"NM",_xll.ciqfunctions.udf.CIQ($AI29, "IQ_TR_TARGET_STOCKPREMIUM_1W")/100)</f>
        <v>#NAME?</v>
      </c>
      <c r="AG29" s="155" t="e">
        <f ca="1">IF((_xll.ciqfunctions.udf.CIQ($AI29, "IQ_TR_TARGET_STOCKPREMIUM_1M")/100)&lt;=0,"NM",_xll.ciqfunctions.udf.CIQ($AI29, "IQ_TR_TARGET_STOCKPREMIUM_1M")/100)</f>
        <v>#NAME?</v>
      </c>
      <c r="AI29" s="156">
        <f>+'Capital IQ Sheet-STM'!AK29</f>
        <v>0</v>
      </c>
      <c r="AJ29" s="149" t="e">
        <f ca="1">_xll.ciqfunctions.udf.CIQ(AI29, "IQ_BUSINESS_DESCRIPTION")</f>
        <v>#NAME?</v>
      </c>
    </row>
    <row r="30" spans="2:36" s="149" customFormat="1" ht="12.75" customHeight="1">
      <c r="B30" s="148"/>
      <c r="F30" s="150"/>
      <c r="G30" s="151"/>
      <c r="I30" s="152"/>
      <c r="J30" s="152"/>
      <c r="K30" s="152"/>
      <c r="L30" s="152"/>
      <c r="M30" s="153"/>
      <c r="N30" s="152"/>
      <c r="O30" s="152"/>
      <c r="P30" s="152"/>
      <c r="Q30" s="153"/>
      <c r="R30" s="154"/>
      <c r="S30" s="154"/>
      <c r="T30" s="154"/>
      <c r="U30" s="154"/>
      <c r="V30" s="154"/>
      <c r="W30" s="153"/>
      <c r="X30" s="152"/>
      <c r="Y30" s="152"/>
      <c r="Z30" s="152"/>
      <c r="AA30" s="153"/>
      <c r="AB30" s="154"/>
      <c r="AC30" s="154"/>
      <c r="AD30" s="154"/>
      <c r="AF30" s="155"/>
      <c r="AG30" s="155"/>
      <c r="AI30" s="156">
        <f>+'Capital IQ Sheet-STM'!AK30</f>
        <v>0</v>
      </c>
    </row>
    <row r="31" spans="2:36" s="149" customFormat="1" ht="12.75" customHeight="1">
      <c r="B31" s="148"/>
      <c r="F31" s="150"/>
      <c r="G31" s="151"/>
      <c r="I31" s="152"/>
      <c r="J31" s="152"/>
      <c r="K31" s="152"/>
      <c r="L31" s="152"/>
      <c r="M31" s="153"/>
      <c r="N31" s="152"/>
      <c r="O31" s="152"/>
      <c r="P31" s="152"/>
      <c r="Q31" s="153"/>
      <c r="R31" s="154"/>
      <c r="S31" s="154"/>
      <c r="T31" s="154"/>
      <c r="U31" s="154"/>
      <c r="V31" s="154"/>
      <c r="W31" s="153"/>
      <c r="X31" s="152"/>
      <c r="Y31" s="152"/>
      <c r="Z31" s="152"/>
      <c r="AA31" s="153"/>
      <c r="AB31" s="154"/>
      <c r="AC31" s="154"/>
      <c r="AD31" s="154"/>
      <c r="AF31" s="155"/>
      <c r="AG31" s="155"/>
      <c r="AI31" s="156">
        <f>+'Capital IQ Sheet-STM'!AK31</f>
        <v>0</v>
      </c>
    </row>
    <row r="32" spans="2:36" s="149" customFormat="1" ht="12.75" customHeight="1">
      <c r="B32" s="148"/>
      <c r="F32" s="150"/>
      <c r="G32" s="151"/>
      <c r="I32" s="152"/>
      <c r="J32" s="152"/>
      <c r="K32" s="152"/>
      <c r="L32" s="152"/>
      <c r="M32" s="153"/>
      <c r="N32" s="152"/>
      <c r="O32" s="152"/>
      <c r="P32" s="152"/>
      <c r="Q32" s="153"/>
      <c r="R32" s="154"/>
      <c r="S32" s="154"/>
      <c r="T32" s="154"/>
      <c r="U32" s="154"/>
      <c r="V32" s="154"/>
      <c r="W32" s="153"/>
      <c r="X32" s="152"/>
      <c r="Y32" s="152"/>
      <c r="Z32" s="152"/>
      <c r="AA32" s="153"/>
      <c r="AB32" s="154"/>
      <c r="AC32" s="154"/>
      <c r="AD32" s="154"/>
      <c r="AF32" s="155"/>
      <c r="AG32" s="155"/>
      <c r="AI32" s="156">
        <f>+'Capital IQ Sheet-STM'!AK32</f>
        <v>0</v>
      </c>
    </row>
    <row r="33" spans="2:35" s="149" customFormat="1" ht="12.75" customHeight="1">
      <c r="B33" s="148"/>
      <c r="F33" s="150"/>
      <c r="G33" s="151"/>
      <c r="I33" s="152"/>
      <c r="J33" s="152"/>
      <c r="K33" s="152"/>
      <c r="L33" s="152"/>
      <c r="M33" s="153"/>
      <c r="N33" s="152"/>
      <c r="O33" s="152"/>
      <c r="P33" s="152"/>
      <c r="Q33" s="153"/>
      <c r="R33" s="154"/>
      <c r="S33" s="154"/>
      <c r="T33" s="154"/>
      <c r="U33" s="154"/>
      <c r="V33" s="154"/>
      <c r="W33" s="153"/>
      <c r="X33" s="152"/>
      <c r="Y33" s="152"/>
      <c r="Z33" s="152"/>
      <c r="AA33" s="153"/>
      <c r="AB33" s="154"/>
      <c r="AC33" s="154"/>
      <c r="AD33" s="154"/>
      <c r="AF33" s="155"/>
      <c r="AG33" s="155"/>
      <c r="AI33" s="156">
        <f>+'Capital IQ Sheet-STM'!AK33</f>
        <v>0</v>
      </c>
    </row>
    <row r="34" spans="2:35" s="149" customFormat="1" ht="12.75" customHeight="1">
      <c r="B34" s="148"/>
      <c r="F34" s="150"/>
      <c r="G34" s="151"/>
      <c r="I34" s="152"/>
      <c r="J34" s="152"/>
      <c r="K34" s="152"/>
      <c r="L34" s="152"/>
      <c r="M34" s="153"/>
      <c r="N34" s="152"/>
      <c r="O34" s="152"/>
      <c r="P34" s="152"/>
      <c r="Q34" s="153"/>
      <c r="R34" s="154"/>
      <c r="S34" s="154"/>
      <c r="T34" s="154"/>
      <c r="U34" s="154"/>
      <c r="V34" s="154"/>
      <c r="W34" s="153"/>
      <c r="X34" s="152"/>
      <c r="Y34" s="152"/>
      <c r="Z34" s="152"/>
      <c r="AA34" s="153"/>
      <c r="AB34" s="154"/>
      <c r="AC34" s="154"/>
      <c r="AD34" s="154"/>
      <c r="AF34" s="155"/>
      <c r="AG34" s="155"/>
      <c r="AI34" s="156">
        <f>+'Capital IQ Sheet-STM'!AK34</f>
        <v>0</v>
      </c>
    </row>
    <row r="35" spans="2:35" s="149" customFormat="1" ht="12.75" customHeight="1">
      <c r="B35" s="148"/>
      <c r="F35" s="150"/>
      <c r="G35" s="151"/>
      <c r="I35" s="152"/>
      <c r="J35" s="152"/>
      <c r="K35" s="152"/>
      <c r="L35" s="152"/>
      <c r="M35" s="153"/>
      <c r="N35" s="152"/>
      <c r="O35" s="152"/>
      <c r="P35" s="152"/>
      <c r="Q35" s="153"/>
      <c r="R35" s="154"/>
      <c r="S35" s="154"/>
      <c r="T35" s="154"/>
      <c r="U35" s="154"/>
      <c r="V35" s="154"/>
      <c r="W35" s="153"/>
      <c r="X35" s="152"/>
      <c r="Y35" s="152"/>
      <c r="Z35" s="152"/>
      <c r="AA35" s="153"/>
      <c r="AB35" s="154"/>
      <c r="AC35" s="154"/>
      <c r="AD35" s="154"/>
      <c r="AF35" s="155"/>
      <c r="AG35" s="155"/>
      <c r="AI35" s="156">
        <f>+'Capital IQ Sheet-STM'!AK35</f>
        <v>0</v>
      </c>
    </row>
    <row r="36" spans="2:35" s="149" customFormat="1" ht="12.75" customHeight="1">
      <c r="B36" s="148"/>
      <c r="F36" s="150"/>
      <c r="G36" s="151"/>
      <c r="I36" s="152"/>
      <c r="J36" s="152"/>
      <c r="K36" s="152"/>
      <c r="L36" s="152"/>
      <c r="M36" s="153"/>
      <c r="N36" s="152"/>
      <c r="O36" s="152"/>
      <c r="P36" s="152"/>
      <c r="Q36" s="153"/>
      <c r="R36" s="154"/>
      <c r="S36" s="154"/>
      <c r="T36" s="154"/>
      <c r="U36" s="154"/>
      <c r="V36" s="154"/>
      <c r="W36" s="153"/>
      <c r="X36" s="152"/>
      <c r="Y36" s="152"/>
      <c r="Z36" s="152"/>
      <c r="AA36" s="153"/>
      <c r="AB36" s="154"/>
      <c r="AC36" s="154"/>
      <c r="AD36" s="154"/>
      <c r="AF36" s="155"/>
      <c r="AG36" s="155"/>
      <c r="AI36" s="156">
        <f>+'Capital IQ Sheet-STM'!AK36</f>
        <v>0</v>
      </c>
    </row>
    <row r="37" spans="2:35" s="149" customFormat="1" ht="12.75" customHeight="1">
      <c r="B37" s="148"/>
      <c r="F37" s="150"/>
      <c r="G37" s="151"/>
      <c r="I37" s="152"/>
      <c r="J37" s="152"/>
      <c r="K37" s="152"/>
      <c r="L37" s="152"/>
      <c r="M37" s="153"/>
      <c r="N37" s="152"/>
      <c r="O37" s="152"/>
      <c r="P37" s="152"/>
      <c r="Q37" s="153"/>
      <c r="R37" s="154"/>
      <c r="S37" s="154"/>
      <c r="T37" s="154"/>
      <c r="U37" s="154"/>
      <c r="V37" s="154"/>
      <c r="W37" s="153"/>
      <c r="X37" s="152"/>
      <c r="Y37" s="152"/>
      <c r="Z37" s="152"/>
      <c r="AA37" s="153"/>
      <c r="AB37" s="154"/>
      <c r="AC37" s="154"/>
      <c r="AD37" s="154"/>
      <c r="AF37" s="155"/>
      <c r="AG37" s="155"/>
      <c r="AI37" s="156">
        <f>+'Capital IQ Sheet-STM'!AK37</f>
        <v>0</v>
      </c>
    </row>
    <row r="38" spans="2:35" s="149" customFormat="1" ht="12.75" customHeight="1">
      <c r="B38" s="148"/>
      <c r="F38" s="150"/>
      <c r="G38" s="151"/>
      <c r="I38" s="152"/>
      <c r="J38" s="152"/>
      <c r="K38" s="152"/>
      <c r="L38" s="152"/>
      <c r="M38" s="153"/>
      <c r="N38" s="152"/>
      <c r="O38" s="152"/>
      <c r="P38" s="152"/>
      <c r="Q38" s="153"/>
      <c r="R38" s="154"/>
      <c r="S38" s="154"/>
      <c r="T38" s="154"/>
      <c r="U38" s="154"/>
      <c r="V38" s="154"/>
      <c r="W38" s="153"/>
      <c r="X38" s="152"/>
      <c r="Y38" s="152"/>
      <c r="Z38" s="152"/>
      <c r="AA38" s="153"/>
      <c r="AB38" s="154"/>
      <c r="AC38" s="154"/>
      <c r="AD38" s="154"/>
      <c r="AF38" s="155"/>
      <c r="AG38" s="155"/>
      <c r="AI38" s="156">
        <f>+'Capital IQ Sheet-STM'!AK38</f>
        <v>0</v>
      </c>
    </row>
    <row r="39" spans="2:35" s="149" customFormat="1" ht="12.75" customHeight="1">
      <c r="B39" s="148"/>
      <c r="F39" s="150"/>
      <c r="G39" s="151"/>
      <c r="I39" s="152"/>
      <c r="J39" s="152"/>
      <c r="K39" s="152"/>
      <c r="L39" s="152"/>
      <c r="M39" s="153"/>
      <c r="N39" s="152"/>
      <c r="O39" s="152"/>
      <c r="P39" s="152"/>
      <c r="Q39" s="153"/>
      <c r="R39" s="154"/>
      <c r="S39" s="154"/>
      <c r="T39" s="154"/>
      <c r="U39" s="154"/>
      <c r="V39" s="154"/>
      <c r="W39" s="153"/>
      <c r="X39" s="152"/>
      <c r="Y39" s="152"/>
      <c r="Z39" s="152"/>
      <c r="AA39" s="153"/>
      <c r="AB39" s="154"/>
      <c r="AC39" s="154"/>
      <c r="AD39" s="154"/>
      <c r="AF39" s="155"/>
      <c r="AG39" s="155"/>
      <c r="AI39" s="156">
        <f>+'Capital IQ Sheet-STM'!AK39</f>
        <v>0</v>
      </c>
    </row>
    <row r="40" spans="2:35" s="149" customFormat="1" ht="12.75" customHeight="1">
      <c r="B40" s="148"/>
      <c r="F40" s="150"/>
      <c r="G40" s="151"/>
      <c r="I40" s="152"/>
      <c r="J40" s="152"/>
      <c r="K40" s="152"/>
      <c r="L40" s="152"/>
      <c r="M40" s="153"/>
      <c r="N40" s="152"/>
      <c r="O40" s="152"/>
      <c r="P40" s="152"/>
      <c r="Q40" s="153"/>
      <c r="R40" s="154"/>
      <c r="S40" s="154"/>
      <c r="T40" s="154"/>
      <c r="U40" s="154"/>
      <c r="V40" s="154"/>
      <c r="W40" s="153"/>
      <c r="X40" s="152"/>
      <c r="Y40" s="152"/>
      <c r="Z40" s="152"/>
      <c r="AA40" s="153"/>
      <c r="AB40" s="154"/>
      <c r="AC40" s="154"/>
      <c r="AD40" s="154"/>
      <c r="AF40" s="155"/>
      <c r="AG40" s="155"/>
      <c r="AI40" s="156">
        <f>+'Capital IQ Sheet-STM'!AK40</f>
        <v>0</v>
      </c>
    </row>
    <row r="41" spans="2:35" s="149" customFormat="1" ht="12.75" customHeight="1">
      <c r="B41" s="148"/>
      <c r="F41" s="150"/>
      <c r="G41" s="151"/>
      <c r="I41" s="152"/>
      <c r="J41" s="152"/>
      <c r="K41" s="152"/>
      <c r="L41" s="152"/>
      <c r="M41" s="153"/>
      <c r="N41" s="152"/>
      <c r="O41" s="152"/>
      <c r="P41" s="152"/>
      <c r="Q41" s="153"/>
      <c r="R41" s="154"/>
      <c r="S41" s="154"/>
      <c r="T41" s="154"/>
      <c r="U41" s="154"/>
      <c r="V41" s="154"/>
      <c r="W41" s="153"/>
      <c r="X41" s="152"/>
      <c r="Y41" s="152"/>
      <c r="Z41" s="152"/>
      <c r="AA41" s="153"/>
      <c r="AB41" s="154"/>
      <c r="AC41" s="154"/>
      <c r="AD41" s="154"/>
      <c r="AF41" s="155"/>
      <c r="AG41" s="155"/>
      <c r="AI41" s="156"/>
    </row>
    <row r="42" spans="2:35" s="149" customFormat="1" ht="12.75" customHeight="1">
      <c r="B42" s="148"/>
      <c r="F42" s="150"/>
      <c r="G42" s="151"/>
      <c r="I42" s="152"/>
      <c r="J42" s="152"/>
      <c r="K42" s="152"/>
      <c r="L42" s="152"/>
      <c r="M42" s="153"/>
      <c r="N42" s="152"/>
      <c r="O42" s="152"/>
      <c r="P42" s="152"/>
      <c r="Q42" s="153"/>
      <c r="R42" s="154"/>
      <c r="S42" s="154"/>
      <c r="T42" s="154"/>
      <c r="U42" s="154"/>
      <c r="V42" s="154"/>
      <c r="W42" s="153"/>
      <c r="X42" s="152"/>
      <c r="Y42" s="152"/>
      <c r="Z42" s="152"/>
      <c r="AA42" s="153"/>
      <c r="AB42" s="154"/>
      <c r="AC42" s="154"/>
      <c r="AD42" s="154"/>
      <c r="AF42" s="155"/>
      <c r="AG42" s="155"/>
      <c r="AI42" s="156"/>
    </row>
    <row r="43" spans="2:35" s="149" customFormat="1" ht="12.75" customHeight="1">
      <c r="B43" s="148"/>
      <c r="F43" s="150"/>
      <c r="G43" s="151"/>
      <c r="I43" s="152"/>
      <c r="J43" s="152"/>
      <c r="K43" s="152"/>
      <c r="L43" s="152"/>
      <c r="M43" s="153"/>
      <c r="N43" s="152"/>
      <c r="O43" s="152"/>
      <c r="P43" s="152"/>
      <c r="Q43" s="153"/>
      <c r="R43" s="154"/>
      <c r="S43" s="154"/>
      <c r="T43" s="154"/>
      <c r="U43" s="154"/>
      <c r="V43" s="154"/>
      <c r="W43" s="153"/>
      <c r="X43" s="152"/>
      <c r="Y43" s="152"/>
      <c r="Z43" s="152"/>
      <c r="AA43" s="153"/>
      <c r="AB43" s="154"/>
      <c r="AC43" s="154"/>
      <c r="AD43" s="154"/>
      <c r="AF43" s="155"/>
      <c r="AG43" s="155"/>
      <c r="AI43" s="156"/>
    </row>
    <row r="44" spans="2:35" s="149" customFormat="1" ht="12.75" customHeight="1">
      <c r="B44" s="148"/>
      <c r="F44" s="150"/>
      <c r="G44" s="151"/>
      <c r="I44" s="152"/>
      <c r="J44" s="152"/>
      <c r="K44" s="152"/>
      <c r="L44" s="152"/>
      <c r="M44" s="153"/>
      <c r="N44" s="152"/>
      <c r="O44" s="152"/>
      <c r="P44" s="152"/>
      <c r="Q44" s="153"/>
      <c r="R44" s="154"/>
      <c r="S44" s="154"/>
      <c r="T44" s="154"/>
      <c r="U44" s="154"/>
      <c r="V44" s="154"/>
      <c r="W44" s="153"/>
      <c r="X44" s="152"/>
      <c r="Y44" s="152"/>
      <c r="Z44" s="152"/>
      <c r="AA44" s="153"/>
      <c r="AB44" s="154"/>
      <c r="AC44" s="154"/>
      <c r="AD44" s="154"/>
      <c r="AF44" s="155"/>
      <c r="AG44" s="155"/>
      <c r="AI44" s="156"/>
    </row>
    <row r="45" spans="2:35" s="134" customFormat="1" ht="12.75" customHeight="1"/>
    <row r="46" spans="2:35" s="134" customFormat="1" ht="12.75" customHeight="1"/>
    <row r="47" spans="2:35" s="134" customFormat="1" ht="12.75" customHeight="1">
      <c r="B47" s="157" t="s">
        <v>111</v>
      </c>
      <c r="C47" s="158"/>
      <c r="D47" s="158"/>
      <c r="E47" s="158"/>
      <c r="F47" s="158"/>
      <c r="G47" s="158"/>
      <c r="H47" s="158"/>
      <c r="I47" s="159" t="e">
        <f ca="1">MAX(I10:I45)</f>
        <v>#NAME?</v>
      </c>
      <c r="J47" s="182"/>
      <c r="K47" s="182"/>
      <c r="L47" s="159"/>
      <c r="M47" s="158"/>
      <c r="N47" s="159" t="e">
        <f ca="1">MAX(N10:N45)</f>
        <v>#NAME?</v>
      </c>
      <c r="O47" s="159" t="e">
        <f ca="1">MAX(O10:O45)</f>
        <v>#NAME?</v>
      </c>
      <c r="P47" s="159" t="e">
        <f ca="1">MAX(P10:P45)</f>
        <v>#NAME?</v>
      </c>
      <c r="Q47" s="160"/>
      <c r="R47" s="161">
        <f ca="1">MAX(R10:R45)</f>
        <v>0</v>
      </c>
      <c r="S47" s="161">
        <f ca="1">MAX(S10:S45)</f>
        <v>0</v>
      </c>
      <c r="T47" s="161">
        <f ca="1">MAX(T10:T45)</f>
        <v>0</v>
      </c>
      <c r="U47" s="161" t="e">
        <f ca="1">MAX(U10:U45)</f>
        <v>#NAME?</v>
      </c>
      <c r="V47" s="161" t="e">
        <f ca="1">MAX(V10:V45)</f>
        <v>#NAME?</v>
      </c>
      <c r="W47" s="158"/>
      <c r="X47" s="159" t="e">
        <f ca="1">MAX(X10:X45)</f>
        <v>#NAME?</v>
      </c>
      <c r="Y47" s="159" t="e">
        <f ca="1">MAX(Y10:Y45)</f>
        <v>#NAME?</v>
      </c>
      <c r="Z47" s="159" t="e">
        <f ca="1">MAX(Z10:Z45)</f>
        <v>#NAME?</v>
      </c>
      <c r="AA47" s="158"/>
      <c r="AB47" s="161">
        <f ca="1">MAX(AB10:AB45)</f>
        <v>0</v>
      </c>
      <c r="AC47" s="161">
        <f ca="1">MAX(AC10:AC45)</f>
        <v>0</v>
      </c>
      <c r="AD47" s="161">
        <f ca="1">MAX(AD10:AD45)</f>
        <v>0</v>
      </c>
      <c r="AE47" s="158"/>
      <c r="AF47" s="162" t="e">
        <f ca="1">MAX(AF10:AF45)</f>
        <v>#NAME?</v>
      </c>
      <c r="AG47" s="163" t="e">
        <f ca="1">MAX(AG10:AG45)</f>
        <v>#NAME?</v>
      </c>
    </row>
    <row r="48" spans="2:35" s="134" customFormat="1" ht="12.75" customHeight="1">
      <c r="B48" s="164" t="s">
        <v>115</v>
      </c>
      <c r="C48" s="165"/>
      <c r="D48" s="165"/>
      <c r="E48" s="165"/>
      <c r="F48" s="165"/>
      <c r="G48" s="165"/>
      <c r="H48" s="165"/>
      <c r="I48" s="166" t="e">
        <f ca="1">QUARTILE(I10:I45,3)</f>
        <v>#NAME?</v>
      </c>
      <c r="J48" s="166"/>
      <c r="K48" s="166"/>
      <c r="L48" s="166"/>
      <c r="M48" s="165"/>
      <c r="N48" s="166" t="e">
        <f ca="1">QUARTILE(N10:N45,3)</f>
        <v>#NAME?</v>
      </c>
      <c r="O48" s="166" t="e">
        <f ca="1">QUARTILE(O10:O45,3)</f>
        <v>#NAME?</v>
      </c>
      <c r="P48" s="166" t="e">
        <f ca="1">QUARTILE(P10:P45,3)</f>
        <v>#NAME?</v>
      </c>
      <c r="Q48" s="167"/>
      <c r="R48" s="168" t="e">
        <f ca="1">QUARTILE(R10:R45,3)</f>
        <v>#NUM!</v>
      </c>
      <c r="S48" s="168" t="e">
        <f ca="1">QUARTILE(S10:S45,3)</f>
        <v>#NUM!</v>
      </c>
      <c r="T48" s="168" t="e">
        <f ca="1">QUARTILE(T10:T45,3)</f>
        <v>#NUM!</v>
      </c>
      <c r="U48" s="168" t="e">
        <f ca="1">QUARTILE(U10:U45,3)</f>
        <v>#NAME?</v>
      </c>
      <c r="V48" s="168" t="e">
        <f ca="1">QUARTILE(V10:V45,3)</f>
        <v>#NAME?</v>
      </c>
      <c r="W48" s="165"/>
      <c r="X48" s="166" t="e">
        <f ca="1">QUARTILE(X10:X45,3)</f>
        <v>#NAME?</v>
      </c>
      <c r="Y48" s="166" t="e">
        <f ca="1">QUARTILE(Y10:Y45,3)</f>
        <v>#NAME?</v>
      </c>
      <c r="Z48" s="166" t="e">
        <f ca="1">QUARTILE(Z10:Z45,3)</f>
        <v>#NAME?</v>
      </c>
      <c r="AA48" s="165"/>
      <c r="AB48" s="168" t="e">
        <f ca="1">QUARTILE(AB10:AB45,3)</f>
        <v>#NUM!</v>
      </c>
      <c r="AC48" s="168" t="e">
        <f ca="1">QUARTILE(AC10:AC45,3)</f>
        <v>#NUM!</v>
      </c>
      <c r="AD48" s="168" t="e">
        <f ca="1">QUARTILE(AD10:AD45,3)</f>
        <v>#NUM!</v>
      </c>
      <c r="AE48" s="165"/>
      <c r="AF48" s="169" t="e">
        <f ca="1">QUARTILE(AF10:AF45,3)</f>
        <v>#NAME?</v>
      </c>
      <c r="AG48" s="170" t="e">
        <f ca="1">QUARTILE(AG10:AG45,3)</f>
        <v>#NAME?</v>
      </c>
    </row>
    <row r="49" spans="2:33" s="134" customFormat="1" ht="12.75" customHeight="1">
      <c r="B49" s="164" t="s">
        <v>113</v>
      </c>
      <c r="C49" s="165"/>
      <c r="D49" s="165"/>
      <c r="E49" s="165"/>
      <c r="F49" s="165"/>
      <c r="G49" s="165"/>
      <c r="H49" s="165"/>
      <c r="I49" s="166" t="e">
        <f ca="1">AVERAGE(I10:I45)</f>
        <v>#NAME?</v>
      </c>
      <c r="J49" s="166"/>
      <c r="K49" s="166"/>
      <c r="L49" s="166"/>
      <c r="M49" s="165"/>
      <c r="N49" s="166" t="e">
        <f ca="1">AVERAGE(N10:N45)</f>
        <v>#NAME?</v>
      </c>
      <c r="O49" s="166" t="e">
        <f ca="1">AVERAGE(O10:O45)</f>
        <v>#NAME?</v>
      </c>
      <c r="P49" s="166" t="e">
        <f ca="1">AVERAGE(P10:P45)</f>
        <v>#NAME?</v>
      </c>
      <c r="Q49" s="167"/>
      <c r="R49" s="168" t="e">
        <f ca="1">AVERAGE(R10:R45)</f>
        <v>#DIV/0!</v>
      </c>
      <c r="S49" s="168" t="e">
        <f ca="1">AVERAGE(S10:S45)</f>
        <v>#DIV/0!</v>
      </c>
      <c r="T49" s="168" t="e">
        <f ca="1">AVERAGE(T10:T45)</f>
        <v>#DIV/0!</v>
      </c>
      <c r="U49" s="168" t="e">
        <f ca="1">AVERAGE(U10:U45)</f>
        <v>#NAME?</v>
      </c>
      <c r="V49" s="168" t="e">
        <f ca="1">AVERAGE(V10:V45)</f>
        <v>#NAME?</v>
      </c>
      <c r="W49" s="165"/>
      <c r="X49" s="166" t="e">
        <f ca="1">AVERAGE(X10:X45)</f>
        <v>#NAME?</v>
      </c>
      <c r="Y49" s="166" t="e">
        <f ca="1">AVERAGE(Y10:Y45)</f>
        <v>#NAME?</v>
      </c>
      <c r="Z49" s="166" t="e">
        <f ca="1">AVERAGE(Z10:Z45)</f>
        <v>#NAME?</v>
      </c>
      <c r="AA49" s="165"/>
      <c r="AB49" s="168" t="e">
        <f ca="1">AVERAGE(AB10:AB45)</f>
        <v>#DIV/0!</v>
      </c>
      <c r="AC49" s="168" t="e">
        <f ca="1">AVERAGE(AC10:AC45)</f>
        <v>#DIV/0!</v>
      </c>
      <c r="AD49" s="168" t="e">
        <f ca="1">AVERAGE(AD10:AD45)</f>
        <v>#DIV/0!</v>
      </c>
      <c r="AE49" s="165"/>
      <c r="AF49" s="169" t="e">
        <f ca="1">AVERAGE(AF10:AF45)</f>
        <v>#NAME?</v>
      </c>
      <c r="AG49" s="170" t="e">
        <f ca="1">AVERAGE(AG10:AG45)</f>
        <v>#NAME?</v>
      </c>
    </row>
    <row r="50" spans="2:33" s="134" customFormat="1" ht="12.75" customHeight="1">
      <c r="B50" s="164" t="s">
        <v>44</v>
      </c>
      <c r="C50" s="165"/>
      <c r="D50" s="165"/>
      <c r="E50" s="165"/>
      <c r="F50" s="165"/>
      <c r="G50" s="165"/>
      <c r="H50" s="165"/>
      <c r="I50" s="166" t="e">
        <f ca="1">MEDIAN(I10:I45)</f>
        <v>#NAME?</v>
      </c>
      <c r="J50" s="166"/>
      <c r="K50" s="166"/>
      <c r="L50" s="166"/>
      <c r="M50" s="165"/>
      <c r="N50" s="166" t="e">
        <f ca="1">MEDIAN(N10:N45)</f>
        <v>#NAME?</v>
      </c>
      <c r="O50" s="166" t="e">
        <f ca="1">MEDIAN(O10:O45)</f>
        <v>#NAME?</v>
      </c>
      <c r="P50" s="166" t="e">
        <f ca="1">MEDIAN(P10:P45)</f>
        <v>#NAME?</v>
      </c>
      <c r="Q50" s="167"/>
      <c r="R50" s="168" t="e">
        <f ca="1">MEDIAN(R10:R45)</f>
        <v>#NUM!</v>
      </c>
      <c r="S50" s="168" t="e">
        <f ca="1">MEDIAN(S10:S45)</f>
        <v>#NUM!</v>
      </c>
      <c r="T50" s="168" t="e">
        <f ca="1">MEDIAN(T10:T45)</f>
        <v>#NUM!</v>
      </c>
      <c r="U50" s="168" t="e">
        <f ca="1">MEDIAN(U10:U45)</f>
        <v>#NAME?</v>
      </c>
      <c r="V50" s="168" t="e">
        <f ca="1">MEDIAN(V10:V45)</f>
        <v>#NAME?</v>
      </c>
      <c r="W50" s="165"/>
      <c r="X50" s="166" t="e">
        <f ca="1">MEDIAN(X10:X45)</f>
        <v>#NAME?</v>
      </c>
      <c r="Y50" s="166" t="e">
        <f ca="1">MEDIAN(Y10:Y45)</f>
        <v>#NAME?</v>
      </c>
      <c r="Z50" s="166" t="e">
        <f ca="1">MEDIAN(Z10:Z45)</f>
        <v>#NAME?</v>
      </c>
      <c r="AA50" s="165"/>
      <c r="AB50" s="168" t="e">
        <f ca="1">MEDIAN(AB10:AB45)</f>
        <v>#NUM!</v>
      </c>
      <c r="AC50" s="168" t="e">
        <f ca="1">MEDIAN(AC10:AC45)</f>
        <v>#NUM!</v>
      </c>
      <c r="AD50" s="168" t="e">
        <f ca="1">MEDIAN(AD10:AD45)</f>
        <v>#NUM!</v>
      </c>
      <c r="AE50" s="165"/>
      <c r="AF50" s="169" t="e">
        <f ca="1">MEDIAN(AF10:AF45)</f>
        <v>#NAME?</v>
      </c>
      <c r="AG50" s="170" t="e">
        <f ca="1">MEDIAN(AG10:AG45)</f>
        <v>#NAME?</v>
      </c>
    </row>
    <row r="51" spans="2:33" s="134" customFormat="1" ht="12.75" customHeight="1">
      <c r="B51" s="164" t="s">
        <v>114</v>
      </c>
      <c r="C51" s="165"/>
      <c r="D51" s="165"/>
      <c r="E51" s="165"/>
      <c r="F51" s="165"/>
      <c r="G51" s="165"/>
      <c r="H51" s="165"/>
      <c r="I51" s="166" t="e">
        <f ca="1">QUARTILE(I10:I45,1)</f>
        <v>#NAME?</v>
      </c>
      <c r="J51" s="166"/>
      <c r="K51" s="166"/>
      <c r="L51" s="166"/>
      <c r="M51" s="165"/>
      <c r="N51" s="166" t="e">
        <f ca="1">QUARTILE(N10:N45,1)</f>
        <v>#NAME?</v>
      </c>
      <c r="O51" s="166" t="e">
        <f ca="1">QUARTILE(O10:O45,1)</f>
        <v>#NAME?</v>
      </c>
      <c r="P51" s="166" t="e">
        <f ca="1">QUARTILE(P10:P45,1)</f>
        <v>#NAME?</v>
      </c>
      <c r="Q51" s="167"/>
      <c r="R51" s="168" t="e">
        <f ca="1">QUARTILE(R10:R45,1)</f>
        <v>#NUM!</v>
      </c>
      <c r="S51" s="168" t="e">
        <f ca="1">QUARTILE(S10:S45,1)</f>
        <v>#NUM!</v>
      </c>
      <c r="T51" s="168" t="e">
        <f ca="1">QUARTILE(T10:T45,1)</f>
        <v>#NUM!</v>
      </c>
      <c r="U51" s="168" t="e">
        <f ca="1">QUARTILE(U10:U45,1)</f>
        <v>#NAME?</v>
      </c>
      <c r="V51" s="168" t="e">
        <f ca="1">QUARTILE(V10:V45,1)</f>
        <v>#NAME?</v>
      </c>
      <c r="W51" s="165"/>
      <c r="X51" s="166" t="e">
        <f ca="1">QUARTILE(X10:X45,1)</f>
        <v>#NAME?</v>
      </c>
      <c r="Y51" s="166" t="e">
        <f ca="1">QUARTILE(Y10:Y45,1)</f>
        <v>#NAME?</v>
      </c>
      <c r="Z51" s="166" t="e">
        <f ca="1">QUARTILE(Z10:Z45,1)</f>
        <v>#NAME?</v>
      </c>
      <c r="AA51" s="165"/>
      <c r="AB51" s="168" t="e">
        <f ca="1">QUARTILE(AB10:AB45,1)</f>
        <v>#NUM!</v>
      </c>
      <c r="AC51" s="168" t="e">
        <f ca="1">QUARTILE(AC10:AC45,1)</f>
        <v>#NUM!</v>
      </c>
      <c r="AD51" s="168" t="e">
        <f ca="1">QUARTILE(AD10:AD45,1)</f>
        <v>#NUM!</v>
      </c>
      <c r="AE51" s="165"/>
      <c r="AF51" s="169" t="e">
        <f ca="1">QUARTILE(AF10:AF45,1)</f>
        <v>#NAME?</v>
      </c>
      <c r="AG51" s="170" t="e">
        <f ca="1">QUARTILE(AG10:AG45,1)</f>
        <v>#NAME?</v>
      </c>
    </row>
    <row r="52" spans="2:33" s="134" customFormat="1" ht="12.75" customHeight="1">
      <c r="B52" s="171" t="s">
        <v>112</v>
      </c>
      <c r="C52" s="172"/>
      <c r="D52" s="172"/>
      <c r="E52" s="172"/>
      <c r="F52" s="172"/>
      <c r="G52" s="172"/>
      <c r="H52" s="172"/>
      <c r="I52" s="173" t="e">
        <f ca="1">MIN(I10:I45)</f>
        <v>#NAME?</v>
      </c>
      <c r="J52" s="173"/>
      <c r="K52" s="173"/>
      <c r="L52" s="173"/>
      <c r="M52" s="172"/>
      <c r="N52" s="173" t="e">
        <f ca="1">MIN(N10:N45)</f>
        <v>#NAME?</v>
      </c>
      <c r="O52" s="173" t="e">
        <f ca="1">MIN(O10:O45)</f>
        <v>#NAME?</v>
      </c>
      <c r="P52" s="173" t="e">
        <f ca="1">MIN(P10:P45)</f>
        <v>#NAME?</v>
      </c>
      <c r="Q52" s="174"/>
      <c r="R52" s="175">
        <f ca="1">MIN(R10:R45)</f>
        <v>0</v>
      </c>
      <c r="S52" s="175">
        <f ca="1">MIN(S10:S45)</f>
        <v>0</v>
      </c>
      <c r="T52" s="175">
        <f ca="1">MIN(T10:T45)</f>
        <v>0</v>
      </c>
      <c r="U52" s="175" t="e">
        <f ca="1">MIN(U10:U45)</f>
        <v>#NAME?</v>
      </c>
      <c r="V52" s="175" t="e">
        <f ca="1">MIN(V10:V45)</f>
        <v>#NAME?</v>
      </c>
      <c r="W52" s="172"/>
      <c r="X52" s="173" t="e">
        <f ca="1">MIN(X10:X45)</f>
        <v>#NAME?</v>
      </c>
      <c r="Y52" s="173" t="e">
        <f ca="1">MIN(Y10:Y45)</f>
        <v>#NAME?</v>
      </c>
      <c r="Z52" s="173" t="e">
        <f ca="1">MIN(Z10:Z45)</f>
        <v>#NAME?</v>
      </c>
      <c r="AA52" s="172"/>
      <c r="AB52" s="175">
        <f ca="1">MIN(AB10:AB45)</f>
        <v>0</v>
      </c>
      <c r="AC52" s="175">
        <f ca="1">MIN(AC10:AC45)</f>
        <v>0</v>
      </c>
      <c r="AD52" s="175">
        <f ca="1">MIN(AD10:AD45)</f>
        <v>0</v>
      </c>
      <c r="AE52" s="172"/>
      <c r="AF52" s="176" t="e">
        <f ca="1">MIN(AF10:AF45)</f>
        <v>#NAME?</v>
      </c>
      <c r="AG52" s="177" t="e">
        <f ca="1">MIN(AG10:AG45)</f>
        <v>#NAME?</v>
      </c>
    </row>
    <row r="53" spans="2:33" s="134" customFormat="1" ht="12.75" customHeight="1"/>
    <row r="54" spans="2:33" s="134" customFormat="1" ht="12.75" customHeight="1"/>
    <row r="55" spans="2:33" s="134" customFormat="1" ht="12.75" customHeight="1">
      <c r="B55" s="178" t="s">
        <v>116</v>
      </c>
    </row>
    <row r="56" spans="2:33" s="134" customFormat="1" ht="12.75" customHeight="1"/>
    <row r="57" spans="2:33" s="134" customFormat="1" ht="12.75" customHeight="1"/>
  </sheetData>
  <conditionalFormatting sqref="AG4">
    <cfRule type="cellIs" dxfId="130" priority="1" stopIfTrue="1" operator="equal">
      <formula>"input"</formula>
    </cfRule>
  </conditionalFormatting>
  <conditionalFormatting sqref="R4">
    <cfRule type="cellIs" dxfId="129" priority="5" stopIfTrue="1" operator="equal">
      <formula>"input"</formula>
    </cfRule>
  </conditionalFormatting>
  <conditionalFormatting sqref="B4:M4">
    <cfRule type="cellIs" dxfId="128" priority="11" stopIfTrue="1" operator="equal">
      <formula>"input"</formula>
    </cfRule>
  </conditionalFormatting>
  <conditionalFormatting sqref="N4">
    <cfRule type="cellIs" dxfId="127" priority="9" stopIfTrue="1" operator="equal">
      <formula>"input"</formula>
    </cfRule>
  </conditionalFormatting>
  <conditionalFormatting sqref="N4">
    <cfRule type="cellIs" dxfId="126" priority="10" stopIfTrue="1" operator="equal">
      <formula>"input"</formula>
    </cfRule>
  </conditionalFormatting>
  <conditionalFormatting sqref="O4:Q4">
    <cfRule type="cellIs" dxfId="125" priority="7" stopIfTrue="1" operator="equal">
      <formula>"input"</formula>
    </cfRule>
  </conditionalFormatting>
  <conditionalFormatting sqref="O4:Q4">
    <cfRule type="cellIs" dxfId="124" priority="8" stopIfTrue="1" operator="equal">
      <formula>"input"</formula>
    </cfRule>
  </conditionalFormatting>
  <conditionalFormatting sqref="R4">
    <cfRule type="cellIs" dxfId="123" priority="6" stopIfTrue="1" operator="equal">
      <formula>"input"</formula>
    </cfRule>
  </conditionalFormatting>
  <conditionalFormatting sqref="S4:AF4">
    <cfRule type="cellIs" dxfId="122" priority="3" stopIfTrue="1" operator="equal">
      <formula>"input"</formula>
    </cfRule>
  </conditionalFormatting>
  <conditionalFormatting sqref="S4:AF4">
    <cfRule type="cellIs" dxfId="121" priority="4" stopIfTrue="1" operator="equal">
      <formula>"input"</formula>
    </cfRule>
  </conditionalFormatting>
  <conditionalFormatting sqref="AG4">
    <cfRule type="cellIs" dxfId="120" priority="2" stopIfTrue="1" operator="equal">
      <formula>"input"</formula>
    </cfRule>
  </conditionalFormatting>
  <pageMargins left="0.7" right="0.7" top="0.75" bottom="0.75" header="0.3" footer="0.3"/>
  <pageSetup scale="92" orientation="portrait" r:id="rId1"/>
  <colBreaks count="1" manualBreakCount="1">
    <brk id="13" max="54" man="1"/>
  </colBreak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46">
    <tabColor theme="1"/>
  </sheetPr>
  <dimension ref="A1"/>
  <sheetViews>
    <sheetView workbookViewId="0"/>
  </sheetViews>
  <sheetFormatPr defaultRowHeight="12.75"/>
  <cols>
    <col min="1" max="16384" width="9.33203125" style="37"/>
  </cols>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22"/>
  <dimension ref="A1:AG764"/>
  <sheetViews>
    <sheetView showGridLines="0" view="pageBreakPreview" topLeftCell="A6" zoomScale="80" zoomScaleNormal="100" zoomScaleSheetLayoutView="80" workbookViewId="0">
      <selection activeCell="W7" sqref="W7"/>
    </sheetView>
  </sheetViews>
  <sheetFormatPr defaultRowHeight="12.75" outlineLevelRow="1"/>
  <cols>
    <col min="1" max="1" width="4.5" style="208" customWidth="1"/>
    <col min="2" max="2" width="33" style="208" customWidth="1"/>
    <col min="3" max="3" width="2.83203125" style="208" customWidth="1"/>
    <col min="4" max="4" width="11.83203125" style="208" customWidth="1"/>
    <col min="5" max="6" width="0" style="208" hidden="1" customWidth="1"/>
    <col min="7" max="7" width="2.83203125" style="208" customWidth="1"/>
    <col min="8" max="9" width="11.83203125" style="208" customWidth="1"/>
    <col min="10" max="10" width="2.83203125" style="208" customWidth="1"/>
    <col min="11" max="11" width="12.5" style="208" customWidth="1"/>
    <col min="12" max="18" width="11.83203125" style="208" customWidth="1"/>
    <col min="19" max="19" width="4.5" style="208" customWidth="1"/>
    <col min="20" max="20" width="0" style="208" hidden="1" customWidth="1"/>
    <col min="21" max="23" width="10.83203125" style="208" customWidth="1"/>
    <col min="24" max="24" width="1.83203125" style="208" customWidth="1"/>
    <col min="25" max="25" width="17.6640625" style="208" bestFit="1" customWidth="1"/>
    <col min="26" max="26" width="14.33203125" style="208" bestFit="1" customWidth="1"/>
    <col min="27" max="27" width="10" style="208" bestFit="1" customWidth="1"/>
    <col min="28" max="28" width="10.1640625" style="208" bestFit="1" customWidth="1"/>
    <col min="29" max="29" width="9.5" style="208" bestFit="1" customWidth="1"/>
    <col min="30" max="16384" width="9.33203125" style="208"/>
  </cols>
  <sheetData>
    <row r="1" spans="1:33" ht="10.7" customHeight="1" thickBot="1"/>
    <row r="2" spans="1:33" ht="16.5" customHeight="1" thickTop="1">
      <c r="B2" s="216" t="str">
        <f>'MASTER PubCo Inputs'!$C$5</f>
        <v>Medikine, Inc.</v>
      </c>
      <c r="C2" s="216"/>
      <c r="D2" s="216"/>
      <c r="E2" s="216"/>
      <c r="F2" s="216"/>
      <c r="G2" s="216"/>
      <c r="H2" s="216"/>
      <c r="I2" s="216"/>
      <c r="J2" s="216"/>
      <c r="K2" s="216"/>
      <c r="L2" s="216"/>
      <c r="M2" s="216"/>
      <c r="N2" s="216"/>
      <c r="O2" s="216"/>
      <c r="P2" s="216"/>
      <c r="Q2" s="216"/>
      <c r="R2" s="216"/>
      <c r="Y2" s="532" t="s">
        <v>87</v>
      </c>
      <c r="Z2" s="533">
        <f>+'Comp.1'!$AL$2</f>
        <v>43496</v>
      </c>
    </row>
    <row r="3" spans="1:33" ht="15.75" customHeight="1">
      <c r="B3" s="217" t="e">
        <f>VLOOKUP(B4,Outline!$E$8:$G$79,COLUMNS(Outline!$E$8:$G$8),FALSE)</f>
        <v>#N/A</v>
      </c>
      <c r="C3" s="217"/>
      <c r="D3" s="217"/>
      <c r="E3" s="217"/>
      <c r="F3" s="217"/>
      <c r="G3" s="217"/>
      <c r="H3" s="217"/>
      <c r="I3" s="217"/>
      <c r="J3" s="217"/>
      <c r="K3" s="217"/>
      <c r="L3" s="217"/>
      <c r="M3" s="217"/>
      <c r="N3" s="217"/>
      <c r="O3" s="217"/>
      <c r="P3" s="217"/>
      <c r="Q3" s="217"/>
      <c r="R3" s="217"/>
      <c r="Y3" s="534" t="s">
        <v>378</v>
      </c>
      <c r="Z3" s="535" t="str">
        <f>+'Comp.1'!$AL$3</f>
        <v>F</v>
      </c>
    </row>
    <row r="4" spans="1:33" ht="16.5" customHeight="1" thickBot="1">
      <c r="B4" s="444" t="s">
        <v>277</v>
      </c>
      <c r="C4" s="444"/>
      <c r="D4" s="444"/>
      <c r="E4" s="444"/>
      <c r="F4" s="444"/>
      <c r="G4" s="444"/>
      <c r="H4" s="444"/>
      <c r="I4" s="444"/>
      <c r="J4" s="445"/>
      <c r="K4" s="445"/>
      <c r="L4" s="445"/>
      <c r="M4" s="445"/>
      <c r="N4" s="445"/>
      <c r="O4" s="445"/>
      <c r="P4" s="445"/>
      <c r="Q4" s="445"/>
      <c r="R4" s="445" t="str">
        <f>+'MASTER PubCo Inputs'!$C$24</f>
        <v>(in millions of USD)</v>
      </c>
      <c r="Y4" s="534" t="s">
        <v>379</v>
      </c>
      <c r="Z4" s="535" t="str">
        <f>+'Comp.1'!$AL$4</f>
        <v>USD</v>
      </c>
    </row>
    <row r="5" spans="1:33" s="326" customFormat="1" ht="14.85" customHeight="1" thickTop="1">
      <c r="A5" s="208"/>
      <c r="B5" s="208"/>
      <c r="C5" s="208"/>
      <c r="D5" s="208"/>
      <c r="E5" s="208"/>
      <c r="F5" s="208"/>
      <c r="G5" s="208"/>
      <c r="H5" s="208"/>
      <c r="I5" s="208"/>
      <c r="J5" s="208"/>
      <c r="K5" s="208"/>
      <c r="L5" s="208"/>
      <c r="M5" s="208"/>
      <c r="N5" s="208"/>
      <c r="O5" s="208"/>
      <c r="P5" s="208"/>
      <c r="Q5" s="208"/>
      <c r="R5" s="208"/>
      <c r="S5" s="208"/>
      <c r="Y5" s="339" t="s">
        <v>89</v>
      </c>
      <c r="Z5" s="536" t="str">
        <f>+'Comp.1'!$AL$5</f>
        <v>H</v>
      </c>
    </row>
    <row r="6" spans="1:33" s="326" customFormat="1" ht="14.85" customHeight="1">
      <c r="A6" s="208"/>
      <c r="B6" s="208"/>
      <c r="C6" s="208"/>
      <c r="D6" s="208"/>
      <c r="E6" s="208"/>
      <c r="F6" s="208"/>
      <c r="G6" s="208"/>
      <c r="H6" s="208"/>
      <c r="I6" s="208"/>
      <c r="J6" s="208"/>
      <c r="K6" s="208"/>
      <c r="L6" s="208"/>
      <c r="M6" s="208"/>
      <c r="N6" s="208"/>
      <c r="O6" s="208"/>
      <c r="P6" s="208"/>
      <c r="Q6" s="208"/>
      <c r="R6" s="208"/>
      <c r="S6" s="208"/>
    </row>
    <row r="7" spans="1:33" ht="14.85" customHeight="1">
      <c r="D7" s="537" t="s">
        <v>69</v>
      </c>
      <c r="E7" s="538"/>
      <c r="F7" s="538"/>
      <c r="G7" s="538"/>
      <c r="H7" s="538"/>
      <c r="I7" s="539"/>
      <c r="K7" s="537" t="s">
        <v>91</v>
      </c>
      <c r="L7" s="540"/>
      <c r="M7" s="540"/>
      <c r="N7" s="540"/>
      <c r="O7" s="540"/>
      <c r="P7" s="540"/>
      <c r="Q7" s="540"/>
      <c r="R7" s="541"/>
      <c r="W7" s="1893">
        <f>'MASTER PubCo Inputs'!$C$9</f>
        <v>0.26500000000000001</v>
      </c>
    </row>
    <row r="8" spans="1:33" s="229" customFormat="1" ht="27" customHeight="1">
      <c r="B8" s="542" t="s">
        <v>597</v>
      </c>
      <c r="D8" s="543" t="s">
        <v>272</v>
      </c>
      <c r="E8" s="544" t="s">
        <v>265</v>
      </c>
      <c r="F8" s="544" t="s">
        <v>266</v>
      </c>
      <c r="G8" s="545"/>
      <c r="H8" s="544" t="s">
        <v>273</v>
      </c>
      <c r="I8" s="546" t="s">
        <v>248</v>
      </c>
      <c r="J8" s="289"/>
      <c r="K8" s="543" t="s">
        <v>94</v>
      </c>
      <c r="L8" s="544" t="s">
        <v>95</v>
      </c>
      <c r="M8" s="544" t="s">
        <v>96</v>
      </c>
      <c r="N8" s="544" t="s">
        <v>97</v>
      </c>
      <c r="O8" s="544" t="s">
        <v>98</v>
      </c>
      <c r="P8" s="544" t="s">
        <v>99</v>
      </c>
      <c r="Q8" s="544" t="s">
        <v>100</v>
      </c>
      <c r="R8" s="546" t="s">
        <v>101</v>
      </c>
      <c r="T8" s="547" t="s">
        <v>274</v>
      </c>
      <c r="U8" s="548" t="s">
        <v>275</v>
      </c>
      <c r="V8" s="548" t="s">
        <v>276</v>
      </c>
      <c r="W8" s="549" t="s">
        <v>245</v>
      </c>
      <c r="Y8" s="550" t="s">
        <v>108</v>
      </c>
      <c r="Z8" s="551" t="s">
        <v>109</v>
      </c>
      <c r="AA8" s="552"/>
      <c r="AC8" s="229">
        <v>0</v>
      </c>
    </row>
    <row r="9" spans="1:33" ht="14.85" customHeight="1"/>
    <row r="10" spans="1:33" ht="14.85" customHeight="1">
      <c r="B10" s="208" t="str">
        <f>'Comp.1'!B12</f>
        <v>Nektar Therapeutics</v>
      </c>
      <c r="D10" s="1795">
        <v>2</v>
      </c>
      <c r="E10" s="553" t="s">
        <v>269</v>
      </c>
      <c r="F10" s="553" t="s">
        <v>268</v>
      </c>
      <c r="H10" s="554" t="str">
        <f>HLOOKUP(D10,'Capital IQ Sheet-GPC'!$AQ$10:$AS$75,ROWS('Capital IQ Sheet-GPC'!AQ$10:AQ13),FALSE)</f>
        <v xml:space="preserve">1.51 x   </v>
      </c>
      <c r="I10" s="555" t="str">
        <f>IF(ISERROR(H10/(1+(1-$W10)*(($U10)/$V10))), "n/a", H10/(1+(1-$W10)*(($U10)/$V10)))</f>
        <v>n/a</v>
      </c>
      <c r="K10" s="378">
        <f>'Capital IQ Sheet-GPC'!J13</f>
        <v>7328.4</v>
      </c>
      <c r="L10" s="378">
        <f>'Capital IQ Sheet-GPC'!K13</f>
        <v>246.5</v>
      </c>
      <c r="M10" s="378" t="str">
        <f>'Capital IQ Sheet-GPC'!L13</f>
        <v xml:space="preserve"> n/a </v>
      </c>
      <c r="N10" s="378" t="str">
        <f>'Capital IQ Sheet-GPC'!M13</f>
        <v xml:space="preserve"> n/a </v>
      </c>
      <c r="O10" s="378">
        <f>SUM(L10:N10)</f>
        <v>246.5</v>
      </c>
      <c r="P10" s="378">
        <f>SUM(K10:N10)</f>
        <v>7574.9</v>
      </c>
      <c r="Q10" s="378">
        <f>'Capital IQ Sheet-GPC'!N13</f>
        <v>1420.4</v>
      </c>
      <c r="R10" s="378">
        <f>IF(ISERROR(P10-Q10), "n/a", P10-Q10)</f>
        <v>6154.5</v>
      </c>
      <c r="T10" s="556">
        <f>$Z$2-365*D10</f>
        <v>42766</v>
      </c>
      <c r="U10" s="458">
        <f>IFERROR(SUM(L10:M10)/P10,"n/a")</f>
        <v>3.2541683718596948E-2</v>
      </c>
      <c r="V10" s="458">
        <f>IFERROR(1-U10,"n/a")</f>
        <v>0.967458316281403</v>
      </c>
      <c r="W10" s="458">
        <f>W$7</f>
        <v>0.26500000000000001</v>
      </c>
      <c r="Y10" s="557" t="str">
        <f>'MASTER PubCo Inputs'!B28</f>
        <v>NasdaqGS:NKTR</v>
      </c>
      <c r="Z10" s="283">
        <f>'Capital IQ Sheet-GPC'!H13</f>
        <v>6154.5326800000003</v>
      </c>
      <c r="AA10" s="558">
        <f>R10-Z10</f>
        <v>-3.268000000025495E-2</v>
      </c>
      <c r="AC10" s="320"/>
      <c r="AG10" s="559"/>
    </row>
    <row r="11" spans="1:33" ht="14.85" customHeight="1">
      <c r="B11" s="208" t="str">
        <f>'Comp.1'!B13</f>
        <v>Fate Therapeutics, Inc.</v>
      </c>
      <c r="D11" s="1795">
        <v>2</v>
      </c>
      <c r="E11" s="553" t="s">
        <v>269</v>
      </c>
      <c r="F11" s="553" t="s">
        <v>268</v>
      </c>
      <c r="H11" s="554" t="str">
        <f>HLOOKUP(D11,'Capital IQ Sheet-GPC'!$AQ$10:$AS$75,ROWS('Capital IQ Sheet-GPC'!AQ$10:AQ14),FALSE)</f>
        <v xml:space="preserve">2.03 x   </v>
      </c>
      <c r="I11" s="555" t="str">
        <f t="shared" ref="I11:I22" si="0">IF(ISERROR(H11/(1+(1-$W11)*(($U11)/$V11))), "n/a", H11/(1+(1-$W11)*(($U11)/$V11)))</f>
        <v>n/a</v>
      </c>
      <c r="K11" s="378">
        <f>'Capital IQ Sheet-GPC'!J14</f>
        <v>978.1</v>
      </c>
      <c r="L11" s="378">
        <f>'Capital IQ Sheet-GPC'!K14</f>
        <v>14.9</v>
      </c>
      <c r="M11" s="378">
        <f>'Capital IQ Sheet-GPC'!L14</f>
        <v>0</v>
      </c>
      <c r="N11" s="378" t="str">
        <f>'Capital IQ Sheet-GPC'!M14</f>
        <v xml:space="preserve"> n/a </v>
      </c>
      <c r="O11" s="378">
        <f t="shared" ref="O11:O22" si="1">SUM(L11:N11)</f>
        <v>14.9</v>
      </c>
      <c r="P11" s="378">
        <f t="shared" ref="P11:P22" si="2">SUM(K11:N11)</f>
        <v>993</v>
      </c>
      <c r="Q11" s="378">
        <f>'Capital IQ Sheet-GPC'!N14</f>
        <v>211.2</v>
      </c>
      <c r="R11" s="378">
        <f t="shared" ref="R11:R22" si="3">IF(ISERROR(P11-Q11), "n/a", P11-Q11)</f>
        <v>781.8</v>
      </c>
      <c r="T11" s="556">
        <f t="shared" ref="T11:T22" si="4">$Z$2-365*D11</f>
        <v>42766</v>
      </c>
      <c r="U11" s="458">
        <f t="shared" ref="U11:U22" si="5">IFERROR(SUM(L11:M11)/P11,"n/a")</f>
        <v>1.500503524672709E-2</v>
      </c>
      <c r="V11" s="458">
        <f t="shared" ref="V11:V22" si="6">IFERROR(1-U11,"n/a")</f>
        <v>0.98499496475327286</v>
      </c>
      <c r="W11" s="458">
        <f t="shared" ref="W11:W22" si="7">W$7</f>
        <v>0.26500000000000001</v>
      </c>
      <c r="Y11" s="557" t="str">
        <f>'MASTER PubCo Inputs'!B29</f>
        <v>NasdaqGM:FATE</v>
      </c>
      <c r="Z11" s="283">
        <f>'Capital IQ Sheet-GPC'!H14</f>
        <v>781.76391000000001</v>
      </c>
      <c r="AA11" s="558">
        <f t="shared" ref="AA11:AA22" si="8">R11-Z11</f>
        <v>3.6089999999944666E-2</v>
      </c>
      <c r="AC11" s="320"/>
      <c r="AG11" s="559"/>
    </row>
    <row r="12" spans="1:33" ht="14.85" customHeight="1">
      <c r="B12" s="208" t="str">
        <f>'Comp.1'!B14</f>
        <v>Synthorx, Inc.</v>
      </c>
      <c r="D12" s="1795">
        <v>2</v>
      </c>
      <c r="E12" s="553" t="s">
        <v>269</v>
      </c>
      <c r="F12" s="553" t="s">
        <v>268</v>
      </c>
      <c r="H12" s="554" t="str">
        <f>HLOOKUP(D12,'Capital IQ Sheet-GPC'!$AQ$10:$AS$75,ROWS('Capital IQ Sheet-GPC'!AQ$10:AQ15),FALSE)</f>
        <v>n/a</v>
      </c>
      <c r="I12" s="555" t="str">
        <f t="shared" si="0"/>
        <v>n/a</v>
      </c>
      <c r="K12" s="378">
        <f>'Capital IQ Sheet-GPC'!J15</f>
        <v>441.9</v>
      </c>
      <c r="L12" s="378" t="str">
        <f>'Capital IQ Sheet-GPC'!K15</f>
        <v xml:space="preserve"> -   </v>
      </c>
      <c r="M12" s="378">
        <f>'Capital IQ Sheet-GPC'!L15</f>
        <v>37.5</v>
      </c>
      <c r="N12" s="378" t="str">
        <f>'Capital IQ Sheet-GPC'!M15</f>
        <v xml:space="preserve"> n/a </v>
      </c>
      <c r="O12" s="378">
        <f t="shared" si="1"/>
        <v>37.5</v>
      </c>
      <c r="P12" s="378">
        <f t="shared" si="2"/>
        <v>479.4</v>
      </c>
      <c r="Q12" s="378">
        <f>'Capital IQ Sheet-GPC'!N15</f>
        <v>20.6</v>
      </c>
      <c r="R12" s="378">
        <f t="shared" si="3"/>
        <v>458.79999999999995</v>
      </c>
      <c r="T12" s="556">
        <f t="shared" si="4"/>
        <v>42766</v>
      </c>
      <c r="U12" s="458">
        <f t="shared" si="5"/>
        <v>7.8222778473091364E-2</v>
      </c>
      <c r="V12" s="458">
        <f t="shared" si="6"/>
        <v>0.92177722152690866</v>
      </c>
      <c r="W12" s="458">
        <f t="shared" si="7"/>
        <v>0.26500000000000001</v>
      </c>
      <c r="Y12" s="557" t="str">
        <f>'MASTER PubCo Inputs'!B30</f>
        <v>NasdaqGS:THOR</v>
      </c>
      <c r="Z12" s="283">
        <f>'Capital IQ Sheet-GPC'!H15</f>
        <v>458.77701999999999</v>
      </c>
      <c r="AA12" s="558">
        <f t="shared" si="8"/>
        <v>2.2979999999961365E-2</v>
      </c>
      <c r="AC12" s="320"/>
      <c r="AG12" s="559"/>
    </row>
    <row r="13" spans="1:33" ht="14.85" customHeight="1">
      <c r="B13" s="208" t="str">
        <f>'Comp.1'!B15</f>
        <v>ZIOPHARM Oncology, Inc.</v>
      </c>
      <c r="D13" s="1795">
        <v>2</v>
      </c>
      <c r="E13" s="553" t="s">
        <v>269</v>
      </c>
      <c r="F13" s="553" t="s">
        <v>268</v>
      </c>
      <c r="H13" s="554" t="str">
        <f>HLOOKUP(D13,'Capital IQ Sheet-GPC'!$AQ$10:$AS$75,ROWS('Capital IQ Sheet-GPC'!AQ$10:AQ16),FALSE)</f>
        <v xml:space="preserve">1.27 x   </v>
      </c>
      <c r="I13" s="555" t="str">
        <f t="shared" si="0"/>
        <v>n/a</v>
      </c>
      <c r="K13" s="378">
        <f>'Capital IQ Sheet-GPC'!J16</f>
        <v>316.3</v>
      </c>
      <c r="L13" s="378" t="str">
        <f>'Capital IQ Sheet-GPC'!K16</f>
        <v xml:space="preserve"> -   </v>
      </c>
      <c r="M13" s="378">
        <f>'Capital IQ Sheet-GPC'!L16</f>
        <v>160.4</v>
      </c>
      <c r="N13" s="378" t="str">
        <f>'Capital IQ Sheet-GPC'!M16</f>
        <v xml:space="preserve"> n/a </v>
      </c>
      <c r="O13" s="378">
        <f t="shared" si="1"/>
        <v>160.4</v>
      </c>
      <c r="P13" s="378">
        <f t="shared" si="2"/>
        <v>476.70000000000005</v>
      </c>
      <c r="Q13" s="378">
        <f>'Capital IQ Sheet-GPC'!N16</f>
        <v>31.7</v>
      </c>
      <c r="R13" s="378">
        <f t="shared" si="3"/>
        <v>445.00000000000006</v>
      </c>
      <c r="T13" s="556">
        <f t="shared" si="4"/>
        <v>42766</v>
      </c>
      <c r="U13" s="458">
        <f t="shared" si="5"/>
        <v>0.33647996643591355</v>
      </c>
      <c r="V13" s="458">
        <f t="shared" si="6"/>
        <v>0.66352003356408651</v>
      </c>
      <c r="W13" s="458">
        <f t="shared" si="7"/>
        <v>0.26500000000000001</v>
      </c>
      <c r="Y13" s="557" t="str">
        <f>'MASTER PubCo Inputs'!B31</f>
        <v>NasdaqCM:ZIOP</v>
      </c>
      <c r="Z13" s="283">
        <f>'Capital IQ Sheet-GPC'!H16</f>
        <v>445.02354000000003</v>
      </c>
      <c r="AA13" s="558">
        <f t="shared" si="8"/>
        <v>-2.3539999999968586E-2</v>
      </c>
      <c r="AC13" s="320"/>
      <c r="AG13" s="559"/>
    </row>
    <row r="14" spans="1:33" ht="14.85" customHeight="1">
      <c r="B14" s="208" t="str">
        <f>'Comp.1'!B16</f>
        <v>Stemline Therapeutics, Inc.</v>
      </c>
      <c r="D14" s="1795">
        <v>2</v>
      </c>
      <c r="E14" s="553" t="s">
        <v>269</v>
      </c>
      <c r="F14" s="553" t="s">
        <v>268</v>
      </c>
      <c r="H14" s="554" t="str">
        <f>HLOOKUP(D14,'Capital IQ Sheet-GPC'!$AQ$10:$AS$75,ROWS('Capital IQ Sheet-GPC'!AQ$10:AQ17),FALSE)</f>
        <v xml:space="preserve">1.39 x   </v>
      </c>
      <c r="I14" s="555" t="str">
        <f t="shared" si="0"/>
        <v>n/a</v>
      </c>
      <c r="K14" s="378">
        <f>'Capital IQ Sheet-GPC'!J17</f>
        <v>434.2</v>
      </c>
      <c r="L14" s="378" t="str">
        <f>'Capital IQ Sheet-GPC'!K17</f>
        <v xml:space="preserve"> -   </v>
      </c>
      <c r="M14" s="378" t="str">
        <f>'Capital IQ Sheet-GPC'!L17</f>
        <v xml:space="preserve"> n/a </v>
      </c>
      <c r="N14" s="378" t="str">
        <f>'Capital IQ Sheet-GPC'!M17</f>
        <v xml:space="preserve"> n/a </v>
      </c>
      <c r="O14" s="378">
        <f t="shared" si="1"/>
        <v>0</v>
      </c>
      <c r="P14" s="378">
        <f t="shared" si="2"/>
        <v>434.2</v>
      </c>
      <c r="Q14" s="378">
        <f>'Capital IQ Sheet-GPC'!N17</f>
        <v>78.599999999999994</v>
      </c>
      <c r="R14" s="378">
        <f t="shared" si="3"/>
        <v>355.6</v>
      </c>
      <c r="T14" s="556">
        <f t="shared" si="4"/>
        <v>42766</v>
      </c>
      <c r="U14" s="458">
        <f t="shared" si="5"/>
        <v>0</v>
      </c>
      <c r="V14" s="458">
        <f t="shared" si="6"/>
        <v>1</v>
      </c>
      <c r="W14" s="458">
        <f t="shared" si="7"/>
        <v>0.26500000000000001</v>
      </c>
      <c r="Y14" s="557" t="str">
        <f>'MASTER PubCo Inputs'!B32</f>
        <v>NasdaqCM:STML</v>
      </c>
      <c r="Z14" s="283">
        <f>'Capital IQ Sheet-GPC'!H17</f>
        <v>355.63204999999999</v>
      </c>
      <c r="AA14" s="558">
        <f t="shared" si="8"/>
        <v>-3.2049999999969714E-2</v>
      </c>
      <c r="AC14" s="320"/>
      <c r="AG14" s="559"/>
    </row>
    <row r="15" spans="1:33" ht="14.85" customHeight="1">
      <c r="B15" s="208" t="str">
        <f>'Comp.1'!B17</f>
        <v>TG Therapeutics, Inc.</v>
      </c>
      <c r="D15" s="1795">
        <v>2</v>
      </c>
      <c r="E15" s="553" t="s">
        <v>269</v>
      </c>
      <c r="F15" s="553" t="s">
        <v>268</v>
      </c>
      <c r="H15" s="554" t="str">
        <f>HLOOKUP(D15,'Capital IQ Sheet-GPC'!$AQ$10:$AS$75,ROWS('Capital IQ Sheet-GPC'!AQ$10:AQ18),FALSE)</f>
        <v xml:space="preserve">1.74 x   </v>
      </c>
      <c r="I15" s="555" t="str">
        <f t="shared" si="0"/>
        <v>n/a</v>
      </c>
      <c r="K15" s="378">
        <f>'Capital IQ Sheet-GPC'!J18</f>
        <v>315</v>
      </c>
      <c r="L15" s="378">
        <f>'Capital IQ Sheet-GPC'!K18</f>
        <v>0.1</v>
      </c>
      <c r="M15" s="378" t="str">
        <f>'Capital IQ Sheet-GPC'!L18</f>
        <v xml:space="preserve"> n/a </v>
      </c>
      <c r="N15" s="378" t="str">
        <f>'Capital IQ Sheet-GPC'!M18</f>
        <v xml:space="preserve"> n/a </v>
      </c>
      <c r="O15" s="378">
        <f t="shared" si="1"/>
        <v>0.1</v>
      </c>
      <c r="P15" s="378">
        <f t="shared" si="2"/>
        <v>315.10000000000002</v>
      </c>
      <c r="Q15" s="378">
        <f>'Capital IQ Sheet-GPC'!N18</f>
        <v>97.7</v>
      </c>
      <c r="R15" s="378">
        <f t="shared" si="3"/>
        <v>217.40000000000003</v>
      </c>
      <c r="T15" s="556">
        <f t="shared" si="4"/>
        <v>42766</v>
      </c>
      <c r="U15" s="458">
        <f t="shared" si="5"/>
        <v>3.1735956839098697E-4</v>
      </c>
      <c r="V15" s="458">
        <f t="shared" si="6"/>
        <v>0.99968264043160904</v>
      </c>
      <c r="W15" s="458">
        <f t="shared" si="7"/>
        <v>0.26500000000000001</v>
      </c>
      <c r="Y15" s="557" t="str">
        <f>'MASTER PubCo Inputs'!B33</f>
        <v>NasdaqCM:TGTX</v>
      </c>
      <c r="Z15" s="283">
        <f>'Capital IQ Sheet-GPC'!H18</f>
        <v>217.34072</v>
      </c>
      <c r="AA15" s="558">
        <f t="shared" si="8"/>
        <v>5.9280000000029531E-2</v>
      </c>
      <c r="AC15" s="320"/>
      <c r="AG15" s="559"/>
    </row>
    <row r="16" spans="1:33" ht="14.85" customHeight="1">
      <c r="B16" s="208" t="str">
        <f>'Comp.1'!B18</f>
        <v>XOMA Corporation</v>
      </c>
      <c r="D16" s="1795">
        <v>2</v>
      </c>
      <c r="E16" s="553" t="s">
        <v>269</v>
      </c>
      <c r="F16" s="553" t="s">
        <v>268</v>
      </c>
      <c r="H16" s="554" t="str">
        <f>HLOOKUP(D16,'Capital IQ Sheet-GPC'!$AQ$10:$AS$75,ROWS('Capital IQ Sheet-GPC'!AQ$10:AQ19),FALSE)</f>
        <v xml:space="preserve">0.85 x   </v>
      </c>
      <c r="I16" s="555" t="str">
        <f t="shared" si="0"/>
        <v>n/a</v>
      </c>
      <c r="K16" s="378">
        <f>'Capital IQ Sheet-GPC'!J19</f>
        <v>104.8</v>
      </c>
      <c r="L16" s="378">
        <f>'Capital IQ Sheet-GPC'!K19</f>
        <v>22</v>
      </c>
      <c r="M16" s="378" t="str">
        <f>'Capital IQ Sheet-GPC'!L19</f>
        <v xml:space="preserve"> n/a </v>
      </c>
      <c r="N16" s="378" t="str">
        <f>'Capital IQ Sheet-GPC'!M19</f>
        <v xml:space="preserve"> n/a </v>
      </c>
      <c r="O16" s="378">
        <f t="shared" si="1"/>
        <v>22</v>
      </c>
      <c r="P16" s="378">
        <f t="shared" si="2"/>
        <v>126.8</v>
      </c>
      <c r="Q16" s="378">
        <f>'Capital IQ Sheet-GPC'!N19</f>
        <v>28.4</v>
      </c>
      <c r="R16" s="378">
        <f t="shared" si="3"/>
        <v>98.4</v>
      </c>
      <c r="T16" s="556">
        <f t="shared" si="4"/>
        <v>42766</v>
      </c>
      <c r="U16" s="458">
        <f t="shared" si="5"/>
        <v>0.17350157728706625</v>
      </c>
      <c r="V16" s="458">
        <f t="shared" si="6"/>
        <v>0.82649842271293372</v>
      </c>
      <c r="W16" s="458">
        <f t="shared" si="7"/>
        <v>0.26500000000000001</v>
      </c>
      <c r="Y16" s="557" t="str">
        <f>'MASTER PubCo Inputs'!B34</f>
        <v>NasdaqGM:XOMA</v>
      </c>
      <c r="Z16" s="283">
        <f>'Capital IQ Sheet-GPC'!H19</f>
        <v>98.380399999999995</v>
      </c>
      <c r="AA16" s="558">
        <f t="shared" si="8"/>
        <v>1.9600000000011164E-2</v>
      </c>
      <c r="AC16" s="320"/>
      <c r="AG16" s="559"/>
    </row>
    <row r="17" spans="2:33" ht="14.85" customHeight="1">
      <c r="B17" s="208" t="str">
        <f>'Comp.1'!B19</f>
        <v>Five Prime Therapeutics, Inc.</v>
      </c>
      <c r="D17" s="1795">
        <v>2</v>
      </c>
      <c r="E17" s="553" t="s">
        <v>269</v>
      </c>
      <c r="F17" s="553" t="s">
        <v>268</v>
      </c>
      <c r="H17" s="554" t="str">
        <f>HLOOKUP(D17,'Capital IQ Sheet-GPC'!$AQ$10:$AS$75,ROWS('Capital IQ Sheet-GPC'!AQ$10:AQ20),FALSE)</f>
        <v xml:space="preserve">1.27 x   </v>
      </c>
      <c r="I17" s="555" t="str">
        <f t="shared" si="0"/>
        <v>n/a</v>
      </c>
      <c r="K17" s="378">
        <f>'Capital IQ Sheet-GPC'!J20</f>
        <v>399</v>
      </c>
      <c r="L17" s="378" t="str">
        <f>'Capital IQ Sheet-GPC'!K20</f>
        <v xml:space="preserve"> -   </v>
      </c>
      <c r="M17" s="378" t="str">
        <f>'Capital IQ Sheet-GPC'!L20</f>
        <v xml:space="preserve"> n/a </v>
      </c>
      <c r="N17" s="378" t="str">
        <f>'Capital IQ Sheet-GPC'!M20</f>
        <v xml:space="preserve"> n/a </v>
      </c>
      <c r="O17" s="378">
        <f t="shared" si="1"/>
        <v>0</v>
      </c>
      <c r="P17" s="378">
        <f t="shared" si="2"/>
        <v>399</v>
      </c>
      <c r="Q17" s="378">
        <f>'Capital IQ Sheet-GPC'!N20</f>
        <v>321.60000000000002</v>
      </c>
      <c r="R17" s="378">
        <f t="shared" si="3"/>
        <v>77.399999999999977</v>
      </c>
      <c r="T17" s="556">
        <f t="shared" si="4"/>
        <v>42766</v>
      </c>
      <c r="U17" s="458">
        <f t="shared" si="5"/>
        <v>0</v>
      </c>
      <c r="V17" s="458">
        <f t="shared" si="6"/>
        <v>1</v>
      </c>
      <c r="W17" s="458">
        <f t="shared" si="7"/>
        <v>0.26500000000000001</v>
      </c>
      <c r="Y17" s="557" t="str">
        <f>'MASTER PubCo Inputs'!B35</f>
        <v>NasdaqGS:FPRX</v>
      </c>
      <c r="Z17" s="283">
        <f>'Capital IQ Sheet-GPC'!H20</f>
        <v>77.393370000000004</v>
      </c>
      <c r="AA17" s="558">
        <f t="shared" si="8"/>
        <v>6.6299999999728243E-3</v>
      </c>
      <c r="AC17" s="320"/>
      <c r="AG17" s="559"/>
    </row>
    <row r="18" spans="2:33" ht="14.85" customHeight="1">
      <c r="B18" s="208" t="str">
        <f>'Comp.1'!B20</f>
        <v>Cue Biopharma, Inc.</v>
      </c>
      <c r="D18" s="1795">
        <v>2</v>
      </c>
      <c r="E18" s="553" t="s">
        <v>269</v>
      </c>
      <c r="F18" s="553" t="s">
        <v>268</v>
      </c>
      <c r="H18" s="554" t="str">
        <f>HLOOKUP(D18,'Capital IQ Sheet-GPC'!$AQ$10:$AS$75,ROWS('Capital IQ Sheet-GPC'!AQ$10:AQ21),FALSE)</f>
        <v xml:space="preserve">1.39 x   </v>
      </c>
      <c r="I18" s="555" t="str">
        <f t="shared" si="0"/>
        <v>n/a</v>
      </c>
      <c r="K18" s="378">
        <f>'Capital IQ Sheet-GPC'!J21</f>
        <v>105.8</v>
      </c>
      <c r="L18" s="378" t="str">
        <f>'Capital IQ Sheet-GPC'!K21</f>
        <v xml:space="preserve"> -   </v>
      </c>
      <c r="M18" s="378" t="str">
        <f>'Capital IQ Sheet-GPC'!L21</f>
        <v xml:space="preserve"> n/a </v>
      </c>
      <c r="N18" s="378" t="str">
        <f>'Capital IQ Sheet-GPC'!M21</f>
        <v xml:space="preserve"> n/a </v>
      </c>
      <c r="O18" s="378">
        <f t="shared" si="1"/>
        <v>0</v>
      </c>
      <c r="P18" s="378">
        <f t="shared" si="2"/>
        <v>105.8</v>
      </c>
      <c r="Q18" s="378">
        <f>'Capital IQ Sheet-GPC'!N21</f>
        <v>39.200000000000003</v>
      </c>
      <c r="R18" s="378">
        <f t="shared" si="3"/>
        <v>66.599999999999994</v>
      </c>
      <c r="T18" s="556">
        <f t="shared" si="4"/>
        <v>42766</v>
      </c>
      <c r="U18" s="458">
        <f t="shared" si="5"/>
        <v>0</v>
      </c>
      <c r="V18" s="458">
        <f t="shared" si="6"/>
        <v>1</v>
      </c>
      <c r="W18" s="458">
        <f t="shared" si="7"/>
        <v>0.26500000000000001</v>
      </c>
      <c r="Y18" s="557" t="str">
        <f>'MASTER PubCo Inputs'!B36</f>
        <v>NasdaqCM:CUE</v>
      </c>
      <c r="Z18" s="283">
        <f>'Capital IQ Sheet-GPC'!H21</f>
        <v>66.582980000000006</v>
      </c>
      <c r="AA18" s="558">
        <f t="shared" si="8"/>
        <v>1.7019999999988045E-2</v>
      </c>
      <c r="AC18" s="320"/>
      <c r="AG18" s="559"/>
    </row>
    <row r="19" spans="2:33" ht="14.85" customHeight="1">
      <c r="B19" s="208" t="str">
        <f>'Comp.1'!B21</f>
        <v>OncoSec Medical Incorporated</v>
      </c>
      <c r="D19" s="1795">
        <v>2</v>
      </c>
      <c r="E19" s="553" t="s">
        <v>269</v>
      </c>
      <c r="F19" s="553" t="s">
        <v>268</v>
      </c>
      <c r="H19" s="554" t="str">
        <f>HLOOKUP(D19,'Capital IQ Sheet-GPC'!$AQ$10:$AS$75,ROWS('Capital IQ Sheet-GPC'!AQ$10:AQ22),FALSE)</f>
        <v xml:space="preserve">0.42 x   </v>
      </c>
      <c r="I19" s="555" t="str">
        <f t="shared" si="0"/>
        <v>n/a</v>
      </c>
      <c r="K19" s="378">
        <f>'Capital IQ Sheet-GPC'!J22</f>
        <v>56.8</v>
      </c>
      <c r="L19" s="378" t="str">
        <f>'Capital IQ Sheet-GPC'!K22</f>
        <v xml:space="preserve"> -   </v>
      </c>
      <c r="M19" s="378" t="str">
        <f>'Capital IQ Sheet-GPC'!L22</f>
        <v xml:space="preserve"> n/a </v>
      </c>
      <c r="N19" s="378" t="str">
        <f>'Capital IQ Sheet-GPC'!M22</f>
        <v xml:space="preserve"> n/a </v>
      </c>
      <c r="O19" s="378">
        <f t="shared" si="1"/>
        <v>0</v>
      </c>
      <c r="P19" s="378">
        <f t="shared" si="2"/>
        <v>56.8</v>
      </c>
      <c r="Q19" s="378">
        <f>'Capital IQ Sheet-GPC'!N22</f>
        <v>28.5</v>
      </c>
      <c r="R19" s="378">
        <f t="shared" si="3"/>
        <v>28.299999999999997</v>
      </c>
      <c r="T19" s="556">
        <f t="shared" si="4"/>
        <v>42766</v>
      </c>
      <c r="U19" s="458">
        <f t="shared" si="5"/>
        <v>0</v>
      </c>
      <c r="V19" s="458">
        <f t="shared" si="6"/>
        <v>1</v>
      </c>
      <c r="W19" s="458">
        <f t="shared" si="7"/>
        <v>0.26500000000000001</v>
      </c>
      <c r="Y19" s="557" t="str">
        <f>'MASTER PubCo Inputs'!B37</f>
        <v>NasdaqCM:ONCS</v>
      </c>
      <c r="Z19" s="283">
        <f>'Capital IQ Sheet-GPC'!H22</f>
        <v>28.29128</v>
      </c>
      <c r="AA19" s="558">
        <f t="shared" si="8"/>
        <v>8.7199999999967304E-3</v>
      </c>
      <c r="AC19" s="320"/>
      <c r="AG19" s="559"/>
    </row>
    <row r="20" spans="2:33" ht="14.85" customHeight="1">
      <c r="B20" s="208" t="str">
        <f>'Comp.1'!B22</f>
        <v>NantKwest, Inc.</v>
      </c>
      <c r="D20" s="1795">
        <v>2</v>
      </c>
      <c r="E20" s="553" t="s">
        <v>269</v>
      </c>
      <c r="F20" s="553" t="s">
        <v>268</v>
      </c>
      <c r="H20" s="554" t="str">
        <f>HLOOKUP(D20,'Capital IQ Sheet-GPC'!$AQ$10:$AS$75,ROWS('Capital IQ Sheet-GPC'!AQ$10:AQ23),FALSE)</f>
        <v xml:space="preserve">2.11 x   </v>
      </c>
      <c r="I20" s="555" t="str">
        <f t="shared" si="0"/>
        <v>n/a</v>
      </c>
      <c r="K20" s="378">
        <f>'Capital IQ Sheet-GPC'!J23</f>
        <v>85.6</v>
      </c>
      <c r="L20" s="378">
        <f>'Capital IQ Sheet-GPC'!K23</f>
        <v>7.3</v>
      </c>
      <c r="M20" s="378" t="str">
        <f>'Capital IQ Sheet-GPC'!L23</f>
        <v xml:space="preserve"> n/a </v>
      </c>
      <c r="N20" s="378" t="str">
        <f>'Capital IQ Sheet-GPC'!M23</f>
        <v xml:space="preserve"> n/a </v>
      </c>
      <c r="O20" s="378">
        <f t="shared" si="1"/>
        <v>7.3</v>
      </c>
      <c r="P20" s="378">
        <f t="shared" si="2"/>
        <v>92.899999999999991</v>
      </c>
      <c r="Q20" s="378">
        <f>'Capital IQ Sheet-GPC'!N23</f>
        <v>83.9</v>
      </c>
      <c r="R20" s="378">
        <f t="shared" si="3"/>
        <v>8.9999999999999858</v>
      </c>
      <c r="T20" s="556">
        <f t="shared" si="4"/>
        <v>42766</v>
      </c>
      <c r="U20" s="458">
        <f t="shared" si="5"/>
        <v>7.8579117330462869E-2</v>
      </c>
      <c r="V20" s="458">
        <f t="shared" si="6"/>
        <v>0.92142088266953714</v>
      </c>
      <c r="W20" s="458">
        <f t="shared" si="7"/>
        <v>0.26500000000000001</v>
      </c>
      <c r="Y20" s="557" t="str">
        <f>'MASTER PubCo Inputs'!B38</f>
        <v>NasdaqGS:NK</v>
      </c>
      <c r="Z20" s="283">
        <f>'Capital IQ Sheet-GPC'!H23</f>
        <v>8.9691700000000001</v>
      </c>
      <c r="AA20" s="558">
        <f t="shared" si="8"/>
        <v>3.0829999999985702E-2</v>
      </c>
      <c r="AC20" s="320"/>
      <c r="AG20" s="559"/>
    </row>
    <row r="21" spans="2:33" ht="14.85" customHeight="1">
      <c r="B21" s="208" t="str">
        <f>'Comp.1'!B23</f>
        <v>Corvus Pharmaceuticals, Inc.</v>
      </c>
      <c r="D21" s="1795">
        <v>2</v>
      </c>
      <c r="E21" s="553" t="s">
        <v>269</v>
      </c>
      <c r="F21" s="553" t="s">
        <v>268</v>
      </c>
      <c r="H21" s="554" t="str">
        <f>HLOOKUP(D21,'Capital IQ Sheet-GPC'!$AQ$10:$AS$75,ROWS('Capital IQ Sheet-GPC'!AQ$10:AQ24),FALSE)</f>
        <v xml:space="preserve">1.12 x   </v>
      </c>
      <c r="I21" s="555" t="str">
        <f t="shared" si="0"/>
        <v>n/a</v>
      </c>
      <c r="K21" s="378">
        <f>'Capital IQ Sheet-GPC'!J24</f>
        <v>116.8</v>
      </c>
      <c r="L21" s="378" t="str">
        <f>'Capital IQ Sheet-GPC'!K24</f>
        <v xml:space="preserve"> -   </v>
      </c>
      <c r="M21" s="378" t="str">
        <f>'Capital IQ Sheet-GPC'!L24</f>
        <v xml:space="preserve"> n/a </v>
      </c>
      <c r="N21" s="378" t="str">
        <f>'Capital IQ Sheet-GPC'!M24</f>
        <v xml:space="preserve"> n/a </v>
      </c>
      <c r="O21" s="378">
        <f t="shared" si="1"/>
        <v>0</v>
      </c>
      <c r="P21" s="378">
        <f t="shared" si="2"/>
        <v>116.8</v>
      </c>
      <c r="Q21" s="378">
        <f>'Capital IQ Sheet-GPC'!N24</f>
        <v>122.6</v>
      </c>
      <c r="R21" s="378">
        <f t="shared" si="3"/>
        <v>-5.7999999999999972</v>
      </c>
      <c r="T21" s="556">
        <f t="shared" si="4"/>
        <v>42766</v>
      </c>
      <c r="U21" s="458">
        <f t="shared" si="5"/>
        <v>0</v>
      </c>
      <c r="V21" s="458">
        <f t="shared" si="6"/>
        <v>1</v>
      </c>
      <c r="W21" s="458">
        <f t="shared" si="7"/>
        <v>0.26500000000000001</v>
      </c>
      <c r="Y21" s="557" t="str">
        <f>'MASTER PubCo Inputs'!B39</f>
        <v>NasdaqGM:CRVS</v>
      </c>
      <c r="Z21" s="283">
        <f>'Capital IQ Sheet-GPC'!H24</f>
        <v>-5.8034800000000004</v>
      </c>
      <c r="AA21" s="558">
        <f t="shared" si="8"/>
        <v>3.4800000000032583E-3</v>
      </c>
      <c r="AC21" s="320"/>
      <c r="AG21" s="559"/>
    </row>
    <row r="22" spans="2:33" ht="14.85" customHeight="1">
      <c r="B22" s="208" t="str">
        <f>'Comp.1'!B24</f>
        <v>Surface Oncology, Inc.</v>
      </c>
      <c r="D22" s="1795">
        <v>2</v>
      </c>
      <c r="E22" s="553" t="s">
        <v>269</v>
      </c>
      <c r="F22" s="553" t="s">
        <v>268</v>
      </c>
      <c r="H22" s="554" t="str">
        <f>HLOOKUP(D22,'Capital IQ Sheet-GPC'!$AQ$10:$AS$75,ROWS('Capital IQ Sheet-GPC'!AQ$10:AQ25),FALSE)</f>
        <v>n/a</v>
      </c>
      <c r="I22" s="555" t="str">
        <f t="shared" si="0"/>
        <v>n/a</v>
      </c>
      <c r="K22" s="378">
        <f>'Capital IQ Sheet-GPC'!J25</f>
        <v>159.19999999999999</v>
      </c>
      <c r="L22" s="378" t="str">
        <f>'Capital IQ Sheet-GPC'!K25</f>
        <v xml:space="preserve"> -   </v>
      </c>
      <c r="M22" s="378" t="str">
        <f>'Capital IQ Sheet-GPC'!L25</f>
        <v xml:space="preserve"> n/a </v>
      </c>
      <c r="N22" s="378" t="str">
        <f>'Capital IQ Sheet-GPC'!M25</f>
        <v xml:space="preserve"> n/a </v>
      </c>
      <c r="O22" s="378">
        <f t="shared" si="1"/>
        <v>0</v>
      </c>
      <c r="P22" s="378">
        <f t="shared" si="2"/>
        <v>159.19999999999999</v>
      </c>
      <c r="Q22" s="378">
        <f>'Capital IQ Sheet-GPC'!N25</f>
        <v>173.4</v>
      </c>
      <c r="R22" s="378">
        <f t="shared" si="3"/>
        <v>-14.200000000000017</v>
      </c>
      <c r="T22" s="556">
        <f t="shared" si="4"/>
        <v>42766</v>
      </c>
      <c r="U22" s="458">
        <f t="shared" si="5"/>
        <v>0</v>
      </c>
      <c r="V22" s="458">
        <f t="shared" si="6"/>
        <v>1</v>
      </c>
      <c r="W22" s="458">
        <f t="shared" si="7"/>
        <v>0.26500000000000001</v>
      </c>
      <c r="Y22" s="557" t="str">
        <f>'MASTER PubCo Inputs'!B40</f>
        <v>NasdaqGM:SURF</v>
      </c>
      <c r="Z22" s="283">
        <f>'Capital IQ Sheet-GPC'!H25</f>
        <v>-14.20509</v>
      </c>
      <c r="AA22" s="558">
        <f t="shared" si="8"/>
        <v>5.0899999999831635E-3</v>
      </c>
      <c r="AC22" s="320"/>
      <c r="AG22" s="559"/>
    </row>
    <row r="23" spans="2:33" ht="14.85" hidden="1" customHeight="1" outlineLevel="1">
      <c r="D23" s="420"/>
      <c r="E23" s="553"/>
      <c r="F23" s="553"/>
      <c r="H23" s="554"/>
      <c r="I23" s="555"/>
      <c r="K23" s="378"/>
      <c r="L23" s="378"/>
      <c r="M23" s="378"/>
      <c r="N23" s="378"/>
      <c r="O23" s="378"/>
      <c r="P23" s="378"/>
      <c r="Q23" s="378"/>
      <c r="R23" s="378"/>
      <c r="T23" s="556"/>
      <c r="U23" s="458"/>
      <c r="V23" s="458"/>
      <c r="W23" s="458"/>
      <c r="Y23" s="557"/>
      <c r="Z23" s="283"/>
      <c r="AA23" s="558"/>
      <c r="AC23" s="320"/>
      <c r="AG23" s="559"/>
    </row>
    <row r="24" spans="2:33" ht="14.85" hidden="1" customHeight="1" outlineLevel="1">
      <c r="D24" s="420"/>
      <c r="E24" s="553"/>
      <c r="F24" s="553"/>
      <c r="H24" s="554"/>
      <c r="I24" s="555"/>
      <c r="K24" s="378"/>
      <c r="L24" s="378"/>
      <c r="M24" s="378"/>
      <c r="N24" s="378"/>
      <c r="O24" s="378"/>
      <c r="P24" s="378"/>
      <c r="Q24" s="378"/>
      <c r="R24" s="378"/>
      <c r="T24" s="556"/>
      <c r="U24" s="458"/>
      <c r="V24" s="458"/>
      <c r="W24" s="458"/>
      <c r="Y24" s="557"/>
      <c r="Z24" s="283"/>
      <c r="AA24" s="558"/>
      <c r="AC24" s="320"/>
      <c r="AG24" s="559"/>
    </row>
    <row r="25" spans="2:33" ht="14.85" hidden="1" customHeight="1" outlineLevel="1">
      <c r="D25" s="420"/>
      <c r="E25" s="553"/>
      <c r="F25" s="553"/>
      <c r="H25" s="554"/>
      <c r="I25" s="555"/>
      <c r="K25" s="378"/>
      <c r="L25" s="378"/>
      <c r="M25" s="378"/>
      <c r="N25" s="378"/>
      <c r="O25" s="378"/>
      <c r="P25" s="378"/>
      <c r="Q25" s="378"/>
      <c r="R25" s="378"/>
      <c r="T25" s="556"/>
      <c r="U25" s="458"/>
      <c r="V25" s="458"/>
      <c r="W25" s="458"/>
      <c r="Y25" s="557"/>
      <c r="Z25" s="283"/>
      <c r="AA25" s="558"/>
      <c r="AC25" s="320"/>
      <c r="AG25" s="559"/>
    </row>
    <row r="26" spans="2:33" ht="14.85" hidden="1" customHeight="1" outlineLevel="1">
      <c r="D26" s="420"/>
      <c r="E26" s="553"/>
      <c r="F26" s="553"/>
      <c r="H26" s="554"/>
      <c r="I26" s="555"/>
      <c r="K26" s="378"/>
      <c r="L26" s="378"/>
      <c r="M26" s="378"/>
      <c r="N26" s="378"/>
      <c r="O26" s="378"/>
      <c r="P26" s="378"/>
      <c r="Q26" s="378"/>
      <c r="R26" s="378"/>
      <c r="T26" s="556"/>
      <c r="U26" s="458"/>
      <c r="V26" s="458"/>
      <c r="W26" s="458"/>
      <c r="Y26" s="557"/>
      <c r="Z26" s="283"/>
      <c r="AA26" s="558"/>
      <c r="AC26" s="320"/>
      <c r="AG26" s="559"/>
    </row>
    <row r="27" spans="2:33" ht="14.85" hidden="1" customHeight="1" outlineLevel="1">
      <c r="D27" s="420"/>
      <c r="E27" s="553"/>
      <c r="F27" s="553"/>
      <c r="H27" s="554"/>
      <c r="I27" s="555"/>
      <c r="K27" s="378"/>
      <c r="L27" s="378"/>
      <c r="M27" s="378"/>
      <c r="N27" s="378"/>
      <c r="O27" s="378"/>
      <c r="P27" s="378"/>
      <c r="Q27" s="378"/>
      <c r="R27" s="378"/>
      <c r="T27" s="556"/>
      <c r="U27" s="458"/>
      <c r="V27" s="458"/>
      <c r="W27" s="458"/>
      <c r="Y27" s="557"/>
      <c r="Z27" s="283"/>
      <c r="AA27" s="558"/>
      <c r="AC27" s="320"/>
      <c r="AG27" s="559"/>
    </row>
    <row r="28" spans="2:33" ht="14.85" hidden="1" customHeight="1" outlineLevel="1">
      <c r="D28" s="420"/>
      <c r="E28" s="553"/>
      <c r="F28" s="553"/>
      <c r="H28" s="554"/>
      <c r="I28" s="555"/>
      <c r="K28" s="378"/>
      <c r="L28" s="378"/>
      <c r="M28" s="378"/>
      <c r="N28" s="378"/>
      <c r="O28" s="378"/>
      <c r="P28" s="378"/>
      <c r="Q28" s="378"/>
      <c r="R28" s="378"/>
      <c r="T28" s="556"/>
      <c r="U28" s="458"/>
      <c r="V28" s="458"/>
      <c r="W28" s="458"/>
      <c r="Y28" s="557"/>
      <c r="Z28" s="283"/>
      <c r="AA28" s="558"/>
      <c r="AC28" s="320"/>
      <c r="AG28" s="559"/>
    </row>
    <row r="29" spans="2:33" ht="14.85" hidden="1" customHeight="1" outlineLevel="1">
      <c r="D29" s="420"/>
      <c r="E29" s="553"/>
      <c r="F29" s="553"/>
      <c r="H29" s="554"/>
      <c r="I29" s="555"/>
      <c r="K29" s="378"/>
      <c r="L29" s="378"/>
      <c r="M29" s="378"/>
      <c r="N29" s="378"/>
      <c r="O29" s="378"/>
      <c r="P29" s="378"/>
      <c r="Q29" s="378"/>
      <c r="R29" s="378"/>
      <c r="T29" s="556"/>
      <c r="U29" s="458"/>
      <c r="V29" s="458"/>
      <c r="W29" s="458"/>
      <c r="Y29" s="557"/>
      <c r="Z29" s="283"/>
      <c r="AA29" s="558"/>
      <c r="AC29" s="320"/>
      <c r="AG29" s="559"/>
    </row>
    <row r="30" spans="2:33" ht="14.85" hidden="1" customHeight="1" outlineLevel="1">
      <c r="D30" s="420"/>
      <c r="E30" s="553"/>
      <c r="F30" s="553"/>
      <c r="H30" s="554"/>
      <c r="I30" s="555"/>
      <c r="K30" s="378"/>
      <c r="L30" s="378"/>
      <c r="M30" s="378"/>
      <c r="N30" s="378"/>
      <c r="O30" s="378"/>
      <c r="P30" s="378"/>
      <c r="Q30" s="378"/>
      <c r="R30" s="378"/>
      <c r="T30" s="556"/>
      <c r="U30" s="458"/>
      <c r="V30" s="458"/>
      <c r="W30" s="458"/>
      <c r="Y30" s="557"/>
      <c r="Z30" s="283"/>
      <c r="AA30" s="558"/>
      <c r="AC30" s="320"/>
      <c r="AG30" s="559"/>
    </row>
    <row r="31" spans="2:33" ht="14.85" hidden="1" customHeight="1" outlineLevel="1">
      <c r="D31" s="420"/>
      <c r="E31" s="553"/>
      <c r="F31" s="553"/>
      <c r="H31" s="554"/>
      <c r="I31" s="555"/>
      <c r="K31" s="378"/>
      <c r="L31" s="378"/>
      <c r="M31" s="378"/>
      <c r="N31" s="378"/>
      <c r="O31" s="378"/>
      <c r="P31" s="378"/>
      <c r="Q31" s="378"/>
      <c r="R31" s="378"/>
      <c r="T31" s="556"/>
      <c r="U31" s="458"/>
      <c r="V31" s="458"/>
      <c r="W31" s="458"/>
      <c r="Y31" s="557"/>
      <c r="Z31" s="283"/>
      <c r="AA31" s="558"/>
      <c r="AC31" s="320"/>
      <c r="AG31" s="559"/>
    </row>
    <row r="32" spans="2:33" ht="14.85" hidden="1" customHeight="1" outlineLevel="1">
      <c r="D32" s="420"/>
      <c r="E32" s="553"/>
      <c r="F32" s="553"/>
      <c r="H32" s="554"/>
      <c r="I32" s="555"/>
      <c r="K32" s="378"/>
      <c r="L32" s="378"/>
      <c r="M32" s="378"/>
      <c r="N32" s="378"/>
      <c r="O32" s="378"/>
      <c r="P32" s="378"/>
      <c r="Q32" s="378"/>
      <c r="R32" s="378"/>
      <c r="T32" s="556"/>
      <c r="U32" s="458"/>
      <c r="V32" s="458"/>
      <c r="W32" s="458"/>
      <c r="Y32" s="557"/>
      <c r="Z32" s="283"/>
      <c r="AA32" s="558"/>
      <c r="AC32" s="320"/>
      <c r="AG32" s="559"/>
    </row>
    <row r="33" spans="2:33" ht="14.85" hidden="1" customHeight="1" outlineLevel="1">
      <c r="D33" s="420"/>
      <c r="E33" s="553"/>
      <c r="F33" s="553"/>
      <c r="H33" s="554"/>
      <c r="I33" s="555"/>
      <c r="K33" s="378"/>
      <c r="L33" s="378"/>
      <c r="M33" s="378"/>
      <c r="N33" s="378"/>
      <c r="O33" s="378"/>
      <c r="P33" s="378"/>
      <c r="Q33" s="378"/>
      <c r="R33" s="378"/>
      <c r="T33" s="556"/>
      <c r="U33" s="458"/>
      <c r="V33" s="458"/>
      <c r="W33" s="458"/>
      <c r="Y33" s="557"/>
      <c r="Z33" s="283"/>
      <c r="AA33" s="558"/>
      <c r="AC33" s="320"/>
      <c r="AG33" s="559"/>
    </row>
    <row r="34" spans="2:33" ht="14.85" hidden="1" customHeight="1" outlineLevel="1">
      <c r="D34" s="420"/>
      <c r="E34" s="553"/>
      <c r="F34" s="553"/>
      <c r="H34" s="554"/>
      <c r="I34" s="555"/>
      <c r="K34" s="378"/>
      <c r="L34" s="378"/>
      <c r="M34" s="378"/>
      <c r="N34" s="378"/>
      <c r="O34" s="378"/>
      <c r="P34" s="378"/>
      <c r="Q34" s="378"/>
      <c r="R34" s="378"/>
      <c r="T34" s="556"/>
      <c r="U34" s="458"/>
      <c r="V34" s="458"/>
      <c r="W34" s="458"/>
      <c r="Y34" s="557"/>
      <c r="Z34" s="283"/>
      <c r="AA34" s="558"/>
      <c r="AC34" s="320"/>
      <c r="AG34" s="559"/>
    </row>
    <row r="35" spans="2:33" ht="14.85" hidden="1" customHeight="1" outlineLevel="1">
      <c r="D35" s="420"/>
      <c r="E35" s="553"/>
      <c r="F35" s="553"/>
      <c r="H35" s="554"/>
      <c r="I35" s="555"/>
      <c r="K35" s="378"/>
      <c r="L35" s="378"/>
      <c r="M35" s="378"/>
      <c r="N35" s="378"/>
      <c r="O35" s="378"/>
      <c r="P35" s="378"/>
      <c r="Q35" s="378"/>
      <c r="R35" s="378"/>
      <c r="T35" s="556"/>
      <c r="U35" s="458"/>
      <c r="V35" s="458"/>
      <c r="W35" s="458"/>
      <c r="Y35" s="557"/>
      <c r="Z35" s="283"/>
      <c r="AA35" s="558"/>
      <c r="AC35" s="320"/>
      <c r="AG35" s="559"/>
    </row>
    <row r="36" spans="2:33" ht="14.85" hidden="1" customHeight="1" outlineLevel="1">
      <c r="D36" s="420"/>
      <c r="E36" s="553"/>
      <c r="F36" s="553"/>
      <c r="H36" s="554"/>
      <c r="I36" s="555"/>
      <c r="K36" s="378"/>
      <c r="L36" s="378"/>
      <c r="M36" s="378"/>
      <c r="N36" s="378"/>
      <c r="O36" s="378"/>
      <c r="P36" s="378"/>
      <c r="Q36" s="378"/>
      <c r="R36" s="378"/>
      <c r="T36" s="556"/>
      <c r="U36" s="458"/>
      <c r="V36" s="458"/>
      <c r="W36" s="458"/>
      <c r="Y36" s="557"/>
      <c r="Z36" s="283"/>
      <c r="AA36" s="558"/>
      <c r="AC36" s="320"/>
      <c r="AG36" s="559"/>
    </row>
    <row r="37" spans="2:33" ht="14.85" hidden="1" customHeight="1" outlineLevel="1">
      <c r="D37" s="420"/>
      <c r="E37" s="553"/>
      <c r="F37" s="553"/>
      <c r="H37" s="554"/>
      <c r="I37" s="555"/>
      <c r="K37" s="378"/>
      <c r="L37" s="378"/>
      <c r="M37" s="378"/>
      <c r="N37" s="378"/>
      <c r="O37" s="378"/>
      <c r="P37" s="378"/>
      <c r="Q37" s="378"/>
      <c r="R37" s="378"/>
      <c r="T37" s="556"/>
      <c r="U37" s="458"/>
      <c r="V37" s="458"/>
      <c r="W37" s="458"/>
      <c r="Y37" s="557"/>
      <c r="Z37" s="283"/>
      <c r="AA37" s="558"/>
      <c r="AC37" s="320"/>
      <c r="AG37" s="559"/>
    </row>
    <row r="38" spans="2:33" ht="14.85" hidden="1" customHeight="1" outlineLevel="1">
      <c r="D38" s="420"/>
      <c r="E38" s="553"/>
      <c r="F38" s="553"/>
      <c r="H38" s="554"/>
      <c r="I38" s="555"/>
      <c r="K38" s="378"/>
      <c r="L38" s="378"/>
      <c r="M38" s="378"/>
      <c r="N38" s="378"/>
      <c r="O38" s="378"/>
      <c r="P38" s="378"/>
      <c r="Q38" s="378"/>
      <c r="R38" s="378"/>
      <c r="T38" s="556"/>
      <c r="U38" s="458"/>
      <c r="V38" s="458"/>
      <c r="W38" s="458"/>
      <c r="Y38" s="557"/>
      <c r="Z38" s="283"/>
      <c r="AA38" s="558"/>
      <c r="AC38" s="320"/>
      <c r="AG38" s="559"/>
    </row>
    <row r="39" spans="2:33" ht="14.85" hidden="1" customHeight="1" outlineLevel="1">
      <c r="D39" s="420"/>
      <c r="E39" s="553"/>
      <c r="F39" s="553"/>
      <c r="H39" s="554"/>
      <c r="I39" s="555"/>
      <c r="K39" s="378"/>
      <c r="L39" s="378"/>
      <c r="M39" s="378"/>
      <c r="N39" s="378"/>
      <c r="O39" s="378"/>
      <c r="P39" s="378"/>
      <c r="Q39" s="378"/>
      <c r="R39" s="378"/>
      <c r="T39" s="556"/>
      <c r="U39" s="458"/>
      <c r="V39" s="458"/>
      <c r="W39" s="458"/>
      <c r="Y39" s="557"/>
      <c r="Z39" s="283"/>
      <c r="AA39" s="558"/>
      <c r="AC39" s="320"/>
      <c r="AG39" s="559"/>
    </row>
    <row r="40" spans="2:33" ht="14.85" customHeight="1" collapsed="1">
      <c r="K40" s="283"/>
      <c r="L40" s="283"/>
      <c r="M40" s="283"/>
      <c r="N40" s="283"/>
      <c r="O40" s="283"/>
      <c r="P40" s="283"/>
      <c r="Q40" s="283"/>
      <c r="R40" s="283"/>
      <c r="S40" s="560"/>
      <c r="T40" s="355"/>
      <c r="U40" s="355"/>
      <c r="V40" s="355"/>
      <c r="W40" s="355"/>
    </row>
    <row r="41" spans="2:33" ht="14.85" customHeight="1">
      <c r="B41" s="561" t="s">
        <v>111</v>
      </c>
      <c r="C41" s="562"/>
      <c r="D41" s="562"/>
      <c r="E41" s="562"/>
      <c r="F41" s="562"/>
      <c r="G41" s="562"/>
      <c r="H41" s="563">
        <f>MAX(H10:H39)</f>
        <v>0</v>
      </c>
      <c r="I41" s="563">
        <f>MAX(I10:I39)</f>
        <v>0</v>
      </c>
      <c r="J41" s="562"/>
      <c r="K41" s="564">
        <f t="shared" ref="K41:R41" si="9">MAX(K10:K39)</f>
        <v>7328.4</v>
      </c>
      <c r="L41" s="564">
        <f t="shared" si="9"/>
        <v>246.5</v>
      </c>
      <c r="M41" s="564">
        <f t="shared" si="9"/>
        <v>160.4</v>
      </c>
      <c r="N41" s="564">
        <f t="shared" si="9"/>
        <v>0</v>
      </c>
      <c r="O41" s="564">
        <f t="shared" si="9"/>
        <v>246.5</v>
      </c>
      <c r="P41" s="564">
        <f t="shared" si="9"/>
        <v>7574.9</v>
      </c>
      <c r="Q41" s="564">
        <f t="shared" si="9"/>
        <v>1420.4</v>
      </c>
      <c r="R41" s="565">
        <f t="shared" si="9"/>
        <v>6154.5</v>
      </c>
      <c r="S41" s="354"/>
      <c r="T41" s="354"/>
      <c r="U41" s="566">
        <f>MAX(U10:U39)</f>
        <v>0.33647996643591355</v>
      </c>
      <c r="V41" s="566">
        <f>MAX(V10:V39)</f>
        <v>1</v>
      </c>
      <c r="W41" s="354"/>
    </row>
    <row r="42" spans="2:33" ht="14.85" customHeight="1">
      <c r="B42" s="567" t="s">
        <v>115</v>
      </c>
      <c r="C42" s="568"/>
      <c r="D42" s="568"/>
      <c r="E42" s="568"/>
      <c r="F42" s="568"/>
      <c r="G42" s="568"/>
      <c r="H42" s="569" t="e">
        <f>QUARTILE(H10:H39,3)</f>
        <v>#NUM!</v>
      </c>
      <c r="I42" s="569" t="e">
        <f>QUARTILE(I10:I39,3)</f>
        <v>#NUM!</v>
      </c>
      <c r="J42" s="568"/>
      <c r="K42" s="570">
        <f t="shared" ref="K42:R42" si="10">QUARTILE(K10:K39,3)</f>
        <v>434.2</v>
      </c>
      <c r="L42" s="570">
        <f t="shared" si="10"/>
        <v>22</v>
      </c>
      <c r="M42" s="570">
        <f t="shared" si="10"/>
        <v>98.95</v>
      </c>
      <c r="N42" s="570" t="e">
        <f t="shared" si="10"/>
        <v>#NUM!</v>
      </c>
      <c r="O42" s="570">
        <f t="shared" si="10"/>
        <v>22</v>
      </c>
      <c r="P42" s="570">
        <f t="shared" si="10"/>
        <v>476.70000000000005</v>
      </c>
      <c r="Q42" s="570">
        <f t="shared" si="10"/>
        <v>173.4</v>
      </c>
      <c r="R42" s="571">
        <f t="shared" si="10"/>
        <v>445.00000000000006</v>
      </c>
      <c r="S42" s="354"/>
      <c r="T42" s="354"/>
      <c r="U42" s="566">
        <f>QUARTILE(U10:U39,3)</f>
        <v>7.8222778473091364E-2</v>
      </c>
      <c r="V42" s="566">
        <f>QUARTILE(V10:V39,3)</f>
        <v>1</v>
      </c>
      <c r="W42" s="354"/>
    </row>
    <row r="43" spans="2:33" ht="14.85" customHeight="1">
      <c r="B43" s="567" t="s">
        <v>113</v>
      </c>
      <c r="C43" s="568"/>
      <c r="D43" s="568"/>
      <c r="E43" s="568"/>
      <c r="F43" s="568"/>
      <c r="G43" s="568"/>
      <c r="H43" s="569" t="e">
        <f>AVERAGE(H10:H39)</f>
        <v>#DIV/0!</v>
      </c>
      <c r="I43" s="569" t="e">
        <f>AVERAGE(I10:I39)</f>
        <v>#DIV/0!</v>
      </c>
      <c r="J43" s="568"/>
      <c r="K43" s="570">
        <f t="shared" ref="K43:R43" si="11">AVERAGE(K10:K39)</f>
        <v>833.99230769230758</v>
      </c>
      <c r="L43" s="570">
        <f t="shared" si="11"/>
        <v>58.160000000000004</v>
      </c>
      <c r="M43" s="570">
        <f t="shared" si="11"/>
        <v>65.966666666666669</v>
      </c>
      <c r="N43" s="570" t="e">
        <f t="shared" si="11"/>
        <v>#DIV/0!</v>
      </c>
      <c r="O43" s="570">
        <f t="shared" si="11"/>
        <v>37.592307692307692</v>
      </c>
      <c r="P43" s="570">
        <f t="shared" si="11"/>
        <v>871.58461538461529</v>
      </c>
      <c r="Q43" s="570">
        <f t="shared" si="11"/>
        <v>204.44615384615386</v>
      </c>
      <c r="R43" s="571">
        <f t="shared" si="11"/>
        <v>667.13846153846146</v>
      </c>
      <c r="S43" s="354"/>
      <c r="T43" s="354"/>
      <c r="U43" s="566">
        <f>AVERAGE(U10:U39)</f>
        <v>5.4972886004634541E-2</v>
      </c>
      <c r="V43" s="566">
        <f>AVERAGE(V10:V39)</f>
        <v>0.94502711399536543</v>
      </c>
      <c r="W43" s="354"/>
    </row>
    <row r="44" spans="2:33" ht="14.85" customHeight="1">
      <c r="B44" s="567" t="s">
        <v>44</v>
      </c>
      <c r="C44" s="568"/>
      <c r="D44" s="568"/>
      <c r="E44" s="568"/>
      <c r="F44" s="568"/>
      <c r="G44" s="568"/>
      <c r="H44" s="569" t="e">
        <f>MEDIAN(H10:H39)</f>
        <v>#NUM!</v>
      </c>
      <c r="I44" s="569" t="e">
        <f>MEDIAN(I10:I39)</f>
        <v>#NUM!</v>
      </c>
      <c r="J44" s="568"/>
      <c r="K44" s="570">
        <f t="shared" ref="K44:R44" si="12">MEDIAN(K10:K39)</f>
        <v>315</v>
      </c>
      <c r="L44" s="570">
        <f t="shared" si="12"/>
        <v>14.9</v>
      </c>
      <c r="M44" s="570">
        <f t="shared" si="12"/>
        <v>37.5</v>
      </c>
      <c r="N44" s="570" t="e">
        <f t="shared" si="12"/>
        <v>#NUM!</v>
      </c>
      <c r="O44" s="570">
        <f t="shared" si="12"/>
        <v>0.1</v>
      </c>
      <c r="P44" s="570">
        <f t="shared" si="12"/>
        <v>315.10000000000002</v>
      </c>
      <c r="Q44" s="570">
        <f t="shared" si="12"/>
        <v>83.9</v>
      </c>
      <c r="R44" s="571">
        <f t="shared" si="12"/>
        <v>98.4</v>
      </c>
      <c r="S44" s="354"/>
      <c r="T44" s="354"/>
      <c r="U44" s="566">
        <f>MEDIAN(U10:U39)</f>
        <v>3.1735956839098697E-4</v>
      </c>
      <c r="V44" s="566">
        <f>MEDIAN(V10:V39)</f>
        <v>0.99968264043160904</v>
      </c>
      <c r="W44" s="354"/>
    </row>
    <row r="45" spans="2:33" ht="14.85" customHeight="1">
      <c r="B45" s="567" t="s">
        <v>114</v>
      </c>
      <c r="C45" s="568"/>
      <c r="D45" s="568"/>
      <c r="E45" s="568"/>
      <c r="F45" s="568"/>
      <c r="G45" s="568"/>
      <c r="H45" s="569" t="e">
        <f>QUARTILE(H10:H39,1)</f>
        <v>#NUM!</v>
      </c>
      <c r="I45" s="569" t="e">
        <f>QUARTILE(I10:I39,1)</f>
        <v>#NUM!</v>
      </c>
      <c r="J45" s="568"/>
      <c r="K45" s="570">
        <f t="shared" ref="K45:R45" si="13">QUARTILE(K10:K39,1)</f>
        <v>105.8</v>
      </c>
      <c r="L45" s="570">
        <f t="shared" si="13"/>
        <v>7.3</v>
      </c>
      <c r="M45" s="570">
        <f t="shared" si="13"/>
        <v>18.75</v>
      </c>
      <c r="N45" s="570" t="e">
        <f t="shared" si="13"/>
        <v>#NUM!</v>
      </c>
      <c r="O45" s="570">
        <f t="shared" si="13"/>
        <v>0</v>
      </c>
      <c r="P45" s="570">
        <f t="shared" si="13"/>
        <v>116.8</v>
      </c>
      <c r="Q45" s="570">
        <f t="shared" si="13"/>
        <v>31.7</v>
      </c>
      <c r="R45" s="571">
        <f t="shared" si="13"/>
        <v>28.299999999999997</v>
      </c>
      <c r="S45" s="354"/>
      <c r="T45" s="354"/>
      <c r="U45" s="566">
        <f>QUARTILE(U10:U39,1)</f>
        <v>0</v>
      </c>
      <c r="V45" s="566">
        <f>QUARTILE(V10:V39,1)</f>
        <v>0.92177722152690866</v>
      </c>
      <c r="W45" s="354"/>
    </row>
    <row r="46" spans="2:33" ht="14.85" customHeight="1">
      <c r="B46" s="572" t="s">
        <v>112</v>
      </c>
      <c r="C46" s="427"/>
      <c r="D46" s="427"/>
      <c r="E46" s="427"/>
      <c r="F46" s="427"/>
      <c r="G46" s="427"/>
      <c r="H46" s="573">
        <f>MIN(H10:H39)</f>
        <v>0</v>
      </c>
      <c r="I46" s="573">
        <f>MIN(I10:I39)</f>
        <v>0</v>
      </c>
      <c r="J46" s="427"/>
      <c r="K46" s="430">
        <f t="shared" ref="K46:R46" si="14">MIN(K10:K39)</f>
        <v>56.8</v>
      </c>
      <c r="L46" s="430">
        <f t="shared" si="14"/>
        <v>0.1</v>
      </c>
      <c r="M46" s="430">
        <f t="shared" si="14"/>
        <v>0</v>
      </c>
      <c r="N46" s="430">
        <f t="shared" si="14"/>
        <v>0</v>
      </c>
      <c r="O46" s="430">
        <f t="shared" si="14"/>
        <v>0</v>
      </c>
      <c r="P46" s="430">
        <f t="shared" si="14"/>
        <v>56.8</v>
      </c>
      <c r="Q46" s="430">
        <f t="shared" si="14"/>
        <v>20.6</v>
      </c>
      <c r="R46" s="574">
        <f t="shared" si="14"/>
        <v>-14.200000000000017</v>
      </c>
      <c r="S46" s="354"/>
      <c r="T46" s="354"/>
      <c r="U46" s="566">
        <f>MIN(U10:U39)</f>
        <v>0</v>
      </c>
      <c r="V46" s="566">
        <f>MIN(V10:V39)</f>
        <v>0.66352003356408651</v>
      </c>
      <c r="W46" s="354"/>
    </row>
    <row r="47" spans="2:33" ht="14.85" customHeight="1">
      <c r="S47" s="560"/>
      <c r="T47" s="355"/>
      <c r="U47" s="355"/>
      <c r="V47" s="355"/>
      <c r="W47" s="355"/>
    </row>
    <row r="48" spans="2:33" ht="14.85" customHeight="1">
      <c r="B48" s="295" t="s">
        <v>116</v>
      </c>
      <c r="S48" s="560"/>
    </row>
    <row r="49" spans="5:19" ht="14.85" customHeight="1">
      <c r="S49" s="560"/>
    </row>
    <row r="50" spans="5:19" ht="14.85" customHeight="1"/>
    <row r="51" spans="5:19" ht="14.85" customHeight="1"/>
    <row r="52" spans="5:19" ht="14.85" customHeight="1"/>
    <row r="53" spans="5:19" ht="14.85" customHeight="1"/>
    <row r="54" spans="5:19" ht="14.85" customHeight="1"/>
    <row r="55" spans="5:19" ht="14.85" customHeight="1">
      <c r="E55" s="559" t="s">
        <v>269</v>
      </c>
      <c r="F55" s="553" t="s">
        <v>267</v>
      </c>
    </row>
    <row r="56" spans="5:19" ht="14.85" customHeight="1">
      <c r="E56" s="559" t="s">
        <v>270</v>
      </c>
      <c r="F56" s="553" t="s">
        <v>268</v>
      </c>
    </row>
    <row r="57" spans="5:19" ht="14.85" customHeight="1">
      <c r="E57" s="559" t="s">
        <v>271</v>
      </c>
    </row>
    <row r="58" spans="5:19" ht="14.85" customHeight="1">
      <c r="E58" s="559" t="str">
        <f>"IQ20246097"</f>
        <v>IQ20246097</v>
      </c>
    </row>
    <row r="59" spans="5:19" ht="14.85" customHeight="1"/>
    <row r="60" spans="5:19" ht="14.85" customHeight="1"/>
    <row r="61" spans="5:19" ht="14.85" customHeight="1"/>
    <row r="62" spans="5:19" ht="14.85" customHeight="1"/>
    <row r="63" spans="5:19" ht="14.85" customHeight="1"/>
    <row r="64" spans="5:19"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10:B39">
    <cfRule type="cellIs" dxfId="119" priority="12" operator="equal">
      <formula>"(Invalid Identifier)"</formula>
    </cfRule>
  </conditionalFormatting>
  <conditionalFormatting sqref="B4:I4">
    <cfRule type="cellIs" dxfId="118" priority="10" stopIfTrue="1" operator="equal">
      <formula>"input"</formula>
    </cfRule>
  </conditionalFormatting>
  <conditionalFormatting sqref="J4">
    <cfRule type="cellIs" dxfId="117" priority="8" stopIfTrue="1" operator="equal">
      <formula>"input"</formula>
    </cfRule>
  </conditionalFormatting>
  <conditionalFormatting sqref="J4">
    <cfRule type="cellIs" dxfId="116" priority="9" stopIfTrue="1" operator="equal">
      <formula>"input"</formula>
    </cfRule>
  </conditionalFormatting>
  <conditionalFormatting sqref="K4:Q4">
    <cfRule type="cellIs" dxfId="115" priority="6" stopIfTrue="1" operator="equal">
      <formula>"input"</formula>
    </cfRule>
  </conditionalFormatting>
  <conditionalFormatting sqref="K4:Q4">
    <cfRule type="cellIs" dxfId="114" priority="7" stopIfTrue="1" operator="equal">
      <formula>"input"</formula>
    </cfRule>
  </conditionalFormatting>
  <conditionalFormatting sqref="R4">
    <cfRule type="cellIs" dxfId="113" priority="2" stopIfTrue="1" operator="equal">
      <formula>"input"</formula>
    </cfRule>
  </conditionalFormatting>
  <conditionalFormatting sqref="R4">
    <cfRule type="cellIs" dxfId="112" priority="3" stopIfTrue="1" operator="equal">
      <formula>"input"</formula>
    </cfRule>
  </conditionalFormatting>
  <conditionalFormatting sqref="H10:H39">
    <cfRule type="cellIs" dxfId="111" priority="1" operator="equal">
      <formula>"n/a"</formula>
    </cfRule>
  </conditionalFormatting>
  <dataValidations count="2">
    <dataValidation type="list" allowBlank="1" showInputMessage="1" showErrorMessage="1" sqref="E10:E39" xr:uid="{00000000-0002-0000-3D00-000000000000}">
      <formula1>$E$55:$E$59</formula1>
    </dataValidation>
    <dataValidation type="list" allowBlank="1" showInputMessage="1" showErrorMessage="1" sqref="F10:F39" xr:uid="{00000000-0002-0000-3D00-000001000000}">
      <formula1>$F$55:$F$56</formula1>
    </dataValidation>
  </dataValidations>
  <pageMargins left="0.5" right="0.5" top="0.5" bottom="0.5" header="0.5" footer="0.5"/>
  <pageSetup scale="85" orientation="landscape" r:id="rId1"/>
  <legacy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3D00-000002000000}">
          <x14:formula1>
            <xm:f>'Capital IQ Sheet-GPC'!$AQ$10:$AS$10</xm:f>
          </x14:formula1>
          <xm:sqref>D10:D39</xm:sqref>
        </x14:dataValidation>
      </x14:dataValidations>
    </ext>
  </extLs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62"/>
  <dimension ref="A1:BU764"/>
  <sheetViews>
    <sheetView showGridLines="0" view="pageBreakPreview" zoomScale="80" zoomScaleNormal="100" zoomScaleSheetLayoutView="80" workbookViewId="0">
      <selection activeCell="B4" sqref="B4"/>
    </sheetView>
  </sheetViews>
  <sheetFormatPr defaultColWidth="10.6640625" defaultRowHeight="12.75" outlineLevelCol="1"/>
  <cols>
    <col min="1" max="1" width="4.5" style="944" customWidth="1"/>
    <col min="2" max="2" width="42.5" style="944" customWidth="1"/>
    <col min="3" max="3" width="19.83203125" style="944" hidden="1" customWidth="1" outlineLevel="1"/>
    <col min="4" max="4" width="16.5" style="944" customWidth="1" collapsed="1"/>
    <col min="5" max="5" width="15.1640625" style="944" hidden="1" customWidth="1" outlineLevel="1"/>
    <col min="6" max="6" width="12.5" style="946" customWidth="1" collapsed="1"/>
    <col min="7" max="7" width="12" style="946" customWidth="1"/>
    <col min="8" max="9" width="14" style="946" hidden="1" customWidth="1" outlineLevel="1"/>
    <col min="10" max="10" width="15" style="946" customWidth="1" collapsed="1"/>
    <col min="11" max="11" width="12.33203125" style="946" customWidth="1"/>
    <col min="12" max="12" width="14" style="946" customWidth="1"/>
    <col min="13" max="13" width="14.5" style="946" customWidth="1"/>
    <col min="14" max="14" width="18.6640625" style="946" customWidth="1"/>
    <col min="15" max="15" width="13.33203125" style="946" customWidth="1"/>
    <col min="16" max="16" width="18.33203125" style="946" customWidth="1"/>
    <col min="17" max="17" width="4.5" style="946" customWidth="1"/>
    <col min="18" max="18" width="29.1640625" style="946" bestFit="1" customWidth="1"/>
    <col min="19" max="19" width="16.33203125" style="944" customWidth="1"/>
    <col min="20" max="20" width="13.6640625" style="944" customWidth="1"/>
    <col min="21" max="21" width="14.83203125" style="944" customWidth="1"/>
    <col min="22" max="22" width="13.5" style="944" bestFit="1" customWidth="1"/>
    <col min="23" max="23" width="16.1640625" style="944" bestFit="1" customWidth="1"/>
    <col min="24" max="24" width="16.1640625" style="944" customWidth="1"/>
    <col min="25" max="25" width="22.6640625" style="944" bestFit="1" customWidth="1"/>
    <col min="26" max="28" width="16.1640625" style="944" customWidth="1"/>
    <col min="29" max="29" width="11.83203125" style="944" customWidth="1"/>
    <col min="30" max="30" width="10.83203125" style="944" customWidth="1"/>
    <col min="31" max="31" width="11.83203125" style="944" bestFit="1" customWidth="1"/>
    <col min="32" max="32" width="11" style="944" bestFit="1" customWidth="1"/>
    <col min="33" max="35" width="10.6640625" style="944"/>
    <col min="36" max="36" width="12.5" style="944" bestFit="1" customWidth="1"/>
    <col min="37" max="37" width="15.1640625" style="944" bestFit="1" customWidth="1"/>
    <col min="38" max="42" width="10.6640625" style="944"/>
    <col min="43" max="44" width="12.5" style="944" bestFit="1" customWidth="1"/>
    <col min="45" max="45" width="14" style="944" bestFit="1" customWidth="1"/>
    <col min="46" max="46" width="10.6640625" style="944"/>
    <col min="47" max="48" width="11" style="944" bestFit="1" customWidth="1"/>
    <col min="49" max="49" width="12.5" style="944" bestFit="1" customWidth="1"/>
    <col min="50" max="50" width="12.33203125" style="944" bestFit="1" customWidth="1"/>
    <col min="51" max="51" width="14" style="944" bestFit="1" customWidth="1"/>
    <col min="52" max="52" width="14.33203125" style="944" bestFit="1" customWidth="1"/>
    <col min="53" max="53" width="11" style="944" bestFit="1" customWidth="1"/>
    <col min="54" max="54" width="18" style="944" bestFit="1" customWidth="1"/>
    <col min="55" max="55" width="14" style="944" bestFit="1" customWidth="1"/>
    <col min="56" max="56" width="18" style="944" bestFit="1" customWidth="1"/>
    <col min="57" max="59" width="11" style="944" bestFit="1" customWidth="1"/>
    <col min="60" max="60" width="14" style="944" bestFit="1" customWidth="1"/>
    <col min="61" max="61" width="11" style="944" bestFit="1" customWidth="1"/>
    <col min="62" max="62" width="18.1640625" style="944" bestFit="1" customWidth="1"/>
    <col min="63" max="63" width="10.6640625" style="944"/>
    <col min="64" max="64" width="14" style="944" bestFit="1" customWidth="1"/>
    <col min="65" max="65" width="11" style="944" bestFit="1" customWidth="1"/>
    <col min="66" max="66" width="12" style="944" bestFit="1" customWidth="1"/>
    <col min="67" max="67" width="15.5" style="944" bestFit="1" customWidth="1"/>
    <col min="68" max="68" width="12" style="944" bestFit="1" customWidth="1"/>
    <col min="69" max="72" width="10.6640625" style="944"/>
    <col min="73" max="73" width="11" style="944" bestFit="1" customWidth="1"/>
    <col min="74" max="16384" width="10.6640625" style="944"/>
  </cols>
  <sheetData>
    <row r="1" spans="1:43" ht="11.25" customHeight="1" thickBot="1">
      <c r="A1" s="943"/>
      <c r="F1" s="945"/>
      <c r="G1" s="945"/>
      <c r="H1" s="945"/>
      <c r="I1" s="945"/>
      <c r="J1" s="945"/>
      <c r="K1" s="945"/>
      <c r="L1" s="945"/>
      <c r="M1" s="945"/>
      <c r="N1" s="945"/>
      <c r="R1" s="944"/>
      <c r="S1" s="947"/>
      <c r="T1" s="948"/>
      <c r="W1" s="944" t="s">
        <v>378</v>
      </c>
      <c r="X1" s="944" t="s">
        <v>380</v>
      </c>
      <c r="AQ1" s="949"/>
    </row>
    <row r="2" spans="1:43" ht="15" thickTop="1">
      <c r="A2" s="950"/>
      <c r="B2" s="216" t="str">
        <f>'MASTER PubCo Inputs'!$C$5</f>
        <v>Medikine, Inc.</v>
      </c>
      <c r="C2" s="216"/>
      <c r="D2" s="216"/>
      <c r="E2" s="216"/>
      <c r="F2" s="216"/>
      <c r="G2" s="216"/>
      <c r="H2" s="216"/>
      <c r="I2" s="216"/>
      <c r="J2" s="216"/>
      <c r="K2" s="216"/>
      <c r="L2" s="216"/>
      <c r="M2" s="216"/>
      <c r="N2" s="216"/>
      <c r="O2" s="216"/>
      <c r="P2" s="216"/>
      <c r="Q2" s="951"/>
      <c r="R2" s="952"/>
      <c r="S2" s="953" t="s">
        <v>1406</v>
      </c>
      <c r="T2" s="954">
        <v>43082</v>
      </c>
      <c r="W2" s="944" t="s">
        <v>702</v>
      </c>
      <c r="X2" s="944" t="s">
        <v>703</v>
      </c>
    </row>
    <row r="3" spans="1:43" ht="14.25">
      <c r="A3" s="950"/>
      <c r="B3" s="217" t="e">
        <f>VLOOKUP(B4,Outline!$E$8:$G$79,COLUMNS(Outline!$E$8:$G$8),FALSE)</f>
        <v>#N/A</v>
      </c>
      <c r="C3" s="217"/>
      <c r="D3" s="217"/>
      <c r="E3" s="217"/>
      <c r="F3" s="217"/>
      <c r="G3" s="217"/>
      <c r="H3" s="217"/>
      <c r="I3" s="217"/>
      <c r="J3" s="217"/>
      <c r="K3" s="217"/>
      <c r="L3" s="217"/>
      <c r="M3" s="217"/>
      <c r="N3" s="217"/>
      <c r="O3" s="217"/>
      <c r="P3" s="217"/>
      <c r="Q3" s="951"/>
      <c r="R3" s="952"/>
      <c r="S3" s="955" t="s">
        <v>1836</v>
      </c>
      <c r="T3" s="956"/>
      <c r="W3" s="944" t="s">
        <v>379</v>
      </c>
      <c r="X3" s="944" t="s">
        <v>381</v>
      </c>
    </row>
    <row r="4" spans="1:43" ht="15" thickBot="1">
      <c r="B4" s="444" t="s">
        <v>2539</v>
      </c>
      <c r="C4" s="444"/>
      <c r="D4" s="444"/>
      <c r="E4" s="444"/>
      <c r="F4" s="444"/>
      <c r="G4" s="444"/>
      <c r="H4" s="444"/>
      <c r="I4" s="444"/>
      <c r="J4" s="444"/>
      <c r="K4" s="444"/>
      <c r="L4" s="444"/>
      <c r="M4" s="444"/>
      <c r="N4" s="444"/>
      <c r="O4" s="444"/>
      <c r="P4" s="445" t="str">
        <f>'MASTER PubCo Inputs'!C20</f>
        <v>(in thousands of USD and shares, except price per share)</v>
      </c>
      <c r="Q4" s="951"/>
      <c r="R4" s="944"/>
      <c r="W4" s="944" t="s">
        <v>89</v>
      </c>
      <c r="X4" s="944" t="s">
        <v>90</v>
      </c>
    </row>
    <row r="5" spans="1:43" ht="14.85" customHeight="1" thickTop="1">
      <c r="B5" s="1787"/>
      <c r="C5" s="1788"/>
      <c r="D5" s="1787"/>
      <c r="E5" s="1787"/>
      <c r="F5" s="1789"/>
      <c r="G5" s="945"/>
      <c r="H5" s="945"/>
      <c r="I5" s="945"/>
      <c r="J5" s="945"/>
      <c r="K5" s="945"/>
      <c r="L5" s="945"/>
      <c r="M5" s="945"/>
      <c r="N5" s="945"/>
      <c r="Q5" s="951"/>
      <c r="R5" s="944"/>
    </row>
    <row r="6" spans="1:43" ht="14.85" customHeight="1">
      <c r="B6" s="960"/>
      <c r="C6" s="950"/>
      <c r="D6" s="960"/>
      <c r="E6" s="960"/>
      <c r="F6" s="945"/>
      <c r="G6" s="945"/>
      <c r="H6" s="945"/>
      <c r="I6" s="945"/>
      <c r="J6" s="945"/>
      <c r="K6" s="945"/>
      <c r="L6" s="961"/>
      <c r="M6" s="945"/>
      <c r="N6" s="962"/>
      <c r="P6" s="963"/>
    </row>
    <row r="7" spans="1:43" s="964" customFormat="1" ht="14.85" customHeight="1">
      <c r="B7" s="965" t="s">
        <v>1024</v>
      </c>
      <c r="C7" s="966"/>
      <c r="D7" s="966"/>
      <c r="E7" s="966"/>
      <c r="F7" s="966"/>
      <c r="G7" s="966"/>
      <c r="H7" s="966"/>
      <c r="I7" s="966"/>
      <c r="J7" s="966"/>
      <c r="K7" s="966"/>
      <c r="L7" s="966"/>
      <c r="M7" s="966"/>
      <c r="N7" s="966"/>
      <c r="O7" s="966"/>
      <c r="P7" s="967"/>
      <c r="Q7" s="968"/>
      <c r="R7" s="968"/>
      <c r="S7" s="968"/>
      <c r="T7" s="969"/>
      <c r="U7" s="969"/>
    </row>
    <row r="8" spans="1:43" s="970" customFormat="1" ht="30" customHeight="1">
      <c r="B8" s="971"/>
      <c r="C8" s="972"/>
      <c r="D8" s="1931" t="s">
        <v>1739</v>
      </c>
      <c r="E8" s="972" t="s">
        <v>1026</v>
      </c>
      <c r="F8" s="1931" t="s">
        <v>1550</v>
      </c>
      <c r="G8" s="1933" t="s">
        <v>1027</v>
      </c>
      <c r="H8" s="1933" t="s">
        <v>1028</v>
      </c>
      <c r="I8" s="1933"/>
      <c r="J8" s="1933" t="s">
        <v>1029</v>
      </c>
      <c r="K8" s="1933" t="s">
        <v>1737</v>
      </c>
      <c r="L8" s="1933" t="s">
        <v>1030</v>
      </c>
      <c r="M8" s="1933" t="s">
        <v>1031</v>
      </c>
      <c r="N8" s="1933" t="s">
        <v>1032</v>
      </c>
      <c r="O8" s="1933" t="s">
        <v>1738</v>
      </c>
      <c r="P8" s="1935" t="s">
        <v>1487</v>
      </c>
      <c r="Q8" s="968"/>
      <c r="R8" s="968"/>
      <c r="S8" s="1930" t="s">
        <v>1029</v>
      </c>
      <c r="T8" s="1930" t="s">
        <v>1488</v>
      </c>
      <c r="U8" s="1930" t="s">
        <v>1489</v>
      </c>
      <c r="V8" s="1929" t="s">
        <v>1036</v>
      </c>
      <c r="X8" s="1930" t="s">
        <v>1037</v>
      </c>
      <c r="Y8" s="973"/>
      <c r="Z8" s="973"/>
      <c r="AA8" s="1930" t="s">
        <v>146</v>
      </c>
      <c r="AB8" s="1930" t="s">
        <v>1743</v>
      </c>
      <c r="AC8" s="1930" t="s">
        <v>1744</v>
      </c>
      <c r="AD8" s="1930" t="s">
        <v>1745</v>
      </c>
      <c r="AE8" s="1930" t="s">
        <v>1746</v>
      </c>
    </row>
    <row r="9" spans="1:43" s="970" customFormat="1" ht="30" customHeight="1">
      <c r="B9" s="974" t="s">
        <v>1038</v>
      </c>
      <c r="C9" s="975" t="s">
        <v>1039</v>
      </c>
      <c r="D9" s="1932"/>
      <c r="E9" s="975" t="s">
        <v>1040</v>
      </c>
      <c r="F9" s="1932"/>
      <c r="G9" s="1934"/>
      <c r="H9" s="976" t="s">
        <v>112</v>
      </c>
      <c r="I9" s="976" t="s">
        <v>111</v>
      </c>
      <c r="J9" s="1934"/>
      <c r="K9" s="1934"/>
      <c r="L9" s="1934"/>
      <c r="M9" s="1934"/>
      <c r="N9" s="1934"/>
      <c r="O9" s="1934"/>
      <c r="P9" s="1936"/>
      <c r="Q9" s="968"/>
      <c r="R9" s="977" t="s">
        <v>1839</v>
      </c>
      <c r="S9" s="1930"/>
      <c r="T9" s="1930" t="s">
        <v>1488</v>
      </c>
      <c r="U9" s="1930"/>
      <c r="V9" s="1929"/>
      <c r="W9" s="978" t="s">
        <v>1490</v>
      </c>
      <c r="X9" s="1930"/>
      <c r="Y9" s="973" t="s">
        <v>95</v>
      </c>
      <c r="Z9" s="973" t="s">
        <v>685</v>
      </c>
      <c r="AA9" s="1930"/>
      <c r="AB9" s="1930"/>
      <c r="AC9" s="1930"/>
      <c r="AD9" s="1930"/>
      <c r="AE9" s="1930"/>
    </row>
    <row r="10" spans="1:43" s="979" customFormat="1" ht="14.85" customHeight="1">
      <c r="B10" s="980"/>
      <c r="C10" s="980"/>
      <c r="D10" s="980"/>
      <c r="E10" s="980"/>
      <c r="F10" s="980"/>
      <c r="G10" s="980"/>
      <c r="H10" s="980"/>
      <c r="I10" s="980"/>
      <c r="J10" s="980"/>
      <c r="K10" s="980"/>
      <c r="L10" s="980"/>
      <c r="M10" s="980"/>
      <c r="N10" s="980"/>
      <c r="O10" s="980"/>
      <c r="P10" s="980"/>
      <c r="Q10" s="968"/>
      <c r="R10" s="968"/>
      <c r="S10" s="968"/>
      <c r="T10" s="981"/>
      <c r="U10" s="981"/>
      <c r="AF10" s="982" t="s">
        <v>110</v>
      </c>
    </row>
    <row r="11" spans="1:43" s="979" customFormat="1" ht="14.85" customHeight="1">
      <c r="B11" s="983" t="s">
        <v>1491</v>
      </c>
      <c r="C11" s="980"/>
      <c r="D11" s="980"/>
      <c r="E11" s="980"/>
      <c r="F11" s="984"/>
      <c r="G11" s="980"/>
      <c r="H11" s="980"/>
      <c r="I11" s="980"/>
      <c r="J11" s="980"/>
      <c r="K11" s="980"/>
      <c r="L11" s="985"/>
      <c r="M11" s="980"/>
      <c r="N11" s="980"/>
      <c r="O11" s="980"/>
      <c r="P11" s="980"/>
      <c r="Q11" s="968"/>
      <c r="R11" s="968"/>
      <c r="S11" s="968"/>
      <c r="T11" s="981"/>
      <c r="U11" s="981"/>
    </row>
    <row r="12" spans="1:43" s="979" customFormat="1" ht="14.85" customHeight="1">
      <c r="B12" s="986" t="s">
        <v>1773</v>
      </c>
      <c r="C12" s="987" t="s">
        <v>1774</v>
      </c>
      <c r="D12" s="988" t="s">
        <v>732</v>
      </c>
      <c r="E12" s="989" t="s">
        <v>1775</v>
      </c>
      <c r="F12" s="990">
        <v>42997</v>
      </c>
      <c r="G12" s="991">
        <v>10</v>
      </c>
      <c r="H12" s="991">
        <v>9</v>
      </c>
      <c r="I12" s="991">
        <v>11</v>
      </c>
      <c r="J12" s="991">
        <v>9.99</v>
      </c>
      <c r="K12" s="992">
        <v>5643.2469999999994</v>
      </c>
      <c r="L12" s="993">
        <v>4000</v>
      </c>
      <c r="M12" s="993">
        <v>9643.2469999999994</v>
      </c>
      <c r="N12" s="992">
        <v>56832.47</v>
      </c>
      <c r="O12" s="994">
        <v>40000</v>
      </c>
      <c r="P12" s="992">
        <v>96832.47</v>
      </c>
      <c r="Q12" s="968"/>
      <c r="R12" s="968">
        <v>1</v>
      </c>
      <c r="S12" s="991">
        <v>9.99</v>
      </c>
      <c r="T12" s="995">
        <v>96336.037530000001</v>
      </c>
      <c r="U12" s="996">
        <v>-5.1267149335342266E-3</v>
      </c>
      <c r="V12" s="997" t="s">
        <v>1776</v>
      </c>
      <c r="W12" s="998" t="s">
        <v>1777</v>
      </c>
      <c r="X12" s="999">
        <v>96832.47</v>
      </c>
      <c r="Y12" s="1000">
        <v>0</v>
      </c>
      <c r="Z12" s="1000">
        <v>3518</v>
      </c>
      <c r="AA12" s="1001">
        <v>93314.47</v>
      </c>
      <c r="AB12" s="1002">
        <v>1518</v>
      </c>
      <c r="AC12" s="1002">
        <v>-46202</v>
      </c>
      <c r="AD12" s="1003">
        <v>61.471982872200265</v>
      </c>
      <c r="AE12" s="1003">
        <v>-2.0197062897710056</v>
      </c>
      <c r="AF12" s="1004">
        <v>0</v>
      </c>
    </row>
    <row r="13" spans="1:43" s="979" customFormat="1" ht="14.85" customHeight="1">
      <c r="B13" s="986" t="s">
        <v>739</v>
      </c>
      <c r="C13" s="987" t="s">
        <v>737</v>
      </c>
      <c r="D13" s="988" t="s">
        <v>868</v>
      </c>
      <c r="E13" s="989" t="s">
        <v>1046</v>
      </c>
      <c r="F13" s="990">
        <v>42661</v>
      </c>
      <c r="G13" s="991">
        <v>14</v>
      </c>
      <c r="H13" s="991">
        <v>15</v>
      </c>
      <c r="I13" s="991">
        <v>17</v>
      </c>
      <c r="J13" s="991">
        <v>20.5</v>
      </c>
      <c r="K13" s="992">
        <f>+M13-L13</f>
        <v>35360.633999999998</v>
      </c>
      <c r="L13" s="993">
        <v>4000</v>
      </c>
      <c r="M13" s="993">
        <v>39360.633999999998</v>
      </c>
      <c r="N13" s="992">
        <f>+G13*K13</f>
        <v>495048.87599999999</v>
      </c>
      <c r="O13" s="994">
        <f>+G13*L13</f>
        <v>56000</v>
      </c>
      <c r="P13" s="992">
        <f>+N13+O13</f>
        <v>551048.87599999993</v>
      </c>
      <c r="Q13" s="968"/>
      <c r="R13" s="968">
        <v>1</v>
      </c>
      <c r="S13" s="991">
        <f>J13</f>
        <v>20.5</v>
      </c>
      <c r="T13" s="995">
        <f>S13*M13</f>
        <v>806892.99699999997</v>
      </c>
      <c r="U13" s="996">
        <f>T13/P13-1</f>
        <v>0.46428571428571441</v>
      </c>
      <c r="V13" s="997" t="s">
        <v>738</v>
      </c>
      <c r="W13" s="998" t="s">
        <v>740</v>
      </c>
      <c r="X13" s="999">
        <f>+N13+O13</f>
        <v>551048.87599999993</v>
      </c>
      <c r="Y13" s="1000">
        <v>0</v>
      </c>
      <c r="Z13" s="1000">
        <v>246849</v>
      </c>
      <c r="AA13" s="1001">
        <f>X13+Y13-Z13</f>
        <v>304199.87599999993</v>
      </c>
      <c r="AB13" s="1002">
        <v>1518</v>
      </c>
      <c r="AC13" s="1002">
        <v>-46202</v>
      </c>
      <c r="AD13" s="1003">
        <f>IFERROR(AA13/AB13,"n/a")</f>
        <v>200.39517523056648</v>
      </c>
      <c r="AE13" s="1003">
        <f>IFERROR(AA13/AC13,"n/a")</f>
        <v>-6.584127873252239</v>
      </c>
      <c r="AF13" s="1004">
        <f>+P13-X13</f>
        <v>0</v>
      </c>
    </row>
    <row r="14" spans="1:43" s="979" customFormat="1" ht="14.85" customHeight="1">
      <c r="A14" s="1005"/>
      <c r="B14" s="986" t="s">
        <v>763</v>
      </c>
      <c r="C14" s="987" t="s">
        <v>761</v>
      </c>
      <c r="D14" s="988" t="s">
        <v>732</v>
      </c>
      <c r="E14" s="989" t="s">
        <v>1072</v>
      </c>
      <c r="F14" s="990">
        <v>42571</v>
      </c>
      <c r="G14" s="1006">
        <v>15</v>
      </c>
      <c r="H14" s="1006">
        <v>14</v>
      </c>
      <c r="I14" s="1006">
        <v>16</v>
      </c>
      <c r="J14" s="1006">
        <v>14.4</v>
      </c>
      <c r="K14" s="992">
        <f t="shared" ref="K14:K28" si="0">+M14-L14</f>
        <v>16020.378000000001</v>
      </c>
      <c r="L14" s="993">
        <v>5000</v>
      </c>
      <c r="M14" s="993">
        <v>21020.378000000001</v>
      </c>
      <c r="N14" s="992">
        <f t="shared" ref="N14:N28" si="1">+G14*K14</f>
        <v>240305.67</v>
      </c>
      <c r="O14" s="994">
        <f t="shared" ref="O14:O28" si="2">+G14*L14</f>
        <v>75000</v>
      </c>
      <c r="P14" s="992">
        <f t="shared" ref="P14:P28" si="3">+N14+O14</f>
        <v>315305.67000000004</v>
      </c>
      <c r="Q14" s="992"/>
      <c r="R14" s="968">
        <v>1</v>
      </c>
      <c r="S14" s="991">
        <f t="shared" ref="S14:S28" si="4">J14</f>
        <v>14.4</v>
      </c>
      <c r="T14" s="995">
        <f t="shared" ref="T14:T28" si="5">S14*M14</f>
        <v>302693.44320000004</v>
      </c>
      <c r="U14" s="996">
        <f t="shared" ref="U14:U28" si="6">T14/P14-1</f>
        <v>-4.0000000000000036E-2</v>
      </c>
      <c r="V14" s="1007" t="s">
        <v>762</v>
      </c>
      <c r="W14" s="998" t="s">
        <v>764</v>
      </c>
      <c r="X14" s="999">
        <f t="shared" ref="X14:X28" si="7">+N14+O14</f>
        <v>315305.67000000004</v>
      </c>
      <c r="Y14" s="999">
        <v>0</v>
      </c>
      <c r="Z14" s="999">
        <v>59713</v>
      </c>
      <c r="AA14" s="1001">
        <f t="shared" ref="AA14:AA28" si="8">X14+Y14-Z14</f>
        <v>255592.67000000004</v>
      </c>
      <c r="AB14" s="1002">
        <v>0</v>
      </c>
      <c r="AC14" s="1008">
        <v>-40429</v>
      </c>
      <c r="AD14" s="1003" t="str">
        <f t="shared" ref="AD14:AD28" si="9">IFERROR(AA14/AB14,"n/a")</f>
        <v>n/a</v>
      </c>
      <c r="AE14" s="1003">
        <f t="shared" ref="AE14:AE28" si="10">IFERROR(AA14/AC14,"n/a")</f>
        <v>-6.3220131588711084</v>
      </c>
      <c r="AF14" s="1004">
        <f t="shared" ref="AF14:AF28" si="11">+P14-X14</f>
        <v>0</v>
      </c>
      <c r="AG14" s="1009"/>
    </row>
    <row r="15" spans="1:43" s="979" customFormat="1" ht="14.85" customHeight="1">
      <c r="A15" s="1005"/>
      <c r="B15" s="986" t="s">
        <v>1079</v>
      </c>
      <c r="C15" s="987" t="s">
        <v>1080</v>
      </c>
      <c r="D15" s="988" t="s">
        <v>732</v>
      </c>
      <c r="E15" s="989" t="s">
        <v>1081</v>
      </c>
      <c r="F15" s="990">
        <v>42522</v>
      </c>
      <c r="G15" s="1006">
        <v>6</v>
      </c>
      <c r="H15" s="1006">
        <v>5</v>
      </c>
      <c r="I15" s="1006">
        <v>6</v>
      </c>
      <c r="J15" s="1006">
        <v>7.0350000000000001</v>
      </c>
      <c r="K15" s="992">
        <f t="shared" si="0"/>
        <v>6895.2960000000003</v>
      </c>
      <c r="L15" s="993">
        <v>1540.0260000000001</v>
      </c>
      <c r="M15" s="993">
        <v>8435.3220000000001</v>
      </c>
      <c r="N15" s="992">
        <f t="shared" si="1"/>
        <v>41371.775999999998</v>
      </c>
      <c r="O15" s="994">
        <f t="shared" si="2"/>
        <v>9240.1560000000009</v>
      </c>
      <c r="P15" s="992">
        <f t="shared" si="3"/>
        <v>50611.932000000001</v>
      </c>
      <c r="Q15" s="992"/>
      <c r="R15" s="968">
        <v>1</v>
      </c>
      <c r="S15" s="991">
        <f t="shared" si="4"/>
        <v>7.0350000000000001</v>
      </c>
      <c r="T15" s="995">
        <f t="shared" si="5"/>
        <v>59342.490270000002</v>
      </c>
      <c r="U15" s="996">
        <f t="shared" si="6"/>
        <v>0.1725000000000001</v>
      </c>
      <c r="V15" s="1007" t="s">
        <v>1082</v>
      </c>
      <c r="W15" s="998" t="s">
        <v>1083</v>
      </c>
      <c r="X15" s="999">
        <f t="shared" si="7"/>
        <v>50611.932000000001</v>
      </c>
      <c r="Y15" s="999">
        <v>450000</v>
      </c>
      <c r="Z15" s="999">
        <v>28.09</v>
      </c>
      <c r="AA15" s="1001">
        <f t="shared" si="8"/>
        <v>500583.842</v>
      </c>
      <c r="AB15" s="1002">
        <v>0</v>
      </c>
      <c r="AC15" s="1008">
        <v>0</v>
      </c>
      <c r="AD15" s="1003" t="str">
        <f t="shared" si="9"/>
        <v>n/a</v>
      </c>
      <c r="AE15" s="1003" t="str">
        <f t="shared" si="10"/>
        <v>n/a</v>
      </c>
      <c r="AF15" s="1004">
        <f t="shared" si="11"/>
        <v>0</v>
      </c>
      <c r="AG15" s="1009"/>
    </row>
    <row r="16" spans="1:43" s="1009" customFormat="1" ht="14.85" customHeight="1">
      <c r="A16" s="1005"/>
      <c r="B16" s="986" t="s">
        <v>773</v>
      </c>
      <c r="C16" s="989" t="s">
        <v>771</v>
      </c>
      <c r="D16" s="988" t="s">
        <v>732</v>
      </c>
      <c r="E16" s="989" t="s">
        <v>1094</v>
      </c>
      <c r="F16" s="990">
        <v>42507</v>
      </c>
      <c r="G16" s="1006">
        <v>5</v>
      </c>
      <c r="H16" s="1006">
        <v>0</v>
      </c>
      <c r="I16" s="1006">
        <v>0</v>
      </c>
      <c r="J16" s="1006">
        <v>5.18</v>
      </c>
      <c r="K16" s="992">
        <f t="shared" si="0"/>
        <v>7883.2340000000004</v>
      </c>
      <c r="L16" s="993">
        <v>3700</v>
      </c>
      <c r="M16" s="993">
        <v>11583.234</v>
      </c>
      <c r="N16" s="992">
        <f t="shared" si="1"/>
        <v>39416.17</v>
      </c>
      <c r="O16" s="994">
        <f t="shared" si="2"/>
        <v>18500</v>
      </c>
      <c r="P16" s="992">
        <f t="shared" si="3"/>
        <v>57916.17</v>
      </c>
      <c r="Q16" s="992"/>
      <c r="R16" s="968">
        <v>1</v>
      </c>
      <c r="S16" s="991">
        <f t="shared" si="4"/>
        <v>5.18</v>
      </c>
      <c r="T16" s="995">
        <f t="shared" si="5"/>
        <v>60001.152119999999</v>
      </c>
      <c r="U16" s="996">
        <f t="shared" si="6"/>
        <v>3.6000000000000032E-2</v>
      </c>
      <c r="V16" s="1007" t="s">
        <v>772</v>
      </c>
      <c r="W16" s="998" t="s">
        <v>774</v>
      </c>
      <c r="X16" s="999">
        <f t="shared" si="7"/>
        <v>57916.17</v>
      </c>
      <c r="Y16" s="999">
        <v>19992000</v>
      </c>
      <c r="Z16" s="999">
        <v>905</v>
      </c>
      <c r="AA16" s="1001">
        <f t="shared" si="8"/>
        <v>20049011.170000002</v>
      </c>
      <c r="AB16" s="1002">
        <v>0</v>
      </c>
      <c r="AC16" s="1008">
        <v>-14899</v>
      </c>
      <c r="AD16" s="1003" t="str">
        <f t="shared" si="9"/>
        <v>n/a</v>
      </c>
      <c r="AE16" s="1003">
        <f t="shared" si="10"/>
        <v>-1345.6615323176054</v>
      </c>
      <c r="AF16" s="1004">
        <f t="shared" si="11"/>
        <v>0</v>
      </c>
      <c r="AG16" s="979"/>
      <c r="AK16" s="1004"/>
      <c r="AL16" s="1010"/>
    </row>
    <row r="17" spans="1:42" s="979" customFormat="1" ht="14.85" customHeight="1">
      <c r="A17" s="1005"/>
      <c r="B17" s="986" t="s">
        <v>759</v>
      </c>
      <c r="C17" s="989" t="s">
        <v>757</v>
      </c>
      <c r="D17" s="988" t="s">
        <v>868</v>
      </c>
      <c r="E17" s="989" t="s">
        <v>1100</v>
      </c>
      <c r="F17" s="990">
        <v>42495</v>
      </c>
      <c r="G17" s="1006">
        <v>18</v>
      </c>
      <c r="H17" s="1006">
        <v>16</v>
      </c>
      <c r="I17" s="1006">
        <v>18</v>
      </c>
      <c r="J17" s="1006">
        <v>28.8</v>
      </c>
      <c r="K17" s="992">
        <f t="shared" si="0"/>
        <v>29096.264999999999</v>
      </c>
      <c r="L17" s="993">
        <v>6000</v>
      </c>
      <c r="M17" s="993">
        <v>35096.264999999999</v>
      </c>
      <c r="N17" s="992">
        <f t="shared" si="1"/>
        <v>523732.77</v>
      </c>
      <c r="O17" s="994">
        <f t="shared" si="2"/>
        <v>108000</v>
      </c>
      <c r="P17" s="992">
        <f t="shared" si="3"/>
        <v>631732.77</v>
      </c>
      <c r="Q17" s="992"/>
      <c r="R17" s="968">
        <v>1</v>
      </c>
      <c r="S17" s="991">
        <f t="shared" si="4"/>
        <v>28.8</v>
      </c>
      <c r="T17" s="995">
        <f t="shared" si="5"/>
        <v>1010772.432</v>
      </c>
      <c r="U17" s="996">
        <f t="shared" si="6"/>
        <v>0.60000000000000009</v>
      </c>
      <c r="V17" s="1007" t="s">
        <v>758</v>
      </c>
      <c r="W17" s="998" t="s">
        <v>760</v>
      </c>
      <c r="X17" s="999">
        <f t="shared" si="7"/>
        <v>631732.77</v>
      </c>
      <c r="Y17" s="999">
        <v>0</v>
      </c>
      <c r="Z17" s="999">
        <v>75816</v>
      </c>
      <c r="AA17" s="1001">
        <f t="shared" si="8"/>
        <v>555916.77</v>
      </c>
      <c r="AB17" s="1002">
        <v>9364</v>
      </c>
      <c r="AC17" s="1008">
        <v>-21770</v>
      </c>
      <c r="AD17" s="1003">
        <f t="shared" si="9"/>
        <v>59.367446604015377</v>
      </c>
      <c r="AE17" s="1003">
        <f t="shared" si="10"/>
        <v>-25.535910427193386</v>
      </c>
      <c r="AF17" s="1004">
        <f t="shared" si="11"/>
        <v>0</v>
      </c>
      <c r="AK17" s="1004"/>
      <c r="AL17" s="1010"/>
      <c r="AM17" s="1009"/>
    </row>
    <row r="18" spans="1:42" s="979" customFormat="1" ht="14.85" customHeight="1">
      <c r="A18" s="1005"/>
      <c r="B18" s="986" t="s">
        <v>1105</v>
      </c>
      <c r="C18" s="989" t="s">
        <v>1106</v>
      </c>
      <c r="D18" s="988" t="s">
        <v>1492</v>
      </c>
      <c r="E18" s="989" t="s">
        <v>1107</v>
      </c>
      <c r="F18" s="990">
        <v>42466</v>
      </c>
      <c r="G18" s="1006">
        <v>10</v>
      </c>
      <c r="H18" s="1006">
        <v>16</v>
      </c>
      <c r="I18" s="1006">
        <v>18</v>
      </c>
      <c r="J18" s="1006">
        <v>8.7100000000000009</v>
      </c>
      <c r="K18" s="992">
        <f t="shared" si="0"/>
        <v>7929.8320000000003</v>
      </c>
      <c r="L18" s="993">
        <v>5000</v>
      </c>
      <c r="M18" s="993">
        <v>12929.832</v>
      </c>
      <c r="N18" s="992">
        <f t="shared" si="1"/>
        <v>79298.320000000007</v>
      </c>
      <c r="O18" s="994">
        <f t="shared" si="2"/>
        <v>50000</v>
      </c>
      <c r="P18" s="992">
        <f t="shared" si="3"/>
        <v>129298.32</v>
      </c>
      <c r="Q18" s="992"/>
      <c r="R18" s="968">
        <v>1</v>
      </c>
      <c r="S18" s="991">
        <f t="shared" si="4"/>
        <v>8.7100000000000009</v>
      </c>
      <c r="T18" s="995">
        <f t="shared" si="5"/>
        <v>112618.83672000002</v>
      </c>
      <c r="U18" s="996">
        <f t="shared" si="6"/>
        <v>-0.12899999999999989</v>
      </c>
      <c r="V18" s="997" t="s">
        <v>1108</v>
      </c>
      <c r="W18" s="998" t="s">
        <v>1109</v>
      </c>
      <c r="X18" s="999">
        <f t="shared" si="7"/>
        <v>129298.32</v>
      </c>
      <c r="Y18" s="999">
        <v>0</v>
      </c>
      <c r="Z18" s="999">
        <v>29294</v>
      </c>
      <c r="AA18" s="1001">
        <f t="shared" si="8"/>
        <v>100004.32</v>
      </c>
      <c r="AB18" s="1002">
        <v>4890</v>
      </c>
      <c r="AC18" s="1008">
        <v>-17383</v>
      </c>
      <c r="AD18" s="1003">
        <f t="shared" si="9"/>
        <v>20.450781186094073</v>
      </c>
      <c r="AE18" s="1003">
        <f t="shared" si="10"/>
        <v>-5.7529954553299207</v>
      </c>
      <c r="AF18" s="1004">
        <f t="shared" si="11"/>
        <v>0</v>
      </c>
      <c r="AK18" s="994"/>
      <c r="AL18" s="1010"/>
      <c r="AM18" s="1009"/>
    </row>
    <row r="19" spans="1:42" s="964" customFormat="1" ht="14.85" customHeight="1">
      <c r="A19" s="1005"/>
      <c r="B19" s="986" t="s">
        <v>1124</v>
      </c>
      <c r="C19" s="989" t="s">
        <v>1125</v>
      </c>
      <c r="D19" s="988" t="s">
        <v>1492</v>
      </c>
      <c r="E19" s="989" t="s">
        <v>1126</v>
      </c>
      <c r="F19" s="990">
        <v>42410</v>
      </c>
      <c r="G19" s="1006">
        <v>8</v>
      </c>
      <c r="H19" s="1006">
        <v>12</v>
      </c>
      <c r="I19" s="1006">
        <v>14</v>
      </c>
      <c r="J19" s="1006">
        <v>8.9600000000000009</v>
      </c>
      <c r="K19" s="992">
        <f t="shared" si="0"/>
        <v>12861.478999999999</v>
      </c>
      <c r="L19" s="993">
        <v>6250</v>
      </c>
      <c r="M19" s="993">
        <v>19111.478999999999</v>
      </c>
      <c r="N19" s="992">
        <f t="shared" si="1"/>
        <v>102891.83199999999</v>
      </c>
      <c r="O19" s="994">
        <f t="shared" si="2"/>
        <v>50000</v>
      </c>
      <c r="P19" s="992">
        <f t="shared" si="3"/>
        <v>152891.83199999999</v>
      </c>
      <c r="Q19" s="992"/>
      <c r="R19" s="968">
        <v>1</v>
      </c>
      <c r="S19" s="991">
        <f t="shared" si="4"/>
        <v>8.9600000000000009</v>
      </c>
      <c r="T19" s="995">
        <f t="shared" si="5"/>
        <v>171238.85184000002</v>
      </c>
      <c r="U19" s="996">
        <f t="shared" si="6"/>
        <v>0.12000000000000011</v>
      </c>
      <c r="V19" s="997" t="s">
        <v>1127</v>
      </c>
      <c r="W19" s="998" t="s">
        <v>1128</v>
      </c>
      <c r="X19" s="999">
        <f t="shared" si="7"/>
        <v>152891.83199999999</v>
      </c>
      <c r="Y19" s="999">
        <v>0</v>
      </c>
      <c r="Z19" s="999">
        <v>20919</v>
      </c>
      <c r="AA19" s="1001">
        <f t="shared" si="8"/>
        <v>131972.83199999999</v>
      </c>
      <c r="AB19" s="1002">
        <v>5044</v>
      </c>
      <c r="AC19" s="1008">
        <v>-29704</v>
      </c>
      <c r="AD19" s="1003">
        <f t="shared" si="9"/>
        <v>26.164320380650278</v>
      </c>
      <c r="AE19" s="1003">
        <f t="shared" si="10"/>
        <v>-4.442931322380824</v>
      </c>
      <c r="AF19" s="1004">
        <f t="shared" si="11"/>
        <v>0</v>
      </c>
      <c r="AG19" s="979"/>
      <c r="AK19" s="994"/>
      <c r="AL19" s="1010"/>
      <c r="AM19" s="1009"/>
    </row>
    <row r="20" spans="1:42" s="964" customFormat="1" ht="14.85" customHeight="1">
      <c r="A20" s="1005"/>
      <c r="B20" s="986" t="s">
        <v>751</v>
      </c>
      <c r="C20" s="989" t="s">
        <v>749</v>
      </c>
      <c r="D20" s="988" t="s">
        <v>732</v>
      </c>
      <c r="E20" s="989" t="s">
        <v>1129</v>
      </c>
      <c r="F20" s="990">
        <v>42402</v>
      </c>
      <c r="G20" s="1006">
        <v>16</v>
      </c>
      <c r="H20" s="1006">
        <v>16</v>
      </c>
      <c r="I20" s="1006">
        <v>18</v>
      </c>
      <c r="J20" s="1006">
        <v>35.56</v>
      </c>
      <c r="K20" s="992">
        <f t="shared" si="0"/>
        <v>29799.538</v>
      </c>
      <c r="L20" s="993">
        <v>5900</v>
      </c>
      <c r="M20" s="993">
        <v>35699.538</v>
      </c>
      <c r="N20" s="992">
        <f t="shared" si="1"/>
        <v>476792.60800000001</v>
      </c>
      <c r="O20" s="994">
        <f t="shared" si="2"/>
        <v>94400</v>
      </c>
      <c r="P20" s="992">
        <f t="shared" si="3"/>
        <v>571192.60800000001</v>
      </c>
      <c r="Q20" s="992"/>
      <c r="R20" s="968">
        <v>1</v>
      </c>
      <c r="S20" s="991">
        <f t="shared" si="4"/>
        <v>35.56</v>
      </c>
      <c r="T20" s="995">
        <f t="shared" si="5"/>
        <v>1269475.57128</v>
      </c>
      <c r="U20" s="996">
        <f t="shared" si="6"/>
        <v>1.2225000000000001</v>
      </c>
      <c r="V20" s="997" t="s">
        <v>750</v>
      </c>
      <c r="W20" s="998" t="s">
        <v>752</v>
      </c>
      <c r="X20" s="999">
        <f t="shared" si="7"/>
        <v>571192.60800000001</v>
      </c>
      <c r="Y20" s="999">
        <v>1826000</v>
      </c>
      <c r="Z20" s="999">
        <v>155301</v>
      </c>
      <c r="AA20" s="1001">
        <f t="shared" si="8"/>
        <v>2241891.608</v>
      </c>
      <c r="AB20" s="1002">
        <v>5655</v>
      </c>
      <c r="AC20" s="1008">
        <v>-56081</v>
      </c>
      <c r="AD20" s="1003">
        <f t="shared" si="9"/>
        <v>396.44413934571173</v>
      </c>
      <c r="AE20" s="1003">
        <f t="shared" si="10"/>
        <v>-39.975956348852556</v>
      </c>
      <c r="AF20" s="1004">
        <f t="shared" si="11"/>
        <v>0</v>
      </c>
      <c r="AG20" s="979"/>
      <c r="AK20" s="994"/>
      <c r="AL20" s="1010"/>
      <c r="AM20" s="1009"/>
    </row>
    <row r="21" spans="1:42" s="964" customFormat="1" ht="14.85" customHeight="1">
      <c r="A21" s="1005"/>
      <c r="B21" s="986" t="s">
        <v>743</v>
      </c>
      <c r="C21" s="989" t="s">
        <v>741</v>
      </c>
      <c r="D21" s="988" t="s">
        <v>732</v>
      </c>
      <c r="E21" s="989" t="s">
        <v>1138</v>
      </c>
      <c r="F21" s="990">
        <v>42318</v>
      </c>
      <c r="G21" s="1006">
        <v>16</v>
      </c>
      <c r="H21" s="1006">
        <v>15</v>
      </c>
      <c r="I21" s="1006">
        <v>17</v>
      </c>
      <c r="J21" s="1006">
        <v>13.785</v>
      </c>
      <c r="K21" s="992">
        <f t="shared" si="0"/>
        <v>14558.296999999999</v>
      </c>
      <c r="L21" s="993">
        <v>6375</v>
      </c>
      <c r="M21" s="993">
        <v>20933.296999999999</v>
      </c>
      <c r="N21" s="992">
        <f t="shared" si="1"/>
        <v>232932.75199999998</v>
      </c>
      <c r="O21" s="994">
        <f t="shared" si="2"/>
        <v>102000</v>
      </c>
      <c r="P21" s="992">
        <f t="shared" si="3"/>
        <v>334932.75199999998</v>
      </c>
      <c r="Q21" s="992"/>
      <c r="R21" s="968">
        <v>1</v>
      </c>
      <c r="S21" s="991">
        <f t="shared" si="4"/>
        <v>13.785</v>
      </c>
      <c r="T21" s="995">
        <f t="shared" si="5"/>
        <v>288565.49914500001</v>
      </c>
      <c r="U21" s="996">
        <f t="shared" si="6"/>
        <v>-0.13843749999999988</v>
      </c>
      <c r="V21" s="997" t="s">
        <v>742</v>
      </c>
      <c r="W21" s="998" t="s">
        <v>744</v>
      </c>
      <c r="X21" s="999">
        <f t="shared" si="7"/>
        <v>334932.75199999998</v>
      </c>
      <c r="Y21" s="999">
        <v>171000</v>
      </c>
      <c r="Z21" s="999">
        <v>7779</v>
      </c>
      <c r="AA21" s="1001">
        <f t="shared" si="8"/>
        <v>498153.75199999998</v>
      </c>
      <c r="AB21" s="1002">
        <v>417</v>
      </c>
      <c r="AC21" s="1008">
        <v>-31242</v>
      </c>
      <c r="AD21" s="1003">
        <f t="shared" si="9"/>
        <v>1194.613314148681</v>
      </c>
      <c r="AE21" s="1003">
        <f t="shared" si="10"/>
        <v>-15.945001984508034</v>
      </c>
      <c r="AF21" s="1004">
        <f t="shared" si="11"/>
        <v>0</v>
      </c>
      <c r="AG21" s="979"/>
      <c r="AK21" s="994"/>
      <c r="AL21" s="1010"/>
      <c r="AM21" s="1009"/>
    </row>
    <row r="22" spans="1:42" s="964" customFormat="1" ht="14.85" customHeight="1">
      <c r="A22" s="1005"/>
      <c r="B22" s="986" t="s">
        <v>1155</v>
      </c>
      <c r="C22" s="989" t="s">
        <v>1156</v>
      </c>
      <c r="D22" s="988" t="s">
        <v>732</v>
      </c>
      <c r="E22" s="989" t="s">
        <v>1157</v>
      </c>
      <c r="F22" s="990">
        <v>42284</v>
      </c>
      <c r="G22" s="1006">
        <v>12</v>
      </c>
      <c r="H22" s="1006">
        <v>14</v>
      </c>
      <c r="I22" s="1006">
        <v>16</v>
      </c>
      <c r="J22" s="1006">
        <v>11.42</v>
      </c>
      <c r="K22" s="992">
        <f t="shared" si="0"/>
        <v>28253.925999999999</v>
      </c>
      <c r="L22" s="993">
        <v>6666.6670000000004</v>
      </c>
      <c r="M22" s="993">
        <v>34920.593000000001</v>
      </c>
      <c r="N22" s="992">
        <f t="shared" si="1"/>
        <v>339047.11199999996</v>
      </c>
      <c r="O22" s="994">
        <f t="shared" si="2"/>
        <v>80000.004000000001</v>
      </c>
      <c r="P22" s="992">
        <f t="shared" si="3"/>
        <v>419047.11599999998</v>
      </c>
      <c r="Q22" s="992"/>
      <c r="R22" s="968">
        <v>1</v>
      </c>
      <c r="S22" s="991">
        <f t="shared" si="4"/>
        <v>11.42</v>
      </c>
      <c r="T22" s="995">
        <f t="shared" si="5"/>
        <v>398793.17206000001</v>
      </c>
      <c r="U22" s="996">
        <f t="shared" si="6"/>
        <v>-4.8333333333333228E-2</v>
      </c>
      <c r="V22" s="997" t="s">
        <v>1158</v>
      </c>
      <c r="W22" s="998" t="s">
        <v>1159</v>
      </c>
      <c r="X22" s="999">
        <f t="shared" si="7"/>
        <v>419047.11599999998</v>
      </c>
      <c r="Y22" s="999">
        <v>2292000</v>
      </c>
      <c r="Z22" s="999">
        <v>45842</v>
      </c>
      <c r="AA22" s="1001">
        <f t="shared" si="8"/>
        <v>2665205.1159999999</v>
      </c>
      <c r="AB22" s="1002">
        <v>9244</v>
      </c>
      <c r="AC22" s="1008">
        <v>-51797</v>
      </c>
      <c r="AD22" s="1003">
        <f t="shared" si="9"/>
        <v>288.31729943747297</v>
      </c>
      <c r="AE22" s="1003">
        <f t="shared" si="10"/>
        <v>-51.454816224877888</v>
      </c>
      <c r="AF22" s="1004">
        <f t="shared" si="11"/>
        <v>0</v>
      </c>
      <c r="AG22" s="979"/>
      <c r="AK22" s="994"/>
      <c r="AL22" s="1010"/>
      <c r="AM22" s="1009"/>
    </row>
    <row r="23" spans="1:42" s="964" customFormat="1" ht="14.85" customHeight="1">
      <c r="A23" s="1005"/>
      <c r="B23" s="986" t="s">
        <v>747</v>
      </c>
      <c r="C23" s="989" t="s">
        <v>745</v>
      </c>
      <c r="D23" s="988" t="s">
        <v>732</v>
      </c>
      <c r="E23" s="989" t="s">
        <v>1174</v>
      </c>
      <c r="F23" s="990">
        <v>42263</v>
      </c>
      <c r="G23" s="1006">
        <v>22</v>
      </c>
      <c r="H23" s="1006">
        <v>17</v>
      </c>
      <c r="I23" s="1006">
        <v>19</v>
      </c>
      <c r="J23" s="1006">
        <v>18.55</v>
      </c>
      <c r="K23" s="992">
        <f t="shared" si="0"/>
        <v>19050.707999999999</v>
      </c>
      <c r="L23" s="993">
        <v>6300</v>
      </c>
      <c r="M23" s="993">
        <v>25350.707999999999</v>
      </c>
      <c r="N23" s="992">
        <f t="shared" si="1"/>
        <v>419115.576</v>
      </c>
      <c r="O23" s="994">
        <f t="shared" si="2"/>
        <v>138600</v>
      </c>
      <c r="P23" s="992">
        <f t="shared" si="3"/>
        <v>557715.576</v>
      </c>
      <c r="Q23" s="992"/>
      <c r="R23" s="968">
        <v>1</v>
      </c>
      <c r="S23" s="991">
        <f t="shared" si="4"/>
        <v>18.55</v>
      </c>
      <c r="T23" s="995">
        <f t="shared" si="5"/>
        <v>470255.63339999999</v>
      </c>
      <c r="U23" s="996">
        <f t="shared" si="6"/>
        <v>-0.15681818181818186</v>
      </c>
      <c r="V23" s="1011" t="s">
        <v>746</v>
      </c>
      <c r="W23" s="998" t="s">
        <v>748</v>
      </c>
      <c r="X23" s="999">
        <f t="shared" si="7"/>
        <v>557715.576</v>
      </c>
      <c r="Y23" s="999">
        <v>0</v>
      </c>
      <c r="Z23" s="999">
        <v>85215</v>
      </c>
      <c r="AA23" s="1001">
        <f t="shared" si="8"/>
        <v>472500.576</v>
      </c>
      <c r="AB23" s="1002">
        <v>8349</v>
      </c>
      <c r="AC23" s="1008">
        <v>-38825</v>
      </c>
      <c r="AD23" s="1003">
        <f t="shared" si="9"/>
        <v>56.593673014732303</v>
      </c>
      <c r="AE23" s="1003">
        <f t="shared" si="10"/>
        <v>-12.170008396651642</v>
      </c>
      <c r="AF23" s="1004">
        <f t="shared" si="11"/>
        <v>0</v>
      </c>
      <c r="AG23" s="1012"/>
      <c r="AH23" s="1012"/>
      <c r="AI23" s="1012"/>
      <c r="AJ23" s="1012"/>
      <c r="AK23" s="1013"/>
      <c r="AL23" s="1010"/>
      <c r="AM23" s="1009"/>
      <c r="AN23" s="1012"/>
      <c r="AO23" s="1012"/>
      <c r="AP23" s="1012"/>
    </row>
    <row r="24" spans="1:42" s="964" customFormat="1" ht="14.85" customHeight="1">
      <c r="A24" s="1005"/>
      <c r="B24" s="986" t="s">
        <v>1185</v>
      </c>
      <c r="C24" s="989" t="s">
        <v>1186</v>
      </c>
      <c r="D24" s="988" t="s">
        <v>732</v>
      </c>
      <c r="E24" s="989" t="s">
        <v>1187</v>
      </c>
      <c r="F24" s="990">
        <v>42220</v>
      </c>
      <c r="G24" s="1006">
        <v>14</v>
      </c>
      <c r="H24" s="1006">
        <v>13</v>
      </c>
      <c r="I24" s="1006">
        <v>15</v>
      </c>
      <c r="J24" s="1006">
        <v>28.8</v>
      </c>
      <c r="K24" s="992">
        <f t="shared" si="0"/>
        <v>5733.9629999999997</v>
      </c>
      <c r="L24" s="993">
        <v>3000</v>
      </c>
      <c r="M24" s="993">
        <v>8733.9629999999997</v>
      </c>
      <c r="N24" s="992">
        <f t="shared" si="1"/>
        <v>80275.481999999989</v>
      </c>
      <c r="O24" s="994">
        <f t="shared" si="2"/>
        <v>42000</v>
      </c>
      <c r="P24" s="992">
        <f t="shared" si="3"/>
        <v>122275.48199999999</v>
      </c>
      <c r="Q24" s="992"/>
      <c r="R24" s="968">
        <v>1</v>
      </c>
      <c r="S24" s="991">
        <f t="shared" si="4"/>
        <v>28.8</v>
      </c>
      <c r="T24" s="995">
        <f t="shared" si="5"/>
        <v>251538.13440000001</v>
      </c>
      <c r="U24" s="996">
        <f t="shared" si="6"/>
        <v>1.0571428571428574</v>
      </c>
      <c r="V24" s="1011" t="s">
        <v>1188</v>
      </c>
      <c r="W24" s="998" t="s">
        <v>1189</v>
      </c>
      <c r="X24" s="999">
        <f t="shared" si="7"/>
        <v>122275.48199999999</v>
      </c>
      <c r="Y24" s="999">
        <v>0</v>
      </c>
      <c r="Z24" s="999">
        <v>7375.9800000000005</v>
      </c>
      <c r="AA24" s="1001">
        <f t="shared" si="8"/>
        <v>114899.50199999999</v>
      </c>
      <c r="AB24" s="1002">
        <v>255.92999999999998</v>
      </c>
      <c r="AC24" s="1008">
        <v>-19887.91</v>
      </c>
      <c r="AD24" s="1003">
        <f t="shared" si="9"/>
        <v>448.94893916305239</v>
      </c>
      <c r="AE24" s="1003">
        <f t="shared" si="10"/>
        <v>-5.7773542820738824</v>
      </c>
      <c r="AF24" s="1004">
        <f t="shared" si="11"/>
        <v>0</v>
      </c>
      <c r="AG24" s="1014"/>
      <c r="AH24" s="1013"/>
      <c r="AI24" s="1014"/>
      <c r="AJ24" s="1015"/>
      <c r="AK24" s="1013"/>
      <c r="AL24" s="1010"/>
      <c r="AM24" s="1009"/>
      <c r="AN24" s="1011"/>
      <c r="AO24" s="1016"/>
      <c r="AP24" s="1016"/>
    </row>
    <row r="25" spans="1:42" s="1012" customFormat="1" ht="14.85" customHeight="1">
      <c r="A25" s="1005"/>
      <c r="B25" s="986" t="s">
        <v>1236</v>
      </c>
      <c r="C25" s="989" t="s">
        <v>1237</v>
      </c>
      <c r="D25" s="988" t="s">
        <v>732</v>
      </c>
      <c r="E25" s="989" t="s">
        <v>1238</v>
      </c>
      <c r="F25" s="990">
        <v>42125</v>
      </c>
      <c r="G25" s="1006">
        <v>3.0585200000000001</v>
      </c>
      <c r="H25" s="1006">
        <v>0</v>
      </c>
      <c r="I25" s="1006">
        <v>0</v>
      </c>
      <c r="J25" s="1006">
        <v>3.2423000000000002</v>
      </c>
      <c r="K25" s="992">
        <f t="shared" si="0"/>
        <v>117170.86200000002</v>
      </c>
      <c r="L25" s="993">
        <v>32569.046999999999</v>
      </c>
      <c r="M25" s="993">
        <v>149739.90900000001</v>
      </c>
      <c r="N25" s="992">
        <f t="shared" si="1"/>
        <v>358369.42484424007</v>
      </c>
      <c r="O25" s="994">
        <f t="shared" si="2"/>
        <v>99613.081630440007</v>
      </c>
      <c r="P25" s="992">
        <f t="shared" si="3"/>
        <v>457982.50647468009</v>
      </c>
      <c r="Q25" s="992"/>
      <c r="R25" s="968">
        <v>1</v>
      </c>
      <c r="S25" s="991">
        <f t="shared" si="4"/>
        <v>3.2423000000000002</v>
      </c>
      <c r="T25" s="995">
        <f t="shared" si="5"/>
        <v>485501.70695070009</v>
      </c>
      <c r="U25" s="996">
        <f t="shared" si="6"/>
        <v>6.0087885644036998E-2</v>
      </c>
      <c r="V25" s="997" t="s">
        <v>1239</v>
      </c>
      <c r="W25" s="998" t="s">
        <v>1240</v>
      </c>
      <c r="X25" s="999">
        <f t="shared" si="7"/>
        <v>457982.50647468009</v>
      </c>
      <c r="Y25" s="999">
        <v>2081999.9999999998</v>
      </c>
      <c r="Z25" s="999">
        <v>213</v>
      </c>
      <c r="AA25" s="1001">
        <f t="shared" si="8"/>
        <v>2539769.5064746798</v>
      </c>
      <c r="AB25" s="1002">
        <v>0</v>
      </c>
      <c r="AC25" s="1008">
        <v>-13913</v>
      </c>
      <c r="AD25" s="1003" t="str">
        <f t="shared" si="9"/>
        <v>n/a</v>
      </c>
      <c r="AE25" s="1003">
        <f t="shared" si="10"/>
        <v>-182.54650373569177</v>
      </c>
      <c r="AF25" s="1004">
        <f t="shared" si="11"/>
        <v>0</v>
      </c>
      <c r="AG25" s="979"/>
      <c r="AH25" s="964"/>
      <c r="AI25" s="964"/>
      <c r="AJ25" s="964"/>
      <c r="AK25" s="994"/>
      <c r="AL25" s="1010"/>
      <c r="AM25" s="1009"/>
      <c r="AN25" s="964"/>
      <c r="AO25" s="964"/>
      <c r="AP25" s="964"/>
    </row>
    <row r="26" spans="1:42" s="1012" customFormat="1" ht="14.85" customHeight="1">
      <c r="A26" s="1005"/>
      <c r="B26" s="986" t="s">
        <v>1006</v>
      </c>
      <c r="C26" s="989" t="s">
        <v>1241</v>
      </c>
      <c r="D26" s="988" t="s">
        <v>1493</v>
      </c>
      <c r="E26" s="989" t="s">
        <v>1242</v>
      </c>
      <c r="F26" s="990">
        <v>42123</v>
      </c>
      <c r="G26" s="1006">
        <v>18</v>
      </c>
      <c r="H26" s="1006">
        <v>15</v>
      </c>
      <c r="I26" s="1006">
        <v>17</v>
      </c>
      <c r="J26" s="1006">
        <v>28.69</v>
      </c>
      <c r="K26" s="992">
        <f t="shared" si="0"/>
        <v>17686.131000000001</v>
      </c>
      <c r="L26" s="993">
        <v>8145.8339999999998</v>
      </c>
      <c r="M26" s="993">
        <v>25831.965</v>
      </c>
      <c r="N26" s="992">
        <f t="shared" si="1"/>
        <v>318350.35800000001</v>
      </c>
      <c r="O26" s="994">
        <f t="shared" si="2"/>
        <v>146625.01199999999</v>
      </c>
      <c r="P26" s="992">
        <f t="shared" si="3"/>
        <v>464975.37</v>
      </c>
      <c r="Q26" s="992"/>
      <c r="R26" s="968">
        <v>1</v>
      </c>
      <c r="S26" s="991">
        <f t="shared" si="4"/>
        <v>28.69</v>
      </c>
      <c r="T26" s="995">
        <f t="shared" si="5"/>
        <v>741119.07585000002</v>
      </c>
      <c r="U26" s="996">
        <f t="shared" si="6"/>
        <v>0.59388888888888891</v>
      </c>
      <c r="V26" s="1011" t="s">
        <v>1243</v>
      </c>
      <c r="W26" s="998" t="s">
        <v>1494</v>
      </c>
      <c r="X26" s="999">
        <f t="shared" si="7"/>
        <v>464975.37</v>
      </c>
      <c r="Y26" s="999">
        <v>9042000</v>
      </c>
      <c r="Z26" s="999">
        <v>47240</v>
      </c>
      <c r="AA26" s="1001">
        <f t="shared" si="8"/>
        <v>9459735.3699999992</v>
      </c>
      <c r="AB26" s="1002">
        <v>21982</v>
      </c>
      <c r="AC26" s="1008">
        <v>-60899</v>
      </c>
      <c r="AD26" s="1003">
        <f t="shared" si="9"/>
        <v>430.3400677827313</v>
      </c>
      <c r="AE26" s="1003">
        <f t="shared" si="10"/>
        <v>-155.33482273928962</v>
      </c>
      <c r="AF26" s="1004">
        <f t="shared" si="11"/>
        <v>0</v>
      </c>
      <c r="AK26" s="1013"/>
      <c r="AL26" s="1010"/>
      <c r="AM26" s="1009"/>
    </row>
    <row r="27" spans="1:42" s="1012" customFormat="1" ht="14.85" customHeight="1">
      <c r="A27" s="1005"/>
      <c r="B27" s="986" t="s">
        <v>1254</v>
      </c>
      <c r="C27" s="989" t="s">
        <v>1255</v>
      </c>
      <c r="D27" s="988" t="s">
        <v>732</v>
      </c>
      <c r="E27" s="989" t="s">
        <v>1256</v>
      </c>
      <c r="F27" s="990">
        <v>42108</v>
      </c>
      <c r="G27" s="1006">
        <v>16</v>
      </c>
      <c r="H27" s="1006">
        <v>14</v>
      </c>
      <c r="I27" s="1006">
        <v>16</v>
      </c>
      <c r="J27" s="1006">
        <v>16.32</v>
      </c>
      <c r="K27" s="992">
        <f t="shared" si="0"/>
        <v>8694.1180000000004</v>
      </c>
      <c r="L27" s="993">
        <v>4800</v>
      </c>
      <c r="M27" s="993">
        <v>13494.118</v>
      </c>
      <c r="N27" s="992">
        <f t="shared" si="1"/>
        <v>139105.88800000001</v>
      </c>
      <c r="O27" s="994">
        <f t="shared" si="2"/>
        <v>76800</v>
      </c>
      <c r="P27" s="992">
        <f t="shared" si="3"/>
        <v>215905.88800000001</v>
      </c>
      <c r="Q27" s="992"/>
      <c r="R27" s="968">
        <v>1</v>
      </c>
      <c r="S27" s="991">
        <f t="shared" si="4"/>
        <v>16.32</v>
      </c>
      <c r="T27" s="995">
        <f t="shared" si="5"/>
        <v>220224.00576</v>
      </c>
      <c r="U27" s="996">
        <f t="shared" si="6"/>
        <v>2.0000000000000018E-2</v>
      </c>
      <c r="V27" s="998" t="s">
        <v>1257</v>
      </c>
      <c r="W27" s="998" t="s">
        <v>1258</v>
      </c>
      <c r="X27" s="999">
        <f t="shared" si="7"/>
        <v>215905.88800000001</v>
      </c>
      <c r="Y27" s="999">
        <v>0</v>
      </c>
      <c r="Z27" s="999">
        <v>22796</v>
      </c>
      <c r="AA27" s="1001">
        <f t="shared" si="8"/>
        <v>193109.88800000001</v>
      </c>
      <c r="AB27" s="1002">
        <v>0</v>
      </c>
      <c r="AC27" s="1008">
        <v>-40241</v>
      </c>
      <c r="AD27" s="1003" t="str">
        <f t="shared" si="9"/>
        <v>n/a</v>
      </c>
      <c r="AE27" s="1003">
        <f t="shared" si="10"/>
        <v>-4.7988342238015953</v>
      </c>
      <c r="AF27" s="1004">
        <f t="shared" si="11"/>
        <v>0</v>
      </c>
      <c r="AG27" s="964"/>
      <c r="AH27" s="964"/>
      <c r="AI27" s="964"/>
      <c r="AJ27" s="994"/>
      <c r="AK27" s="1010"/>
      <c r="AL27" s="1009"/>
      <c r="AM27" s="964"/>
      <c r="AN27" s="964"/>
      <c r="AO27" s="964"/>
    </row>
    <row r="28" spans="1:42" s="1012" customFormat="1" ht="14.85" customHeight="1">
      <c r="A28" s="1005"/>
      <c r="B28" s="986" t="s">
        <v>1288</v>
      </c>
      <c r="C28" s="989" t="s">
        <v>1289</v>
      </c>
      <c r="D28" s="988" t="s">
        <v>732</v>
      </c>
      <c r="E28" s="989" t="s">
        <v>1290</v>
      </c>
      <c r="F28" s="990">
        <v>42032</v>
      </c>
      <c r="G28" s="1006">
        <v>16</v>
      </c>
      <c r="H28" s="1006">
        <v>12</v>
      </c>
      <c r="I28" s="1006">
        <v>14</v>
      </c>
      <c r="J28" s="1006">
        <v>17.385000000000002</v>
      </c>
      <c r="K28" s="992">
        <f t="shared" si="0"/>
        <v>12405.409</v>
      </c>
      <c r="L28" s="993">
        <v>5400</v>
      </c>
      <c r="M28" s="993">
        <v>17805.409</v>
      </c>
      <c r="N28" s="992">
        <f t="shared" si="1"/>
        <v>198486.54399999999</v>
      </c>
      <c r="O28" s="994">
        <f t="shared" si="2"/>
        <v>86400</v>
      </c>
      <c r="P28" s="992">
        <f t="shared" si="3"/>
        <v>284886.54399999999</v>
      </c>
      <c r="Q28" s="992"/>
      <c r="R28" s="968">
        <v>1</v>
      </c>
      <c r="S28" s="991">
        <f t="shared" si="4"/>
        <v>17.385000000000002</v>
      </c>
      <c r="T28" s="995">
        <f t="shared" si="5"/>
        <v>309547.03546500002</v>
      </c>
      <c r="U28" s="996">
        <f t="shared" si="6"/>
        <v>8.6562500000000098E-2</v>
      </c>
      <c r="V28" s="998" t="s">
        <v>1291</v>
      </c>
      <c r="W28" s="998" t="s">
        <v>1495</v>
      </c>
      <c r="X28" s="999">
        <f t="shared" si="7"/>
        <v>284886.54399999999</v>
      </c>
      <c r="Y28" s="999">
        <v>0</v>
      </c>
      <c r="Z28" s="999">
        <v>0</v>
      </c>
      <c r="AA28" s="1001">
        <f t="shared" si="8"/>
        <v>284886.54399999999</v>
      </c>
      <c r="AB28" s="1002">
        <v>112.69</v>
      </c>
      <c r="AC28" s="1008">
        <v>-37145.539999999994</v>
      </c>
      <c r="AD28" s="1003">
        <f t="shared" si="9"/>
        <v>2528.0552311651431</v>
      </c>
      <c r="AE28" s="1003">
        <f t="shared" si="10"/>
        <v>-7.6694683668618104</v>
      </c>
      <c r="AF28" s="1004">
        <f t="shared" si="11"/>
        <v>0</v>
      </c>
      <c r="AG28" s="964"/>
      <c r="AH28" s="964"/>
      <c r="AI28" s="964"/>
      <c r="AJ28" s="994"/>
      <c r="AK28" s="1010"/>
      <c r="AL28" s="1009"/>
      <c r="AM28" s="964"/>
      <c r="AN28" s="964"/>
      <c r="AO28" s="964"/>
    </row>
    <row r="29" spans="1:42" s="1012" customFormat="1" ht="14.85" customHeight="1">
      <c r="A29" s="1005"/>
      <c r="B29" s="986"/>
      <c r="C29" s="989"/>
      <c r="D29" s="988"/>
      <c r="E29" s="989"/>
      <c r="F29" s="990"/>
      <c r="G29" s="1017"/>
      <c r="H29" s="1006"/>
      <c r="I29" s="1006"/>
      <c r="J29" s="1017"/>
      <c r="K29" s="1018"/>
      <c r="L29" s="994"/>
      <c r="M29" s="994"/>
      <c r="N29" s="992"/>
      <c r="O29" s="994"/>
      <c r="P29" s="992"/>
      <c r="Q29" s="992"/>
      <c r="R29" s="992"/>
      <c r="S29" s="991"/>
      <c r="T29" s="995"/>
      <c r="U29" s="996"/>
      <c r="V29" s="998"/>
      <c r="W29" s="998"/>
      <c r="X29" s="999"/>
      <c r="Y29" s="999"/>
      <c r="Z29" s="999"/>
      <c r="AA29" s="1001"/>
      <c r="AB29" s="1002"/>
      <c r="AC29" s="1008"/>
      <c r="AD29" s="1003"/>
      <c r="AE29" s="1003"/>
      <c r="AF29" s="1004"/>
      <c r="AG29" s="964"/>
      <c r="AH29" s="964"/>
      <c r="AI29" s="964"/>
      <c r="AJ29" s="994"/>
      <c r="AK29" s="1010"/>
      <c r="AL29" s="1009"/>
      <c r="AM29" s="964"/>
      <c r="AN29" s="964"/>
      <c r="AO29" s="964"/>
    </row>
    <row r="30" spans="1:42" s="1012" customFormat="1" ht="14.85" customHeight="1">
      <c r="A30" s="1005"/>
      <c r="B30" s="1019" t="s">
        <v>111</v>
      </c>
      <c r="C30" s="1020"/>
      <c r="D30" s="1020"/>
      <c r="E30" s="1020"/>
      <c r="F30" s="1020"/>
      <c r="G30" s="1020"/>
      <c r="H30" s="1020"/>
      <c r="I30" s="1020"/>
      <c r="J30" s="1020"/>
      <c r="K30" s="1020"/>
      <c r="L30" s="1020"/>
      <c r="M30" s="1020"/>
      <c r="N30" s="1021">
        <f>MAX(N12:N28)</f>
        <v>523732.77</v>
      </c>
      <c r="O30" s="1021"/>
      <c r="P30" s="1022">
        <f>MAX(P12:P28)</f>
        <v>631732.77</v>
      </c>
      <c r="Q30" s="992"/>
      <c r="R30" s="992"/>
      <c r="S30" s="1023">
        <f>MAX(S12:S28)</f>
        <v>35.56</v>
      </c>
      <c r="T30" s="995"/>
      <c r="U30" s="996"/>
      <c r="V30" s="998"/>
      <c r="W30" s="998"/>
      <c r="X30" s="999"/>
      <c r="Y30" s="999"/>
      <c r="Z30" s="999"/>
      <c r="AA30" s="1001"/>
      <c r="AB30" s="1002"/>
      <c r="AC30" s="1008"/>
      <c r="AD30" s="1003"/>
      <c r="AE30" s="1003"/>
      <c r="AF30" s="1004"/>
      <c r="AG30" s="964"/>
      <c r="AH30" s="964"/>
      <c r="AI30" s="964"/>
      <c r="AJ30" s="994"/>
      <c r="AK30" s="1010"/>
      <c r="AL30" s="1009"/>
      <c r="AM30" s="964"/>
      <c r="AN30" s="964"/>
      <c r="AO30" s="964"/>
    </row>
    <row r="31" spans="1:42" s="1012" customFormat="1" ht="14.85" customHeight="1">
      <c r="A31" s="1005"/>
      <c r="B31" s="1024" t="s">
        <v>115</v>
      </c>
      <c r="C31" s="1025"/>
      <c r="D31" s="1025"/>
      <c r="E31" s="1025"/>
      <c r="F31" s="1025"/>
      <c r="G31" s="1025"/>
      <c r="H31" s="1025"/>
      <c r="I31" s="1025"/>
      <c r="J31" s="1025"/>
      <c r="K31" s="1025"/>
      <c r="L31" s="1025"/>
      <c r="M31" s="1025"/>
      <c r="N31" s="940">
        <f>_xlfn.QUARTILE.INC(N12:N28,3)</f>
        <v>358369.42484424007</v>
      </c>
      <c r="O31" s="940"/>
      <c r="P31" s="1026">
        <f>_xlfn.QUARTILE.INC(P12:P28,3)</f>
        <v>464975.37</v>
      </c>
      <c r="Q31" s="992"/>
      <c r="R31" s="992"/>
      <c r="S31" s="1027">
        <f>_xlfn.QUARTILE.INC(S12:S28,3)</f>
        <v>20.5</v>
      </c>
      <c r="T31" s="995"/>
      <c r="U31" s="996"/>
      <c r="V31" s="998"/>
      <c r="W31" s="998"/>
      <c r="X31" s="999"/>
      <c r="Y31" s="999"/>
      <c r="Z31" s="999"/>
      <c r="AA31" s="1001"/>
      <c r="AB31" s="1002"/>
      <c r="AC31" s="1008"/>
      <c r="AD31" s="1003"/>
      <c r="AE31" s="1003"/>
      <c r="AF31" s="1004"/>
      <c r="AG31" s="964"/>
      <c r="AH31" s="964"/>
      <c r="AI31" s="964"/>
      <c r="AJ31" s="994"/>
      <c r="AK31" s="1010"/>
      <c r="AL31" s="1009"/>
      <c r="AM31" s="964"/>
      <c r="AN31" s="964"/>
      <c r="AO31" s="964"/>
    </row>
    <row r="32" spans="1:42" s="1012" customFormat="1" ht="14.85" customHeight="1">
      <c r="A32" s="1005"/>
      <c r="B32" s="1024" t="s">
        <v>43</v>
      </c>
      <c r="C32" s="1025"/>
      <c r="D32" s="1025"/>
      <c r="E32" s="1025"/>
      <c r="F32" s="1025"/>
      <c r="G32" s="1025"/>
      <c r="H32" s="1025"/>
      <c r="I32" s="1025"/>
      <c r="J32" s="1025"/>
      <c r="K32" s="1025"/>
      <c r="L32" s="1025"/>
      <c r="M32" s="1025"/>
      <c r="N32" s="940">
        <f>AVERAGE(N12:N28)</f>
        <v>243610.21346142585</v>
      </c>
      <c r="O32" s="940"/>
      <c r="P32" s="1026">
        <f>AVERAGE(P12:P28)</f>
        <v>318503.05191027524</v>
      </c>
      <c r="Q32" s="992"/>
      <c r="R32" s="992"/>
      <c r="S32" s="1027">
        <f>AVERAGE(S12:S28)</f>
        <v>16.313370588235298</v>
      </c>
      <c r="T32" s="995"/>
      <c r="U32" s="996"/>
      <c r="V32" s="998"/>
      <c r="W32" s="998"/>
      <c r="X32" s="999"/>
      <c r="Y32" s="999"/>
      <c r="Z32" s="999"/>
      <c r="AA32" s="1001"/>
      <c r="AB32" s="1002"/>
      <c r="AC32" s="1008"/>
      <c r="AD32" s="1003"/>
      <c r="AE32" s="1003"/>
      <c r="AF32" s="1004"/>
      <c r="AG32" s="964"/>
      <c r="AH32" s="964"/>
      <c r="AI32" s="964"/>
      <c r="AJ32" s="994"/>
      <c r="AK32" s="1010"/>
      <c r="AL32" s="1009"/>
      <c r="AM32" s="964"/>
      <c r="AN32" s="964"/>
      <c r="AO32" s="964"/>
    </row>
    <row r="33" spans="1:73" s="1012" customFormat="1" ht="14.85" customHeight="1">
      <c r="A33" s="1005"/>
      <c r="B33" s="1024" t="s">
        <v>44</v>
      </c>
      <c r="C33" s="1025"/>
      <c r="D33" s="1025"/>
      <c r="E33" s="1025"/>
      <c r="F33" s="1025"/>
      <c r="G33" s="1025"/>
      <c r="H33" s="1025"/>
      <c r="I33" s="1025"/>
      <c r="J33" s="1025"/>
      <c r="K33" s="1025"/>
      <c r="L33" s="1025"/>
      <c r="M33" s="1025"/>
      <c r="N33" s="940">
        <f>MEDIAN(N12:N28)</f>
        <v>232932.75199999998</v>
      </c>
      <c r="O33" s="940"/>
      <c r="P33" s="1026">
        <f>MEDIAN(P12:P28)</f>
        <v>315305.67000000004</v>
      </c>
      <c r="Q33" s="992"/>
      <c r="R33" s="992"/>
      <c r="S33" s="1027">
        <f>MEDIAN(S12:S28)</f>
        <v>14.4</v>
      </c>
      <c r="T33" s="995"/>
      <c r="U33" s="996"/>
      <c r="V33" s="998"/>
      <c r="W33" s="998"/>
      <c r="X33" s="999"/>
      <c r="Y33" s="999"/>
      <c r="Z33" s="999"/>
      <c r="AA33" s="1001"/>
      <c r="AB33" s="1002"/>
      <c r="AC33" s="1008"/>
      <c r="AD33" s="1003"/>
      <c r="AE33" s="1003"/>
      <c r="AF33" s="1004"/>
      <c r="AG33" s="964"/>
      <c r="AH33" s="964"/>
      <c r="AI33" s="964"/>
      <c r="AJ33" s="994"/>
      <c r="AK33" s="1010"/>
      <c r="AL33" s="1009"/>
      <c r="AM33" s="964"/>
      <c r="AN33" s="964"/>
      <c r="AO33" s="964"/>
    </row>
    <row r="34" spans="1:73" s="1012" customFormat="1" ht="14.85" customHeight="1">
      <c r="A34" s="1005"/>
      <c r="B34" s="1024" t="s">
        <v>114</v>
      </c>
      <c r="C34" s="1025"/>
      <c r="D34" s="1025"/>
      <c r="E34" s="1025"/>
      <c r="F34" s="1025"/>
      <c r="G34" s="1025"/>
      <c r="H34" s="1025"/>
      <c r="I34" s="1025"/>
      <c r="J34" s="1025"/>
      <c r="K34" s="1025"/>
      <c r="L34" s="1025"/>
      <c r="M34" s="1025"/>
      <c r="N34" s="940">
        <f>_xlfn.QUARTILE.INC(N12:N28,1)</f>
        <v>80275.481999999989</v>
      </c>
      <c r="O34" s="940"/>
      <c r="P34" s="1026">
        <f>_xlfn.QUARTILE.INC(P12:P28,1)</f>
        <v>129298.32</v>
      </c>
      <c r="Q34" s="992"/>
      <c r="R34" s="992"/>
      <c r="S34" s="1027">
        <f>_xlfn.QUARTILE.INC(S12:S28,1)</f>
        <v>8.9600000000000009</v>
      </c>
      <c r="T34" s="995"/>
      <c r="U34" s="996"/>
      <c r="V34" s="998"/>
      <c r="W34" s="998"/>
      <c r="X34" s="999"/>
      <c r="Y34" s="999"/>
      <c r="Z34" s="999"/>
      <c r="AA34" s="1001"/>
      <c r="AB34" s="1002"/>
      <c r="AC34" s="1008"/>
      <c r="AD34" s="1003"/>
      <c r="AE34" s="1003"/>
      <c r="AF34" s="1004"/>
      <c r="AG34" s="964"/>
      <c r="AH34" s="964"/>
      <c r="AI34" s="964"/>
      <c r="AJ34" s="994"/>
      <c r="AK34" s="1010"/>
      <c r="AL34" s="1009"/>
      <c r="AM34" s="964"/>
      <c r="AN34" s="964"/>
      <c r="AO34" s="964"/>
    </row>
    <row r="35" spans="1:73" s="1012" customFormat="1" ht="14.85" customHeight="1">
      <c r="A35" s="1005"/>
      <c r="B35" s="1028" t="s">
        <v>112</v>
      </c>
      <c r="C35" s="1029"/>
      <c r="D35" s="1029"/>
      <c r="E35" s="1029"/>
      <c r="F35" s="1029"/>
      <c r="G35" s="1029"/>
      <c r="H35" s="1029"/>
      <c r="I35" s="1029"/>
      <c r="J35" s="1029"/>
      <c r="K35" s="1029"/>
      <c r="L35" s="1029"/>
      <c r="M35" s="1029"/>
      <c r="N35" s="942">
        <f>MIN(N12:N28)</f>
        <v>39416.17</v>
      </c>
      <c r="O35" s="942"/>
      <c r="P35" s="1030">
        <f>MIN(P12:P28)</f>
        <v>50611.932000000001</v>
      </c>
      <c r="Q35" s="992"/>
      <c r="R35" s="992"/>
      <c r="S35" s="1031">
        <f>MIN(S12:S28)</f>
        <v>3.2423000000000002</v>
      </c>
      <c r="T35" s="995"/>
      <c r="U35" s="996"/>
      <c r="V35" s="998"/>
      <c r="W35" s="998"/>
      <c r="X35" s="999"/>
      <c r="Y35" s="999"/>
      <c r="Z35" s="999"/>
      <c r="AA35" s="1001"/>
      <c r="AB35" s="1002"/>
      <c r="AC35" s="1008"/>
      <c r="AD35" s="1003"/>
      <c r="AE35" s="1003"/>
      <c r="AF35" s="1004"/>
      <c r="AG35" s="964"/>
      <c r="AH35" s="964"/>
      <c r="AI35" s="964"/>
      <c r="AJ35" s="994"/>
      <c r="AK35" s="1010"/>
      <c r="AL35" s="1009"/>
      <c r="AM35" s="964"/>
      <c r="AN35" s="964"/>
      <c r="AO35" s="964"/>
    </row>
    <row r="36" spans="1:73" s="1012" customFormat="1" ht="14.85" customHeight="1">
      <c r="A36" s="1005"/>
      <c r="B36" s="986"/>
      <c r="C36" s="989"/>
      <c r="D36" s="988"/>
      <c r="E36" s="989"/>
      <c r="F36" s="990"/>
      <c r="G36" s="1017"/>
      <c r="H36" s="1006"/>
      <c r="I36" s="1006"/>
      <c r="J36" s="1017"/>
      <c r="K36" s="1018"/>
      <c r="L36" s="994"/>
      <c r="M36" s="994"/>
      <c r="N36" s="992"/>
      <c r="O36" s="994"/>
      <c r="P36" s="992"/>
      <c r="Q36" s="992"/>
      <c r="R36" s="992"/>
      <c r="S36" s="991"/>
      <c r="T36" s="995"/>
      <c r="U36" s="996"/>
      <c r="V36" s="998"/>
      <c r="W36" s="998"/>
      <c r="X36" s="1004"/>
      <c r="Y36" s="999"/>
      <c r="Z36" s="999"/>
      <c r="AA36" s="1001"/>
      <c r="AB36" s="1002"/>
      <c r="AC36" s="1008"/>
      <c r="AD36" s="1003"/>
      <c r="AE36" s="1003"/>
      <c r="AF36" s="979"/>
      <c r="AG36" s="964"/>
      <c r="AH36" s="964"/>
      <c r="AI36" s="964"/>
      <c r="AJ36" s="994"/>
      <c r="AK36" s="1010"/>
      <c r="AL36" s="1009"/>
      <c r="AM36" s="964"/>
      <c r="AN36" s="964"/>
      <c r="AO36" s="964"/>
    </row>
    <row r="37" spans="1:73" s="1012" customFormat="1" ht="14.85" customHeight="1">
      <c r="A37" s="1005"/>
      <c r="B37" s="1032" t="s">
        <v>1496</v>
      </c>
      <c r="C37" s="989"/>
      <c r="D37" s="988"/>
      <c r="E37" s="989"/>
      <c r="F37" s="990"/>
      <c r="G37" s="1017"/>
      <c r="H37" s="1006"/>
      <c r="I37" s="1006"/>
      <c r="J37" s="1017"/>
      <c r="K37" s="1018"/>
      <c r="L37" s="994"/>
      <c r="M37" s="994"/>
      <c r="N37" s="992"/>
      <c r="O37" s="994"/>
      <c r="P37" s="992"/>
      <c r="Q37" s="992"/>
      <c r="R37" s="992"/>
      <c r="S37" s="991"/>
      <c r="T37" s="995"/>
      <c r="U37" s="996"/>
      <c r="V37" s="998"/>
      <c r="W37" s="998"/>
      <c r="X37" s="1004"/>
      <c r="Y37" s="999"/>
      <c r="Z37" s="999"/>
      <c r="AA37" s="1001"/>
      <c r="AB37" s="1002"/>
      <c r="AC37" s="1008"/>
      <c r="AD37" s="1003"/>
      <c r="AE37" s="1003"/>
      <c r="AF37" s="979"/>
      <c r="AG37" s="964"/>
      <c r="AH37" s="964"/>
      <c r="AI37" s="964"/>
      <c r="AJ37" s="994"/>
      <c r="AK37" s="1010"/>
      <c r="AL37" s="1009"/>
      <c r="AM37" s="964"/>
      <c r="AN37" s="964"/>
      <c r="AO37" s="964"/>
    </row>
    <row r="38" spans="1:73" s="1034" customFormat="1" ht="14.85" customHeight="1">
      <c r="A38" s="1005"/>
      <c r="B38" s="986" t="s">
        <v>1840</v>
      </c>
      <c r="C38" s="989" t="s">
        <v>1841</v>
      </c>
      <c r="D38" s="988" t="s">
        <v>501</v>
      </c>
      <c r="E38" s="989" t="s">
        <v>1842</v>
      </c>
      <c r="F38" s="990">
        <v>43076</v>
      </c>
      <c r="G38" s="1006">
        <v>18</v>
      </c>
      <c r="H38" s="1006">
        <v>17</v>
      </c>
      <c r="I38" s="1006">
        <v>19</v>
      </c>
      <c r="J38" s="1006">
        <v>18.71</v>
      </c>
      <c r="K38" s="992">
        <f t="shared" ref="K38:K67" si="12">+M38-L38</f>
        <v>74090.587</v>
      </c>
      <c r="L38" s="994">
        <v>13888.888000000001</v>
      </c>
      <c r="M38" s="994">
        <v>87979.475000000006</v>
      </c>
      <c r="N38" s="992">
        <f t="shared" ref="N38:N67" si="13">+G38*K38</f>
        <v>1333630.5660000001</v>
      </c>
      <c r="O38" s="994">
        <f t="shared" ref="O38:O67" si="14">+G38*L38</f>
        <v>249999.98400000003</v>
      </c>
      <c r="P38" s="992">
        <f t="shared" ref="P38:P67" si="15">+N38+O38</f>
        <v>1583630.55</v>
      </c>
      <c r="Q38" s="992"/>
      <c r="R38" s="968">
        <v>1</v>
      </c>
      <c r="S38" s="991">
        <f t="shared" ref="S38:S67" si="16">J38</f>
        <v>18.71</v>
      </c>
      <c r="T38" s="995">
        <f t="shared" ref="T38:T67" si="17">S38*M38</f>
        <v>1646095.9772500002</v>
      </c>
      <c r="U38" s="996">
        <f t="shared" ref="U38:U67" si="18">T38/P38-1</f>
        <v>3.9444444444444615E-2</v>
      </c>
      <c r="V38" s="997" t="s">
        <v>1843</v>
      </c>
      <c r="W38" s="998" t="s">
        <v>1844</v>
      </c>
      <c r="X38" s="999">
        <f t="shared" ref="X38:X67" si="19">+N38+O38</f>
        <v>1583630.55</v>
      </c>
      <c r="Y38" s="1002"/>
      <c r="Z38" s="1033"/>
      <c r="AA38" s="1001"/>
      <c r="AC38" s="1002"/>
      <c r="AD38" s="1035"/>
      <c r="AE38" s="1035"/>
      <c r="AF38" s="1004"/>
      <c r="AG38" s="979"/>
      <c r="AH38" s="964"/>
      <c r="AI38" s="964"/>
      <c r="AJ38" s="964"/>
      <c r="AK38" s="994"/>
      <c r="AL38" s="1010"/>
      <c r="AM38" s="1009"/>
      <c r="AN38" s="964"/>
      <c r="AO38" s="964"/>
      <c r="AP38" s="964"/>
      <c r="AQ38" s="1012"/>
      <c r="AR38" s="1012"/>
      <c r="AS38" s="1012"/>
      <c r="AT38" s="1012"/>
      <c r="AU38" s="1012"/>
      <c r="AV38" s="1012"/>
      <c r="AW38" s="1012"/>
      <c r="AX38" s="1012"/>
      <c r="AY38" s="1012"/>
      <c r="AZ38" s="1012"/>
      <c r="BA38" s="1012"/>
      <c r="BB38" s="1012"/>
      <c r="BC38" s="1012"/>
      <c r="BD38" s="1012"/>
      <c r="BE38" s="1012"/>
      <c r="BF38" s="1012"/>
      <c r="BG38" s="1012"/>
      <c r="BH38" s="1012"/>
      <c r="BI38" s="1012"/>
      <c r="BJ38" s="1012"/>
      <c r="BK38" s="1012"/>
      <c r="BL38" s="1012"/>
      <c r="BM38" s="1012"/>
      <c r="BN38" s="1012"/>
      <c r="BO38" s="1012"/>
      <c r="BP38" s="1012"/>
      <c r="BQ38" s="1012"/>
      <c r="BR38" s="1012"/>
      <c r="BS38" s="1012"/>
      <c r="BT38" s="1012"/>
      <c r="BU38" s="1012"/>
    </row>
    <row r="39" spans="1:73" s="1034" customFormat="1" ht="14.85" customHeight="1">
      <c r="A39" s="1005"/>
      <c r="B39" s="986" t="s">
        <v>1850</v>
      </c>
      <c r="C39" s="989" t="s">
        <v>1851</v>
      </c>
      <c r="D39" s="988" t="s">
        <v>501</v>
      </c>
      <c r="E39" s="989" t="s">
        <v>1852</v>
      </c>
      <c r="F39" s="990">
        <v>43040</v>
      </c>
      <c r="G39" s="1006">
        <v>14</v>
      </c>
      <c r="H39" s="1006">
        <v>14</v>
      </c>
      <c r="I39" s="1006">
        <v>16</v>
      </c>
      <c r="J39" s="1006">
        <v>12.14</v>
      </c>
      <c r="K39" s="992">
        <f t="shared" si="12"/>
        <v>8397.6839999999993</v>
      </c>
      <c r="L39" s="994">
        <v>5500</v>
      </c>
      <c r="M39" s="994">
        <v>13897.683999999999</v>
      </c>
      <c r="N39" s="992">
        <f t="shared" si="13"/>
        <v>117567.57599999999</v>
      </c>
      <c r="O39" s="994">
        <f t="shared" si="14"/>
        <v>77000</v>
      </c>
      <c r="P39" s="992">
        <f t="shared" si="15"/>
        <v>194567.576</v>
      </c>
      <c r="Q39" s="992"/>
      <c r="R39" s="968">
        <v>1</v>
      </c>
      <c r="S39" s="991">
        <f t="shared" si="16"/>
        <v>12.14</v>
      </c>
      <c r="T39" s="995">
        <f t="shared" si="17"/>
        <v>168717.88376</v>
      </c>
      <c r="U39" s="996">
        <f t="shared" si="18"/>
        <v>-0.1328571428571429</v>
      </c>
      <c r="V39" s="997" t="s">
        <v>1853</v>
      </c>
      <c r="W39" s="998" t="s">
        <v>1854</v>
      </c>
      <c r="X39" s="999">
        <f t="shared" si="19"/>
        <v>194567.576</v>
      </c>
      <c r="Y39" s="1002"/>
      <c r="Z39" s="1033"/>
      <c r="AA39" s="1001"/>
      <c r="AC39" s="1002"/>
      <c r="AD39" s="1035"/>
      <c r="AE39" s="1035"/>
      <c r="AF39" s="1004"/>
      <c r="AG39" s="979"/>
      <c r="AH39" s="964"/>
      <c r="AI39" s="964"/>
      <c r="AJ39" s="964"/>
      <c r="AK39" s="994"/>
      <c r="AL39" s="1010"/>
      <c r="AM39" s="1009"/>
      <c r="AN39" s="964"/>
      <c r="AO39" s="964"/>
      <c r="AP39" s="964"/>
      <c r="AQ39" s="1012"/>
      <c r="AR39" s="1012"/>
      <c r="AS39" s="1012"/>
      <c r="AT39" s="1012"/>
      <c r="AU39" s="1012"/>
      <c r="AV39" s="1012"/>
      <c r="AW39" s="1012"/>
      <c r="AX39" s="1012"/>
      <c r="AY39" s="1012"/>
      <c r="AZ39" s="1012"/>
      <c r="BA39" s="1012"/>
      <c r="BB39" s="1012"/>
      <c r="BC39" s="1012"/>
      <c r="BD39" s="1012"/>
      <c r="BE39" s="1012"/>
      <c r="BF39" s="1012"/>
      <c r="BG39" s="1012"/>
      <c r="BH39" s="1012"/>
      <c r="BI39" s="1012"/>
      <c r="BJ39" s="1012"/>
      <c r="BK39" s="1012"/>
      <c r="BL39" s="1012"/>
      <c r="BM39" s="1012"/>
      <c r="BN39" s="1012"/>
      <c r="BO39" s="1012"/>
      <c r="BP39" s="1012"/>
      <c r="BQ39" s="1012"/>
      <c r="BR39" s="1012"/>
      <c r="BS39" s="1012"/>
      <c r="BT39" s="1012"/>
      <c r="BU39" s="1012"/>
    </row>
    <row r="40" spans="1:73" s="1034" customFormat="1" ht="14.85" customHeight="1">
      <c r="A40" s="1005"/>
      <c r="B40" s="986" t="s">
        <v>1768</v>
      </c>
      <c r="C40" s="989" t="s">
        <v>1769</v>
      </c>
      <c r="D40" s="988" t="s">
        <v>501</v>
      </c>
      <c r="E40" s="989" t="s">
        <v>1770</v>
      </c>
      <c r="F40" s="990">
        <v>43005</v>
      </c>
      <c r="G40" s="1006">
        <v>17</v>
      </c>
      <c r="H40" s="1006">
        <v>15</v>
      </c>
      <c r="I40" s="1006">
        <v>17</v>
      </c>
      <c r="J40" s="1006">
        <v>18.64</v>
      </c>
      <c r="K40" s="992">
        <f t="shared" si="12"/>
        <v>25091.686000000002</v>
      </c>
      <c r="L40" s="994">
        <v>7500</v>
      </c>
      <c r="M40" s="994">
        <v>32591.686000000002</v>
      </c>
      <c r="N40" s="992">
        <f t="shared" si="13"/>
        <v>426558.66200000001</v>
      </c>
      <c r="O40" s="994">
        <f t="shared" si="14"/>
        <v>127500</v>
      </c>
      <c r="P40" s="992">
        <f t="shared" si="15"/>
        <v>554058.66200000001</v>
      </c>
      <c r="Q40" s="992"/>
      <c r="R40" s="968">
        <v>1</v>
      </c>
      <c r="S40" s="991">
        <f t="shared" si="16"/>
        <v>18.64</v>
      </c>
      <c r="T40" s="995">
        <f t="shared" si="17"/>
        <v>607509.02704000007</v>
      </c>
      <c r="U40" s="996">
        <f t="shared" si="18"/>
        <v>9.6470588235294308E-2</v>
      </c>
      <c r="V40" s="997" t="s">
        <v>1771</v>
      </c>
      <c r="W40" s="998" t="s">
        <v>1772</v>
      </c>
      <c r="X40" s="999">
        <f t="shared" si="19"/>
        <v>554058.66200000001</v>
      </c>
      <c r="Y40" s="1002">
        <v>1575000</v>
      </c>
      <c r="Z40" s="1033">
        <v>93992000</v>
      </c>
      <c r="AA40" s="1001"/>
      <c r="AC40" s="1002"/>
      <c r="AD40" s="1035"/>
      <c r="AE40" s="1035"/>
      <c r="AF40" s="1004"/>
      <c r="AG40" s="979"/>
      <c r="AH40" s="964"/>
      <c r="AI40" s="964"/>
      <c r="AJ40" s="964"/>
      <c r="AK40" s="994"/>
      <c r="AL40" s="1010"/>
      <c r="AM40" s="1009"/>
      <c r="AN40" s="964"/>
      <c r="AO40" s="964"/>
      <c r="AP40" s="964"/>
      <c r="AQ40" s="1012"/>
      <c r="AR40" s="1012"/>
      <c r="AS40" s="1012"/>
      <c r="AT40" s="1012"/>
      <c r="AU40" s="1012"/>
      <c r="AV40" s="1012"/>
      <c r="AW40" s="1012"/>
      <c r="AX40" s="1012"/>
      <c r="AY40" s="1012"/>
      <c r="AZ40" s="1012"/>
      <c r="BA40" s="1012"/>
      <c r="BB40" s="1012"/>
      <c r="BC40" s="1012"/>
      <c r="BD40" s="1012"/>
      <c r="BE40" s="1012"/>
      <c r="BF40" s="1012"/>
      <c r="BG40" s="1012"/>
      <c r="BH40" s="1012"/>
      <c r="BI40" s="1012"/>
      <c r="BJ40" s="1012"/>
      <c r="BK40" s="1012"/>
      <c r="BL40" s="1012"/>
      <c r="BM40" s="1012"/>
      <c r="BN40" s="1012"/>
      <c r="BO40" s="1012"/>
      <c r="BP40" s="1012"/>
      <c r="BQ40" s="1012"/>
      <c r="BR40" s="1012"/>
      <c r="BS40" s="1012"/>
      <c r="BT40" s="1012"/>
      <c r="BU40" s="1012"/>
    </row>
    <row r="41" spans="1:73" s="1034" customFormat="1" ht="14.85" customHeight="1">
      <c r="A41" s="1005"/>
      <c r="B41" s="986" t="s">
        <v>1855</v>
      </c>
      <c r="C41" s="989" t="s">
        <v>1856</v>
      </c>
      <c r="D41" s="988" t="s">
        <v>1146</v>
      </c>
      <c r="E41" s="989" t="s">
        <v>1857</v>
      </c>
      <c r="F41" s="990">
        <v>43005</v>
      </c>
      <c r="G41" s="1006">
        <v>14</v>
      </c>
      <c r="H41" s="1006">
        <v>13</v>
      </c>
      <c r="I41" s="1006">
        <v>15</v>
      </c>
      <c r="J41" s="1006">
        <v>20.8</v>
      </c>
      <c r="K41" s="992">
        <f t="shared" si="12"/>
        <v>22740.714</v>
      </c>
      <c r="L41" s="994">
        <v>5360</v>
      </c>
      <c r="M41" s="994">
        <v>28100.714</v>
      </c>
      <c r="N41" s="992">
        <f t="shared" si="13"/>
        <v>318369.99599999998</v>
      </c>
      <c r="O41" s="994">
        <f t="shared" si="14"/>
        <v>75040</v>
      </c>
      <c r="P41" s="992">
        <f t="shared" si="15"/>
        <v>393409.99599999998</v>
      </c>
      <c r="Q41" s="992"/>
      <c r="R41" s="968">
        <v>1</v>
      </c>
      <c r="S41" s="991">
        <f t="shared" si="16"/>
        <v>20.8</v>
      </c>
      <c r="T41" s="995">
        <f t="shared" si="17"/>
        <v>584494.85120000003</v>
      </c>
      <c r="U41" s="996">
        <f t="shared" si="18"/>
        <v>0.48571428571428577</v>
      </c>
      <c r="V41" s="997" t="s">
        <v>1858</v>
      </c>
      <c r="W41" s="998" t="s">
        <v>1859</v>
      </c>
      <c r="X41" s="999">
        <f t="shared" si="19"/>
        <v>393409.99599999998</v>
      </c>
      <c r="Y41" s="1002"/>
      <c r="Z41" s="1033"/>
      <c r="AA41" s="1001"/>
      <c r="AC41" s="1002"/>
      <c r="AD41" s="1035"/>
      <c r="AE41" s="1035"/>
      <c r="AF41" s="1004"/>
      <c r="AG41" s="979"/>
      <c r="AH41" s="964"/>
      <c r="AI41" s="964"/>
      <c r="AJ41" s="964"/>
      <c r="AK41" s="994"/>
      <c r="AL41" s="1010"/>
      <c r="AM41" s="1009"/>
      <c r="AN41" s="964"/>
      <c r="AO41" s="964"/>
      <c r="AP41" s="964"/>
      <c r="AQ41" s="1012"/>
      <c r="AR41" s="1012"/>
      <c r="AS41" s="1012"/>
      <c r="AT41" s="1012"/>
      <c r="AU41" s="1012"/>
      <c r="AV41" s="1012"/>
      <c r="AW41" s="1012"/>
      <c r="AX41" s="1012"/>
      <c r="AY41" s="1012"/>
      <c r="AZ41" s="1012"/>
      <c r="BA41" s="1012"/>
      <c r="BB41" s="1012"/>
      <c r="BC41" s="1012"/>
      <c r="BD41" s="1012"/>
      <c r="BE41" s="1012"/>
      <c r="BF41" s="1012"/>
      <c r="BG41" s="1012"/>
      <c r="BH41" s="1012"/>
      <c r="BI41" s="1012"/>
      <c r="BJ41" s="1012"/>
      <c r="BK41" s="1012"/>
      <c r="BL41" s="1012"/>
      <c r="BM41" s="1012"/>
      <c r="BN41" s="1012"/>
      <c r="BO41" s="1012"/>
      <c r="BP41" s="1012"/>
      <c r="BQ41" s="1012"/>
      <c r="BR41" s="1012"/>
      <c r="BS41" s="1012"/>
      <c r="BT41" s="1012"/>
      <c r="BU41" s="1012"/>
    </row>
    <row r="42" spans="1:73" s="1034" customFormat="1" ht="14.85" customHeight="1">
      <c r="A42" s="1005"/>
      <c r="B42" s="986" t="s">
        <v>1773</v>
      </c>
      <c r="C42" s="989" t="s">
        <v>1774</v>
      </c>
      <c r="D42" s="988" t="s">
        <v>501</v>
      </c>
      <c r="E42" s="989" t="s">
        <v>1775</v>
      </c>
      <c r="F42" s="990">
        <v>42997</v>
      </c>
      <c r="G42" s="1006">
        <v>10</v>
      </c>
      <c r="H42" s="1006">
        <v>9</v>
      </c>
      <c r="I42" s="1006">
        <v>11</v>
      </c>
      <c r="J42" s="1006">
        <v>9.99</v>
      </c>
      <c r="K42" s="992">
        <f t="shared" si="12"/>
        <v>4084.884</v>
      </c>
      <c r="L42" s="994">
        <v>3960</v>
      </c>
      <c r="M42" s="994">
        <v>8044.884</v>
      </c>
      <c r="N42" s="992">
        <f t="shared" si="13"/>
        <v>40848.839999999997</v>
      </c>
      <c r="O42" s="994">
        <f t="shared" si="14"/>
        <v>39600</v>
      </c>
      <c r="P42" s="992">
        <f t="shared" si="15"/>
        <v>80448.84</v>
      </c>
      <c r="Q42" s="992"/>
      <c r="R42" s="968">
        <v>1</v>
      </c>
      <c r="S42" s="991">
        <f t="shared" si="16"/>
        <v>9.99</v>
      </c>
      <c r="T42" s="995">
        <f t="shared" si="17"/>
        <v>80368.391159999999</v>
      </c>
      <c r="U42" s="996">
        <f t="shared" si="18"/>
        <v>-1.0000000000000009E-3</v>
      </c>
      <c r="V42" s="997" t="s">
        <v>1776</v>
      </c>
      <c r="W42" s="998" t="s">
        <v>1777</v>
      </c>
      <c r="X42" s="999">
        <f t="shared" si="19"/>
        <v>80448.84</v>
      </c>
      <c r="Y42" s="1002">
        <v>4142000.0000000005</v>
      </c>
      <c r="Z42" s="1033">
        <v>3518000</v>
      </c>
      <c r="AA42" s="1001"/>
      <c r="AC42" s="1002"/>
      <c r="AD42" s="1035"/>
      <c r="AE42" s="1035"/>
      <c r="AF42" s="1004"/>
      <c r="AG42" s="979"/>
      <c r="AH42" s="964"/>
      <c r="AI42" s="964"/>
      <c r="AJ42" s="964"/>
      <c r="AK42" s="994"/>
      <c r="AL42" s="1010"/>
      <c r="AM42" s="1009"/>
      <c r="AN42" s="964"/>
      <c r="AO42" s="964"/>
      <c r="AP42" s="964"/>
      <c r="AQ42" s="1012"/>
      <c r="AR42" s="1012"/>
      <c r="AS42" s="1012"/>
      <c r="AT42" s="1012"/>
      <c r="AU42" s="1012"/>
      <c r="AV42" s="1012"/>
      <c r="AW42" s="1012"/>
      <c r="AX42" s="1012"/>
      <c r="AY42" s="1012"/>
      <c r="AZ42" s="1012"/>
      <c r="BA42" s="1012"/>
      <c r="BB42" s="1012"/>
      <c r="BC42" s="1012"/>
      <c r="BD42" s="1012"/>
      <c r="BE42" s="1012"/>
      <c r="BF42" s="1012"/>
      <c r="BG42" s="1012"/>
      <c r="BH42" s="1012"/>
      <c r="BI42" s="1012"/>
      <c r="BJ42" s="1012"/>
      <c r="BK42" s="1012"/>
      <c r="BL42" s="1012"/>
      <c r="BM42" s="1012"/>
      <c r="BN42" s="1012"/>
      <c r="BO42" s="1012"/>
      <c r="BP42" s="1012"/>
      <c r="BQ42" s="1012"/>
      <c r="BR42" s="1012"/>
      <c r="BS42" s="1012"/>
      <c r="BT42" s="1012"/>
      <c r="BU42" s="1012"/>
    </row>
    <row r="43" spans="1:73" s="1034" customFormat="1" ht="14.85" customHeight="1">
      <c r="A43" s="1005"/>
      <c r="B43" s="986" t="s">
        <v>1778</v>
      </c>
      <c r="C43" s="989" t="s">
        <v>1779</v>
      </c>
      <c r="D43" s="988" t="s">
        <v>501</v>
      </c>
      <c r="E43" s="989" t="s">
        <v>1780</v>
      </c>
      <c r="F43" s="990">
        <v>42913</v>
      </c>
      <c r="G43" s="1006">
        <v>15</v>
      </c>
      <c r="H43" s="1006">
        <v>14</v>
      </c>
      <c r="I43" s="1006">
        <v>16</v>
      </c>
      <c r="J43" s="1006">
        <v>14.61</v>
      </c>
      <c r="K43" s="992">
        <f t="shared" si="12"/>
        <v>17645.620999999999</v>
      </c>
      <c r="L43" s="994">
        <v>5000</v>
      </c>
      <c r="M43" s="994">
        <v>22645.620999999999</v>
      </c>
      <c r="N43" s="992">
        <f t="shared" si="13"/>
        <v>264684.315</v>
      </c>
      <c r="O43" s="994">
        <f t="shared" si="14"/>
        <v>75000</v>
      </c>
      <c r="P43" s="992">
        <f t="shared" si="15"/>
        <v>339684.315</v>
      </c>
      <c r="Q43" s="992"/>
      <c r="R43" s="968">
        <v>1</v>
      </c>
      <c r="S43" s="991">
        <f t="shared" si="16"/>
        <v>14.61</v>
      </c>
      <c r="T43" s="995">
        <f t="shared" si="17"/>
        <v>330852.52280999999</v>
      </c>
      <c r="U43" s="996">
        <f t="shared" si="18"/>
        <v>-2.6000000000000023E-2</v>
      </c>
      <c r="V43" s="997" t="s">
        <v>1781</v>
      </c>
      <c r="W43" s="998" t="s">
        <v>1782</v>
      </c>
      <c r="X43" s="999">
        <f t="shared" si="19"/>
        <v>339684.315</v>
      </c>
      <c r="Y43" s="1033">
        <v>0</v>
      </c>
      <c r="Z43" s="1033">
        <v>88515</v>
      </c>
      <c r="AA43" s="1001">
        <v>251169.315</v>
      </c>
      <c r="AB43" s="1002">
        <v>0</v>
      </c>
      <c r="AC43" s="1002">
        <v>0</v>
      </c>
      <c r="AD43" s="1035" t="s">
        <v>13</v>
      </c>
      <c r="AE43" s="1035" t="s">
        <v>13</v>
      </c>
      <c r="AF43" s="1004">
        <f>+P43-X43</f>
        <v>0</v>
      </c>
      <c r="AG43" s="979"/>
      <c r="AH43" s="964"/>
      <c r="AI43" s="964"/>
      <c r="AJ43" s="964"/>
      <c r="AK43" s="994"/>
      <c r="AL43" s="1010"/>
      <c r="AM43" s="1009"/>
      <c r="AN43" s="964"/>
      <c r="AO43" s="964"/>
      <c r="AP43" s="964"/>
      <c r="AQ43" s="1012"/>
      <c r="AR43" s="1012"/>
      <c r="AS43" s="1012"/>
      <c r="AT43" s="1012"/>
      <c r="AU43" s="1012"/>
      <c r="AV43" s="1012"/>
      <c r="AW43" s="1012"/>
      <c r="AX43" s="1012"/>
      <c r="AY43" s="1012"/>
      <c r="AZ43" s="1012"/>
      <c r="BA43" s="1012"/>
      <c r="BB43" s="1012"/>
      <c r="BC43" s="1012"/>
      <c r="BD43" s="1012"/>
      <c r="BE43" s="1012"/>
      <c r="BF43" s="1012"/>
      <c r="BG43" s="1012"/>
      <c r="BH43" s="1012"/>
      <c r="BI43" s="1012"/>
      <c r="BJ43" s="1012"/>
      <c r="BK43" s="1012"/>
      <c r="BL43" s="1012"/>
      <c r="BM43" s="1012"/>
      <c r="BN43" s="1012"/>
      <c r="BO43" s="1012"/>
      <c r="BP43" s="1012"/>
      <c r="BQ43" s="1012"/>
      <c r="BR43" s="1012"/>
      <c r="BS43" s="1012"/>
      <c r="BT43" s="1012"/>
      <c r="BU43" s="1012"/>
    </row>
    <row r="44" spans="1:73" s="1034" customFormat="1" ht="14.85" customHeight="1">
      <c r="A44" s="1036"/>
      <c r="B44" s="1037" t="s">
        <v>1783</v>
      </c>
      <c r="C44" s="1038" t="s">
        <v>1784</v>
      </c>
      <c r="D44" s="1039" t="s">
        <v>493</v>
      </c>
      <c r="E44" s="1038" t="s">
        <v>1785</v>
      </c>
      <c r="F44" s="990">
        <v>42871</v>
      </c>
      <c r="G44" s="1006">
        <v>15</v>
      </c>
      <c r="H44" s="1006">
        <v>15</v>
      </c>
      <c r="I44" s="1006">
        <v>17</v>
      </c>
      <c r="J44" s="1006">
        <v>17.12</v>
      </c>
      <c r="K44" s="992">
        <f t="shared" si="12"/>
        <v>20413.833999999999</v>
      </c>
      <c r="L44" s="994">
        <v>6250</v>
      </c>
      <c r="M44" s="994">
        <v>26663.833999999999</v>
      </c>
      <c r="N44" s="992">
        <f t="shared" si="13"/>
        <v>306207.51</v>
      </c>
      <c r="O44" s="994">
        <f t="shared" si="14"/>
        <v>93750</v>
      </c>
      <c r="P44" s="992">
        <f t="shared" si="15"/>
        <v>399957.51</v>
      </c>
      <c r="Q44" s="1040"/>
      <c r="R44" s="968">
        <v>1</v>
      </c>
      <c r="S44" s="991">
        <f t="shared" si="16"/>
        <v>17.12</v>
      </c>
      <c r="T44" s="995">
        <f t="shared" si="17"/>
        <v>456484.83808000002</v>
      </c>
      <c r="U44" s="996">
        <f t="shared" si="18"/>
        <v>0.14133333333333331</v>
      </c>
      <c r="V44" s="1041" t="s">
        <v>1786</v>
      </c>
      <c r="W44" s="1042" t="s">
        <v>1787</v>
      </c>
      <c r="X44" s="1043">
        <f t="shared" si="19"/>
        <v>399957.51</v>
      </c>
      <c r="Y44" s="1033">
        <v>0</v>
      </c>
      <c r="Z44" s="1033">
        <v>37726.520000000004</v>
      </c>
      <c r="AA44" s="1001">
        <f>X44+Y44-Z44</f>
        <v>362230.99</v>
      </c>
      <c r="AB44" s="1002">
        <v>522.42999999999995</v>
      </c>
      <c r="AC44" s="1002">
        <v>-15381.439999999999</v>
      </c>
      <c r="AD44" s="1035">
        <f>IFERROR(AA44/AB44,"n/a")</f>
        <v>693.35794269088683</v>
      </c>
      <c r="AE44" s="1035">
        <f>IFERROR(AA44/AC44,"n/a")</f>
        <v>-23.549875044209127</v>
      </c>
      <c r="AF44" s="1044">
        <f>+P44-X44</f>
        <v>0</v>
      </c>
      <c r="AG44" s="1045"/>
      <c r="AH44" s="1045"/>
    </row>
    <row r="45" spans="1:73" s="1012" customFormat="1" ht="14.85" customHeight="1">
      <c r="A45" s="1005"/>
      <c r="B45" s="986" t="s">
        <v>1860</v>
      </c>
      <c r="C45" s="989" t="s">
        <v>1861</v>
      </c>
      <c r="D45" s="988" t="s">
        <v>501</v>
      </c>
      <c r="E45" s="989" t="s">
        <v>1862</v>
      </c>
      <c r="F45" s="990">
        <v>42852</v>
      </c>
      <c r="G45" s="1006">
        <v>13</v>
      </c>
      <c r="H45" s="1006">
        <v>13</v>
      </c>
      <c r="I45" s="1006">
        <v>16</v>
      </c>
      <c r="J45" s="1006">
        <v>12.67601</v>
      </c>
      <c r="K45" s="992">
        <f t="shared" si="12"/>
        <v>20424.460999999999</v>
      </c>
      <c r="L45" s="994">
        <v>4500</v>
      </c>
      <c r="M45" s="994">
        <v>24924.460999999999</v>
      </c>
      <c r="N45" s="992">
        <f t="shared" si="13"/>
        <v>265517.99300000002</v>
      </c>
      <c r="O45" s="994">
        <f t="shared" si="14"/>
        <v>58500</v>
      </c>
      <c r="P45" s="992">
        <f t="shared" si="15"/>
        <v>324017.99300000002</v>
      </c>
      <c r="Q45" s="992"/>
      <c r="R45" s="968">
        <v>1</v>
      </c>
      <c r="S45" s="991">
        <f t="shared" si="16"/>
        <v>12.67601</v>
      </c>
      <c r="T45" s="995">
        <f t="shared" si="17"/>
        <v>315942.71688060998</v>
      </c>
      <c r="U45" s="996">
        <f t="shared" si="18"/>
        <v>-2.4922307692307855E-2</v>
      </c>
      <c r="V45" s="997" t="s">
        <v>1863</v>
      </c>
      <c r="W45" s="998" t="s">
        <v>1864</v>
      </c>
      <c r="X45" s="999">
        <f t="shared" si="19"/>
        <v>324017.99300000002</v>
      </c>
      <c r="Y45" s="1002"/>
      <c r="Z45" s="1033"/>
      <c r="AA45" s="1001"/>
      <c r="AB45" s="1034"/>
      <c r="AC45" s="1002"/>
      <c r="AD45" s="1035"/>
      <c r="AE45" s="1035"/>
      <c r="AF45" s="1004"/>
      <c r="AG45" s="979"/>
      <c r="AH45" s="964"/>
      <c r="AI45" s="964"/>
      <c r="AJ45" s="964"/>
      <c r="AK45" s="994"/>
      <c r="AL45" s="1010"/>
      <c r="AM45" s="1009"/>
      <c r="AN45" s="964"/>
      <c r="AO45" s="964"/>
      <c r="AP45" s="964"/>
    </row>
    <row r="46" spans="1:73" s="1012" customFormat="1" ht="14.85" customHeight="1">
      <c r="A46" s="1005"/>
      <c r="B46" s="986" t="s">
        <v>1497</v>
      </c>
      <c r="C46" s="989" t="s">
        <v>1498</v>
      </c>
      <c r="D46" s="988" t="s">
        <v>1146</v>
      </c>
      <c r="E46" s="989" t="s">
        <v>1499</v>
      </c>
      <c r="F46" s="990">
        <v>42761</v>
      </c>
      <c r="G46" s="1006">
        <v>16</v>
      </c>
      <c r="H46" s="1006">
        <v>13</v>
      </c>
      <c r="I46" s="1006">
        <v>15</v>
      </c>
      <c r="J46" s="1006">
        <v>19.84</v>
      </c>
      <c r="K46" s="992">
        <f t="shared" si="12"/>
        <v>24802.026000000002</v>
      </c>
      <c r="L46" s="994">
        <f>5360000/1000</f>
        <v>5360</v>
      </c>
      <c r="M46" s="994">
        <f>30162026/1000</f>
        <v>30162.026000000002</v>
      </c>
      <c r="N46" s="992">
        <f t="shared" si="13"/>
        <v>396832.41600000003</v>
      </c>
      <c r="O46" s="994">
        <f t="shared" si="14"/>
        <v>85760</v>
      </c>
      <c r="P46" s="992">
        <f t="shared" si="15"/>
        <v>482592.41600000003</v>
      </c>
      <c r="Q46" s="992"/>
      <c r="R46" s="968">
        <v>1</v>
      </c>
      <c r="S46" s="991">
        <f t="shared" si="16"/>
        <v>19.84</v>
      </c>
      <c r="T46" s="995">
        <f t="shared" si="17"/>
        <v>598414.59584000008</v>
      </c>
      <c r="U46" s="996">
        <f t="shared" si="18"/>
        <v>0.24</v>
      </c>
      <c r="V46" s="997" t="s">
        <v>1499</v>
      </c>
      <c r="W46" s="998" t="s">
        <v>1747</v>
      </c>
      <c r="X46" s="999">
        <f t="shared" si="19"/>
        <v>482592.41600000003</v>
      </c>
      <c r="Y46" s="999">
        <v>0</v>
      </c>
      <c r="Z46" s="999">
        <v>89317</v>
      </c>
      <c r="AA46" s="1001">
        <f t="shared" ref="AA46:AA67" si="20">X46+Y46-Z46</f>
        <v>393275.41600000003</v>
      </c>
      <c r="AB46" s="1002">
        <v>0</v>
      </c>
      <c r="AC46" s="1008">
        <v>-40216</v>
      </c>
      <c r="AD46" s="1003" t="str">
        <f t="shared" ref="AD46:AD67" si="21">IFERROR(AA46/AB46,"n/a")</f>
        <v>n/a</v>
      </c>
      <c r="AE46" s="1003">
        <f t="shared" ref="AE46:AE67" si="22">IFERROR(AA46/AC46,"n/a")</f>
        <v>-9.779078376765467</v>
      </c>
      <c r="AF46" s="1004">
        <f t="shared" ref="AF46:AF67" si="23">+P46-X46</f>
        <v>0</v>
      </c>
      <c r="AG46" s="964"/>
      <c r="AH46" s="964"/>
      <c r="AI46" s="964"/>
      <c r="AJ46" s="994"/>
      <c r="AK46" s="1010"/>
      <c r="AL46" s="1009"/>
      <c r="AM46" s="964"/>
      <c r="AN46" s="964"/>
      <c r="AO46" s="964"/>
    </row>
    <row r="47" spans="1:73" s="979" customFormat="1" ht="14.85" customHeight="1">
      <c r="B47" s="986" t="s">
        <v>1500</v>
      </c>
      <c r="C47" s="989" t="s">
        <v>1501</v>
      </c>
      <c r="D47" s="988" t="s">
        <v>501</v>
      </c>
      <c r="E47" s="989" t="s">
        <v>1502</v>
      </c>
      <c r="F47" s="990">
        <v>42760</v>
      </c>
      <c r="G47" s="991">
        <v>15</v>
      </c>
      <c r="H47" s="991">
        <v>14</v>
      </c>
      <c r="I47" s="991">
        <v>16</v>
      </c>
      <c r="J47" s="991">
        <v>24.6</v>
      </c>
      <c r="K47" s="992">
        <f t="shared" si="12"/>
        <v>14159.332999999999</v>
      </c>
      <c r="L47" s="993">
        <f>4000000/1000</f>
        <v>4000</v>
      </c>
      <c r="M47" s="993">
        <f>18159333/1000</f>
        <v>18159.332999999999</v>
      </c>
      <c r="N47" s="992">
        <f t="shared" si="13"/>
        <v>212389.995</v>
      </c>
      <c r="O47" s="994">
        <f t="shared" si="14"/>
        <v>60000</v>
      </c>
      <c r="P47" s="992">
        <f t="shared" si="15"/>
        <v>272389.995</v>
      </c>
      <c r="Q47" s="968"/>
      <c r="R47" s="968">
        <v>1</v>
      </c>
      <c r="S47" s="991">
        <f t="shared" si="16"/>
        <v>24.6</v>
      </c>
      <c r="T47" s="995">
        <f t="shared" si="17"/>
        <v>446719.59179999999</v>
      </c>
      <c r="U47" s="996">
        <f t="shared" si="18"/>
        <v>0.6399999999999999</v>
      </c>
      <c r="V47" s="997" t="s">
        <v>1503</v>
      </c>
      <c r="W47" s="998" t="s">
        <v>1748</v>
      </c>
      <c r="X47" s="999">
        <f t="shared" si="19"/>
        <v>272389.995</v>
      </c>
      <c r="Y47" s="999">
        <v>4983000</v>
      </c>
      <c r="Z47" s="999">
        <v>47134</v>
      </c>
      <c r="AA47" s="1001">
        <f t="shared" si="20"/>
        <v>5208255.9950000001</v>
      </c>
      <c r="AB47" s="1002">
        <v>19308</v>
      </c>
      <c r="AC47" s="1008">
        <v>-2817</v>
      </c>
      <c r="AD47" s="1003">
        <f t="shared" si="21"/>
        <v>269.74601175678475</v>
      </c>
      <c r="AE47" s="1003">
        <f t="shared" si="22"/>
        <v>-1848.8661679091233</v>
      </c>
      <c r="AF47" s="1004">
        <f t="shared" si="23"/>
        <v>0</v>
      </c>
    </row>
    <row r="48" spans="1:73" s="979" customFormat="1" ht="14.85" customHeight="1">
      <c r="B48" s="986" t="s">
        <v>1041</v>
      </c>
      <c r="C48" s="989" t="s">
        <v>1042</v>
      </c>
      <c r="D48" s="988" t="s">
        <v>501</v>
      </c>
      <c r="E48" s="989" t="s">
        <v>1043</v>
      </c>
      <c r="F48" s="990">
        <v>42668</v>
      </c>
      <c r="G48" s="991">
        <v>13</v>
      </c>
      <c r="H48" s="991">
        <v>12</v>
      </c>
      <c r="I48" s="991">
        <v>14</v>
      </c>
      <c r="J48" s="991">
        <v>13.14</v>
      </c>
      <c r="K48" s="992">
        <f t="shared" si="12"/>
        <v>14439.55</v>
      </c>
      <c r="L48" s="993">
        <v>7049.23</v>
      </c>
      <c r="M48" s="993">
        <v>21488.78</v>
      </c>
      <c r="N48" s="992">
        <f t="shared" si="13"/>
        <v>187714.15</v>
      </c>
      <c r="O48" s="994">
        <f t="shared" si="14"/>
        <v>91639.989999999991</v>
      </c>
      <c r="P48" s="992">
        <f t="shared" si="15"/>
        <v>279354.14</v>
      </c>
      <c r="Q48" s="968"/>
      <c r="R48" s="968">
        <v>1</v>
      </c>
      <c r="S48" s="991">
        <f t="shared" si="16"/>
        <v>13.14</v>
      </c>
      <c r="T48" s="995">
        <f t="shared" si="17"/>
        <v>282362.56919999997</v>
      </c>
      <c r="U48" s="996">
        <f t="shared" si="18"/>
        <v>1.0769230769230642E-2</v>
      </c>
      <c r="V48" s="997" t="s">
        <v>1044</v>
      </c>
      <c r="W48" s="998" t="s">
        <v>1045</v>
      </c>
      <c r="X48" s="999">
        <f t="shared" si="19"/>
        <v>279354.14</v>
      </c>
      <c r="Y48" s="999">
        <v>0</v>
      </c>
      <c r="Z48" s="999">
        <v>40246</v>
      </c>
      <c r="AA48" s="1001">
        <f t="shared" si="20"/>
        <v>239108.14</v>
      </c>
      <c r="AB48" s="1002">
        <v>6845</v>
      </c>
      <c r="AC48" s="1008">
        <v>-15697</v>
      </c>
      <c r="AD48" s="1003">
        <f t="shared" si="21"/>
        <v>34.931795471146827</v>
      </c>
      <c r="AE48" s="1003">
        <f t="shared" si="22"/>
        <v>-15.232728546856087</v>
      </c>
      <c r="AF48" s="1004">
        <f t="shared" si="23"/>
        <v>0</v>
      </c>
    </row>
    <row r="49" spans="1:42" s="979" customFormat="1" ht="14.85" customHeight="1">
      <c r="A49" s="1005"/>
      <c r="B49" s="986" t="s">
        <v>1047</v>
      </c>
      <c r="C49" s="989" t="s">
        <v>1048</v>
      </c>
      <c r="D49" s="988" t="s">
        <v>1504</v>
      </c>
      <c r="E49" s="989" t="s">
        <v>1049</v>
      </c>
      <c r="F49" s="990">
        <v>42654</v>
      </c>
      <c r="G49" s="991">
        <v>5.5</v>
      </c>
      <c r="H49" s="991">
        <v>6</v>
      </c>
      <c r="I49" s="991">
        <v>8</v>
      </c>
      <c r="J49" s="991">
        <v>4.74</v>
      </c>
      <c r="K49" s="992">
        <f t="shared" si="12"/>
        <v>8671.0879999999997</v>
      </c>
      <c r="L49" s="993">
        <v>960</v>
      </c>
      <c r="M49" s="993">
        <v>9631.0879999999997</v>
      </c>
      <c r="N49" s="992">
        <f t="shared" si="13"/>
        <v>47690.983999999997</v>
      </c>
      <c r="O49" s="994">
        <f t="shared" si="14"/>
        <v>5280</v>
      </c>
      <c r="P49" s="992">
        <f t="shared" si="15"/>
        <v>52970.983999999997</v>
      </c>
      <c r="Q49" s="992"/>
      <c r="R49" s="968">
        <v>1</v>
      </c>
      <c r="S49" s="991">
        <f t="shared" si="16"/>
        <v>4.74</v>
      </c>
      <c r="T49" s="995">
        <f t="shared" si="17"/>
        <v>45651.357120000001</v>
      </c>
      <c r="U49" s="996">
        <f t="shared" si="18"/>
        <v>-0.13818181818181807</v>
      </c>
      <c r="V49" s="997" t="s">
        <v>1050</v>
      </c>
      <c r="W49" s="998" t="s">
        <v>1051</v>
      </c>
      <c r="X49" s="999">
        <f t="shared" si="19"/>
        <v>52970.983999999997</v>
      </c>
      <c r="Y49" s="999">
        <v>9242640</v>
      </c>
      <c r="Z49" s="999">
        <v>1354.64</v>
      </c>
      <c r="AA49" s="1001">
        <f t="shared" si="20"/>
        <v>9294256.3439999986</v>
      </c>
      <c r="AB49" s="1002">
        <v>0</v>
      </c>
      <c r="AC49" s="1008">
        <v>-4114.3599999999997</v>
      </c>
      <c r="AD49" s="1003" t="str">
        <f t="shared" si="21"/>
        <v>n/a</v>
      </c>
      <c r="AE49" s="1003">
        <f t="shared" si="22"/>
        <v>-2258.9798520304494</v>
      </c>
      <c r="AF49" s="1004">
        <f t="shared" si="23"/>
        <v>0</v>
      </c>
    </row>
    <row r="50" spans="1:42" s="979" customFormat="1" ht="14.85" customHeight="1">
      <c r="A50" s="1005"/>
      <c r="B50" s="986" t="s">
        <v>1057</v>
      </c>
      <c r="C50" s="989" t="s">
        <v>1058</v>
      </c>
      <c r="D50" s="988" t="s">
        <v>501</v>
      </c>
      <c r="E50" s="989" t="s">
        <v>1059</v>
      </c>
      <c r="F50" s="990">
        <v>42592</v>
      </c>
      <c r="G50" s="991">
        <v>12</v>
      </c>
      <c r="H50" s="991">
        <v>11</v>
      </c>
      <c r="I50" s="991">
        <v>13</v>
      </c>
      <c r="J50" s="991">
        <v>12.4</v>
      </c>
      <c r="K50" s="992">
        <f t="shared" si="12"/>
        <v>8823.5509999999995</v>
      </c>
      <c r="L50" s="993">
        <v>7500</v>
      </c>
      <c r="M50" s="993">
        <v>16323.550999999999</v>
      </c>
      <c r="N50" s="992">
        <f t="shared" si="13"/>
        <v>105882.61199999999</v>
      </c>
      <c r="O50" s="994">
        <f t="shared" si="14"/>
        <v>90000</v>
      </c>
      <c r="P50" s="992">
        <f t="shared" si="15"/>
        <v>195882.61199999999</v>
      </c>
      <c r="Q50" s="992"/>
      <c r="R50" s="968">
        <v>1</v>
      </c>
      <c r="S50" s="991">
        <f t="shared" si="16"/>
        <v>12.4</v>
      </c>
      <c r="T50" s="995">
        <f t="shared" si="17"/>
        <v>202412.0324</v>
      </c>
      <c r="U50" s="996">
        <f t="shared" si="18"/>
        <v>3.3333333333333437E-2</v>
      </c>
      <c r="V50" s="1007" t="s">
        <v>1060</v>
      </c>
      <c r="W50" s="998" t="s">
        <v>1061</v>
      </c>
      <c r="X50" s="999">
        <f t="shared" si="19"/>
        <v>195882.61199999999</v>
      </c>
      <c r="Y50" s="999">
        <v>0</v>
      </c>
      <c r="Z50" s="999">
        <v>28629</v>
      </c>
      <c r="AA50" s="1001">
        <f t="shared" si="20"/>
        <v>167253.61199999999</v>
      </c>
      <c r="AB50" s="1002">
        <v>0</v>
      </c>
      <c r="AC50" s="1008">
        <v>-22858</v>
      </c>
      <c r="AD50" s="1003" t="str">
        <f t="shared" si="21"/>
        <v>n/a</v>
      </c>
      <c r="AE50" s="1003">
        <f t="shared" si="22"/>
        <v>-7.3170711348324433</v>
      </c>
      <c r="AF50" s="1004">
        <f t="shared" si="23"/>
        <v>0</v>
      </c>
      <c r="AG50" s="1009"/>
    </row>
    <row r="51" spans="1:42" s="979" customFormat="1" ht="14.85" customHeight="1">
      <c r="A51" s="1005"/>
      <c r="B51" s="986" t="s">
        <v>767</v>
      </c>
      <c r="C51" s="989" t="s">
        <v>765</v>
      </c>
      <c r="D51" s="988" t="s">
        <v>501</v>
      </c>
      <c r="E51" s="989" t="s">
        <v>1073</v>
      </c>
      <c r="F51" s="990">
        <v>42550</v>
      </c>
      <c r="G51" s="1006">
        <v>12.5</v>
      </c>
      <c r="H51" s="1006">
        <v>14</v>
      </c>
      <c r="I51" s="1006">
        <v>16</v>
      </c>
      <c r="J51" s="1006">
        <v>11.58</v>
      </c>
      <c r="K51" s="992">
        <f t="shared" si="12"/>
        <v>18760.161</v>
      </c>
      <c r="L51" s="993">
        <v>4000</v>
      </c>
      <c r="M51" s="993">
        <v>22760.161</v>
      </c>
      <c r="N51" s="992">
        <f t="shared" si="13"/>
        <v>234502.01250000001</v>
      </c>
      <c r="O51" s="994">
        <f t="shared" si="14"/>
        <v>50000</v>
      </c>
      <c r="P51" s="992">
        <f t="shared" si="15"/>
        <v>284502.01250000001</v>
      </c>
      <c r="Q51" s="992"/>
      <c r="R51" s="968">
        <v>1</v>
      </c>
      <c r="S51" s="991">
        <f t="shared" si="16"/>
        <v>11.58</v>
      </c>
      <c r="T51" s="995">
        <f t="shared" si="17"/>
        <v>263562.66438000003</v>
      </c>
      <c r="U51" s="996">
        <f t="shared" si="18"/>
        <v>-7.3599999999999888E-2</v>
      </c>
      <c r="V51" s="1007" t="s">
        <v>766</v>
      </c>
      <c r="W51" s="998" t="s">
        <v>768</v>
      </c>
      <c r="X51" s="999">
        <f t="shared" si="19"/>
        <v>284502.01250000001</v>
      </c>
      <c r="Y51" s="999">
        <v>322000</v>
      </c>
      <c r="Z51" s="999">
        <v>62133</v>
      </c>
      <c r="AA51" s="1001">
        <f t="shared" si="20"/>
        <v>544369.01249999995</v>
      </c>
      <c r="AB51" s="1002">
        <v>0</v>
      </c>
      <c r="AC51" s="1008">
        <v>-40816</v>
      </c>
      <c r="AD51" s="1003" t="str">
        <f t="shared" si="21"/>
        <v>n/a</v>
      </c>
      <c r="AE51" s="1003">
        <f t="shared" si="22"/>
        <v>-13.337147503430026</v>
      </c>
      <c r="AF51" s="1004">
        <f t="shared" si="23"/>
        <v>0</v>
      </c>
      <c r="AG51" s="1009"/>
    </row>
    <row r="52" spans="1:42" s="979" customFormat="1" ht="14.85" customHeight="1">
      <c r="A52" s="1005"/>
      <c r="B52" s="986" t="s">
        <v>1074</v>
      </c>
      <c r="C52" s="989" t="s">
        <v>1075</v>
      </c>
      <c r="D52" s="988" t="s">
        <v>501</v>
      </c>
      <c r="E52" s="989" t="s">
        <v>1076</v>
      </c>
      <c r="F52" s="990">
        <v>42542</v>
      </c>
      <c r="G52" s="1006">
        <v>14</v>
      </c>
      <c r="H52" s="1006">
        <v>14</v>
      </c>
      <c r="I52" s="1006">
        <v>16</v>
      </c>
      <c r="J52" s="1006">
        <v>13.77</v>
      </c>
      <c r="K52" s="992">
        <f t="shared" si="12"/>
        <v>12899.585999999999</v>
      </c>
      <c r="L52" s="993">
        <v>5000</v>
      </c>
      <c r="M52" s="993">
        <v>17899.585999999999</v>
      </c>
      <c r="N52" s="992">
        <f t="shared" si="13"/>
        <v>180594.204</v>
      </c>
      <c r="O52" s="994">
        <f t="shared" si="14"/>
        <v>70000</v>
      </c>
      <c r="P52" s="992">
        <f t="shared" si="15"/>
        <v>250594.204</v>
      </c>
      <c r="Q52" s="992"/>
      <c r="R52" s="968">
        <v>1</v>
      </c>
      <c r="S52" s="991">
        <f t="shared" si="16"/>
        <v>13.77</v>
      </c>
      <c r="T52" s="995">
        <f t="shared" si="17"/>
        <v>246477.29921999999</v>
      </c>
      <c r="U52" s="996">
        <f t="shared" si="18"/>
        <v>-1.6428571428571459E-2</v>
      </c>
      <c r="V52" s="1007" t="s">
        <v>1077</v>
      </c>
      <c r="W52" s="998" t="s">
        <v>1078</v>
      </c>
      <c r="X52" s="999">
        <f t="shared" si="19"/>
        <v>250594.204</v>
      </c>
      <c r="Y52" s="999">
        <v>11842000</v>
      </c>
      <c r="Z52" s="999">
        <v>17051</v>
      </c>
      <c r="AA52" s="1001">
        <f t="shared" si="20"/>
        <v>12075543.204</v>
      </c>
      <c r="AB52" s="1002">
        <v>7846</v>
      </c>
      <c r="AC52" s="1008">
        <v>-25757</v>
      </c>
      <c r="AD52" s="1003">
        <f t="shared" si="21"/>
        <v>1539.0699979607443</v>
      </c>
      <c r="AE52" s="1003">
        <f t="shared" si="22"/>
        <v>-468.825686376519</v>
      </c>
      <c r="AF52" s="1004">
        <f t="shared" si="23"/>
        <v>0</v>
      </c>
      <c r="AG52" s="1009"/>
    </row>
    <row r="53" spans="1:42" s="979" customFormat="1" ht="14.85" customHeight="1">
      <c r="A53" s="1005"/>
      <c r="B53" s="986" t="s">
        <v>1089</v>
      </c>
      <c r="C53" s="989" t="s">
        <v>1090</v>
      </c>
      <c r="D53" s="988" t="s">
        <v>1146</v>
      </c>
      <c r="E53" s="989" t="s">
        <v>1091</v>
      </c>
      <c r="F53" s="990">
        <v>42508</v>
      </c>
      <c r="G53" s="1006">
        <v>10</v>
      </c>
      <c r="H53" s="1006">
        <v>14</v>
      </c>
      <c r="I53" s="1006">
        <v>16</v>
      </c>
      <c r="J53" s="1006">
        <v>9.1691500000000001</v>
      </c>
      <c r="K53" s="992">
        <f t="shared" si="12"/>
        <v>8740.4410000000007</v>
      </c>
      <c r="L53" s="993">
        <v>5500</v>
      </c>
      <c r="M53" s="993">
        <v>14240.441000000001</v>
      </c>
      <c r="N53" s="992">
        <f t="shared" si="13"/>
        <v>87404.41</v>
      </c>
      <c r="O53" s="994">
        <f t="shared" si="14"/>
        <v>55000</v>
      </c>
      <c r="P53" s="992">
        <f t="shared" si="15"/>
        <v>142404.41</v>
      </c>
      <c r="Q53" s="992"/>
      <c r="R53" s="968">
        <v>1</v>
      </c>
      <c r="S53" s="991">
        <f t="shared" si="16"/>
        <v>9.1691500000000001</v>
      </c>
      <c r="T53" s="995">
        <f t="shared" si="17"/>
        <v>130572.73959515001</v>
      </c>
      <c r="U53" s="996">
        <f t="shared" si="18"/>
        <v>-8.3084999999999964E-2</v>
      </c>
      <c r="V53" s="1007" t="s">
        <v>1092</v>
      </c>
      <c r="W53" s="998" t="s">
        <v>1093</v>
      </c>
      <c r="X53" s="999">
        <f t="shared" si="19"/>
        <v>142404.41</v>
      </c>
      <c r="Y53" s="999">
        <v>709200</v>
      </c>
      <c r="Z53" s="999">
        <v>35678.519999999997</v>
      </c>
      <c r="AA53" s="1001">
        <f t="shared" si="20"/>
        <v>815925.89</v>
      </c>
      <c r="AB53" s="1002">
        <v>2951.86</v>
      </c>
      <c r="AC53" s="1008">
        <v>-22947.420000000002</v>
      </c>
      <c r="AD53" s="1003">
        <f t="shared" si="21"/>
        <v>276.41076812585965</v>
      </c>
      <c r="AE53" s="1003">
        <f t="shared" si="22"/>
        <v>-35.556323543125977</v>
      </c>
      <c r="AF53" s="1004">
        <f t="shared" si="23"/>
        <v>0</v>
      </c>
      <c r="AG53" s="1009"/>
    </row>
    <row r="54" spans="1:42" s="979" customFormat="1" ht="14.85" customHeight="1">
      <c r="A54" s="1005"/>
      <c r="B54" s="986" t="s">
        <v>1095</v>
      </c>
      <c r="C54" s="989" t="s">
        <v>1096</v>
      </c>
      <c r="D54" s="988" t="s">
        <v>501</v>
      </c>
      <c r="E54" s="989" t="s">
        <v>1097</v>
      </c>
      <c r="F54" s="990">
        <v>42502</v>
      </c>
      <c r="G54" s="1006">
        <v>6</v>
      </c>
      <c r="H54" s="1006">
        <v>11</v>
      </c>
      <c r="I54" s="1006">
        <v>13</v>
      </c>
      <c r="J54" s="1006">
        <v>3.35</v>
      </c>
      <c r="K54" s="992">
        <f t="shared" si="12"/>
        <v>16969.444</v>
      </c>
      <c r="L54" s="993">
        <v>5833.3339999999998</v>
      </c>
      <c r="M54" s="993">
        <v>22802.777999999998</v>
      </c>
      <c r="N54" s="992">
        <f t="shared" si="13"/>
        <v>101816.66399999999</v>
      </c>
      <c r="O54" s="994">
        <f t="shared" si="14"/>
        <v>35000.004000000001</v>
      </c>
      <c r="P54" s="992">
        <f t="shared" si="15"/>
        <v>136816.66800000001</v>
      </c>
      <c r="Q54" s="992"/>
      <c r="R54" s="968">
        <v>1</v>
      </c>
      <c r="S54" s="991">
        <f t="shared" si="16"/>
        <v>3.35</v>
      </c>
      <c r="T54" s="995">
        <f t="shared" si="17"/>
        <v>76389.306299999997</v>
      </c>
      <c r="U54" s="996">
        <f t="shared" si="18"/>
        <v>-0.44166666666666676</v>
      </c>
      <c r="V54" s="1007" t="s">
        <v>1098</v>
      </c>
      <c r="W54" s="998" t="s">
        <v>1099</v>
      </c>
      <c r="X54" s="999">
        <f t="shared" si="19"/>
        <v>136816.66800000001</v>
      </c>
      <c r="Y54" s="999">
        <v>15488800</v>
      </c>
      <c r="Z54" s="999">
        <v>5582.26</v>
      </c>
      <c r="AA54" s="1001">
        <f t="shared" si="20"/>
        <v>15620034.408</v>
      </c>
      <c r="AB54" s="1002">
        <v>2979.58</v>
      </c>
      <c r="AC54" s="1008">
        <v>-56013.52</v>
      </c>
      <c r="AD54" s="1003">
        <f t="shared" si="21"/>
        <v>5242.3611408319293</v>
      </c>
      <c r="AE54" s="1003">
        <f t="shared" si="22"/>
        <v>-278.86186063650348</v>
      </c>
      <c r="AF54" s="1004">
        <f t="shared" si="23"/>
        <v>0</v>
      </c>
      <c r="AK54" s="1004"/>
      <c r="AL54" s="1010"/>
      <c r="AM54" s="1009"/>
    </row>
    <row r="55" spans="1:42" s="964" customFormat="1" ht="14.85" customHeight="1">
      <c r="A55" s="1005"/>
      <c r="B55" s="986" t="s">
        <v>936</v>
      </c>
      <c r="C55" s="989" t="s">
        <v>1110</v>
      </c>
      <c r="D55" s="988" t="s">
        <v>1111</v>
      </c>
      <c r="E55" s="989" t="s">
        <v>1112</v>
      </c>
      <c r="F55" s="990">
        <v>42451</v>
      </c>
      <c r="G55" s="1006">
        <v>15</v>
      </c>
      <c r="H55" s="1006">
        <v>15</v>
      </c>
      <c r="I55" s="1006">
        <v>17</v>
      </c>
      <c r="J55" s="1006">
        <v>15.13</v>
      </c>
      <c r="K55" s="992">
        <f t="shared" si="12"/>
        <v>15706.356</v>
      </c>
      <c r="L55" s="993">
        <v>4700</v>
      </c>
      <c r="M55" s="993">
        <v>20406.356</v>
      </c>
      <c r="N55" s="992">
        <f t="shared" si="13"/>
        <v>235595.34</v>
      </c>
      <c r="O55" s="994">
        <f t="shared" si="14"/>
        <v>70500</v>
      </c>
      <c r="P55" s="992">
        <f t="shared" si="15"/>
        <v>306095.33999999997</v>
      </c>
      <c r="Q55" s="992"/>
      <c r="R55" s="968">
        <v>1</v>
      </c>
      <c r="S55" s="991">
        <f t="shared" si="16"/>
        <v>15.13</v>
      </c>
      <c r="T55" s="995">
        <f t="shared" si="17"/>
        <v>308748.16628</v>
      </c>
      <c r="U55" s="996">
        <f t="shared" si="18"/>
        <v>8.6666666666668224E-3</v>
      </c>
      <c r="V55" s="997" t="s">
        <v>1113</v>
      </c>
      <c r="W55" s="998" t="s">
        <v>1114</v>
      </c>
      <c r="X55" s="999">
        <f t="shared" si="19"/>
        <v>306095.33999999997</v>
      </c>
      <c r="Y55" s="999">
        <v>0</v>
      </c>
      <c r="Z55" s="999">
        <v>0</v>
      </c>
      <c r="AA55" s="1001">
        <f t="shared" si="20"/>
        <v>306095.33999999997</v>
      </c>
      <c r="AB55" s="1002">
        <v>0</v>
      </c>
      <c r="AC55" s="1008">
        <v>-24113</v>
      </c>
      <c r="AD55" s="1003" t="str">
        <f t="shared" si="21"/>
        <v>n/a</v>
      </c>
      <c r="AE55" s="1003">
        <f t="shared" si="22"/>
        <v>-12.69420395637208</v>
      </c>
      <c r="AF55" s="1004">
        <f t="shared" si="23"/>
        <v>0</v>
      </c>
      <c r="AG55" s="979"/>
      <c r="AK55" s="994"/>
      <c r="AL55" s="1010"/>
      <c r="AM55" s="1009"/>
    </row>
    <row r="56" spans="1:42" s="964" customFormat="1" ht="14.85" customHeight="1">
      <c r="A56" s="1005"/>
      <c r="B56" s="986" t="s">
        <v>940</v>
      </c>
      <c r="C56" s="989" t="s">
        <v>1115</v>
      </c>
      <c r="D56" s="988" t="s">
        <v>1222</v>
      </c>
      <c r="E56" s="989" t="s">
        <v>1116</v>
      </c>
      <c r="F56" s="990">
        <v>42431</v>
      </c>
      <c r="G56" s="1006">
        <v>12</v>
      </c>
      <c r="H56" s="1006">
        <v>14</v>
      </c>
      <c r="I56" s="1006">
        <v>16</v>
      </c>
      <c r="J56" s="1006">
        <v>13.11</v>
      </c>
      <c r="K56" s="992">
        <f t="shared" si="12"/>
        <v>12972.674999999999</v>
      </c>
      <c r="L56" s="993">
        <v>4400</v>
      </c>
      <c r="M56" s="993">
        <v>17372.674999999999</v>
      </c>
      <c r="N56" s="992">
        <f t="shared" si="13"/>
        <v>155672.09999999998</v>
      </c>
      <c r="O56" s="994">
        <f t="shared" si="14"/>
        <v>52800</v>
      </c>
      <c r="P56" s="992">
        <f t="shared" si="15"/>
        <v>208472.09999999998</v>
      </c>
      <c r="Q56" s="992"/>
      <c r="R56" s="968">
        <v>1</v>
      </c>
      <c r="S56" s="991">
        <f t="shared" si="16"/>
        <v>13.11</v>
      </c>
      <c r="T56" s="995">
        <f t="shared" si="17"/>
        <v>227755.76924999998</v>
      </c>
      <c r="U56" s="996">
        <f t="shared" si="18"/>
        <v>9.2500000000000027E-2</v>
      </c>
      <c r="V56" s="997" t="s">
        <v>1117</v>
      </c>
      <c r="W56" s="998" t="s">
        <v>1118</v>
      </c>
      <c r="X56" s="999">
        <f t="shared" si="19"/>
        <v>208472.09999999998</v>
      </c>
      <c r="Y56" s="999">
        <v>0</v>
      </c>
      <c r="Z56" s="999">
        <v>23179</v>
      </c>
      <c r="AA56" s="1001">
        <f t="shared" si="20"/>
        <v>185293.09999999998</v>
      </c>
      <c r="AB56" s="1002">
        <v>1220</v>
      </c>
      <c r="AC56" s="1008">
        <v>-27113</v>
      </c>
      <c r="AD56" s="1003">
        <f t="shared" si="21"/>
        <v>151.87959016393441</v>
      </c>
      <c r="AE56" s="1003">
        <f t="shared" si="22"/>
        <v>-6.8341054106885988</v>
      </c>
      <c r="AF56" s="1004">
        <f t="shared" si="23"/>
        <v>0</v>
      </c>
      <c r="AG56" s="979"/>
      <c r="AK56" s="994"/>
      <c r="AL56" s="1010"/>
      <c r="AM56" s="1009"/>
    </row>
    <row r="57" spans="1:42" s="964" customFormat="1" ht="14.85" customHeight="1">
      <c r="A57" s="1005"/>
      <c r="B57" s="986" t="s">
        <v>1119</v>
      </c>
      <c r="C57" s="989" t="s">
        <v>1120</v>
      </c>
      <c r="D57" s="988" t="s">
        <v>501</v>
      </c>
      <c r="E57" s="989" t="s">
        <v>1121</v>
      </c>
      <c r="F57" s="990">
        <v>42410</v>
      </c>
      <c r="G57" s="1006">
        <v>20</v>
      </c>
      <c r="H57" s="1006">
        <v>19</v>
      </c>
      <c r="I57" s="1006">
        <v>21</v>
      </c>
      <c r="J57" s="1006">
        <v>21.15</v>
      </c>
      <c r="K57" s="992">
        <f t="shared" si="12"/>
        <v>17650.57</v>
      </c>
      <c r="L57" s="993">
        <v>4750</v>
      </c>
      <c r="M57" s="993">
        <v>22400.57</v>
      </c>
      <c r="N57" s="992">
        <f t="shared" si="13"/>
        <v>353011.4</v>
      </c>
      <c r="O57" s="994">
        <f t="shared" si="14"/>
        <v>95000</v>
      </c>
      <c r="P57" s="992">
        <f t="shared" si="15"/>
        <v>448011.4</v>
      </c>
      <c r="Q57" s="992"/>
      <c r="R57" s="968">
        <v>1</v>
      </c>
      <c r="S57" s="991">
        <f t="shared" si="16"/>
        <v>21.15</v>
      </c>
      <c r="T57" s="995">
        <f t="shared" si="17"/>
        <v>473772.05549999996</v>
      </c>
      <c r="U57" s="996">
        <f t="shared" si="18"/>
        <v>5.7499999999999885E-2</v>
      </c>
      <c r="V57" s="997" t="s">
        <v>1122</v>
      </c>
      <c r="W57" s="998" t="s">
        <v>1123</v>
      </c>
      <c r="X57" s="999">
        <f t="shared" si="19"/>
        <v>448011.4</v>
      </c>
      <c r="Y57" s="999">
        <v>0</v>
      </c>
      <c r="Z57" s="999">
        <v>69706.460000000006</v>
      </c>
      <c r="AA57" s="1001">
        <f t="shared" si="20"/>
        <v>378304.94</v>
      </c>
      <c r="AB57" s="1002">
        <v>0</v>
      </c>
      <c r="AC57" s="1008">
        <v>-59309.03</v>
      </c>
      <c r="AD57" s="1003" t="str">
        <f t="shared" si="21"/>
        <v>n/a</v>
      </c>
      <c r="AE57" s="1003">
        <f t="shared" si="22"/>
        <v>-6.3785386474875754</v>
      </c>
      <c r="AF57" s="1004">
        <f t="shared" si="23"/>
        <v>0</v>
      </c>
      <c r="AG57" s="979"/>
      <c r="AK57" s="994"/>
      <c r="AL57" s="1010"/>
      <c r="AM57" s="1009"/>
    </row>
    <row r="58" spans="1:42" s="964" customFormat="1" ht="14.85" customHeight="1">
      <c r="A58" s="1005"/>
      <c r="B58" s="986" t="s">
        <v>679</v>
      </c>
      <c r="C58" s="989" t="s">
        <v>1135</v>
      </c>
      <c r="D58" s="988" t="s">
        <v>493</v>
      </c>
      <c r="E58" s="989" t="s">
        <v>1136</v>
      </c>
      <c r="F58" s="990">
        <v>42318</v>
      </c>
      <c r="G58" s="1006">
        <v>14</v>
      </c>
      <c r="H58" s="1006">
        <v>15</v>
      </c>
      <c r="I58" s="1006">
        <v>17</v>
      </c>
      <c r="J58" s="1006">
        <v>23.72</v>
      </c>
      <c r="K58" s="992">
        <f t="shared" si="12"/>
        <v>21034.71</v>
      </c>
      <c r="L58" s="993">
        <v>5000</v>
      </c>
      <c r="M58" s="993">
        <v>26034.71</v>
      </c>
      <c r="N58" s="992">
        <f t="shared" si="13"/>
        <v>294485.94</v>
      </c>
      <c r="O58" s="994">
        <f t="shared" si="14"/>
        <v>70000</v>
      </c>
      <c r="P58" s="992">
        <f t="shared" si="15"/>
        <v>364485.94</v>
      </c>
      <c r="Q58" s="992"/>
      <c r="R58" s="968">
        <v>1</v>
      </c>
      <c r="S58" s="991">
        <f t="shared" si="16"/>
        <v>23.72</v>
      </c>
      <c r="T58" s="995">
        <f t="shared" si="17"/>
        <v>617543.32120000001</v>
      </c>
      <c r="U58" s="996">
        <f t="shared" si="18"/>
        <v>0.69428571428571439</v>
      </c>
      <c r="V58" s="1011" t="s">
        <v>1137</v>
      </c>
      <c r="W58" s="998" t="s">
        <v>1505</v>
      </c>
      <c r="X58" s="999">
        <f t="shared" si="19"/>
        <v>364485.94</v>
      </c>
      <c r="Y58" s="999">
        <v>0</v>
      </c>
      <c r="Z58" s="999">
        <v>84748</v>
      </c>
      <c r="AA58" s="1001">
        <f t="shared" si="20"/>
        <v>279737.94</v>
      </c>
      <c r="AB58" s="1002">
        <v>18424</v>
      </c>
      <c r="AC58" s="1008">
        <v>-27932</v>
      </c>
      <c r="AD58" s="1003">
        <f t="shared" si="21"/>
        <v>15.183344550586192</v>
      </c>
      <c r="AE58" s="1003">
        <f t="shared" si="22"/>
        <v>-10.014962766719176</v>
      </c>
      <c r="AF58" s="1004">
        <f t="shared" si="23"/>
        <v>0</v>
      </c>
      <c r="AG58" s="1014"/>
      <c r="AH58" s="1013"/>
      <c r="AI58" s="1014"/>
      <c r="AJ58" s="1014"/>
      <c r="AK58" s="1013"/>
      <c r="AL58" s="1010"/>
      <c r="AM58" s="1009"/>
      <c r="AN58" s="1011"/>
      <c r="AO58" s="1016"/>
      <c r="AP58" s="1016"/>
    </row>
    <row r="59" spans="1:42" s="964" customFormat="1" ht="14.85" customHeight="1">
      <c r="A59" s="1005"/>
      <c r="B59" s="1046" t="s">
        <v>1139</v>
      </c>
      <c r="C59" s="989" t="s">
        <v>1140</v>
      </c>
      <c r="D59" s="988" t="s">
        <v>501</v>
      </c>
      <c r="E59" s="989" t="s">
        <v>1141</v>
      </c>
      <c r="F59" s="990">
        <v>42305</v>
      </c>
      <c r="G59" s="1006">
        <v>10</v>
      </c>
      <c r="H59" s="1006">
        <v>15</v>
      </c>
      <c r="I59" s="1006">
        <v>17</v>
      </c>
      <c r="J59" s="1006">
        <v>12.4</v>
      </c>
      <c r="K59" s="992">
        <f t="shared" si="12"/>
        <v>20805.473000000002</v>
      </c>
      <c r="L59" s="993">
        <v>5437.5</v>
      </c>
      <c r="M59" s="993">
        <v>26242.973000000002</v>
      </c>
      <c r="N59" s="992">
        <f t="shared" si="13"/>
        <v>208054.73</v>
      </c>
      <c r="O59" s="994">
        <f t="shared" si="14"/>
        <v>54375</v>
      </c>
      <c r="P59" s="992">
        <f t="shared" si="15"/>
        <v>262429.73</v>
      </c>
      <c r="Q59" s="992"/>
      <c r="R59" s="968">
        <v>1</v>
      </c>
      <c r="S59" s="991">
        <f t="shared" si="16"/>
        <v>12.4</v>
      </c>
      <c r="T59" s="995">
        <f t="shared" si="17"/>
        <v>325412.86520000006</v>
      </c>
      <c r="U59" s="996">
        <f t="shared" si="18"/>
        <v>0.24000000000000021</v>
      </c>
      <c r="V59" s="1011" t="s">
        <v>1142</v>
      </c>
      <c r="W59" s="998" t="s">
        <v>1143</v>
      </c>
      <c r="X59" s="999">
        <f t="shared" si="19"/>
        <v>262429.73</v>
      </c>
      <c r="Y59" s="999">
        <v>0</v>
      </c>
      <c r="Z59" s="999">
        <v>73076</v>
      </c>
      <c r="AA59" s="1001">
        <f t="shared" si="20"/>
        <v>189353.72999999998</v>
      </c>
      <c r="AB59" s="1002">
        <v>14199</v>
      </c>
      <c r="AC59" s="1008">
        <v>-30529</v>
      </c>
      <c r="AD59" s="1003">
        <f t="shared" si="21"/>
        <v>13.335708852736106</v>
      </c>
      <c r="AE59" s="1003">
        <f t="shared" si="22"/>
        <v>-6.2024216318909886</v>
      </c>
      <c r="AF59" s="1004">
        <f t="shared" si="23"/>
        <v>0</v>
      </c>
      <c r="AG59" s="1014"/>
      <c r="AH59" s="1013"/>
      <c r="AI59" s="1014"/>
      <c r="AJ59" s="1014"/>
      <c r="AK59" s="1013"/>
      <c r="AL59" s="1010"/>
      <c r="AM59" s="1009"/>
      <c r="AN59" s="1011"/>
      <c r="AO59" s="1016"/>
      <c r="AP59" s="1016"/>
    </row>
    <row r="60" spans="1:42" s="964" customFormat="1" ht="14.85" customHeight="1">
      <c r="A60" s="1005"/>
      <c r="B60" s="986" t="s">
        <v>1144</v>
      </c>
      <c r="C60" s="989" t="s">
        <v>1145</v>
      </c>
      <c r="D60" s="988" t="s">
        <v>501</v>
      </c>
      <c r="E60" s="989" t="s">
        <v>1147</v>
      </c>
      <c r="F60" s="990">
        <v>42298</v>
      </c>
      <c r="G60" s="1006">
        <v>13</v>
      </c>
      <c r="H60" s="1006">
        <v>14</v>
      </c>
      <c r="I60" s="1006">
        <v>16</v>
      </c>
      <c r="J60" s="1006">
        <v>13.45</v>
      </c>
      <c r="K60" s="992">
        <f t="shared" si="12"/>
        <v>19379.574000000001</v>
      </c>
      <c r="L60" s="993">
        <v>5500</v>
      </c>
      <c r="M60" s="993">
        <v>24879.574000000001</v>
      </c>
      <c r="N60" s="992">
        <f t="shared" si="13"/>
        <v>251934.462</v>
      </c>
      <c r="O60" s="994">
        <f t="shared" si="14"/>
        <v>71500</v>
      </c>
      <c r="P60" s="992">
        <f t="shared" si="15"/>
        <v>323434.462</v>
      </c>
      <c r="Q60" s="992"/>
      <c r="R60" s="968">
        <v>1</v>
      </c>
      <c r="S60" s="991">
        <f t="shared" si="16"/>
        <v>13.45</v>
      </c>
      <c r="T60" s="995">
        <f t="shared" si="17"/>
        <v>334630.27029999997</v>
      </c>
      <c r="U60" s="996">
        <f t="shared" si="18"/>
        <v>3.4615384615384492E-2</v>
      </c>
      <c r="V60" s="997" t="s">
        <v>1148</v>
      </c>
      <c r="W60" s="998" t="s">
        <v>1149</v>
      </c>
      <c r="X60" s="999">
        <f t="shared" si="19"/>
        <v>323434.462</v>
      </c>
      <c r="Y60" s="999">
        <v>1615000</v>
      </c>
      <c r="Z60" s="999">
        <v>80653</v>
      </c>
      <c r="AA60" s="1001">
        <f t="shared" si="20"/>
        <v>1857781.4620000001</v>
      </c>
      <c r="AB60" s="1002">
        <v>8991</v>
      </c>
      <c r="AC60" s="1008">
        <v>-40246</v>
      </c>
      <c r="AD60" s="1003">
        <f t="shared" si="21"/>
        <v>206.62678923367812</v>
      </c>
      <c r="AE60" s="1003">
        <f t="shared" si="22"/>
        <v>-46.160648561347713</v>
      </c>
      <c r="AF60" s="1004">
        <f t="shared" si="23"/>
        <v>0</v>
      </c>
      <c r="AG60" s="979"/>
      <c r="AK60" s="994"/>
      <c r="AL60" s="1010"/>
      <c r="AM60" s="1009"/>
    </row>
    <row r="61" spans="1:42" s="964" customFormat="1" ht="14.85" customHeight="1">
      <c r="A61" s="1005"/>
      <c r="B61" s="986" t="s">
        <v>1165</v>
      </c>
      <c r="C61" s="989" t="s">
        <v>1166</v>
      </c>
      <c r="D61" s="988" t="s">
        <v>501</v>
      </c>
      <c r="E61" s="989" t="s">
        <v>1167</v>
      </c>
      <c r="F61" s="990">
        <v>42277</v>
      </c>
      <c r="G61" s="1006">
        <v>7</v>
      </c>
      <c r="H61" s="1006">
        <v>13</v>
      </c>
      <c r="I61" s="1006">
        <v>15</v>
      </c>
      <c r="J61" s="1006">
        <v>5.78</v>
      </c>
      <c r="K61" s="992">
        <f t="shared" si="12"/>
        <v>13806.725999999999</v>
      </c>
      <c r="L61" s="993">
        <v>6250</v>
      </c>
      <c r="M61" s="993">
        <v>20056.725999999999</v>
      </c>
      <c r="N61" s="992">
        <f t="shared" si="13"/>
        <v>96647.081999999995</v>
      </c>
      <c r="O61" s="994">
        <f t="shared" si="14"/>
        <v>43750</v>
      </c>
      <c r="P61" s="992">
        <f t="shared" si="15"/>
        <v>140397.08199999999</v>
      </c>
      <c r="Q61" s="992"/>
      <c r="R61" s="968">
        <v>1</v>
      </c>
      <c r="S61" s="991">
        <f t="shared" si="16"/>
        <v>5.78</v>
      </c>
      <c r="T61" s="995">
        <f t="shared" si="17"/>
        <v>115927.87628</v>
      </c>
      <c r="U61" s="996">
        <f t="shared" si="18"/>
        <v>-0.17428571428571427</v>
      </c>
      <c r="V61" s="997" t="s">
        <v>1168</v>
      </c>
      <c r="W61" s="998" t="s">
        <v>1506</v>
      </c>
      <c r="X61" s="999">
        <f t="shared" si="19"/>
        <v>140397.08199999999</v>
      </c>
      <c r="Y61" s="999">
        <v>0</v>
      </c>
      <c r="Z61" s="999">
        <v>41579</v>
      </c>
      <c r="AA61" s="1001">
        <f t="shared" si="20"/>
        <v>98818.081999999995</v>
      </c>
      <c r="AB61" s="1002">
        <v>0</v>
      </c>
      <c r="AC61" s="1008">
        <v>-27374</v>
      </c>
      <c r="AD61" s="1003" t="str">
        <f t="shared" si="21"/>
        <v>n/a</v>
      </c>
      <c r="AE61" s="1003">
        <f t="shared" si="22"/>
        <v>-3.6099248191714763</v>
      </c>
      <c r="AF61" s="1004">
        <f t="shared" si="23"/>
        <v>0</v>
      </c>
      <c r="AG61" s="979"/>
      <c r="AK61" s="994"/>
      <c r="AL61" s="1010"/>
      <c r="AM61" s="1009"/>
    </row>
    <row r="62" spans="1:42" s="964" customFormat="1" ht="14.85" customHeight="1">
      <c r="A62" s="1005"/>
      <c r="B62" s="986" t="s">
        <v>1206</v>
      </c>
      <c r="C62" s="989" t="s">
        <v>1207</v>
      </c>
      <c r="D62" s="988" t="s">
        <v>1146</v>
      </c>
      <c r="E62" s="989" t="s">
        <v>1208</v>
      </c>
      <c r="F62" s="990">
        <v>42179</v>
      </c>
      <c r="G62" s="1006">
        <v>12</v>
      </c>
      <c r="H62" s="1006">
        <v>13</v>
      </c>
      <c r="I62" s="1006">
        <v>15</v>
      </c>
      <c r="J62" s="1006">
        <v>13.9</v>
      </c>
      <c r="K62" s="992">
        <f t="shared" si="12"/>
        <v>9547.7960000000003</v>
      </c>
      <c r="L62" s="993">
        <v>5000</v>
      </c>
      <c r="M62" s="993">
        <v>14547.796</v>
      </c>
      <c r="N62" s="992">
        <f t="shared" si="13"/>
        <v>114573.552</v>
      </c>
      <c r="O62" s="994">
        <f t="shared" si="14"/>
        <v>60000</v>
      </c>
      <c r="P62" s="992">
        <f t="shared" si="15"/>
        <v>174573.552</v>
      </c>
      <c r="Q62" s="992"/>
      <c r="R62" s="968">
        <v>1</v>
      </c>
      <c r="S62" s="991">
        <f t="shared" si="16"/>
        <v>13.9</v>
      </c>
      <c r="T62" s="995">
        <f t="shared" si="17"/>
        <v>202214.36440000002</v>
      </c>
      <c r="U62" s="996">
        <f t="shared" si="18"/>
        <v>0.15833333333333344</v>
      </c>
      <c r="V62" s="1011" t="s">
        <v>1209</v>
      </c>
      <c r="W62" s="998" t="s">
        <v>1507</v>
      </c>
      <c r="X62" s="999">
        <f t="shared" si="19"/>
        <v>174573.552</v>
      </c>
      <c r="Y62" s="999">
        <v>9656000</v>
      </c>
      <c r="Z62" s="999">
        <v>24303</v>
      </c>
      <c r="AA62" s="1001">
        <f t="shared" si="20"/>
        <v>9806270.5519999992</v>
      </c>
      <c r="AB62" s="1002">
        <v>0</v>
      </c>
      <c r="AC62" s="1008">
        <v>-35832</v>
      </c>
      <c r="AD62" s="1003" t="str">
        <f t="shared" si="21"/>
        <v>n/a</v>
      </c>
      <c r="AE62" s="1003">
        <f t="shared" si="22"/>
        <v>-273.67354744362581</v>
      </c>
      <c r="AF62" s="1004">
        <f t="shared" si="23"/>
        <v>0</v>
      </c>
      <c r="AG62" s="1014"/>
      <c r="AH62" s="1013"/>
      <c r="AI62" s="1014"/>
      <c r="AJ62" s="1015"/>
      <c r="AK62" s="1013"/>
      <c r="AL62" s="1010"/>
      <c r="AM62" s="1009"/>
      <c r="AN62" s="1011"/>
      <c r="AO62" s="1016"/>
      <c r="AP62" s="1016"/>
    </row>
    <row r="63" spans="1:42" s="1012" customFormat="1" ht="14.85" customHeight="1">
      <c r="A63" s="1005"/>
      <c r="B63" s="986" t="s">
        <v>1216</v>
      </c>
      <c r="C63" s="989" t="s">
        <v>1217</v>
      </c>
      <c r="D63" s="988" t="s">
        <v>493</v>
      </c>
      <c r="E63" s="989" t="s">
        <v>1218</v>
      </c>
      <c r="F63" s="990">
        <v>42171</v>
      </c>
      <c r="G63" s="1006">
        <v>14</v>
      </c>
      <c r="H63" s="1006">
        <v>13</v>
      </c>
      <c r="I63" s="1006">
        <v>15</v>
      </c>
      <c r="J63" s="1006">
        <v>19.010000000000002</v>
      </c>
      <c r="K63" s="992">
        <f t="shared" si="12"/>
        <v>9126.6830000000009</v>
      </c>
      <c r="L63" s="993">
        <v>5500</v>
      </c>
      <c r="M63" s="993">
        <v>14626.683000000001</v>
      </c>
      <c r="N63" s="992">
        <f t="shared" si="13"/>
        <v>127773.56200000001</v>
      </c>
      <c r="O63" s="994">
        <f t="shared" si="14"/>
        <v>77000</v>
      </c>
      <c r="P63" s="992">
        <f t="shared" si="15"/>
        <v>204773.56200000001</v>
      </c>
      <c r="Q63" s="992"/>
      <c r="R63" s="968">
        <v>1</v>
      </c>
      <c r="S63" s="991">
        <f t="shared" si="16"/>
        <v>19.010000000000002</v>
      </c>
      <c r="T63" s="995">
        <f t="shared" si="17"/>
        <v>278053.24383000005</v>
      </c>
      <c r="U63" s="996">
        <f t="shared" si="18"/>
        <v>0.3578571428571431</v>
      </c>
      <c r="V63" s="997" t="s">
        <v>1219</v>
      </c>
      <c r="W63" s="998" t="s">
        <v>1220</v>
      </c>
      <c r="X63" s="999">
        <f t="shared" si="19"/>
        <v>204773.56200000001</v>
      </c>
      <c r="Y63" s="999">
        <v>0</v>
      </c>
      <c r="Z63" s="999">
        <v>22864.5</v>
      </c>
      <c r="AA63" s="1001">
        <f t="shared" si="20"/>
        <v>181909.06200000001</v>
      </c>
      <c r="AB63" s="1002">
        <v>0</v>
      </c>
      <c r="AC63" s="1008">
        <v>-29160</v>
      </c>
      <c r="AD63" s="1003" t="str">
        <f t="shared" si="21"/>
        <v>n/a</v>
      </c>
      <c r="AE63" s="1003">
        <f t="shared" si="22"/>
        <v>-6.2383080246913583</v>
      </c>
      <c r="AF63" s="1004">
        <f t="shared" si="23"/>
        <v>0</v>
      </c>
      <c r="AG63" s="979"/>
      <c r="AH63" s="964"/>
      <c r="AI63" s="964"/>
      <c r="AJ63" s="964"/>
      <c r="AK63" s="994"/>
      <c r="AL63" s="1010"/>
      <c r="AM63" s="1009"/>
      <c r="AN63" s="964"/>
      <c r="AO63" s="964"/>
      <c r="AP63" s="964"/>
    </row>
    <row r="64" spans="1:42" s="1012" customFormat="1" ht="14.85" customHeight="1">
      <c r="A64" s="1005"/>
      <c r="B64" s="986" t="s">
        <v>1508</v>
      </c>
      <c r="C64" s="989" t="s">
        <v>1221</v>
      </c>
      <c r="D64" s="988" t="s">
        <v>1222</v>
      </c>
      <c r="E64" s="989" t="s">
        <v>1223</v>
      </c>
      <c r="F64" s="990">
        <v>42130</v>
      </c>
      <c r="G64" s="1006">
        <v>14</v>
      </c>
      <c r="H64" s="1006">
        <v>13</v>
      </c>
      <c r="I64" s="1006">
        <v>15</v>
      </c>
      <c r="J64" s="1006">
        <v>25.87</v>
      </c>
      <c r="K64" s="992">
        <f t="shared" si="12"/>
        <v>17189.739000000001</v>
      </c>
      <c r="L64" s="993">
        <v>5360</v>
      </c>
      <c r="M64" s="993">
        <v>22549.739000000001</v>
      </c>
      <c r="N64" s="992">
        <f t="shared" si="13"/>
        <v>240656.34600000002</v>
      </c>
      <c r="O64" s="994">
        <f t="shared" si="14"/>
        <v>75040</v>
      </c>
      <c r="P64" s="992">
        <f t="shared" si="15"/>
        <v>315696.34600000002</v>
      </c>
      <c r="Q64" s="992"/>
      <c r="R64" s="968">
        <v>1</v>
      </c>
      <c r="S64" s="991">
        <f t="shared" si="16"/>
        <v>25.87</v>
      </c>
      <c r="T64" s="995">
        <f t="shared" si="17"/>
        <v>583361.74793000007</v>
      </c>
      <c r="U64" s="996">
        <f t="shared" si="18"/>
        <v>0.84785714285714286</v>
      </c>
      <c r="V64" s="997" t="s">
        <v>1224</v>
      </c>
      <c r="W64" s="998" t="s">
        <v>1225</v>
      </c>
      <c r="X64" s="999">
        <f t="shared" si="19"/>
        <v>315696.34600000002</v>
      </c>
      <c r="Y64" s="999">
        <v>10276000</v>
      </c>
      <c r="Z64" s="999">
        <v>13899</v>
      </c>
      <c r="AA64" s="1001">
        <f t="shared" si="20"/>
        <v>10577797.346000001</v>
      </c>
      <c r="AB64" s="1002">
        <v>0</v>
      </c>
      <c r="AC64" s="1008">
        <v>-58426</v>
      </c>
      <c r="AD64" s="1003" t="str">
        <f t="shared" si="21"/>
        <v>n/a</v>
      </c>
      <c r="AE64" s="1003">
        <f t="shared" si="22"/>
        <v>-181.04606418375383</v>
      </c>
      <c r="AF64" s="1004">
        <f t="shared" si="23"/>
        <v>0</v>
      </c>
      <c r="AG64" s="979"/>
      <c r="AH64" s="964"/>
      <c r="AI64" s="964"/>
      <c r="AJ64" s="964"/>
      <c r="AK64" s="994"/>
      <c r="AL64" s="1010"/>
      <c r="AM64" s="1009"/>
      <c r="AN64" s="964"/>
      <c r="AO64" s="964"/>
      <c r="AP64" s="964"/>
    </row>
    <row r="65" spans="1:42" s="1012" customFormat="1" ht="14.85" customHeight="1">
      <c r="A65" s="1047"/>
      <c r="B65" s="986" t="s">
        <v>1509</v>
      </c>
      <c r="C65" s="989" t="s">
        <v>1510</v>
      </c>
      <c r="D65" s="988" t="s">
        <v>1146</v>
      </c>
      <c r="E65" s="989" t="s">
        <v>1511</v>
      </c>
      <c r="F65" s="990">
        <v>42130</v>
      </c>
      <c r="G65" s="1006">
        <v>17</v>
      </c>
      <c r="H65" s="1006">
        <v>15</v>
      </c>
      <c r="I65" s="1006">
        <v>17</v>
      </c>
      <c r="J65" s="1006">
        <v>15.34</v>
      </c>
      <c r="K65" s="992">
        <f t="shared" si="12"/>
        <v>59535.316666666695</v>
      </c>
      <c r="L65" s="993">
        <v>9375</v>
      </c>
      <c r="M65" s="993">
        <v>68910.316666666695</v>
      </c>
      <c r="N65" s="992">
        <f t="shared" si="13"/>
        <v>1012100.3833333338</v>
      </c>
      <c r="O65" s="994">
        <f t="shared" si="14"/>
        <v>159375</v>
      </c>
      <c r="P65" s="992">
        <f t="shared" si="15"/>
        <v>1171475.3833333338</v>
      </c>
      <c r="Q65" s="992"/>
      <c r="R65" s="968">
        <v>1</v>
      </c>
      <c r="S65" s="991">
        <f t="shared" si="16"/>
        <v>15.34</v>
      </c>
      <c r="T65" s="995">
        <f t="shared" si="17"/>
        <v>1057084.257666667</v>
      </c>
      <c r="U65" s="996">
        <f t="shared" si="18"/>
        <v>-9.764705882352942E-2</v>
      </c>
      <c r="V65" s="997" t="s">
        <v>1512</v>
      </c>
      <c r="W65" s="998" t="s">
        <v>1513</v>
      </c>
      <c r="X65" s="999">
        <f t="shared" si="19"/>
        <v>1171475.3833333338</v>
      </c>
      <c r="Y65" s="999">
        <v>0</v>
      </c>
      <c r="Z65" s="999">
        <v>101564.72</v>
      </c>
      <c r="AA65" s="1001">
        <f t="shared" si="20"/>
        <v>1069910.6633333338</v>
      </c>
      <c r="AB65" s="1002">
        <v>12356.199999999999</v>
      </c>
      <c r="AC65" s="1008">
        <v>-65690.23</v>
      </c>
      <c r="AD65" s="1003">
        <f t="shared" si="21"/>
        <v>86.588972607543894</v>
      </c>
      <c r="AE65" s="1003">
        <f t="shared" si="22"/>
        <v>-16.287211406221807</v>
      </c>
      <c r="AF65" s="1004">
        <f t="shared" si="23"/>
        <v>0</v>
      </c>
      <c r="AG65" s="979"/>
      <c r="AH65" s="964"/>
      <c r="AI65" s="964"/>
      <c r="AJ65" s="964"/>
      <c r="AK65" s="994"/>
      <c r="AL65" s="1010"/>
      <c r="AM65" s="1009"/>
      <c r="AN65" s="964"/>
      <c r="AO65" s="964"/>
      <c r="AP65" s="964"/>
    </row>
    <row r="66" spans="1:42" s="1012" customFormat="1" ht="14.85" customHeight="1">
      <c r="A66" s="1005"/>
      <c r="B66" s="986" t="s">
        <v>1244</v>
      </c>
      <c r="C66" s="989" t="s">
        <v>1245</v>
      </c>
      <c r="D66" s="988" t="s">
        <v>501</v>
      </c>
      <c r="E66" s="989" t="s">
        <v>1246</v>
      </c>
      <c r="F66" s="990">
        <v>42122</v>
      </c>
      <c r="G66" s="1006">
        <v>8</v>
      </c>
      <c r="H66" s="1006">
        <v>10</v>
      </c>
      <c r="I66" s="1006">
        <v>12</v>
      </c>
      <c r="J66" s="1006">
        <v>8.23</v>
      </c>
      <c r="K66" s="992">
        <f t="shared" si="12"/>
        <v>6154.3289999999997</v>
      </c>
      <c r="L66" s="993">
        <v>3000</v>
      </c>
      <c r="M66" s="993">
        <v>9154.3289999999997</v>
      </c>
      <c r="N66" s="992">
        <f t="shared" si="13"/>
        <v>49234.631999999998</v>
      </c>
      <c r="O66" s="994">
        <f t="shared" si="14"/>
        <v>24000</v>
      </c>
      <c r="P66" s="992">
        <f t="shared" si="15"/>
        <v>73234.631999999998</v>
      </c>
      <c r="Q66" s="992"/>
      <c r="R66" s="968">
        <v>1</v>
      </c>
      <c r="S66" s="991">
        <f t="shared" si="16"/>
        <v>8.23</v>
      </c>
      <c r="T66" s="995">
        <f t="shared" si="17"/>
        <v>75340.127670000002</v>
      </c>
      <c r="U66" s="996">
        <f t="shared" si="18"/>
        <v>2.8750000000000053E-2</v>
      </c>
      <c r="V66" s="1011" t="s">
        <v>1247</v>
      </c>
      <c r="W66" s="998" t="s">
        <v>1248</v>
      </c>
      <c r="X66" s="999">
        <f t="shared" si="19"/>
        <v>73234.631999999998</v>
      </c>
      <c r="Y66" s="999">
        <v>1568390</v>
      </c>
      <c r="Z66" s="999">
        <v>755.86</v>
      </c>
      <c r="AA66" s="1001">
        <f t="shared" si="20"/>
        <v>1640868.7719999999</v>
      </c>
      <c r="AB66" s="1002">
        <v>0</v>
      </c>
      <c r="AC66" s="1008">
        <v>0</v>
      </c>
      <c r="AD66" s="1003" t="str">
        <f t="shared" si="21"/>
        <v>n/a</v>
      </c>
      <c r="AE66" s="1003" t="str">
        <f t="shared" si="22"/>
        <v>n/a</v>
      </c>
      <c r="AF66" s="1004">
        <f t="shared" si="23"/>
        <v>0</v>
      </c>
      <c r="AK66" s="1013"/>
      <c r="AL66" s="1010"/>
      <c r="AM66" s="1009"/>
    </row>
    <row r="67" spans="1:42" s="1012" customFormat="1" ht="14.85" customHeight="1">
      <c r="A67" s="1047"/>
      <c r="B67" s="986" t="s">
        <v>1302</v>
      </c>
      <c r="C67" s="989" t="s">
        <v>1303</v>
      </c>
      <c r="D67" s="988" t="s">
        <v>1146</v>
      </c>
      <c r="E67" s="989" t="s">
        <v>1304</v>
      </c>
      <c r="F67" s="990">
        <v>41991</v>
      </c>
      <c r="G67" s="1006">
        <v>24</v>
      </c>
      <c r="H67" s="1006">
        <v>15</v>
      </c>
      <c r="I67" s="1006">
        <v>18</v>
      </c>
      <c r="J67" s="1006">
        <v>50.14</v>
      </c>
      <c r="K67" s="992">
        <f t="shared" si="12"/>
        <v>65143.189000000006</v>
      </c>
      <c r="L67" s="993">
        <v>12676.353999999999</v>
      </c>
      <c r="M67" s="993">
        <v>77819.543000000005</v>
      </c>
      <c r="N67" s="992">
        <f t="shared" si="13"/>
        <v>1563436.5360000001</v>
      </c>
      <c r="O67" s="994">
        <f t="shared" si="14"/>
        <v>304232.49599999998</v>
      </c>
      <c r="P67" s="992">
        <f t="shared" si="15"/>
        <v>1867669.0320000001</v>
      </c>
      <c r="Q67" s="992"/>
      <c r="R67" s="968">
        <v>1</v>
      </c>
      <c r="S67" s="991">
        <f t="shared" si="16"/>
        <v>50.14</v>
      </c>
      <c r="T67" s="995">
        <f t="shared" si="17"/>
        <v>3901871.8860200001</v>
      </c>
      <c r="U67" s="996">
        <f t="shared" si="18"/>
        <v>1.0891666666666664</v>
      </c>
      <c r="V67" s="998" t="s">
        <v>1305</v>
      </c>
      <c r="W67" s="998" t="s">
        <v>1306</v>
      </c>
      <c r="X67" s="999">
        <f t="shared" si="19"/>
        <v>1867669.0320000001</v>
      </c>
      <c r="Y67" s="999">
        <v>0</v>
      </c>
      <c r="Z67" s="999">
        <v>35966</v>
      </c>
      <c r="AA67" s="1001">
        <f t="shared" si="20"/>
        <v>1831703.0320000001</v>
      </c>
      <c r="AB67" s="1002">
        <v>43131</v>
      </c>
      <c r="AC67" s="1008">
        <v>-234013</v>
      </c>
      <c r="AD67" s="1003">
        <f t="shared" si="21"/>
        <v>42.468364563770841</v>
      </c>
      <c r="AE67" s="1003">
        <f t="shared" si="22"/>
        <v>-7.8273558819381837</v>
      </c>
      <c r="AF67" s="1004">
        <f t="shared" si="23"/>
        <v>0</v>
      </c>
      <c r="AK67" s="1013"/>
      <c r="AL67" s="1010"/>
      <c r="AM67" s="1009"/>
    </row>
    <row r="68" spans="1:42" s="1012" customFormat="1" ht="14.85" customHeight="1">
      <c r="A68" s="1005"/>
      <c r="B68" s="986"/>
      <c r="C68" s="989"/>
      <c r="D68" s="988"/>
      <c r="E68" s="989"/>
      <c r="F68" s="990"/>
      <c r="G68" s="1017"/>
      <c r="H68" s="1006"/>
      <c r="I68" s="1006"/>
      <c r="J68" s="1017"/>
      <c r="K68" s="1018"/>
      <c r="L68" s="994"/>
      <c r="M68" s="994"/>
      <c r="N68" s="992"/>
      <c r="O68" s="994"/>
      <c r="P68" s="992"/>
      <c r="Q68" s="992"/>
      <c r="R68" s="992"/>
      <c r="S68" s="991"/>
      <c r="T68" s="995"/>
      <c r="U68" s="996"/>
      <c r="V68" s="1011"/>
      <c r="W68" s="998"/>
      <c r="X68" s="999"/>
      <c r="Y68" s="999"/>
      <c r="Z68" s="999"/>
      <c r="AA68" s="1001"/>
      <c r="AB68" s="1002"/>
      <c r="AC68" s="1008"/>
      <c r="AD68" s="1003"/>
      <c r="AE68" s="1003"/>
      <c r="AF68" s="1004"/>
      <c r="AK68" s="1013"/>
      <c r="AL68" s="1010"/>
      <c r="AM68" s="1009"/>
    </row>
    <row r="69" spans="1:42" s="1012" customFormat="1" ht="14.85" customHeight="1">
      <c r="A69" s="1005"/>
      <c r="B69" s="1019" t="s">
        <v>111</v>
      </c>
      <c r="C69" s="1020"/>
      <c r="D69" s="1020"/>
      <c r="E69" s="1020"/>
      <c r="F69" s="1020"/>
      <c r="G69" s="1020"/>
      <c r="H69" s="1020"/>
      <c r="I69" s="1020"/>
      <c r="J69" s="1020"/>
      <c r="K69" s="1020"/>
      <c r="L69" s="1020"/>
      <c r="M69" s="1020"/>
      <c r="N69" s="1021">
        <f>MAX(N38:N67)</f>
        <v>1563436.5360000001</v>
      </c>
      <c r="O69" s="1021"/>
      <c r="P69" s="1022">
        <f>MAX(P38:P67)</f>
        <v>1867669.0320000001</v>
      </c>
      <c r="Q69" s="992"/>
      <c r="R69" s="992"/>
      <c r="S69" s="1023">
        <f>MAX(S38:S67)</f>
        <v>50.14</v>
      </c>
      <c r="T69" s="995"/>
      <c r="U69" s="996"/>
      <c r="V69" s="1011"/>
      <c r="W69" s="998"/>
      <c r="X69" s="999"/>
      <c r="Y69" s="999"/>
      <c r="Z69" s="999"/>
      <c r="AA69" s="1001"/>
      <c r="AB69" s="1002"/>
      <c r="AC69" s="1008"/>
      <c r="AD69" s="1003"/>
      <c r="AE69" s="1003"/>
      <c r="AF69" s="1004"/>
      <c r="AK69" s="1013"/>
      <c r="AL69" s="1010"/>
      <c r="AM69" s="1009"/>
    </row>
    <row r="70" spans="1:42" s="1012" customFormat="1" ht="14.85" customHeight="1">
      <c r="A70" s="1005"/>
      <c r="B70" s="1024" t="s">
        <v>115</v>
      </c>
      <c r="C70" s="1025"/>
      <c r="D70" s="1025"/>
      <c r="E70" s="1025"/>
      <c r="F70" s="1025"/>
      <c r="G70" s="1025"/>
      <c r="H70" s="1025"/>
      <c r="I70" s="1025"/>
      <c r="J70" s="1025"/>
      <c r="K70" s="1025"/>
      <c r="L70" s="1025"/>
      <c r="M70" s="1025"/>
      <c r="N70" s="940">
        <f>_xlfn.QUARTILE.INC(N38:N67,3)</f>
        <v>303277.11749999999</v>
      </c>
      <c r="O70" s="940"/>
      <c r="P70" s="1026">
        <f>_xlfn.QUARTILE.INC(P38:P67,3)</f>
        <v>386178.98199999996</v>
      </c>
      <c r="Q70" s="992"/>
      <c r="R70" s="992"/>
      <c r="S70" s="1027">
        <f>_xlfn.QUARTILE.INC(S38:S67,3)</f>
        <v>18.935000000000002</v>
      </c>
      <c r="T70" s="995"/>
      <c r="U70" s="996"/>
      <c r="V70" s="1011"/>
      <c r="W70" s="998"/>
      <c r="X70" s="999"/>
      <c r="Y70" s="999"/>
      <c r="Z70" s="999"/>
      <c r="AA70" s="1001"/>
      <c r="AB70" s="1002"/>
      <c r="AC70" s="1008"/>
      <c r="AD70" s="1003"/>
      <c r="AE70" s="1003"/>
      <c r="AF70" s="1004"/>
      <c r="AK70" s="1013"/>
      <c r="AL70" s="1010"/>
      <c r="AM70" s="1009"/>
    </row>
    <row r="71" spans="1:42" s="1012" customFormat="1" ht="14.85" customHeight="1">
      <c r="A71" s="1005"/>
      <c r="B71" s="1024" t="s">
        <v>43</v>
      </c>
      <c r="C71" s="1025"/>
      <c r="D71" s="1025"/>
      <c r="E71" s="1025"/>
      <c r="F71" s="1025"/>
      <c r="G71" s="1025"/>
      <c r="H71" s="1025"/>
      <c r="I71" s="1025"/>
      <c r="J71" s="1025"/>
      <c r="K71" s="1025"/>
      <c r="L71" s="1025"/>
      <c r="M71" s="1025"/>
      <c r="N71" s="940">
        <f>AVERAGE(N38:N67)</f>
        <v>311046.29902777786</v>
      </c>
      <c r="O71" s="940"/>
      <c r="P71" s="1026">
        <f>AVERAGE(P38:P67)</f>
        <v>394267.71482777788</v>
      </c>
      <c r="Q71" s="992"/>
      <c r="R71" s="992"/>
      <c r="S71" s="1027">
        <f>AVERAGE(S38:S67)</f>
        <v>15.816838666666664</v>
      </c>
      <c r="T71" s="995"/>
      <c r="U71" s="996"/>
      <c r="V71" s="1011"/>
      <c r="W71" s="998"/>
      <c r="X71" s="999"/>
      <c r="Y71" s="999"/>
      <c r="Z71" s="999"/>
      <c r="AA71" s="1001"/>
      <c r="AB71" s="1002"/>
      <c r="AC71" s="1008"/>
      <c r="AD71" s="1003"/>
      <c r="AE71" s="1003"/>
      <c r="AF71" s="1004"/>
      <c r="AK71" s="1013"/>
      <c r="AL71" s="1010"/>
      <c r="AM71" s="1009"/>
    </row>
    <row r="72" spans="1:42" s="1012" customFormat="1" ht="14.85" customHeight="1">
      <c r="A72" s="1005"/>
      <c r="B72" s="1024" t="s">
        <v>44</v>
      </c>
      <c r="C72" s="1025"/>
      <c r="D72" s="1025"/>
      <c r="E72" s="1025"/>
      <c r="F72" s="1025"/>
      <c r="G72" s="1025"/>
      <c r="H72" s="1025"/>
      <c r="I72" s="1025"/>
      <c r="J72" s="1025"/>
      <c r="K72" s="1025"/>
      <c r="L72" s="1025"/>
      <c r="M72" s="1025"/>
      <c r="N72" s="940">
        <f>MEDIAN(N38:N67)</f>
        <v>223446.00375</v>
      </c>
      <c r="O72" s="940"/>
      <c r="P72" s="1026">
        <f>MEDIAN(P38:P67)</f>
        <v>281928.07625000004</v>
      </c>
      <c r="Q72" s="992"/>
      <c r="R72" s="992"/>
      <c r="S72" s="1027">
        <f>MEDIAN(S38:S67)</f>
        <v>13.835000000000001</v>
      </c>
      <c r="T72" s="995"/>
      <c r="U72" s="996"/>
      <c r="V72" s="1011"/>
      <c r="W72" s="998"/>
      <c r="X72" s="999"/>
      <c r="Y72" s="999"/>
      <c r="Z72" s="999"/>
      <c r="AA72" s="1001"/>
      <c r="AB72" s="1002"/>
      <c r="AC72" s="1008"/>
      <c r="AD72" s="1003"/>
      <c r="AE72" s="1003"/>
      <c r="AF72" s="1004"/>
      <c r="AK72" s="1013"/>
      <c r="AL72" s="1010"/>
      <c r="AM72" s="1009"/>
    </row>
    <row r="73" spans="1:42" s="1012" customFormat="1" ht="14.85" customHeight="1">
      <c r="A73" s="1005"/>
      <c r="B73" s="1024" t="s">
        <v>114</v>
      </c>
      <c r="C73" s="1025"/>
      <c r="D73" s="1025"/>
      <c r="E73" s="1025"/>
      <c r="F73" s="1025"/>
      <c r="G73" s="1025"/>
      <c r="H73" s="1025"/>
      <c r="I73" s="1025"/>
      <c r="J73" s="1025"/>
      <c r="K73" s="1025"/>
      <c r="L73" s="1025"/>
      <c r="M73" s="1025"/>
      <c r="N73" s="940">
        <f>_xlfn.QUARTILE.INC(N38:N67,1)</f>
        <v>115322.05799999999</v>
      </c>
      <c r="O73" s="940"/>
      <c r="P73" s="1026">
        <f>_xlfn.QUARTILE.INC(P38:P67,1)</f>
        <v>194896.33499999999</v>
      </c>
      <c r="Q73" s="992"/>
      <c r="R73" s="992"/>
      <c r="S73" s="1027">
        <f>_xlfn.QUARTILE.INC(S38:S67,1)</f>
        <v>12.205</v>
      </c>
      <c r="T73" s="995">
        <v>1000</v>
      </c>
      <c r="U73" s="996"/>
      <c r="V73" s="1011"/>
      <c r="W73" s="998"/>
      <c r="X73" s="999"/>
      <c r="Y73" s="999"/>
      <c r="Z73" s="999"/>
      <c r="AA73" s="1001"/>
      <c r="AB73" s="1002"/>
      <c r="AC73" s="1008"/>
      <c r="AD73" s="1003"/>
      <c r="AE73" s="1003"/>
      <c r="AF73" s="1004"/>
      <c r="AK73" s="1013"/>
      <c r="AL73" s="1010"/>
      <c r="AM73" s="1009"/>
    </row>
    <row r="74" spans="1:42" s="1012" customFormat="1" ht="14.85" customHeight="1">
      <c r="A74" s="1005"/>
      <c r="B74" s="1028" t="s">
        <v>112</v>
      </c>
      <c r="C74" s="1029"/>
      <c r="D74" s="1029"/>
      <c r="E74" s="1029"/>
      <c r="F74" s="1029"/>
      <c r="G74" s="1029"/>
      <c r="H74" s="1029"/>
      <c r="I74" s="1029"/>
      <c r="J74" s="1029"/>
      <c r="K74" s="1029"/>
      <c r="L74" s="1029"/>
      <c r="M74" s="1029"/>
      <c r="N74" s="942">
        <f>MIN(N38:N67)</f>
        <v>40848.839999999997</v>
      </c>
      <c r="O74" s="942"/>
      <c r="P74" s="1030">
        <f>MIN(P38:P67)</f>
        <v>52970.983999999997</v>
      </c>
      <c r="Q74" s="992"/>
      <c r="R74" s="992"/>
      <c r="S74" s="1031">
        <f>MIN(S38:S67)</f>
        <v>3.35</v>
      </c>
      <c r="T74" s="995"/>
      <c r="U74" s="996"/>
      <c r="V74" s="1011"/>
      <c r="W74" s="998"/>
      <c r="X74" s="999"/>
      <c r="Y74" s="999"/>
      <c r="Z74" s="999"/>
      <c r="AA74" s="1001"/>
      <c r="AB74" s="1002"/>
      <c r="AC74" s="1008"/>
      <c r="AD74" s="1003"/>
      <c r="AE74" s="1003"/>
      <c r="AF74" s="1004"/>
      <c r="AK74" s="1013"/>
      <c r="AL74" s="1010"/>
      <c r="AM74" s="1009"/>
    </row>
    <row r="75" spans="1:42" s="1012" customFormat="1" ht="14.85" customHeight="1">
      <c r="A75" s="1005"/>
      <c r="B75" s="986"/>
      <c r="C75" s="989"/>
      <c r="D75" s="988"/>
      <c r="E75" s="989"/>
      <c r="F75" s="990"/>
      <c r="G75" s="1017"/>
      <c r="H75" s="1006"/>
      <c r="I75" s="1006"/>
      <c r="J75" s="1017"/>
      <c r="K75" s="1018"/>
      <c r="L75" s="994"/>
      <c r="M75" s="994"/>
      <c r="N75" s="992"/>
      <c r="O75" s="994"/>
      <c r="P75" s="992"/>
      <c r="Q75" s="992"/>
      <c r="R75" s="992"/>
      <c r="S75" s="991"/>
      <c r="T75" s="995"/>
      <c r="U75" s="996"/>
      <c r="V75" s="1011"/>
      <c r="W75" s="998"/>
      <c r="X75" s="999"/>
      <c r="Y75" s="999"/>
      <c r="Z75" s="999"/>
      <c r="AA75" s="1001"/>
      <c r="AB75" s="1002"/>
      <c r="AC75" s="1008"/>
      <c r="AD75" s="1003"/>
      <c r="AE75" s="1003"/>
      <c r="AF75" s="1004"/>
      <c r="AK75" s="1013"/>
      <c r="AL75" s="1010"/>
      <c r="AM75" s="1009"/>
    </row>
    <row r="76" spans="1:42" s="1012" customFormat="1" ht="14.85" customHeight="1">
      <c r="A76" s="1005"/>
      <c r="B76" s="1032" t="s">
        <v>1514</v>
      </c>
      <c r="C76" s="989"/>
      <c r="D76" s="988"/>
      <c r="E76" s="989"/>
      <c r="F76" s="990"/>
      <c r="G76" s="1017"/>
      <c r="H76" s="1006"/>
      <c r="I76" s="1006"/>
      <c r="J76" s="1017"/>
      <c r="K76" s="1018"/>
      <c r="L76" s="994"/>
      <c r="M76" s="994"/>
      <c r="N76" s="992"/>
      <c r="O76" s="994"/>
      <c r="P76" s="992"/>
      <c r="Q76" s="992"/>
      <c r="R76" s="992"/>
      <c r="S76" s="991"/>
      <c r="T76" s="995"/>
      <c r="U76" s="996"/>
      <c r="V76" s="1011"/>
      <c r="W76" s="998"/>
      <c r="X76" s="999"/>
      <c r="Y76" s="999"/>
      <c r="Z76" s="999"/>
      <c r="AA76" s="1001"/>
      <c r="AB76" s="1002"/>
      <c r="AC76" s="1008"/>
      <c r="AD76" s="1003"/>
      <c r="AE76" s="1003"/>
      <c r="AF76" s="1004"/>
      <c r="AK76" s="1013"/>
      <c r="AL76" s="1010"/>
      <c r="AM76" s="1009"/>
    </row>
    <row r="77" spans="1:42" s="1012" customFormat="1" ht="14.85" customHeight="1">
      <c r="A77" s="1005"/>
      <c r="B77" s="986" t="s">
        <v>1845</v>
      </c>
      <c r="C77" s="989" t="s">
        <v>1846</v>
      </c>
      <c r="D77" s="988" t="s">
        <v>494</v>
      </c>
      <c r="E77" s="989" t="s">
        <v>1847</v>
      </c>
      <c r="F77" s="990">
        <v>43075</v>
      </c>
      <c r="G77" s="1006">
        <v>24</v>
      </c>
      <c r="H77" s="1006">
        <v>24</v>
      </c>
      <c r="I77" s="1006">
        <v>27</v>
      </c>
      <c r="J77" s="1006">
        <v>22.72</v>
      </c>
      <c r="K77" s="992">
        <f t="shared" ref="K77:K112" si="24">+M77-L77</f>
        <v>20640.356</v>
      </c>
      <c r="L77" s="994">
        <v>6250</v>
      </c>
      <c r="M77" s="994">
        <v>26890.356</v>
      </c>
      <c r="N77" s="992">
        <f t="shared" ref="N77:N112" si="25">+G77*K77</f>
        <v>495368.54399999999</v>
      </c>
      <c r="O77" s="994">
        <f t="shared" ref="O77:O112" si="26">+G77*L77</f>
        <v>150000</v>
      </c>
      <c r="P77" s="992">
        <f t="shared" ref="P77:P112" si="27">+N77+O77</f>
        <v>645368.54399999999</v>
      </c>
      <c r="Q77" s="992"/>
      <c r="R77" s="968">
        <v>1</v>
      </c>
      <c r="S77" s="991">
        <f t="shared" ref="S77:S112" si="28">J77</f>
        <v>22.72</v>
      </c>
      <c r="T77" s="995">
        <f t="shared" ref="T77:T112" si="29">S77*M77</f>
        <v>610948.88831999991</v>
      </c>
      <c r="U77" s="996">
        <f t="shared" ref="U77:U112" si="30">T77/P77-1</f>
        <v>-5.3333333333333455E-2</v>
      </c>
      <c r="V77" s="997" t="s">
        <v>1848</v>
      </c>
      <c r="W77" s="998" t="s">
        <v>1849</v>
      </c>
      <c r="X77" s="999">
        <f t="shared" ref="X77:X112" si="31">+N77+O77</f>
        <v>645368.54399999999</v>
      </c>
      <c r="Y77" s="1033"/>
      <c r="Z77" s="1033"/>
      <c r="AA77" s="1001"/>
      <c r="AB77" s="1002"/>
      <c r="AC77" s="1002"/>
      <c r="AD77" s="1035"/>
      <c r="AE77" s="1035"/>
      <c r="AF77" s="1004"/>
      <c r="AG77" s="979"/>
      <c r="AH77" s="964"/>
      <c r="AI77" s="964"/>
      <c r="AJ77" s="964"/>
      <c r="AK77" s="994"/>
      <c r="AL77" s="1010"/>
      <c r="AM77" s="1009"/>
      <c r="AN77" s="964"/>
      <c r="AO77" s="964"/>
      <c r="AP77" s="964"/>
    </row>
    <row r="78" spans="1:42" s="1012" customFormat="1" ht="14.85" customHeight="1">
      <c r="A78" s="1005"/>
      <c r="B78" s="986" t="s">
        <v>1788</v>
      </c>
      <c r="C78" s="989" t="s">
        <v>1789</v>
      </c>
      <c r="D78" s="988" t="s">
        <v>494</v>
      </c>
      <c r="E78" s="989" t="s">
        <v>1790</v>
      </c>
      <c r="F78" s="990">
        <v>43054</v>
      </c>
      <c r="G78" s="1006">
        <v>10</v>
      </c>
      <c r="H78" s="1006">
        <v>15</v>
      </c>
      <c r="I78" s="1006">
        <v>17</v>
      </c>
      <c r="J78" s="1006">
        <v>11.2</v>
      </c>
      <c r="K78" s="992">
        <f t="shared" si="24"/>
        <v>9694.3829999999998</v>
      </c>
      <c r="L78" s="994">
        <v>4000</v>
      </c>
      <c r="M78" s="994">
        <v>13694.383</v>
      </c>
      <c r="N78" s="992">
        <f t="shared" si="25"/>
        <v>96943.83</v>
      </c>
      <c r="O78" s="994">
        <f t="shared" si="26"/>
        <v>40000</v>
      </c>
      <c r="P78" s="992">
        <f t="shared" si="27"/>
        <v>136943.83000000002</v>
      </c>
      <c r="Q78" s="992"/>
      <c r="R78" s="968">
        <v>1</v>
      </c>
      <c r="S78" s="991">
        <f t="shared" si="28"/>
        <v>11.2</v>
      </c>
      <c r="T78" s="995">
        <f t="shared" si="29"/>
        <v>153377.08959999998</v>
      </c>
      <c r="U78" s="996">
        <f t="shared" si="30"/>
        <v>0.11999999999999966</v>
      </c>
      <c r="V78" s="997" t="s">
        <v>1791</v>
      </c>
      <c r="W78" s="998" t="s">
        <v>1792</v>
      </c>
      <c r="X78" s="999">
        <f t="shared" si="31"/>
        <v>136943.83000000002</v>
      </c>
      <c r="Y78" s="1033"/>
      <c r="Z78" s="1033"/>
      <c r="AA78" s="1001"/>
      <c r="AB78" s="1002"/>
      <c r="AC78" s="1002"/>
      <c r="AD78" s="1035"/>
      <c r="AE78" s="1035"/>
      <c r="AF78" s="1004"/>
      <c r="AG78" s="979"/>
      <c r="AH78" s="964"/>
      <c r="AI78" s="964"/>
      <c r="AJ78" s="964"/>
      <c r="AK78" s="994"/>
      <c r="AL78" s="1010"/>
      <c r="AM78" s="1009"/>
      <c r="AN78" s="964"/>
      <c r="AO78" s="964"/>
      <c r="AP78" s="964"/>
    </row>
    <row r="79" spans="1:42" s="1012" customFormat="1" ht="14.85" customHeight="1">
      <c r="A79" s="1005"/>
      <c r="B79" s="986" t="s">
        <v>1794</v>
      </c>
      <c r="C79" s="989" t="s">
        <v>1795</v>
      </c>
      <c r="D79" s="988" t="s">
        <v>494</v>
      </c>
      <c r="E79" s="989" t="s">
        <v>1796</v>
      </c>
      <c r="F79" s="990">
        <v>43047</v>
      </c>
      <c r="G79" s="1006">
        <v>15</v>
      </c>
      <c r="H79" s="1006">
        <v>14</v>
      </c>
      <c r="I79" s="1006">
        <v>16</v>
      </c>
      <c r="J79" s="1006">
        <v>19.190000000000001</v>
      </c>
      <c r="K79" s="992">
        <f t="shared" si="24"/>
        <v>16743.972000000002</v>
      </c>
      <c r="L79" s="994">
        <v>6667</v>
      </c>
      <c r="M79" s="994">
        <v>23410.972000000002</v>
      </c>
      <c r="N79" s="992">
        <f t="shared" si="25"/>
        <v>251159.58000000002</v>
      </c>
      <c r="O79" s="994">
        <f t="shared" si="26"/>
        <v>100005</v>
      </c>
      <c r="P79" s="992">
        <f t="shared" si="27"/>
        <v>351164.58</v>
      </c>
      <c r="Q79" s="992"/>
      <c r="R79" s="968">
        <v>1</v>
      </c>
      <c r="S79" s="991">
        <f t="shared" si="28"/>
        <v>19.190000000000001</v>
      </c>
      <c r="T79" s="995">
        <f t="shared" si="29"/>
        <v>449256.55268000008</v>
      </c>
      <c r="U79" s="996">
        <f t="shared" si="30"/>
        <v>0.27933333333333343</v>
      </c>
      <c r="V79" s="997" t="s">
        <v>1797</v>
      </c>
      <c r="W79" s="998" t="s">
        <v>1798</v>
      </c>
      <c r="X79" s="999">
        <f t="shared" si="31"/>
        <v>351164.58</v>
      </c>
      <c r="Y79" s="1033"/>
      <c r="Z79" s="1033"/>
      <c r="AA79" s="1001"/>
      <c r="AB79" s="1002"/>
      <c r="AC79" s="1002"/>
      <c r="AD79" s="1035"/>
      <c r="AE79" s="1035"/>
      <c r="AF79" s="1004"/>
      <c r="AG79" s="979"/>
      <c r="AH79" s="964"/>
      <c r="AI79" s="964"/>
      <c r="AJ79" s="964"/>
      <c r="AK79" s="994"/>
      <c r="AL79" s="1010"/>
      <c r="AM79" s="1009"/>
      <c r="AN79" s="964"/>
      <c r="AO79" s="964"/>
      <c r="AP79" s="964"/>
    </row>
    <row r="80" spans="1:42" s="1012" customFormat="1" ht="14.85" customHeight="1">
      <c r="A80" s="1005"/>
      <c r="B80" s="986" t="s">
        <v>1799</v>
      </c>
      <c r="C80" s="989" t="s">
        <v>1800</v>
      </c>
      <c r="D80" s="988" t="s">
        <v>494</v>
      </c>
      <c r="E80" s="989" t="s">
        <v>1801</v>
      </c>
      <c r="F80" s="990">
        <v>43047</v>
      </c>
      <c r="G80" s="1006">
        <v>14</v>
      </c>
      <c r="H80" s="1006">
        <v>13</v>
      </c>
      <c r="I80" s="1006">
        <v>15</v>
      </c>
      <c r="J80" s="1006">
        <v>14.38</v>
      </c>
      <c r="K80" s="992">
        <f t="shared" si="24"/>
        <v>38542.936999999998</v>
      </c>
      <c r="L80" s="994">
        <v>10714</v>
      </c>
      <c r="M80" s="994">
        <v>49256.936999999998</v>
      </c>
      <c r="N80" s="992">
        <f t="shared" si="25"/>
        <v>539601.11800000002</v>
      </c>
      <c r="O80" s="994">
        <f t="shared" si="26"/>
        <v>149996</v>
      </c>
      <c r="P80" s="992">
        <f t="shared" si="27"/>
        <v>689597.11800000002</v>
      </c>
      <c r="Q80" s="992"/>
      <c r="R80" s="968">
        <v>1</v>
      </c>
      <c r="S80" s="991">
        <f t="shared" si="28"/>
        <v>14.38</v>
      </c>
      <c r="T80" s="995">
        <f t="shared" si="29"/>
        <v>708314.75406000006</v>
      </c>
      <c r="U80" s="996">
        <f t="shared" si="30"/>
        <v>2.7142857142857135E-2</v>
      </c>
      <c r="V80" s="997" t="s">
        <v>1802</v>
      </c>
      <c r="W80" s="998" t="s">
        <v>1803</v>
      </c>
      <c r="X80" s="999">
        <f t="shared" si="31"/>
        <v>689597.11800000002</v>
      </c>
      <c r="Y80" s="1033"/>
      <c r="Z80" s="1033"/>
      <c r="AA80" s="1001"/>
      <c r="AB80" s="1002"/>
      <c r="AC80" s="1002"/>
      <c r="AD80" s="1035"/>
      <c r="AE80" s="1035"/>
      <c r="AF80" s="1004"/>
      <c r="AG80" s="979"/>
      <c r="AH80" s="964"/>
      <c r="AI80" s="964"/>
      <c r="AJ80" s="964"/>
      <c r="AK80" s="994"/>
      <c r="AL80" s="1010"/>
      <c r="AM80" s="1009"/>
      <c r="AN80" s="964"/>
      <c r="AO80" s="964"/>
      <c r="AP80" s="964"/>
    </row>
    <row r="81" spans="1:73" s="1012" customFormat="1" ht="14.85" customHeight="1">
      <c r="A81" s="1005"/>
      <c r="B81" s="986" t="s">
        <v>1865</v>
      </c>
      <c r="C81" s="989" t="s">
        <v>1866</v>
      </c>
      <c r="D81" s="988" t="s">
        <v>494</v>
      </c>
      <c r="E81" s="989" t="s">
        <v>1867</v>
      </c>
      <c r="F81" s="990">
        <v>43040</v>
      </c>
      <c r="G81" s="1006">
        <v>14</v>
      </c>
      <c r="H81" s="1006">
        <v>14</v>
      </c>
      <c r="I81" s="1006">
        <v>16</v>
      </c>
      <c r="J81" s="1006">
        <v>14</v>
      </c>
      <c r="K81" s="992">
        <f t="shared" si="24"/>
        <v>15288.515000000003</v>
      </c>
      <c r="L81" s="994">
        <v>5333.3329999999996</v>
      </c>
      <c r="M81" s="994">
        <v>20621.848000000002</v>
      </c>
      <c r="N81" s="992">
        <f t="shared" si="25"/>
        <v>214039.21000000005</v>
      </c>
      <c r="O81" s="994">
        <f t="shared" si="26"/>
        <v>74666.661999999997</v>
      </c>
      <c r="P81" s="992">
        <f t="shared" si="27"/>
        <v>288705.87200000003</v>
      </c>
      <c r="Q81" s="992"/>
      <c r="R81" s="968">
        <v>1</v>
      </c>
      <c r="S81" s="991">
        <f t="shared" si="28"/>
        <v>14</v>
      </c>
      <c r="T81" s="995">
        <f t="shared" si="29"/>
        <v>288705.87200000003</v>
      </c>
      <c r="U81" s="996">
        <f t="shared" si="30"/>
        <v>0</v>
      </c>
      <c r="V81" s="997" t="s">
        <v>1868</v>
      </c>
      <c r="W81" s="998" t="s">
        <v>1869</v>
      </c>
      <c r="X81" s="999">
        <f t="shared" si="31"/>
        <v>288705.87200000003</v>
      </c>
      <c r="Y81" s="1033"/>
      <c r="Z81" s="1033"/>
      <c r="AA81" s="1001"/>
      <c r="AB81" s="1002"/>
      <c r="AC81" s="1002"/>
      <c r="AD81" s="1035"/>
      <c r="AE81" s="1035"/>
      <c r="AF81" s="1004"/>
      <c r="AG81" s="979"/>
      <c r="AH81" s="964"/>
      <c r="AI81" s="964"/>
      <c r="AJ81" s="964"/>
      <c r="AK81" s="994"/>
      <c r="AL81" s="1010"/>
      <c r="AM81" s="1009"/>
      <c r="AN81" s="964"/>
      <c r="AO81" s="964"/>
      <c r="AP81" s="964"/>
    </row>
    <row r="82" spans="1:73" s="1012" customFormat="1" ht="14.85" customHeight="1">
      <c r="A82" s="1005"/>
      <c r="B82" s="986" t="s">
        <v>1817</v>
      </c>
      <c r="C82" s="989" t="s">
        <v>1818</v>
      </c>
      <c r="D82" s="988" t="s">
        <v>494</v>
      </c>
      <c r="E82" s="989" t="s">
        <v>1819</v>
      </c>
      <c r="F82" s="990">
        <v>43012</v>
      </c>
      <c r="G82" s="1006">
        <v>17</v>
      </c>
      <c r="H82" s="1006">
        <v>14</v>
      </c>
      <c r="I82" s="1006">
        <v>16</v>
      </c>
      <c r="J82" s="1006">
        <v>25.89</v>
      </c>
      <c r="K82" s="992">
        <f t="shared" si="24"/>
        <v>20081.484</v>
      </c>
      <c r="L82" s="994">
        <v>7050</v>
      </c>
      <c r="M82" s="994">
        <v>27131.484</v>
      </c>
      <c r="N82" s="992">
        <f t="shared" si="25"/>
        <v>341385.228</v>
      </c>
      <c r="O82" s="994">
        <f t="shared" si="26"/>
        <v>119850</v>
      </c>
      <c r="P82" s="992">
        <f t="shared" si="27"/>
        <v>461235.228</v>
      </c>
      <c r="Q82" s="992"/>
      <c r="R82" s="968">
        <v>1</v>
      </c>
      <c r="S82" s="991">
        <f t="shared" si="28"/>
        <v>25.89</v>
      </c>
      <c r="T82" s="995">
        <f t="shared" si="29"/>
        <v>702434.12076000008</v>
      </c>
      <c r="U82" s="996">
        <f t="shared" si="30"/>
        <v>0.52294117647058846</v>
      </c>
      <c r="V82" s="997" t="s">
        <v>1820</v>
      </c>
      <c r="W82" s="998" t="s">
        <v>1821</v>
      </c>
      <c r="X82" s="999">
        <f t="shared" si="31"/>
        <v>461235.228</v>
      </c>
      <c r="Y82" s="1033"/>
      <c r="Z82" s="1033"/>
      <c r="AA82" s="1001"/>
      <c r="AB82" s="1002"/>
      <c r="AC82" s="1002"/>
      <c r="AD82" s="1035"/>
      <c r="AE82" s="1035"/>
      <c r="AF82" s="1004"/>
      <c r="AG82" s="979"/>
      <c r="AH82" s="964"/>
      <c r="AI82" s="964"/>
      <c r="AJ82" s="964"/>
      <c r="AK82" s="994"/>
      <c r="AL82" s="1010"/>
      <c r="AM82" s="1009"/>
      <c r="AN82" s="964"/>
      <c r="AO82" s="964"/>
      <c r="AP82" s="964"/>
    </row>
    <row r="83" spans="1:73" s="1012" customFormat="1" ht="14.85" customHeight="1">
      <c r="A83" s="1005"/>
      <c r="B83" s="986" t="s">
        <v>1870</v>
      </c>
      <c r="C83" s="989" t="s">
        <v>1871</v>
      </c>
      <c r="D83" s="988" t="s">
        <v>494</v>
      </c>
      <c r="E83" s="989" t="s">
        <v>1872</v>
      </c>
      <c r="F83" s="990">
        <v>42948</v>
      </c>
      <c r="G83" s="1006">
        <v>15</v>
      </c>
      <c r="H83" s="1006">
        <v>13</v>
      </c>
      <c r="I83" s="1006">
        <v>15</v>
      </c>
      <c r="J83" s="1006">
        <v>17</v>
      </c>
      <c r="K83" s="992">
        <f t="shared" si="24"/>
        <v>22526.583999999999</v>
      </c>
      <c r="L83" s="994">
        <v>8000</v>
      </c>
      <c r="M83" s="994">
        <v>30526.583999999999</v>
      </c>
      <c r="N83" s="992">
        <f t="shared" si="25"/>
        <v>337898.76</v>
      </c>
      <c r="O83" s="994">
        <f t="shared" si="26"/>
        <v>120000</v>
      </c>
      <c r="P83" s="992">
        <f t="shared" si="27"/>
        <v>457898.76</v>
      </c>
      <c r="Q83" s="992"/>
      <c r="R83" s="968">
        <v>1</v>
      </c>
      <c r="S83" s="991">
        <f t="shared" si="28"/>
        <v>17</v>
      </c>
      <c r="T83" s="995">
        <f t="shared" si="29"/>
        <v>518951.92799999996</v>
      </c>
      <c r="U83" s="996">
        <f t="shared" si="30"/>
        <v>0.1333333333333333</v>
      </c>
      <c r="V83" s="997" t="s">
        <v>1873</v>
      </c>
      <c r="W83" s="998" t="s">
        <v>1874</v>
      </c>
      <c r="X83" s="999">
        <f t="shared" si="31"/>
        <v>457898.76</v>
      </c>
      <c r="Y83" s="1033"/>
      <c r="Z83" s="1033"/>
      <c r="AA83" s="1001"/>
      <c r="AB83" s="1002"/>
      <c r="AC83" s="1002"/>
      <c r="AD83" s="1035"/>
      <c r="AE83" s="1035"/>
      <c r="AF83" s="1004"/>
      <c r="AG83" s="979"/>
      <c r="AH83" s="964"/>
      <c r="AI83" s="964"/>
      <c r="AJ83" s="964"/>
      <c r="AK83" s="994"/>
      <c r="AL83" s="1010"/>
      <c r="AM83" s="1009"/>
      <c r="AN83" s="964"/>
      <c r="AO83" s="964"/>
      <c r="AP83" s="964"/>
    </row>
    <row r="84" spans="1:73" s="1012" customFormat="1" ht="14.85" customHeight="1">
      <c r="A84" s="1005"/>
      <c r="B84" s="986" t="s">
        <v>1804</v>
      </c>
      <c r="C84" s="989" t="s">
        <v>1805</v>
      </c>
      <c r="D84" s="988" t="s">
        <v>1212</v>
      </c>
      <c r="E84" s="989" t="s">
        <v>1806</v>
      </c>
      <c r="F84" s="990">
        <v>42942</v>
      </c>
      <c r="G84" s="1006">
        <v>15</v>
      </c>
      <c r="H84" s="1006">
        <v>14</v>
      </c>
      <c r="I84" s="1006">
        <v>16</v>
      </c>
      <c r="J84" s="1006">
        <v>24.1</v>
      </c>
      <c r="K84" s="992">
        <f t="shared" si="24"/>
        <v>15555</v>
      </c>
      <c r="L84" s="994">
        <v>4333</v>
      </c>
      <c r="M84" s="994">
        <v>19888</v>
      </c>
      <c r="N84" s="992">
        <f t="shared" si="25"/>
        <v>233325</v>
      </c>
      <c r="O84" s="994">
        <f t="shared" si="26"/>
        <v>64995</v>
      </c>
      <c r="P84" s="992">
        <f t="shared" si="27"/>
        <v>298320</v>
      </c>
      <c r="Q84" s="992"/>
      <c r="R84" s="968">
        <v>1</v>
      </c>
      <c r="S84" s="991">
        <f t="shared" si="28"/>
        <v>24.1</v>
      </c>
      <c r="T84" s="995">
        <f t="shared" si="29"/>
        <v>479300.80000000005</v>
      </c>
      <c r="U84" s="996">
        <f t="shared" si="30"/>
        <v>0.60666666666666691</v>
      </c>
      <c r="V84" s="997" t="s">
        <v>1806</v>
      </c>
      <c r="W84" s="998" t="s">
        <v>1807</v>
      </c>
      <c r="X84" s="999">
        <f t="shared" si="31"/>
        <v>298320</v>
      </c>
      <c r="Y84" s="1033" t="s">
        <v>1793</v>
      </c>
      <c r="Z84" s="1033">
        <v>31719000</v>
      </c>
      <c r="AA84" s="1001">
        <v>-31420676</v>
      </c>
      <c r="AB84" s="1002"/>
      <c r="AC84" s="1002"/>
      <c r="AD84" s="1035"/>
      <c r="AE84" s="1035"/>
      <c r="AF84" s="1004" t="s">
        <v>1793</v>
      </c>
      <c r="AG84" s="979"/>
      <c r="AH84" s="964"/>
      <c r="AI84" s="964"/>
      <c r="AJ84" s="964"/>
      <c r="AK84" s="994"/>
      <c r="AL84" s="1010"/>
      <c r="AM84" s="1009"/>
      <c r="AN84" s="964"/>
      <c r="AO84" s="964"/>
      <c r="AP84" s="964"/>
    </row>
    <row r="85" spans="1:73" s="1012" customFormat="1" ht="14.85" customHeight="1">
      <c r="A85" s="1005"/>
      <c r="B85" s="986" t="s">
        <v>1808</v>
      </c>
      <c r="C85" s="989" t="s">
        <v>1809</v>
      </c>
      <c r="D85" s="988" t="s">
        <v>1307</v>
      </c>
      <c r="E85" s="989" t="s">
        <v>1810</v>
      </c>
      <c r="F85" s="990">
        <v>42914</v>
      </c>
      <c r="G85" s="1006">
        <v>15</v>
      </c>
      <c r="H85" s="1006">
        <v>15</v>
      </c>
      <c r="I85" s="1006">
        <v>17</v>
      </c>
      <c r="J85" s="1006">
        <v>13.19</v>
      </c>
      <c r="K85" s="992">
        <f t="shared" si="24"/>
        <v>10960.208000000001</v>
      </c>
      <c r="L85" s="994">
        <v>3750</v>
      </c>
      <c r="M85" s="994">
        <v>14710.208000000001</v>
      </c>
      <c r="N85" s="992">
        <f t="shared" si="25"/>
        <v>164403.12</v>
      </c>
      <c r="O85" s="994">
        <f t="shared" si="26"/>
        <v>56250</v>
      </c>
      <c r="P85" s="992">
        <f t="shared" si="27"/>
        <v>220653.12</v>
      </c>
      <c r="Q85" s="992"/>
      <c r="R85" s="968">
        <v>1</v>
      </c>
      <c r="S85" s="991">
        <f t="shared" si="28"/>
        <v>13.19</v>
      </c>
      <c r="T85" s="995">
        <f t="shared" si="29"/>
        <v>194027.64352000001</v>
      </c>
      <c r="U85" s="996">
        <f t="shared" si="30"/>
        <v>-0.12066666666666659</v>
      </c>
      <c r="V85" s="997" t="s">
        <v>1875</v>
      </c>
      <c r="W85" s="998" t="s">
        <v>1811</v>
      </c>
      <c r="X85" s="999">
        <f t="shared" si="31"/>
        <v>220653.12</v>
      </c>
      <c r="Y85" s="1033"/>
      <c r="Z85" s="1033"/>
      <c r="AA85" s="1001"/>
      <c r="AB85" s="1002"/>
      <c r="AC85" s="1002"/>
      <c r="AD85" s="1035"/>
      <c r="AE85" s="1035"/>
      <c r="AF85" s="1004"/>
      <c r="AG85" s="979"/>
      <c r="AH85" s="964"/>
      <c r="AI85" s="964"/>
      <c r="AJ85" s="964"/>
      <c r="AK85" s="994"/>
      <c r="AL85" s="1010"/>
      <c r="AM85" s="1009"/>
      <c r="AN85" s="964"/>
      <c r="AO85" s="964"/>
      <c r="AP85" s="964"/>
    </row>
    <row r="86" spans="1:73" s="1012" customFormat="1" ht="14.85" customHeight="1">
      <c r="A86" s="1005"/>
      <c r="B86" s="986" t="s">
        <v>1812</v>
      </c>
      <c r="C86" s="989" t="s">
        <v>1813</v>
      </c>
      <c r="D86" s="988" t="s">
        <v>494</v>
      </c>
      <c r="E86" s="989" t="s">
        <v>1814</v>
      </c>
      <c r="F86" s="990">
        <v>42912</v>
      </c>
      <c r="G86" s="1006">
        <v>6</v>
      </c>
      <c r="H86" s="1006">
        <v>9</v>
      </c>
      <c r="I86" s="1006">
        <v>11</v>
      </c>
      <c r="J86" s="1006">
        <v>6.98</v>
      </c>
      <c r="K86" s="992">
        <f t="shared" si="24"/>
        <v>3341.4680000000008</v>
      </c>
      <c r="L86" s="994">
        <v>5500</v>
      </c>
      <c r="M86" s="994">
        <v>8841.4680000000008</v>
      </c>
      <c r="N86" s="992">
        <f t="shared" si="25"/>
        <v>20048.808000000005</v>
      </c>
      <c r="O86" s="994">
        <f t="shared" si="26"/>
        <v>33000</v>
      </c>
      <c r="P86" s="992">
        <f t="shared" si="27"/>
        <v>53048.808000000005</v>
      </c>
      <c r="Q86" s="992"/>
      <c r="R86" s="968">
        <v>1</v>
      </c>
      <c r="S86" s="991">
        <f t="shared" si="28"/>
        <v>6.98</v>
      </c>
      <c r="T86" s="995">
        <f t="shared" si="29"/>
        <v>61713.446640000009</v>
      </c>
      <c r="U86" s="996">
        <f t="shared" si="30"/>
        <v>0.16333333333333333</v>
      </c>
      <c r="V86" s="997" t="s">
        <v>1815</v>
      </c>
      <c r="W86" s="998" t="s">
        <v>1816</v>
      </c>
      <c r="X86" s="999">
        <f t="shared" si="31"/>
        <v>53048.808000000005</v>
      </c>
      <c r="Y86" s="1033">
        <v>5982</v>
      </c>
      <c r="Z86" s="1033">
        <v>0</v>
      </c>
      <c r="AA86" s="1001">
        <v>59030.808000000005</v>
      </c>
      <c r="AB86" s="1002">
        <v>0</v>
      </c>
      <c r="AC86" s="1002">
        <v>0</v>
      </c>
      <c r="AD86" s="1035" t="s">
        <v>13</v>
      </c>
      <c r="AE86" s="1035" t="s">
        <v>13</v>
      </c>
      <c r="AF86" s="1004">
        <f>+P86-X86</f>
        <v>0</v>
      </c>
      <c r="AG86" s="979"/>
      <c r="AH86" s="964"/>
      <c r="AI86" s="964"/>
      <c r="AJ86" s="964"/>
      <c r="AK86" s="994"/>
      <c r="AL86" s="1010"/>
      <c r="AM86" s="1009"/>
      <c r="AN86" s="964"/>
      <c r="AO86" s="964"/>
      <c r="AP86" s="964"/>
    </row>
    <row r="87" spans="1:73" s="1012" customFormat="1" ht="14.85" customHeight="1">
      <c r="A87" s="1005"/>
      <c r="B87" s="986" t="s">
        <v>1749</v>
      </c>
      <c r="C87" s="989" t="s">
        <v>1750</v>
      </c>
      <c r="D87" s="988" t="s">
        <v>494</v>
      </c>
      <c r="E87" s="989" t="s">
        <v>1751</v>
      </c>
      <c r="F87" s="990">
        <v>42859</v>
      </c>
      <c r="G87" s="1006">
        <v>15</v>
      </c>
      <c r="H87" s="1006">
        <v>15</v>
      </c>
      <c r="I87" s="1006">
        <v>17</v>
      </c>
      <c r="J87" s="1006">
        <v>12.15</v>
      </c>
      <c r="K87" s="992">
        <f t="shared" si="24"/>
        <v>18851.937000000002</v>
      </c>
      <c r="L87" s="994">
        <v>5750</v>
      </c>
      <c r="M87" s="994">
        <v>24601.937000000002</v>
      </c>
      <c r="N87" s="992">
        <f t="shared" si="25"/>
        <v>282779.05500000005</v>
      </c>
      <c r="O87" s="994">
        <f t="shared" si="26"/>
        <v>86250</v>
      </c>
      <c r="P87" s="992">
        <f t="shared" si="27"/>
        <v>369029.05500000005</v>
      </c>
      <c r="Q87" s="992"/>
      <c r="R87" s="968">
        <v>1</v>
      </c>
      <c r="S87" s="991">
        <f t="shared" si="28"/>
        <v>12.15</v>
      </c>
      <c r="T87" s="995">
        <f t="shared" si="29"/>
        <v>298913.53455000004</v>
      </c>
      <c r="U87" s="996">
        <f t="shared" si="30"/>
        <v>-0.19000000000000006</v>
      </c>
      <c r="V87" s="1011" t="s">
        <v>1752</v>
      </c>
      <c r="W87" s="998" t="s">
        <v>1753</v>
      </c>
      <c r="X87" s="999">
        <f t="shared" si="31"/>
        <v>369029.05500000005</v>
      </c>
      <c r="Y87" s="1033" t="e">
        <f ca="1">_xll.ciqfunctions.udf.CIQ(C87, "IQ_TOTAL_DEBT", , F87, , , "USD")*1000</f>
        <v>#NAME?</v>
      </c>
      <c r="Z87" s="1033" t="e">
        <f ca="1">_xll.ciqfunctions.udf.CIQ(C87, "IQ_CASH_EQUIV", , F87, , , "USD")*1000</f>
        <v>#NAME?</v>
      </c>
      <c r="AA87" s="1001" t="e">
        <f ca="1">X87+Y87-Z87</f>
        <v>#NAME?</v>
      </c>
      <c r="AB87" s="1002" t="e">
        <f ca="1">_xll.ciqfunctions.udf.CIQ($C87, "IQ_TOTAL_REV", IQ_LTM, $F$12, $Y$2, $Y$1, $Y$3, $Y$4)*1000</f>
        <v>#NAME?</v>
      </c>
      <c r="AC87" s="1002" t="e">
        <f ca="1">_xll.ciqfunctions.udf.CIQ($C87, "IQ_EBITDA", IQ_LTM, $F$12, $Y$2, $Y$1, $Y$3, $Y$4)*1000</f>
        <v>#NAME?</v>
      </c>
      <c r="AD87" s="1035" t="str">
        <f ca="1">IFERROR(AA87/AB87,"n/a")</f>
        <v>n/a</v>
      </c>
      <c r="AE87" s="1035" t="str">
        <f ca="1">IFERROR(AA87/AC87,"n/a")</f>
        <v>n/a</v>
      </c>
      <c r="AF87" s="1004">
        <f>+P87-X87</f>
        <v>0</v>
      </c>
      <c r="AK87" s="1013"/>
      <c r="AL87" s="1010"/>
      <c r="AM87" s="1009"/>
    </row>
    <row r="88" spans="1:73" s="1012" customFormat="1" ht="14.85" customHeight="1">
      <c r="A88" s="1005"/>
      <c r="B88" s="986" t="s">
        <v>1876</v>
      </c>
      <c r="C88" s="989" t="s">
        <v>1877</v>
      </c>
      <c r="D88" s="988" t="s">
        <v>1307</v>
      </c>
      <c r="E88" s="989" t="s">
        <v>1878</v>
      </c>
      <c r="F88" s="990">
        <v>42858</v>
      </c>
      <c r="G88" s="1006">
        <v>13</v>
      </c>
      <c r="H88" s="1006">
        <v>12</v>
      </c>
      <c r="I88" s="1006">
        <v>14</v>
      </c>
      <c r="J88" s="1006">
        <v>18.64</v>
      </c>
      <c r="K88" s="992">
        <f t="shared" si="24"/>
        <v>7499.17</v>
      </c>
      <c r="L88" s="994">
        <v>4473.3729999999996</v>
      </c>
      <c r="M88" s="994">
        <v>11972.543</v>
      </c>
      <c r="N88" s="992">
        <f t="shared" si="25"/>
        <v>97489.21</v>
      </c>
      <c r="O88" s="994">
        <f t="shared" si="26"/>
        <v>58153.848999999995</v>
      </c>
      <c r="P88" s="992">
        <f t="shared" si="27"/>
        <v>155643.05900000001</v>
      </c>
      <c r="Q88" s="992"/>
      <c r="R88" s="968">
        <v>1</v>
      </c>
      <c r="S88" s="991">
        <f t="shared" si="28"/>
        <v>18.64</v>
      </c>
      <c r="T88" s="995">
        <f t="shared" si="29"/>
        <v>223168.20152</v>
      </c>
      <c r="U88" s="996">
        <f t="shared" si="30"/>
        <v>0.43384615384615377</v>
      </c>
      <c r="V88" s="997" t="s">
        <v>1879</v>
      </c>
      <c r="W88" s="998" t="s">
        <v>1880</v>
      </c>
      <c r="X88" s="999">
        <f t="shared" si="31"/>
        <v>155643.05900000001</v>
      </c>
      <c r="Y88" s="1033"/>
      <c r="Z88" s="1033"/>
      <c r="AA88" s="1001"/>
      <c r="AB88" s="1002"/>
      <c r="AC88" s="1002"/>
      <c r="AD88" s="1035"/>
      <c r="AE88" s="1035"/>
      <c r="AF88" s="1004"/>
      <c r="AG88" s="979"/>
      <c r="AH88" s="964"/>
      <c r="AI88" s="964"/>
      <c r="AJ88" s="964"/>
      <c r="AK88" s="994"/>
      <c r="AL88" s="1010"/>
      <c r="AM88" s="1009"/>
      <c r="AN88" s="964"/>
      <c r="AO88" s="964"/>
      <c r="AP88" s="964"/>
    </row>
    <row r="89" spans="1:73" s="1012" customFormat="1" ht="14.85" customHeight="1">
      <c r="A89" s="1005"/>
      <c r="B89" s="986" t="s">
        <v>1754</v>
      </c>
      <c r="C89" s="989" t="s">
        <v>1755</v>
      </c>
      <c r="D89" s="988" t="s">
        <v>1517</v>
      </c>
      <c r="E89" s="989" t="s">
        <v>1756</v>
      </c>
      <c r="F89" s="990">
        <v>42858</v>
      </c>
      <c r="G89" s="1017">
        <v>17</v>
      </c>
      <c r="H89" s="1006">
        <v>14</v>
      </c>
      <c r="I89" s="1006">
        <v>16</v>
      </c>
      <c r="J89" s="1017">
        <v>21.87</v>
      </c>
      <c r="K89" s="992">
        <f t="shared" si="24"/>
        <v>24330.582999999999</v>
      </c>
      <c r="L89" s="994">
        <v>8333.3330000000005</v>
      </c>
      <c r="M89" s="994">
        <v>32663.916000000001</v>
      </c>
      <c r="N89" s="992">
        <f t="shared" si="25"/>
        <v>413619.91099999996</v>
      </c>
      <c r="O89" s="994">
        <f t="shared" si="26"/>
        <v>141666.66100000002</v>
      </c>
      <c r="P89" s="992">
        <f t="shared" si="27"/>
        <v>555286.57199999993</v>
      </c>
      <c r="Q89" s="992"/>
      <c r="R89" s="968">
        <v>1</v>
      </c>
      <c r="S89" s="991">
        <f t="shared" si="28"/>
        <v>21.87</v>
      </c>
      <c r="T89" s="995">
        <f t="shared" si="29"/>
        <v>714359.84292000008</v>
      </c>
      <c r="U89" s="996">
        <f t="shared" si="30"/>
        <v>0.28647058823529448</v>
      </c>
      <c r="V89" s="1011" t="s">
        <v>1758</v>
      </c>
      <c r="W89" s="998" t="s">
        <v>1757</v>
      </c>
      <c r="X89" s="999">
        <f t="shared" si="31"/>
        <v>555286.57199999993</v>
      </c>
      <c r="Y89" s="1033" t="e">
        <f ca="1">_xll.ciqfunctions.udf.CIQ(C89, "IQ_TOTAL_DEBT", , F89, , , "USD")*1000</f>
        <v>#NAME?</v>
      </c>
      <c r="Z89" s="1033" t="e">
        <f ca="1">_xll.ciqfunctions.udf.CIQ(C89, "IQ_CASH_EQUIV", , F89, , , "USD")*1000</f>
        <v>#NAME?</v>
      </c>
      <c r="AA89" s="1001" t="e">
        <f t="shared" ref="AA89:AA109" ca="1" si="32">X89+Y89-Z89</f>
        <v>#NAME?</v>
      </c>
      <c r="AB89" s="1002" t="e">
        <f ca="1">_xll.ciqfunctions.udf.CIQ($C89, "IQ_TOTAL_REV", IQ_LTM, $F$12, $Y$2, $Y$1, $Y$3, $Y$4)*1000</f>
        <v>#NAME?</v>
      </c>
      <c r="AC89" s="1002" t="e">
        <f ca="1">_xll.ciqfunctions.udf.CIQ($C89, "IQ_EBITDA", IQ_LTM, $F$12, $Y$2, $Y$1, $Y$3, $Y$4)*1000</f>
        <v>#NAME?</v>
      </c>
      <c r="AD89" s="1035" t="str">
        <f t="shared" ref="AD89:AD109" ca="1" si="33">IFERROR(AA89/AB89,"n/a")</f>
        <v>n/a</v>
      </c>
      <c r="AE89" s="1035" t="str">
        <f t="shared" ref="AE89:AE109" ca="1" si="34">IFERROR(AA89/AC89,"n/a")</f>
        <v>n/a</v>
      </c>
      <c r="AF89" s="1004">
        <f t="shared" ref="AF89:AF109" si="35">+P89-X89</f>
        <v>0</v>
      </c>
      <c r="AK89" s="1013"/>
      <c r="AL89" s="1010"/>
      <c r="AM89" s="1009"/>
    </row>
    <row r="90" spans="1:73" s="1012" customFormat="1" ht="14.85" customHeight="1">
      <c r="A90" s="1005"/>
      <c r="B90" s="986" t="s">
        <v>1515</v>
      </c>
      <c r="C90" s="989" t="s">
        <v>1516</v>
      </c>
      <c r="D90" s="988" t="s">
        <v>1517</v>
      </c>
      <c r="E90" s="989" t="s">
        <v>1518</v>
      </c>
      <c r="F90" s="990">
        <v>42837</v>
      </c>
      <c r="G90" s="1006">
        <v>10</v>
      </c>
      <c r="H90" s="1006">
        <v>10</v>
      </c>
      <c r="I90" s="1006">
        <v>12</v>
      </c>
      <c r="J90" s="1006">
        <v>16.690000000000001</v>
      </c>
      <c r="K90" s="992">
        <f t="shared" si="24"/>
        <v>9897.3070000000007</v>
      </c>
      <c r="L90" s="993">
        <v>7250</v>
      </c>
      <c r="M90" s="993">
        <v>17147.307000000001</v>
      </c>
      <c r="N90" s="992">
        <f t="shared" si="25"/>
        <v>98973.07</v>
      </c>
      <c r="O90" s="994">
        <f t="shared" si="26"/>
        <v>72500</v>
      </c>
      <c r="P90" s="992">
        <f t="shared" si="27"/>
        <v>171473.07</v>
      </c>
      <c r="Q90" s="992"/>
      <c r="R90" s="968">
        <v>1</v>
      </c>
      <c r="S90" s="991">
        <f t="shared" si="28"/>
        <v>16.690000000000001</v>
      </c>
      <c r="T90" s="995">
        <f t="shared" si="29"/>
        <v>286188.55383000005</v>
      </c>
      <c r="U90" s="996">
        <f t="shared" si="30"/>
        <v>0.66900000000000026</v>
      </c>
      <c r="V90" s="1011" t="s">
        <v>1519</v>
      </c>
      <c r="W90" s="998" t="s">
        <v>1520</v>
      </c>
      <c r="X90" s="999">
        <f t="shared" si="31"/>
        <v>171473.07</v>
      </c>
      <c r="Y90" s="999">
        <v>20839000</v>
      </c>
      <c r="Z90" s="999">
        <v>5510</v>
      </c>
      <c r="AA90" s="1001">
        <f t="shared" si="32"/>
        <v>21004963.07</v>
      </c>
      <c r="AB90" s="1002">
        <v>54</v>
      </c>
      <c r="AC90" s="1008">
        <v>-25990</v>
      </c>
      <c r="AD90" s="1003">
        <f t="shared" si="33"/>
        <v>388980.7975925926</v>
      </c>
      <c r="AE90" s="1003">
        <f t="shared" si="34"/>
        <v>-808.19403886110047</v>
      </c>
      <c r="AF90" s="1004">
        <f t="shared" si="35"/>
        <v>0</v>
      </c>
      <c r="AK90" s="1013"/>
      <c r="AL90" s="1010"/>
      <c r="AM90" s="1009"/>
    </row>
    <row r="91" spans="1:73" s="1012" customFormat="1" ht="14.85" customHeight="1">
      <c r="A91" s="1005"/>
      <c r="B91" s="986" t="s">
        <v>1521</v>
      </c>
      <c r="C91" s="989" t="s">
        <v>1522</v>
      </c>
      <c r="D91" s="988" t="s">
        <v>1212</v>
      </c>
      <c r="E91" s="989" t="s">
        <v>1523</v>
      </c>
      <c r="F91" s="990">
        <v>42760</v>
      </c>
      <c r="G91" s="991">
        <v>15</v>
      </c>
      <c r="H91" s="991">
        <v>14</v>
      </c>
      <c r="I91" s="991">
        <v>16</v>
      </c>
      <c r="J91" s="991">
        <v>13.99</v>
      </c>
      <c r="K91" s="992">
        <f t="shared" si="24"/>
        <v>23181.261999999999</v>
      </c>
      <c r="L91" s="993">
        <f>6450000/1000</f>
        <v>6450</v>
      </c>
      <c r="M91" s="993">
        <f>29631262/1000</f>
        <v>29631.261999999999</v>
      </c>
      <c r="N91" s="992">
        <f t="shared" si="25"/>
        <v>347718.93</v>
      </c>
      <c r="O91" s="994">
        <f t="shared" si="26"/>
        <v>96750</v>
      </c>
      <c r="P91" s="992">
        <f t="shared" si="27"/>
        <v>444468.93</v>
      </c>
      <c r="Q91" s="992"/>
      <c r="R91" s="968">
        <v>1</v>
      </c>
      <c r="S91" s="991">
        <f t="shared" si="28"/>
        <v>13.99</v>
      </c>
      <c r="T91" s="995">
        <f t="shared" si="29"/>
        <v>414541.35537999996</v>
      </c>
      <c r="U91" s="996">
        <f t="shared" si="30"/>
        <v>-6.7333333333333356E-2</v>
      </c>
      <c r="V91" s="1007" t="s">
        <v>1523</v>
      </c>
      <c r="W91" s="998" t="s">
        <v>1524</v>
      </c>
      <c r="X91" s="999">
        <f t="shared" si="31"/>
        <v>444468.93</v>
      </c>
      <c r="Y91" s="999">
        <v>0</v>
      </c>
      <c r="Z91" s="999">
        <v>38910</v>
      </c>
      <c r="AA91" s="1001">
        <f t="shared" si="32"/>
        <v>405558.93</v>
      </c>
      <c r="AB91" s="1002">
        <v>0</v>
      </c>
      <c r="AC91" s="1008">
        <v>-20977</v>
      </c>
      <c r="AD91" s="1003" t="str">
        <f t="shared" si="33"/>
        <v>n/a</v>
      </c>
      <c r="AE91" s="1003">
        <f t="shared" si="34"/>
        <v>-19.333504790961531</v>
      </c>
      <c r="AF91" s="1004">
        <f t="shared" si="35"/>
        <v>0</v>
      </c>
      <c r="AG91" s="1009"/>
      <c r="AH91" s="979"/>
      <c r="AI91" s="979"/>
      <c r="AJ91" s="979"/>
      <c r="AK91" s="979"/>
      <c r="AL91" s="979"/>
      <c r="AM91" s="979" t="s">
        <v>1525</v>
      </c>
      <c r="AN91" s="979" t="s">
        <v>1526</v>
      </c>
      <c r="AO91" s="979" t="s">
        <v>1527</v>
      </c>
      <c r="AP91" s="979"/>
      <c r="AQ91" s="979">
        <v>6450000</v>
      </c>
      <c r="AR91" s="979">
        <v>6450000</v>
      </c>
      <c r="AS91" s="979">
        <v>29631262</v>
      </c>
      <c r="AT91" s="979"/>
      <c r="AU91" s="979">
        <f>AQ91-AW91</f>
        <v>0</v>
      </c>
      <c r="AV91" s="979">
        <f>AS91-AY91</f>
        <v>0</v>
      </c>
      <c r="AW91" s="979">
        <v>6450000</v>
      </c>
      <c r="AX91" s="979">
        <f>AW91+BA91</f>
        <v>7417500</v>
      </c>
      <c r="AY91" s="979">
        <v>29631262</v>
      </c>
      <c r="AZ91" s="979">
        <f>AY91+BA91</f>
        <v>30598762</v>
      </c>
      <c r="BA91" s="979">
        <v>967500</v>
      </c>
      <c r="BB91" s="979">
        <f>BC91*J91</f>
        <v>414541327.40000004</v>
      </c>
      <c r="BC91" s="979">
        <v>29631260</v>
      </c>
      <c r="BD91" s="979">
        <f>+J91*M91</f>
        <v>414541.35537999996</v>
      </c>
      <c r="BE91" s="979">
        <v>42761</v>
      </c>
      <c r="BF91" s="979">
        <f>+BE91+30</f>
        <v>42791</v>
      </c>
      <c r="BG91" s="979">
        <f>BE91+90</f>
        <v>42851</v>
      </c>
      <c r="BH91" s="979">
        <v>29631260</v>
      </c>
      <c r="BI91" s="979">
        <v>13.62</v>
      </c>
      <c r="BJ91" s="979">
        <f>BI91*BH91</f>
        <v>403577761.19999999</v>
      </c>
      <c r="BK91" s="979" t="s">
        <v>1528</v>
      </c>
      <c r="BL91" s="979">
        <v>38910000</v>
      </c>
      <c r="BM91" s="979">
        <v>0</v>
      </c>
      <c r="BN91" s="979" t="e">
        <f ca="1">_xll.ciqfunctions.udf.CIQ(C91, "IQ_MARKETCAP", $BN$1)*1000000</f>
        <v>#NAME?</v>
      </c>
      <c r="BO91" s="979">
        <v>123139750</v>
      </c>
      <c r="BP91" s="979" t="e">
        <f ca="1">(BN91-BO91)/BN91</f>
        <v>#NAME?</v>
      </c>
      <c r="BQ91" s="979"/>
      <c r="BR91" s="979" t="s">
        <v>1529</v>
      </c>
      <c r="BS91" s="979"/>
      <c r="BT91" s="979"/>
      <c r="BU91" s="979" t="b">
        <f>IF(ABS(O91-P91)&lt;100,TRUE,FALSE)</f>
        <v>0</v>
      </c>
    </row>
    <row r="92" spans="1:73" s="979" customFormat="1" ht="14.85" customHeight="1">
      <c r="A92" s="1005"/>
      <c r="B92" s="986" t="s">
        <v>1062</v>
      </c>
      <c r="C92" s="989" t="s">
        <v>1063</v>
      </c>
      <c r="D92" s="988" t="s">
        <v>494</v>
      </c>
      <c r="E92" s="989" t="s">
        <v>1064</v>
      </c>
      <c r="F92" s="990">
        <v>42586</v>
      </c>
      <c r="G92" s="991">
        <v>10</v>
      </c>
      <c r="H92" s="991">
        <v>11</v>
      </c>
      <c r="I92" s="991">
        <v>13</v>
      </c>
      <c r="J92" s="991">
        <v>13.23</v>
      </c>
      <c r="K92" s="992">
        <f t="shared" si="24"/>
        <v>5431.6149999999998</v>
      </c>
      <c r="L92" s="993">
        <v>3000</v>
      </c>
      <c r="M92" s="993">
        <v>8431.6149999999998</v>
      </c>
      <c r="N92" s="992">
        <f t="shared" si="25"/>
        <v>54316.149999999994</v>
      </c>
      <c r="O92" s="994">
        <f t="shared" si="26"/>
        <v>30000</v>
      </c>
      <c r="P92" s="992">
        <f t="shared" si="27"/>
        <v>84316.15</v>
      </c>
      <c r="Q92" s="992"/>
      <c r="R92" s="968">
        <v>1</v>
      </c>
      <c r="S92" s="991">
        <f t="shared" si="28"/>
        <v>13.23</v>
      </c>
      <c r="T92" s="995">
        <f t="shared" si="29"/>
        <v>111550.26645</v>
      </c>
      <c r="U92" s="996">
        <f t="shared" si="30"/>
        <v>0.32299999999999995</v>
      </c>
      <c r="V92" s="1007" t="s">
        <v>1065</v>
      </c>
      <c r="W92" s="998" t="s">
        <v>1066</v>
      </c>
      <c r="X92" s="999">
        <f t="shared" si="31"/>
        <v>84316.15</v>
      </c>
      <c r="Y92" s="999">
        <v>6461000</v>
      </c>
      <c r="Z92" s="999">
        <v>1629</v>
      </c>
      <c r="AA92" s="1001">
        <f t="shared" si="32"/>
        <v>6543687.1500000004</v>
      </c>
      <c r="AB92" s="1002">
        <v>0</v>
      </c>
      <c r="AC92" s="1008">
        <v>0</v>
      </c>
      <c r="AD92" s="1003" t="str">
        <f t="shared" si="33"/>
        <v>n/a</v>
      </c>
      <c r="AE92" s="1003" t="str">
        <f t="shared" si="34"/>
        <v>n/a</v>
      </c>
      <c r="AF92" s="1004">
        <f t="shared" si="35"/>
        <v>0</v>
      </c>
      <c r="AG92" s="1009"/>
    </row>
    <row r="93" spans="1:73" s="979" customFormat="1" ht="14.85" customHeight="1">
      <c r="A93" s="1005"/>
      <c r="B93" s="986" t="s">
        <v>1067</v>
      </c>
      <c r="C93" s="989" t="s">
        <v>1068</v>
      </c>
      <c r="D93" s="988" t="s">
        <v>494</v>
      </c>
      <c r="E93" s="989" t="s">
        <v>1069</v>
      </c>
      <c r="F93" s="990">
        <v>42577</v>
      </c>
      <c r="G93" s="1006">
        <v>12</v>
      </c>
      <c r="H93" s="1006">
        <v>0</v>
      </c>
      <c r="I93" s="1006">
        <v>0</v>
      </c>
      <c r="J93" s="1006">
        <v>10.06</v>
      </c>
      <c r="K93" s="992">
        <f t="shared" si="24"/>
        <v>38620.332000000002</v>
      </c>
      <c r="L93" s="993">
        <v>6250</v>
      </c>
      <c r="M93" s="993">
        <v>44870.332000000002</v>
      </c>
      <c r="N93" s="992">
        <f t="shared" si="25"/>
        <v>463443.98400000005</v>
      </c>
      <c r="O93" s="994">
        <f t="shared" si="26"/>
        <v>75000</v>
      </c>
      <c r="P93" s="992">
        <f t="shared" si="27"/>
        <v>538443.98400000005</v>
      </c>
      <c r="Q93" s="992"/>
      <c r="R93" s="968">
        <v>1</v>
      </c>
      <c r="S93" s="991">
        <f t="shared" si="28"/>
        <v>10.06</v>
      </c>
      <c r="T93" s="995">
        <f t="shared" si="29"/>
        <v>451395.53992000007</v>
      </c>
      <c r="U93" s="996">
        <f t="shared" si="30"/>
        <v>-0.16166666666666663</v>
      </c>
      <c r="V93" s="1007" t="s">
        <v>1070</v>
      </c>
      <c r="W93" s="998" t="s">
        <v>1071</v>
      </c>
      <c r="X93" s="999">
        <f t="shared" si="31"/>
        <v>538443.98400000005</v>
      </c>
      <c r="Y93" s="999">
        <v>221589000</v>
      </c>
      <c r="Z93" s="999">
        <v>8601</v>
      </c>
      <c r="AA93" s="1001">
        <f t="shared" si="32"/>
        <v>222118842.984</v>
      </c>
      <c r="AB93" s="1002">
        <v>35305</v>
      </c>
      <c r="AC93" s="1008">
        <v>-74119</v>
      </c>
      <c r="AD93" s="1003">
        <f t="shared" si="33"/>
        <v>6291.4273611103245</v>
      </c>
      <c r="AE93" s="1003">
        <f t="shared" si="34"/>
        <v>-2996.7868290721676</v>
      </c>
      <c r="AF93" s="1004">
        <f t="shared" si="35"/>
        <v>0</v>
      </c>
      <c r="AG93" s="1009"/>
    </row>
    <row r="94" spans="1:73" s="979" customFormat="1" ht="14.85" customHeight="1">
      <c r="A94" s="1005"/>
      <c r="B94" s="1048" t="s">
        <v>1101</v>
      </c>
      <c r="C94" s="989" t="s">
        <v>1102</v>
      </c>
      <c r="D94" s="988" t="s">
        <v>494</v>
      </c>
      <c r="E94" s="989" t="s">
        <v>1103</v>
      </c>
      <c r="F94" s="990">
        <v>42495</v>
      </c>
      <c r="G94" s="1006">
        <v>12</v>
      </c>
      <c r="H94" s="1006">
        <v>13</v>
      </c>
      <c r="I94" s="1006">
        <v>15</v>
      </c>
      <c r="J94" s="1006">
        <v>11.2</v>
      </c>
      <c r="K94" s="992">
        <f t="shared" si="24"/>
        <v>6171.0910000000003</v>
      </c>
      <c r="L94" s="993">
        <v>920</v>
      </c>
      <c r="M94" s="993">
        <v>7091.0910000000003</v>
      </c>
      <c r="N94" s="992">
        <f t="shared" si="25"/>
        <v>74053.092000000004</v>
      </c>
      <c r="O94" s="994">
        <f t="shared" si="26"/>
        <v>11040</v>
      </c>
      <c r="P94" s="992">
        <f t="shared" si="27"/>
        <v>85093.092000000004</v>
      </c>
      <c r="Q94" s="992"/>
      <c r="R94" s="968">
        <v>1</v>
      </c>
      <c r="S94" s="991">
        <f t="shared" si="28"/>
        <v>11.2</v>
      </c>
      <c r="T94" s="995">
        <f t="shared" si="29"/>
        <v>79420.219199999992</v>
      </c>
      <c r="U94" s="996">
        <f t="shared" si="30"/>
        <v>-6.6666666666666763E-2</v>
      </c>
      <c r="V94" s="997" t="s">
        <v>1104</v>
      </c>
      <c r="W94" s="998" t="s">
        <v>1530</v>
      </c>
      <c r="X94" s="999">
        <f t="shared" si="31"/>
        <v>85093.092000000004</v>
      </c>
      <c r="Y94" s="999">
        <v>0</v>
      </c>
      <c r="Z94" s="999">
        <v>4347</v>
      </c>
      <c r="AA94" s="1001">
        <f t="shared" si="32"/>
        <v>80746.092000000004</v>
      </c>
      <c r="AB94" s="1002">
        <v>717</v>
      </c>
      <c r="AC94" s="1008">
        <v>-18116</v>
      </c>
      <c r="AD94" s="1003">
        <f t="shared" si="33"/>
        <v>112.61658577405858</v>
      </c>
      <c r="AE94" s="1003">
        <f t="shared" si="34"/>
        <v>-4.4571700154559508</v>
      </c>
      <c r="AF94" s="1004">
        <f t="shared" si="35"/>
        <v>0</v>
      </c>
      <c r="AK94" s="994"/>
      <c r="AL94" s="1010"/>
      <c r="AM94" s="1009"/>
    </row>
    <row r="95" spans="1:73" s="979" customFormat="1" ht="14.85" customHeight="1">
      <c r="A95" s="1005"/>
      <c r="B95" s="986" t="s">
        <v>1150</v>
      </c>
      <c r="C95" s="989" t="s">
        <v>1151</v>
      </c>
      <c r="D95" s="988" t="s">
        <v>494</v>
      </c>
      <c r="E95" s="989" t="s">
        <v>1152</v>
      </c>
      <c r="F95" s="990">
        <v>42291</v>
      </c>
      <c r="G95" s="1006">
        <v>6.5</v>
      </c>
      <c r="H95" s="1006">
        <v>6</v>
      </c>
      <c r="I95" s="1006">
        <v>7</v>
      </c>
      <c r="J95" s="1006">
        <v>3.13</v>
      </c>
      <c r="K95" s="992">
        <f t="shared" si="24"/>
        <v>4630.143</v>
      </c>
      <c r="L95" s="993">
        <v>4000</v>
      </c>
      <c r="M95" s="993">
        <v>8630.143</v>
      </c>
      <c r="N95" s="992">
        <f t="shared" si="25"/>
        <v>30095.929499999998</v>
      </c>
      <c r="O95" s="994">
        <f t="shared" si="26"/>
        <v>26000</v>
      </c>
      <c r="P95" s="992">
        <f t="shared" si="27"/>
        <v>56095.929499999998</v>
      </c>
      <c r="Q95" s="992"/>
      <c r="R95" s="968">
        <v>1</v>
      </c>
      <c r="S95" s="991">
        <f t="shared" si="28"/>
        <v>3.13</v>
      </c>
      <c r="T95" s="995">
        <f t="shared" si="29"/>
        <v>27012.347589999998</v>
      </c>
      <c r="U95" s="996">
        <f t="shared" si="30"/>
        <v>-0.51846153846153853</v>
      </c>
      <c r="V95" s="997" t="s">
        <v>1153</v>
      </c>
      <c r="W95" s="998" t="s">
        <v>1154</v>
      </c>
      <c r="X95" s="999">
        <f t="shared" si="31"/>
        <v>56095.929499999998</v>
      </c>
      <c r="Y95" s="999">
        <v>7052960</v>
      </c>
      <c r="Z95" s="999">
        <v>6142.86</v>
      </c>
      <c r="AA95" s="1001">
        <f t="shared" si="32"/>
        <v>7102913.0694999993</v>
      </c>
      <c r="AB95" s="1002">
        <v>650.49</v>
      </c>
      <c r="AC95" s="1008">
        <v>-13304.04</v>
      </c>
      <c r="AD95" s="1003">
        <f t="shared" si="33"/>
        <v>10919.3270757429</v>
      </c>
      <c r="AE95" s="1003">
        <f t="shared" si="34"/>
        <v>-533.891439705533</v>
      </c>
      <c r="AF95" s="1004">
        <f t="shared" si="35"/>
        <v>0</v>
      </c>
      <c r="AH95" s="964"/>
      <c r="AI95" s="964"/>
      <c r="AJ95" s="964"/>
      <c r="AK95" s="994"/>
      <c r="AL95" s="1010"/>
      <c r="AM95" s="1009"/>
      <c r="AN95" s="964"/>
      <c r="AO95" s="964"/>
      <c r="AP95" s="964"/>
      <c r="AQ95" s="964"/>
      <c r="AR95" s="964"/>
      <c r="AS95" s="964"/>
      <c r="AT95" s="964"/>
      <c r="AU95" s="964"/>
      <c r="AV95" s="964"/>
      <c r="AW95" s="964"/>
      <c r="AX95" s="964"/>
      <c r="AY95" s="964"/>
      <c r="AZ95" s="964"/>
      <c r="BA95" s="964"/>
      <c r="BB95" s="964"/>
      <c r="BC95" s="964"/>
      <c r="BD95" s="964"/>
      <c r="BE95" s="964"/>
      <c r="BF95" s="964"/>
      <c r="BG95" s="964"/>
      <c r="BH95" s="964"/>
      <c r="BI95" s="964"/>
      <c r="BJ95" s="964"/>
      <c r="BK95" s="964"/>
      <c r="BL95" s="964"/>
      <c r="BM95" s="964"/>
      <c r="BN95" s="964"/>
      <c r="BO95" s="964"/>
      <c r="BP95" s="964"/>
      <c r="BQ95" s="964"/>
      <c r="BR95" s="964"/>
      <c r="BS95" s="964"/>
      <c r="BT95" s="964"/>
      <c r="BU95" s="964"/>
    </row>
    <row r="96" spans="1:73" s="964" customFormat="1" ht="14.85" customHeight="1">
      <c r="A96" s="1005"/>
      <c r="B96" s="986" t="s">
        <v>1160</v>
      </c>
      <c r="C96" s="989" t="s">
        <v>1161</v>
      </c>
      <c r="D96" s="988" t="s">
        <v>494</v>
      </c>
      <c r="E96" s="989" t="s">
        <v>1162</v>
      </c>
      <c r="F96" s="990">
        <v>42283</v>
      </c>
      <c r="G96" s="1006">
        <v>11</v>
      </c>
      <c r="H96" s="1006">
        <v>14</v>
      </c>
      <c r="I96" s="1006">
        <v>16</v>
      </c>
      <c r="J96" s="1006">
        <v>14.67</v>
      </c>
      <c r="K96" s="992">
        <f t="shared" si="24"/>
        <v>14407.503000000001</v>
      </c>
      <c r="L96" s="993">
        <v>5000</v>
      </c>
      <c r="M96" s="993">
        <v>19407.503000000001</v>
      </c>
      <c r="N96" s="992">
        <f t="shared" si="25"/>
        <v>158482.533</v>
      </c>
      <c r="O96" s="994">
        <f t="shared" si="26"/>
        <v>55000</v>
      </c>
      <c r="P96" s="992">
        <f t="shared" si="27"/>
        <v>213482.533</v>
      </c>
      <c r="Q96" s="992"/>
      <c r="R96" s="968">
        <v>1</v>
      </c>
      <c r="S96" s="991">
        <f t="shared" si="28"/>
        <v>14.67</v>
      </c>
      <c r="T96" s="995">
        <f t="shared" si="29"/>
        <v>284708.06901000004</v>
      </c>
      <c r="U96" s="996">
        <f t="shared" si="30"/>
        <v>0.33363636363636373</v>
      </c>
      <c r="V96" s="997" t="s">
        <v>1163</v>
      </c>
      <c r="W96" s="998" t="s">
        <v>1164</v>
      </c>
      <c r="X96" s="999">
        <f t="shared" si="31"/>
        <v>213482.533</v>
      </c>
      <c r="Y96" s="999">
        <v>0</v>
      </c>
      <c r="Z96" s="999">
        <v>9853</v>
      </c>
      <c r="AA96" s="1001">
        <f t="shared" si="32"/>
        <v>203629.533</v>
      </c>
      <c r="AB96" s="1002">
        <v>0</v>
      </c>
      <c r="AC96" s="1008">
        <v>-37068</v>
      </c>
      <c r="AD96" s="1003" t="str">
        <f t="shared" si="33"/>
        <v>n/a</v>
      </c>
      <c r="AE96" s="1003">
        <f t="shared" si="34"/>
        <v>-5.4934049044998376</v>
      </c>
      <c r="AF96" s="1004">
        <f t="shared" si="35"/>
        <v>0</v>
      </c>
      <c r="AG96" s="979"/>
      <c r="AK96" s="994"/>
      <c r="AL96" s="1010"/>
      <c r="AM96" s="1009"/>
    </row>
    <row r="97" spans="1:73" s="964" customFormat="1" ht="14.85" customHeight="1">
      <c r="A97" s="1005"/>
      <c r="B97" s="986" t="s">
        <v>1169</v>
      </c>
      <c r="C97" s="989" t="s">
        <v>1170</v>
      </c>
      <c r="D97" s="988" t="s">
        <v>494</v>
      </c>
      <c r="E97" s="989" t="s">
        <v>1171</v>
      </c>
      <c r="F97" s="990">
        <v>42277</v>
      </c>
      <c r="G97" s="1006">
        <v>11</v>
      </c>
      <c r="H97" s="1006">
        <v>14</v>
      </c>
      <c r="I97" s="1006">
        <v>16</v>
      </c>
      <c r="J97" s="1006">
        <v>17.88</v>
      </c>
      <c r="K97" s="992">
        <f t="shared" si="24"/>
        <v>20181.25</v>
      </c>
      <c r="L97" s="993">
        <v>7315.1509999999998</v>
      </c>
      <c r="M97" s="993">
        <v>27496.401000000002</v>
      </c>
      <c r="N97" s="992">
        <f t="shared" si="25"/>
        <v>221993.75</v>
      </c>
      <c r="O97" s="994">
        <f t="shared" si="26"/>
        <v>80466.660999999993</v>
      </c>
      <c r="P97" s="992">
        <f t="shared" si="27"/>
        <v>302460.41099999996</v>
      </c>
      <c r="Q97" s="992"/>
      <c r="R97" s="968">
        <v>1</v>
      </c>
      <c r="S97" s="991">
        <f t="shared" si="28"/>
        <v>17.88</v>
      </c>
      <c r="T97" s="995">
        <f t="shared" si="29"/>
        <v>491635.64987999998</v>
      </c>
      <c r="U97" s="996">
        <f t="shared" si="30"/>
        <v>0.62545454545454549</v>
      </c>
      <c r="V97" s="997" t="s">
        <v>1172</v>
      </c>
      <c r="W97" s="998" t="s">
        <v>1173</v>
      </c>
      <c r="X97" s="999">
        <f t="shared" si="31"/>
        <v>302460.41099999996</v>
      </c>
      <c r="Y97" s="999">
        <v>5864400</v>
      </c>
      <c r="Z97" s="999">
        <v>58465.08</v>
      </c>
      <c r="AA97" s="1001">
        <f t="shared" si="32"/>
        <v>6108395.3310000002</v>
      </c>
      <c r="AB97" s="1002">
        <v>0</v>
      </c>
      <c r="AC97" s="1008">
        <v>-35591.700000000004</v>
      </c>
      <c r="AD97" s="1003" t="str">
        <f t="shared" si="33"/>
        <v>n/a</v>
      </c>
      <c r="AE97" s="1003">
        <f t="shared" si="34"/>
        <v>-171.62415200735001</v>
      </c>
      <c r="AF97" s="1004">
        <f t="shared" si="35"/>
        <v>0</v>
      </c>
      <c r="AG97" s="979"/>
      <c r="AK97" s="994"/>
      <c r="AL97" s="1010"/>
      <c r="AM97" s="1009"/>
    </row>
    <row r="98" spans="1:73" s="964" customFormat="1" ht="14.85" customHeight="1">
      <c r="A98" s="1005"/>
      <c r="B98" s="1046" t="s">
        <v>1175</v>
      </c>
      <c r="C98" s="989" t="s">
        <v>1176</v>
      </c>
      <c r="D98" s="988" t="s">
        <v>494</v>
      </c>
      <c r="E98" s="989" t="s">
        <v>1177</v>
      </c>
      <c r="F98" s="990">
        <v>42227</v>
      </c>
      <c r="G98" s="1006">
        <v>20</v>
      </c>
      <c r="H98" s="1006">
        <v>16</v>
      </c>
      <c r="I98" s="1006">
        <v>18</v>
      </c>
      <c r="J98" s="1006">
        <v>52.72</v>
      </c>
      <c r="K98" s="992">
        <f t="shared" si="24"/>
        <v>21808.456999999999</v>
      </c>
      <c r="L98" s="993">
        <v>6000</v>
      </c>
      <c r="M98" s="993">
        <v>27808.456999999999</v>
      </c>
      <c r="N98" s="992">
        <f t="shared" si="25"/>
        <v>436169.13999999996</v>
      </c>
      <c r="O98" s="994">
        <f t="shared" si="26"/>
        <v>120000</v>
      </c>
      <c r="P98" s="992">
        <f t="shared" si="27"/>
        <v>556169.1399999999</v>
      </c>
      <c r="Q98" s="992"/>
      <c r="R98" s="968">
        <v>1</v>
      </c>
      <c r="S98" s="991">
        <f t="shared" si="28"/>
        <v>52.72</v>
      </c>
      <c r="T98" s="995">
        <f t="shared" si="29"/>
        <v>1466061.85304</v>
      </c>
      <c r="U98" s="996">
        <f t="shared" si="30"/>
        <v>1.6360000000000006</v>
      </c>
      <c r="V98" s="1011" t="s">
        <v>1178</v>
      </c>
      <c r="W98" s="998" t="s">
        <v>1179</v>
      </c>
      <c r="X98" s="999">
        <f t="shared" si="31"/>
        <v>556169.1399999999</v>
      </c>
      <c r="Y98" s="999">
        <v>0</v>
      </c>
      <c r="Z98" s="999">
        <v>45800</v>
      </c>
      <c r="AA98" s="1001">
        <f t="shared" si="32"/>
        <v>510369.1399999999</v>
      </c>
      <c r="AB98" s="1002">
        <v>0</v>
      </c>
      <c r="AC98" s="1008">
        <v>-63892</v>
      </c>
      <c r="AD98" s="1003" t="str">
        <f t="shared" si="33"/>
        <v>n/a</v>
      </c>
      <c r="AE98" s="1003">
        <f t="shared" si="34"/>
        <v>-7.9879975583797647</v>
      </c>
      <c r="AF98" s="1004">
        <f t="shared" si="35"/>
        <v>0</v>
      </c>
      <c r="AG98" s="1014"/>
      <c r="AH98" s="1013"/>
      <c r="AI98" s="1014"/>
      <c r="AJ98" s="1014"/>
      <c r="AK98" s="1013"/>
      <c r="AL98" s="1010"/>
      <c r="AM98" s="1009"/>
      <c r="AN98" s="1011"/>
      <c r="AO98" s="1016"/>
      <c r="AP98" s="1016"/>
    </row>
    <row r="99" spans="1:73" s="964" customFormat="1" ht="14.85" customHeight="1">
      <c r="A99" s="1005"/>
      <c r="B99" s="986" t="s">
        <v>1180</v>
      </c>
      <c r="C99" s="989" t="s">
        <v>1181</v>
      </c>
      <c r="D99" s="988" t="s">
        <v>494</v>
      </c>
      <c r="E99" s="989" t="s">
        <v>1182</v>
      </c>
      <c r="F99" s="990">
        <v>42221</v>
      </c>
      <c r="G99" s="1006">
        <v>16</v>
      </c>
      <c r="H99" s="1006">
        <v>14</v>
      </c>
      <c r="I99" s="1006">
        <v>16</v>
      </c>
      <c r="J99" s="1006">
        <v>22.59</v>
      </c>
      <c r="K99" s="992">
        <f t="shared" si="24"/>
        <v>30679.538</v>
      </c>
      <c r="L99" s="993">
        <v>10000</v>
      </c>
      <c r="M99" s="993">
        <v>40679.538</v>
      </c>
      <c r="N99" s="992">
        <f t="shared" si="25"/>
        <v>490872.60800000001</v>
      </c>
      <c r="O99" s="994">
        <f t="shared" si="26"/>
        <v>160000</v>
      </c>
      <c r="P99" s="992">
        <f t="shared" si="27"/>
        <v>650872.60800000001</v>
      </c>
      <c r="Q99" s="992"/>
      <c r="R99" s="968">
        <v>1</v>
      </c>
      <c r="S99" s="991">
        <f t="shared" si="28"/>
        <v>22.59</v>
      </c>
      <c r="T99" s="995">
        <f t="shared" si="29"/>
        <v>918950.76341999997</v>
      </c>
      <c r="U99" s="996">
        <f t="shared" si="30"/>
        <v>0.41187499999999999</v>
      </c>
      <c r="V99" s="997" t="s">
        <v>1183</v>
      </c>
      <c r="W99" s="998" t="s">
        <v>1184</v>
      </c>
      <c r="X99" s="999">
        <f t="shared" si="31"/>
        <v>650872.60800000001</v>
      </c>
      <c r="Y99" s="999">
        <v>0</v>
      </c>
      <c r="Z99" s="999">
        <v>65313</v>
      </c>
      <c r="AA99" s="1001">
        <f t="shared" si="32"/>
        <v>585559.60800000001</v>
      </c>
      <c r="AB99" s="1002">
        <v>0</v>
      </c>
      <c r="AC99" s="1008">
        <v>-58822</v>
      </c>
      <c r="AD99" s="1003" t="str">
        <f t="shared" si="33"/>
        <v>n/a</v>
      </c>
      <c r="AE99" s="1003">
        <f t="shared" si="34"/>
        <v>-9.9547721600761623</v>
      </c>
      <c r="AF99" s="1004">
        <f t="shared" si="35"/>
        <v>0</v>
      </c>
      <c r="AG99" s="979"/>
      <c r="AK99" s="994"/>
      <c r="AL99" s="1010"/>
      <c r="AM99" s="1009"/>
    </row>
    <row r="100" spans="1:73" s="964" customFormat="1" ht="14.85" customHeight="1">
      <c r="A100" s="1047"/>
      <c r="B100" s="986" t="s">
        <v>755</v>
      </c>
      <c r="C100" s="989" t="s">
        <v>753</v>
      </c>
      <c r="D100" s="988" t="s">
        <v>494</v>
      </c>
      <c r="E100" s="989" t="s">
        <v>1190</v>
      </c>
      <c r="F100" s="990">
        <v>42213</v>
      </c>
      <c r="G100" s="1006">
        <v>25</v>
      </c>
      <c r="H100" s="1006">
        <v>20</v>
      </c>
      <c r="I100" s="1006">
        <v>23</v>
      </c>
      <c r="J100" s="1006">
        <v>19.510000000000002</v>
      </c>
      <c r="K100" s="992">
        <f t="shared" si="24"/>
        <v>70643.631999999998</v>
      </c>
      <c r="L100" s="993">
        <v>8288</v>
      </c>
      <c r="M100" s="993">
        <v>78931.631999999998</v>
      </c>
      <c r="N100" s="992">
        <f t="shared" si="25"/>
        <v>1766090.8</v>
      </c>
      <c r="O100" s="994">
        <f t="shared" si="26"/>
        <v>207200</v>
      </c>
      <c r="P100" s="992">
        <f t="shared" si="27"/>
        <v>1973290.8</v>
      </c>
      <c r="Q100" s="992"/>
      <c r="R100" s="968">
        <v>1</v>
      </c>
      <c r="S100" s="991">
        <f t="shared" si="28"/>
        <v>19.510000000000002</v>
      </c>
      <c r="T100" s="995">
        <f t="shared" si="29"/>
        <v>1539956.14032</v>
      </c>
      <c r="U100" s="996">
        <f t="shared" si="30"/>
        <v>-0.21960000000000002</v>
      </c>
      <c r="V100" s="997" t="s">
        <v>754</v>
      </c>
      <c r="W100" s="998" t="s">
        <v>756</v>
      </c>
      <c r="X100" s="999">
        <f t="shared" si="31"/>
        <v>1973290.8</v>
      </c>
      <c r="Y100" s="999">
        <v>0</v>
      </c>
      <c r="Z100" s="999">
        <v>49854</v>
      </c>
      <c r="AA100" s="1001">
        <f t="shared" si="32"/>
        <v>1923436.8</v>
      </c>
      <c r="AB100" s="1002">
        <v>43</v>
      </c>
      <c r="AC100" s="1008">
        <v>-141477</v>
      </c>
      <c r="AD100" s="1003">
        <f t="shared" si="33"/>
        <v>44731.088372093021</v>
      </c>
      <c r="AE100" s="1003">
        <f t="shared" si="34"/>
        <v>-13.595402786318624</v>
      </c>
      <c r="AF100" s="1004">
        <f t="shared" si="35"/>
        <v>0</v>
      </c>
      <c r="AG100" s="979"/>
      <c r="AK100" s="994"/>
      <c r="AL100" s="1010"/>
      <c r="AM100" s="1009"/>
    </row>
    <row r="101" spans="1:73" s="964" customFormat="1" ht="14.85" customHeight="1">
      <c r="A101" s="1005"/>
      <c r="B101" s="986" t="s">
        <v>1201</v>
      </c>
      <c r="C101" s="989" t="s">
        <v>1202</v>
      </c>
      <c r="D101" s="988" t="s">
        <v>494</v>
      </c>
      <c r="E101" s="989" t="s">
        <v>1203</v>
      </c>
      <c r="F101" s="990">
        <v>42180</v>
      </c>
      <c r="G101" s="1006">
        <v>18</v>
      </c>
      <c r="H101" s="1006">
        <v>15</v>
      </c>
      <c r="I101" s="1006">
        <v>17</v>
      </c>
      <c r="J101" s="1006">
        <v>38.200000000000003</v>
      </c>
      <c r="K101" s="992">
        <f t="shared" si="24"/>
        <v>30403.502</v>
      </c>
      <c r="L101" s="993">
        <v>7430.5550000000003</v>
      </c>
      <c r="M101" s="993">
        <v>37834.057000000001</v>
      </c>
      <c r="N101" s="992">
        <f t="shared" si="25"/>
        <v>547263.03599999996</v>
      </c>
      <c r="O101" s="994">
        <f t="shared" si="26"/>
        <v>133749.99</v>
      </c>
      <c r="P101" s="992">
        <f t="shared" si="27"/>
        <v>681013.02599999995</v>
      </c>
      <c r="Q101" s="992"/>
      <c r="R101" s="968">
        <v>1</v>
      </c>
      <c r="S101" s="991">
        <f t="shared" si="28"/>
        <v>38.200000000000003</v>
      </c>
      <c r="T101" s="995">
        <f t="shared" si="29"/>
        <v>1445260.9774000002</v>
      </c>
      <c r="U101" s="996">
        <f t="shared" si="30"/>
        <v>1.1222222222222227</v>
      </c>
      <c r="V101" s="1011" t="s">
        <v>1204</v>
      </c>
      <c r="W101" s="998" t="s">
        <v>1205</v>
      </c>
      <c r="X101" s="999">
        <f t="shared" si="31"/>
        <v>681013.02599999995</v>
      </c>
      <c r="Y101" s="999">
        <v>2216000</v>
      </c>
      <c r="Z101" s="999">
        <v>45045</v>
      </c>
      <c r="AA101" s="1001">
        <f t="shared" si="32"/>
        <v>2851968.0260000001</v>
      </c>
      <c r="AB101" s="1002">
        <v>5714</v>
      </c>
      <c r="AC101" s="1008">
        <v>-80629</v>
      </c>
      <c r="AD101" s="1003">
        <f t="shared" si="33"/>
        <v>499.11936051802593</v>
      </c>
      <c r="AE101" s="1003">
        <f t="shared" si="34"/>
        <v>-35.371491969390668</v>
      </c>
      <c r="AF101" s="1004">
        <f t="shared" si="35"/>
        <v>0</v>
      </c>
      <c r="AG101" s="1014"/>
      <c r="AH101" s="1013"/>
      <c r="AI101" s="1014"/>
      <c r="AJ101" s="1015"/>
      <c r="AK101" s="1013"/>
      <c r="AL101" s="1010"/>
      <c r="AM101" s="1009"/>
      <c r="AN101" s="1011"/>
      <c r="AO101" s="1016"/>
      <c r="AP101" s="1016"/>
    </row>
    <row r="102" spans="1:73" s="964" customFormat="1" ht="14.85" customHeight="1">
      <c r="A102" s="1005"/>
      <c r="B102" s="986" t="s">
        <v>1210</v>
      </c>
      <c r="C102" s="989" t="s">
        <v>1211</v>
      </c>
      <c r="D102" s="988" t="s">
        <v>1307</v>
      </c>
      <c r="E102" s="989" t="s">
        <v>1213</v>
      </c>
      <c r="F102" s="990">
        <v>42179</v>
      </c>
      <c r="G102" s="1006">
        <v>5</v>
      </c>
      <c r="H102" s="1006">
        <v>0</v>
      </c>
      <c r="I102" s="1006">
        <v>0</v>
      </c>
      <c r="J102" s="1006">
        <v>4.1599000000000004</v>
      </c>
      <c r="K102" s="992">
        <f t="shared" si="24"/>
        <v>3788.0600000000004</v>
      </c>
      <c r="L102" s="993">
        <v>4000</v>
      </c>
      <c r="M102" s="993">
        <v>7788.06</v>
      </c>
      <c r="N102" s="992">
        <f t="shared" si="25"/>
        <v>18940.300000000003</v>
      </c>
      <c r="O102" s="994">
        <f t="shared" si="26"/>
        <v>20000</v>
      </c>
      <c r="P102" s="992">
        <f t="shared" si="27"/>
        <v>38940.300000000003</v>
      </c>
      <c r="Q102" s="992"/>
      <c r="R102" s="968">
        <v>1</v>
      </c>
      <c r="S102" s="991">
        <f t="shared" si="28"/>
        <v>4.1599000000000004</v>
      </c>
      <c r="T102" s="995">
        <f t="shared" si="29"/>
        <v>32397.550794000006</v>
      </c>
      <c r="U102" s="996">
        <f t="shared" si="30"/>
        <v>-0.16801999999999995</v>
      </c>
      <c r="V102" s="997" t="s">
        <v>1214</v>
      </c>
      <c r="W102" s="998" t="s">
        <v>1215</v>
      </c>
      <c r="X102" s="999">
        <f t="shared" si="31"/>
        <v>38940.300000000003</v>
      </c>
      <c r="Y102" s="999">
        <v>0</v>
      </c>
      <c r="Z102" s="999">
        <v>1975.31</v>
      </c>
      <c r="AA102" s="1001">
        <f t="shared" si="32"/>
        <v>36964.990000000005</v>
      </c>
      <c r="AB102" s="1002">
        <v>0</v>
      </c>
      <c r="AC102" s="1008">
        <v>-12714.72</v>
      </c>
      <c r="AD102" s="1003" t="str">
        <f t="shared" si="33"/>
        <v>n/a</v>
      </c>
      <c r="AE102" s="1003">
        <f t="shared" si="34"/>
        <v>-2.9072594599015948</v>
      </c>
      <c r="AF102" s="1004">
        <f t="shared" si="35"/>
        <v>0</v>
      </c>
      <c r="AG102" s="979"/>
      <c r="AK102" s="994"/>
      <c r="AL102" s="1010"/>
      <c r="AM102" s="1009"/>
    </row>
    <row r="103" spans="1:73" s="964" customFormat="1" ht="14.85" customHeight="1">
      <c r="A103" s="1005"/>
      <c r="B103" s="986" t="s">
        <v>1249</v>
      </c>
      <c r="C103" s="989" t="s">
        <v>1250</v>
      </c>
      <c r="D103" s="988" t="s">
        <v>494</v>
      </c>
      <c r="E103" s="989" t="s">
        <v>1251</v>
      </c>
      <c r="F103" s="990">
        <v>42109</v>
      </c>
      <c r="G103" s="1006">
        <v>11</v>
      </c>
      <c r="H103" s="1006">
        <v>12</v>
      </c>
      <c r="I103" s="1006">
        <v>14</v>
      </c>
      <c r="J103" s="1006">
        <v>12.5</v>
      </c>
      <c r="K103" s="992">
        <f t="shared" si="24"/>
        <v>8371.7650000000012</v>
      </c>
      <c r="L103" s="993">
        <v>5090.9089999999997</v>
      </c>
      <c r="M103" s="993">
        <v>13462.674000000001</v>
      </c>
      <c r="N103" s="992">
        <f t="shared" si="25"/>
        <v>92089.415000000008</v>
      </c>
      <c r="O103" s="994">
        <f t="shared" si="26"/>
        <v>55999.998999999996</v>
      </c>
      <c r="P103" s="992">
        <f t="shared" si="27"/>
        <v>148089.41399999999</v>
      </c>
      <c r="Q103" s="992"/>
      <c r="R103" s="968">
        <v>1</v>
      </c>
      <c r="S103" s="991">
        <f t="shared" si="28"/>
        <v>12.5</v>
      </c>
      <c r="T103" s="995">
        <f t="shared" si="29"/>
        <v>168283.42500000002</v>
      </c>
      <c r="U103" s="996">
        <f t="shared" si="30"/>
        <v>0.13636363636363646</v>
      </c>
      <c r="V103" s="1011" t="s">
        <v>1252</v>
      </c>
      <c r="W103" s="998" t="s">
        <v>1253</v>
      </c>
      <c r="X103" s="999">
        <f t="shared" si="31"/>
        <v>148089.41399999999</v>
      </c>
      <c r="Y103" s="999">
        <v>18146520</v>
      </c>
      <c r="Z103" s="999">
        <v>10255.02</v>
      </c>
      <c r="AA103" s="1001">
        <f t="shared" si="32"/>
        <v>18284354.394000001</v>
      </c>
      <c r="AB103" s="1002">
        <v>0</v>
      </c>
      <c r="AC103" s="1008">
        <v>-29908</v>
      </c>
      <c r="AD103" s="1003" t="str">
        <f t="shared" si="33"/>
        <v>n/a</v>
      </c>
      <c r="AE103" s="1003">
        <f t="shared" si="34"/>
        <v>-611.35329657616694</v>
      </c>
      <c r="AF103" s="1004">
        <f t="shared" si="35"/>
        <v>0</v>
      </c>
      <c r="AG103" s="1012"/>
      <c r="AH103" s="1012"/>
      <c r="AI103" s="1012"/>
      <c r="AJ103" s="1012"/>
      <c r="AK103" s="1013"/>
      <c r="AL103" s="1010"/>
      <c r="AM103" s="1009"/>
      <c r="AN103" s="1012"/>
      <c r="AO103" s="1012"/>
      <c r="AP103" s="1012"/>
      <c r="AQ103" s="1012"/>
      <c r="AR103" s="1012"/>
      <c r="AS103" s="1012"/>
      <c r="AT103" s="1012"/>
      <c r="AU103" s="1012"/>
      <c r="AV103" s="1012"/>
      <c r="AW103" s="1012"/>
      <c r="AX103" s="1012"/>
      <c r="AY103" s="1012"/>
      <c r="AZ103" s="1012"/>
      <c r="BA103" s="1012"/>
      <c r="BB103" s="1012"/>
      <c r="BC103" s="1012"/>
      <c r="BD103" s="1012"/>
      <c r="BE103" s="1012"/>
      <c r="BF103" s="1012"/>
      <c r="BG103" s="1012"/>
      <c r="BH103" s="1012"/>
      <c r="BI103" s="1012"/>
      <c r="BJ103" s="1012"/>
      <c r="BK103" s="1012"/>
      <c r="BL103" s="1012"/>
      <c r="BM103" s="1012"/>
      <c r="BN103" s="1012"/>
      <c r="BO103" s="1012"/>
      <c r="BP103" s="1012"/>
      <c r="BQ103" s="1012"/>
      <c r="BR103" s="1012"/>
      <c r="BS103" s="1012"/>
      <c r="BT103" s="1012"/>
      <c r="BU103" s="1012"/>
    </row>
    <row r="104" spans="1:73" s="1012" customFormat="1" ht="14.85" customHeight="1">
      <c r="A104" s="1005"/>
      <c r="B104" s="986" t="s">
        <v>1259</v>
      </c>
      <c r="C104" s="989" t="s">
        <v>1260</v>
      </c>
      <c r="D104" s="988" t="s">
        <v>1212</v>
      </c>
      <c r="E104" s="989" t="s">
        <v>1261</v>
      </c>
      <c r="F104" s="990">
        <v>42108</v>
      </c>
      <c r="G104" s="1006">
        <v>17</v>
      </c>
      <c r="H104" s="1006">
        <v>14</v>
      </c>
      <c r="I104" s="1006">
        <v>16</v>
      </c>
      <c r="J104" s="1006">
        <v>31.47</v>
      </c>
      <c r="K104" s="992">
        <f t="shared" si="24"/>
        <v>51950.504000000001</v>
      </c>
      <c r="L104" s="993">
        <v>7000</v>
      </c>
      <c r="M104" s="993">
        <v>58950.504000000001</v>
      </c>
      <c r="N104" s="992">
        <f t="shared" si="25"/>
        <v>883158.56799999997</v>
      </c>
      <c r="O104" s="994">
        <f t="shared" si="26"/>
        <v>119000</v>
      </c>
      <c r="P104" s="992">
        <f t="shared" si="27"/>
        <v>1002158.568</v>
      </c>
      <c r="Q104" s="992"/>
      <c r="R104" s="968">
        <v>1</v>
      </c>
      <c r="S104" s="991">
        <f t="shared" si="28"/>
        <v>31.47</v>
      </c>
      <c r="T104" s="995">
        <f t="shared" si="29"/>
        <v>1855172.3608800001</v>
      </c>
      <c r="U104" s="996">
        <f t="shared" si="30"/>
        <v>0.85117647058823542</v>
      </c>
      <c r="V104" s="998" t="s">
        <v>1262</v>
      </c>
      <c r="W104" s="998" t="s">
        <v>1531</v>
      </c>
      <c r="X104" s="999">
        <f t="shared" si="31"/>
        <v>1002158.568</v>
      </c>
      <c r="Y104" s="999">
        <v>0</v>
      </c>
      <c r="Z104" s="999">
        <v>119456</v>
      </c>
      <c r="AA104" s="1001">
        <f t="shared" si="32"/>
        <v>882702.56799999997</v>
      </c>
      <c r="AB104" s="1002">
        <v>96531</v>
      </c>
      <c r="AC104" s="1008">
        <v>-17434</v>
      </c>
      <c r="AD104" s="1003">
        <f t="shared" si="33"/>
        <v>9.1442393428017947</v>
      </c>
      <c r="AE104" s="1003">
        <f t="shared" si="34"/>
        <v>-50.63109831364001</v>
      </c>
      <c r="AF104" s="1004">
        <f t="shared" si="35"/>
        <v>0</v>
      </c>
      <c r="AG104" s="964"/>
      <c r="AH104" s="964"/>
      <c r="AI104" s="1049"/>
      <c r="AJ104" s="994"/>
      <c r="AK104" s="1010"/>
      <c r="AL104" s="1009"/>
      <c r="AM104" s="964"/>
      <c r="AN104" s="964"/>
      <c r="AO104" s="964"/>
    </row>
    <row r="105" spans="1:73" s="1012" customFormat="1" ht="14.85" customHeight="1">
      <c r="A105" s="1005"/>
      <c r="B105" s="986" t="s">
        <v>1268</v>
      </c>
      <c r="C105" s="989" t="s">
        <v>1269</v>
      </c>
      <c r="D105" s="988" t="s">
        <v>494</v>
      </c>
      <c r="E105" s="989" t="s">
        <v>1270</v>
      </c>
      <c r="F105" s="990">
        <v>42053</v>
      </c>
      <c r="G105" s="1006">
        <v>6</v>
      </c>
      <c r="H105" s="1006">
        <v>13</v>
      </c>
      <c r="I105" s="1006">
        <v>15</v>
      </c>
      <c r="J105" s="1006">
        <v>5.75</v>
      </c>
      <c r="K105" s="992">
        <f t="shared" si="24"/>
        <v>9210.49</v>
      </c>
      <c r="L105" s="993">
        <v>6667</v>
      </c>
      <c r="M105" s="993">
        <v>15877.49</v>
      </c>
      <c r="N105" s="992">
        <f t="shared" si="25"/>
        <v>55262.94</v>
      </c>
      <c r="O105" s="994">
        <f t="shared" si="26"/>
        <v>40002</v>
      </c>
      <c r="P105" s="992">
        <f t="shared" si="27"/>
        <v>95264.94</v>
      </c>
      <c r="Q105" s="992"/>
      <c r="R105" s="968">
        <v>1</v>
      </c>
      <c r="S105" s="991">
        <f t="shared" si="28"/>
        <v>5.75</v>
      </c>
      <c r="T105" s="995">
        <f t="shared" si="29"/>
        <v>91295.567500000005</v>
      </c>
      <c r="U105" s="996">
        <f t="shared" si="30"/>
        <v>-4.166666666666663E-2</v>
      </c>
      <c r="V105" s="998" t="s">
        <v>1271</v>
      </c>
      <c r="W105" s="998" t="s">
        <v>1272</v>
      </c>
      <c r="X105" s="999">
        <f t="shared" si="31"/>
        <v>95264.94</v>
      </c>
      <c r="Y105" s="999">
        <v>6274000</v>
      </c>
      <c r="Z105" s="999">
        <v>5357</v>
      </c>
      <c r="AA105" s="1001">
        <f t="shared" si="32"/>
        <v>6363907.9400000004</v>
      </c>
      <c r="AB105" s="1002">
        <v>0</v>
      </c>
      <c r="AC105" s="1008">
        <v>-32466</v>
      </c>
      <c r="AD105" s="1003" t="str">
        <f t="shared" si="33"/>
        <v>n/a</v>
      </c>
      <c r="AE105" s="1003">
        <f t="shared" si="34"/>
        <v>-196.01761658350276</v>
      </c>
      <c r="AF105" s="1004">
        <f t="shared" si="35"/>
        <v>0</v>
      </c>
      <c r="AG105" s="964"/>
      <c r="AH105" s="964"/>
      <c r="AI105" s="1049"/>
      <c r="AJ105" s="994"/>
      <c r="AK105" s="1010"/>
      <c r="AL105" s="1009"/>
      <c r="AM105" s="964"/>
      <c r="AN105" s="964"/>
      <c r="AO105" s="964"/>
    </row>
    <row r="106" spans="1:73" s="1012" customFormat="1" ht="14.85" customHeight="1">
      <c r="A106" s="1005"/>
      <c r="B106" s="986" t="s">
        <v>1273</v>
      </c>
      <c r="C106" s="989" t="s">
        <v>1274</v>
      </c>
      <c r="D106" s="988" t="s">
        <v>494</v>
      </c>
      <c r="E106" s="989" t="s">
        <v>1275</v>
      </c>
      <c r="F106" s="990">
        <v>42048</v>
      </c>
      <c r="G106" s="1006">
        <v>12</v>
      </c>
      <c r="H106" s="1006">
        <v>14</v>
      </c>
      <c r="I106" s="1006">
        <v>16</v>
      </c>
      <c r="J106" s="1006">
        <v>9.75</v>
      </c>
      <c r="K106" s="992">
        <f t="shared" si="24"/>
        <v>7905.3259999999991</v>
      </c>
      <c r="L106" s="993">
        <v>5000</v>
      </c>
      <c r="M106" s="993">
        <v>12905.325999999999</v>
      </c>
      <c r="N106" s="992">
        <f t="shared" si="25"/>
        <v>94863.911999999982</v>
      </c>
      <c r="O106" s="994">
        <f t="shared" si="26"/>
        <v>60000</v>
      </c>
      <c r="P106" s="992">
        <f t="shared" si="27"/>
        <v>154863.91199999998</v>
      </c>
      <c r="Q106" s="992"/>
      <c r="R106" s="968">
        <v>1</v>
      </c>
      <c r="S106" s="991">
        <f t="shared" si="28"/>
        <v>9.75</v>
      </c>
      <c r="T106" s="995">
        <f t="shared" si="29"/>
        <v>125826.92849999999</v>
      </c>
      <c r="U106" s="996">
        <f t="shared" si="30"/>
        <v>-0.18749999999999989</v>
      </c>
      <c r="V106" s="998" t="s">
        <v>1276</v>
      </c>
      <c r="W106" s="998" t="s">
        <v>1277</v>
      </c>
      <c r="X106" s="999">
        <f t="shared" si="31"/>
        <v>154863.91199999998</v>
      </c>
      <c r="Y106" s="999">
        <v>0</v>
      </c>
      <c r="Z106" s="999">
        <v>30605</v>
      </c>
      <c r="AA106" s="1001">
        <f t="shared" si="32"/>
        <v>124258.91199999998</v>
      </c>
      <c r="AB106" s="1002">
        <v>0</v>
      </c>
      <c r="AC106" s="1008">
        <v>-32861</v>
      </c>
      <c r="AD106" s="1003" t="str">
        <f t="shared" si="33"/>
        <v>n/a</v>
      </c>
      <c r="AE106" s="1003">
        <f t="shared" si="34"/>
        <v>-3.7813490764127682</v>
      </c>
      <c r="AF106" s="1004">
        <f t="shared" si="35"/>
        <v>0</v>
      </c>
      <c r="AG106" s="964"/>
      <c r="AH106" s="964"/>
      <c r="AI106" s="1049"/>
      <c r="AJ106" s="994"/>
      <c r="AK106" s="1010"/>
      <c r="AL106" s="1009"/>
      <c r="AM106" s="964"/>
      <c r="AN106" s="964"/>
      <c r="AO106" s="964"/>
    </row>
    <row r="107" spans="1:73" s="1012" customFormat="1" ht="14.85" customHeight="1">
      <c r="A107" s="1005"/>
      <c r="B107" s="986" t="s">
        <v>805</v>
      </c>
      <c r="C107" s="989" t="s">
        <v>1284</v>
      </c>
      <c r="D107" s="988" t="s">
        <v>494</v>
      </c>
      <c r="E107" s="989" t="s">
        <v>1285</v>
      </c>
      <c r="F107" s="990">
        <v>42033</v>
      </c>
      <c r="G107" s="1006">
        <v>10</v>
      </c>
      <c r="H107" s="1006">
        <v>12</v>
      </c>
      <c r="I107" s="1006">
        <v>14</v>
      </c>
      <c r="J107" s="1006">
        <v>13.43</v>
      </c>
      <c r="K107" s="992">
        <f t="shared" si="24"/>
        <v>8492.8060000000005</v>
      </c>
      <c r="L107" s="993">
        <v>3600</v>
      </c>
      <c r="M107" s="993">
        <v>12092.806</v>
      </c>
      <c r="N107" s="992">
        <f t="shared" si="25"/>
        <v>84928.06</v>
      </c>
      <c r="O107" s="994">
        <f t="shared" si="26"/>
        <v>36000</v>
      </c>
      <c r="P107" s="992">
        <f t="shared" si="27"/>
        <v>120928.06</v>
      </c>
      <c r="Q107" s="992"/>
      <c r="R107" s="968">
        <v>1</v>
      </c>
      <c r="S107" s="991">
        <f t="shared" si="28"/>
        <v>13.43</v>
      </c>
      <c r="T107" s="995">
        <f t="shared" si="29"/>
        <v>162406.38458000001</v>
      </c>
      <c r="U107" s="996">
        <f t="shared" si="30"/>
        <v>0.34300000000000019</v>
      </c>
      <c r="V107" s="998" t="s">
        <v>1286</v>
      </c>
      <c r="W107" s="998" t="s">
        <v>1287</v>
      </c>
      <c r="X107" s="999">
        <f t="shared" si="31"/>
        <v>120928.06</v>
      </c>
      <c r="Y107" s="999">
        <v>9464000</v>
      </c>
      <c r="Z107" s="999">
        <v>39207</v>
      </c>
      <c r="AA107" s="1001">
        <f t="shared" si="32"/>
        <v>9545721.0600000005</v>
      </c>
      <c r="AB107" s="1002">
        <v>4592</v>
      </c>
      <c r="AC107" s="1008">
        <v>-31294</v>
      </c>
      <c r="AD107" s="1003">
        <f t="shared" si="33"/>
        <v>2078.7720078397215</v>
      </c>
      <c r="AE107" s="1003">
        <f t="shared" si="34"/>
        <v>-305.03358663002496</v>
      </c>
      <c r="AF107" s="1004">
        <f t="shared" si="35"/>
        <v>0</v>
      </c>
      <c r="AI107" s="1050"/>
      <c r="AJ107" s="1013"/>
      <c r="AK107" s="1010"/>
      <c r="AL107" s="1009"/>
    </row>
    <row r="108" spans="1:73" s="1012" customFormat="1" ht="14.85" customHeight="1">
      <c r="A108" s="1005"/>
      <c r="B108" s="986" t="s">
        <v>1292</v>
      </c>
      <c r="C108" s="989" t="s">
        <v>1293</v>
      </c>
      <c r="D108" s="988" t="s">
        <v>494</v>
      </c>
      <c r="E108" s="989" t="s">
        <v>1294</v>
      </c>
      <c r="F108" s="990">
        <v>42030</v>
      </c>
      <c r="G108" s="1006">
        <v>11</v>
      </c>
      <c r="H108" s="1006">
        <v>10</v>
      </c>
      <c r="I108" s="1006">
        <v>12</v>
      </c>
      <c r="J108" s="1006">
        <v>11.04</v>
      </c>
      <c r="K108" s="992">
        <f t="shared" si="24"/>
        <v>7316.1119999999992</v>
      </c>
      <c r="L108" s="993">
        <v>4500</v>
      </c>
      <c r="M108" s="993">
        <v>11816.111999999999</v>
      </c>
      <c r="N108" s="992">
        <f t="shared" si="25"/>
        <v>80477.231999999989</v>
      </c>
      <c r="O108" s="994">
        <f t="shared" si="26"/>
        <v>49500</v>
      </c>
      <c r="P108" s="992">
        <f t="shared" si="27"/>
        <v>129977.23199999999</v>
      </c>
      <c r="Q108" s="992"/>
      <c r="R108" s="968">
        <v>1</v>
      </c>
      <c r="S108" s="991">
        <f t="shared" si="28"/>
        <v>11.04</v>
      </c>
      <c r="T108" s="995">
        <f t="shared" si="29"/>
        <v>130449.87647999998</v>
      </c>
      <c r="U108" s="996">
        <f t="shared" si="30"/>
        <v>3.6363636363634377E-3</v>
      </c>
      <c r="V108" s="998" t="s">
        <v>1295</v>
      </c>
      <c r="W108" s="998" t="s">
        <v>1296</v>
      </c>
      <c r="X108" s="999">
        <f t="shared" si="31"/>
        <v>129977.23199999999</v>
      </c>
      <c r="Y108" s="999">
        <v>20263000</v>
      </c>
      <c r="Z108" s="999">
        <v>2303</v>
      </c>
      <c r="AA108" s="1001">
        <f t="shared" si="32"/>
        <v>20390674.232000001</v>
      </c>
      <c r="AB108" s="1002">
        <v>0</v>
      </c>
      <c r="AC108" s="1008">
        <v>-26747</v>
      </c>
      <c r="AD108" s="1003" t="str">
        <f t="shared" si="33"/>
        <v>n/a</v>
      </c>
      <c r="AE108" s="1003">
        <f t="shared" si="34"/>
        <v>-762.35369319923734</v>
      </c>
      <c r="AF108" s="1004">
        <f t="shared" si="35"/>
        <v>0</v>
      </c>
      <c r="AG108" s="964"/>
      <c r="AH108" s="964"/>
      <c r="AI108" s="964"/>
      <c r="AJ108" s="994"/>
      <c r="AK108" s="1010"/>
      <c r="AL108" s="1009"/>
      <c r="AM108" s="964"/>
      <c r="AN108" s="964"/>
      <c r="AO108" s="964"/>
    </row>
    <row r="109" spans="1:73" s="1012" customFormat="1" ht="14.85" customHeight="1">
      <c r="A109" s="1047"/>
      <c r="B109" s="986" t="s">
        <v>1297</v>
      </c>
      <c r="C109" s="989" t="s">
        <v>1298</v>
      </c>
      <c r="D109" s="988" t="s">
        <v>494</v>
      </c>
      <c r="E109" s="989" t="s">
        <v>1299</v>
      </c>
      <c r="F109" s="990">
        <v>41991</v>
      </c>
      <c r="G109" s="1006">
        <v>19</v>
      </c>
      <c r="H109" s="1006">
        <v>15</v>
      </c>
      <c r="I109" s="1006">
        <v>17</v>
      </c>
      <c r="J109" s="1006">
        <v>29.13</v>
      </c>
      <c r="K109" s="992">
        <f t="shared" si="24"/>
        <v>18499.571</v>
      </c>
      <c r="L109" s="993">
        <v>8452.5</v>
      </c>
      <c r="M109" s="993">
        <v>26952.071</v>
      </c>
      <c r="N109" s="992">
        <f t="shared" si="25"/>
        <v>351491.84899999999</v>
      </c>
      <c r="O109" s="994">
        <f t="shared" si="26"/>
        <v>160597.5</v>
      </c>
      <c r="P109" s="992">
        <f t="shared" si="27"/>
        <v>512089.34899999999</v>
      </c>
      <c r="Q109" s="992"/>
      <c r="R109" s="968">
        <v>1</v>
      </c>
      <c r="S109" s="991">
        <f t="shared" si="28"/>
        <v>29.13</v>
      </c>
      <c r="T109" s="995">
        <f t="shared" si="29"/>
        <v>785113.82822999998</v>
      </c>
      <c r="U109" s="996">
        <f t="shared" si="30"/>
        <v>0.53315789473684205</v>
      </c>
      <c r="V109" s="998" t="s">
        <v>1300</v>
      </c>
      <c r="W109" s="998" t="s">
        <v>1301</v>
      </c>
      <c r="X109" s="999">
        <f t="shared" si="31"/>
        <v>512089.34899999999</v>
      </c>
      <c r="Y109" s="999">
        <v>35663310</v>
      </c>
      <c r="Z109" s="999">
        <v>213469</v>
      </c>
      <c r="AA109" s="1001">
        <f t="shared" si="32"/>
        <v>35961930.348999999</v>
      </c>
      <c r="AB109" s="1002">
        <v>284</v>
      </c>
      <c r="AC109" s="1008">
        <v>-60286</v>
      </c>
      <c r="AD109" s="1003">
        <f t="shared" si="33"/>
        <v>126626.51531338028</v>
      </c>
      <c r="AE109" s="1003">
        <f t="shared" si="34"/>
        <v>-596.52208388348868</v>
      </c>
      <c r="AF109" s="1004">
        <f t="shared" si="35"/>
        <v>0</v>
      </c>
      <c r="AG109" s="964"/>
      <c r="AH109" s="964"/>
      <c r="AI109" s="964"/>
      <c r="AJ109" s="994"/>
      <c r="AK109" s="1010"/>
      <c r="AL109" s="1009"/>
      <c r="AM109" s="964"/>
      <c r="AN109" s="964"/>
      <c r="AO109" s="964"/>
    </row>
    <row r="110" spans="1:73" s="1012" customFormat="1" ht="14.85" customHeight="1">
      <c r="A110" s="1047"/>
      <c r="B110" s="986" t="s">
        <v>1343</v>
      </c>
      <c r="C110" s="989" t="s">
        <v>1344</v>
      </c>
      <c r="D110" s="988" t="s">
        <v>494</v>
      </c>
      <c r="E110" s="989" t="s">
        <v>1345</v>
      </c>
      <c r="F110" s="990">
        <v>41810</v>
      </c>
      <c r="G110" s="1006">
        <v>17</v>
      </c>
      <c r="H110" s="1006">
        <v>12</v>
      </c>
      <c r="I110" s="1006">
        <v>14</v>
      </c>
      <c r="J110" s="1006">
        <v>22.84</v>
      </c>
      <c r="K110" s="992">
        <f>+M110-L110</f>
        <v>29366.629000000001</v>
      </c>
      <c r="L110" s="993">
        <v>8625</v>
      </c>
      <c r="M110" s="993">
        <v>37991.629000000001</v>
      </c>
      <c r="N110" s="992">
        <f>+G110*K110</f>
        <v>499232.69300000003</v>
      </c>
      <c r="O110" s="994">
        <f>+G110*L110</f>
        <v>146625</v>
      </c>
      <c r="P110" s="992">
        <f>+N110+O110</f>
        <v>645857.69299999997</v>
      </c>
      <c r="Q110" s="992"/>
      <c r="R110" s="968">
        <v>1</v>
      </c>
      <c r="S110" s="991">
        <f>J110</f>
        <v>22.84</v>
      </c>
      <c r="T110" s="995">
        <f>S110*M110</f>
        <v>867728.80636000005</v>
      </c>
      <c r="U110" s="996">
        <f>T110/P110-1</f>
        <v>0.34352941176470608</v>
      </c>
      <c r="V110" s="998" t="s">
        <v>1346</v>
      </c>
      <c r="W110" s="998" t="s">
        <v>1347</v>
      </c>
      <c r="X110" s="999">
        <f>+N110+O110</f>
        <v>645857.69299999997</v>
      </c>
      <c r="Y110" s="999">
        <v>0</v>
      </c>
      <c r="Z110" s="999">
        <v>18628.759999999998</v>
      </c>
      <c r="AA110" s="1001">
        <f>X110+Y110-Z110</f>
        <v>627228.93299999996</v>
      </c>
      <c r="AB110" s="1002">
        <v>19896</v>
      </c>
      <c r="AC110" s="1008">
        <v>-170008</v>
      </c>
      <c r="AD110" s="1003">
        <f>IFERROR(AA110/AB110,"n/a")</f>
        <v>31.52537861881785</v>
      </c>
      <c r="AE110" s="1003">
        <f>IFERROR(AA110/AC110,"n/a")</f>
        <v>-3.6894083396075477</v>
      </c>
      <c r="AF110" s="1004">
        <f>+P110-X110</f>
        <v>0</v>
      </c>
      <c r="AG110" s="964"/>
      <c r="AH110" s="964"/>
      <c r="AI110" s="964"/>
      <c r="AJ110" s="994"/>
      <c r="AK110" s="1010"/>
      <c r="AL110" s="1009"/>
      <c r="AM110" s="964"/>
      <c r="AN110" s="964"/>
      <c r="AO110" s="964"/>
    </row>
    <row r="111" spans="1:73" s="1012" customFormat="1" ht="14.85" customHeight="1">
      <c r="A111" s="1005"/>
      <c r="B111" s="986" t="s">
        <v>1881</v>
      </c>
      <c r="C111" s="989" t="s">
        <v>1882</v>
      </c>
      <c r="D111" s="988" t="s">
        <v>494</v>
      </c>
      <c r="E111" s="989" t="s">
        <v>1883</v>
      </c>
      <c r="F111" s="990">
        <v>41535</v>
      </c>
      <c r="G111" s="1006">
        <v>15</v>
      </c>
      <c r="H111" s="1006">
        <v>13</v>
      </c>
      <c r="I111" s="1006">
        <v>15</v>
      </c>
      <c r="J111" s="1006">
        <v>22.8</v>
      </c>
      <c r="K111" s="992">
        <f t="shared" si="24"/>
        <v>20964.187999999998</v>
      </c>
      <c r="L111" s="994">
        <v>5580</v>
      </c>
      <c r="M111" s="994">
        <v>26544.187999999998</v>
      </c>
      <c r="N111" s="992">
        <f t="shared" si="25"/>
        <v>314462.81999999995</v>
      </c>
      <c r="O111" s="994">
        <f t="shared" si="26"/>
        <v>83700</v>
      </c>
      <c r="P111" s="992">
        <f t="shared" si="27"/>
        <v>398162.81999999995</v>
      </c>
      <c r="Q111" s="992"/>
      <c r="R111" s="968">
        <v>1</v>
      </c>
      <c r="S111" s="991">
        <f t="shared" si="28"/>
        <v>22.8</v>
      </c>
      <c r="T111" s="995">
        <f t="shared" si="29"/>
        <v>605207.48639999994</v>
      </c>
      <c r="U111" s="996">
        <f t="shared" si="30"/>
        <v>0.52</v>
      </c>
      <c r="V111" s="997" t="s">
        <v>1884</v>
      </c>
      <c r="W111" s="998" t="s">
        <v>1885</v>
      </c>
      <c r="X111" s="999">
        <f t="shared" si="31"/>
        <v>398162.81999999995</v>
      </c>
      <c r="Y111" s="1033"/>
      <c r="Z111" s="1033"/>
      <c r="AA111" s="1001"/>
      <c r="AB111" s="1002"/>
      <c r="AC111" s="1002"/>
      <c r="AD111" s="1035"/>
      <c r="AE111" s="1035"/>
      <c r="AF111" s="1004"/>
      <c r="AG111" s="979"/>
      <c r="AH111" s="964"/>
      <c r="AI111" s="964"/>
      <c r="AJ111" s="964"/>
      <c r="AK111" s="994"/>
      <c r="AL111" s="1010"/>
      <c r="AM111" s="1009"/>
      <c r="AN111" s="964"/>
      <c r="AO111" s="964"/>
      <c r="AP111" s="964"/>
    </row>
    <row r="112" spans="1:73" s="1012" customFormat="1" ht="14.85" customHeight="1">
      <c r="A112" s="1047"/>
      <c r="B112" s="986" t="s">
        <v>678</v>
      </c>
      <c r="C112" s="989" t="s">
        <v>1532</v>
      </c>
      <c r="D112" s="988" t="s">
        <v>1517</v>
      </c>
      <c r="E112" s="989" t="s">
        <v>1533</v>
      </c>
      <c r="F112" s="990">
        <v>41443</v>
      </c>
      <c r="G112" s="1006">
        <v>17</v>
      </c>
      <c r="H112" s="1006">
        <v>14</v>
      </c>
      <c r="I112" s="1006">
        <v>16</v>
      </c>
      <c r="J112" s="1006">
        <v>33.99</v>
      </c>
      <c r="K112" s="992">
        <f t="shared" si="24"/>
        <v>16869.488000000001</v>
      </c>
      <c r="L112" s="993">
        <v>5000</v>
      </c>
      <c r="M112" s="993">
        <v>21869.488000000001</v>
      </c>
      <c r="N112" s="992">
        <f t="shared" si="25"/>
        <v>286781.29600000003</v>
      </c>
      <c r="O112" s="994">
        <f t="shared" si="26"/>
        <v>85000</v>
      </c>
      <c r="P112" s="992">
        <f t="shared" si="27"/>
        <v>371781.29600000003</v>
      </c>
      <c r="Q112" s="992"/>
      <c r="R112" s="968">
        <v>1</v>
      </c>
      <c r="S112" s="991">
        <f t="shared" si="28"/>
        <v>33.99</v>
      </c>
      <c r="T112" s="995">
        <f t="shared" si="29"/>
        <v>743343.8971200001</v>
      </c>
      <c r="U112" s="996">
        <f t="shared" si="30"/>
        <v>0.99941176470588244</v>
      </c>
      <c r="V112" s="998" t="s">
        <v>1534</v>
      </c>
      <c r="W112" s="998" t="s">
        <v>1535</v>
      </c>
      <c r="X112" s="999">
        <f t="shared" si="31"/>
        <v>371781.29600000003</v>
      </c>
      <c r="Y112" s="999">
        <v>0</v>
      </c>
      <c r="Z112" s="999">
        <v>131836</v>
      </c>
      <c r="AA112" s="1001">
        <f>X112+Y112-Z112</f>
        <v>239945.29600000003</v>
      </c>
      <c r="AB112" s="1002">
        <v>5846</v>
      </c>
      <c r="AC112" s="1008">
        <v>-185088</v>
      </c>
      <c r="AD112" s="1003">
        <f>IFERROR(AA112/AB112,"n/a")</f>
        <v>41.044354430379755</v>
      </c>
      <c r="AE112" s="1003">
        <f>IFERROR(AA112/AC112,"n/a")</f>
        <v>-1.2963849412171509</v>
      </c>
      <c r="AF112" s="1004">
        <f>+P112-X112</f>
        <v>0</v>
      </c>
      <c r="AG112" s="964"/>
      <c r="AH112" s="964"/>
      <c r="AI112" s="964"/>
      <c r="AJ112" s="994"/>
      <c r="AK112" s="1010"/>
      <c r="AL112" s="1009"/>
      <c r="AM112" s="964"/>
      <c r="AN112" s="964"/>
      <c r="AO112" s="964"/>
    </row>
    <row r="113" spans="1:73" s="1046" customFormat="1" ht="14.85" customHeight="1">
      <c r="A113" s="1005"/>
      <c r="B113" s="986"/>
      <c r="C113" s="989"/>
      <c r="D113" s="988"/>
      <c r="E113" s="989"/>
      <c r="F113" s="990"/>
      <c r="G113" s="1017"/>
      <c r="H113" s="1006"/>
      <c r="I113" s="1006"/>
      <c r="J113" s="1017"/>
      <c r="K113" s="1018"/>
      <c r="L113" s="994"/>
      <c r="M113" s="994"/>
      <c r="N113" s="992"/>
      <c r="O113" s="994"/>
      <c r="P113" s="992"/>
      <c r="Q113" s="992"/>
      <c r="R113" s="992"/>
      <c r="S113" s="991"/>
      <c r="T113" s="1051"/>
      <c r="U113" s="1052"/>
      <c r="V113" s="1053"/>
      <c r="W113" s="1053"/>
      <c r="X113" s="994"/>
      <c r="Y113" s="999"/>
      <c r="Z113" s="999"/>
      <c r="AA113" s="1001"/>
      <c r="AB113" s="1002"/>
      <c r="AC113" s="1008"/>
      <c r="AD113" s="1003"/>
      <c r="AE113" s="1003"/>
      <c r="AF113" s="1005"/>
      <c r="AJ113" s="994"/>
      <c r="AK113" s="989"/>
      <c r="AL113" s="1005"/>
    </row>
    <row r="114" spans="1:73" s="1012" customFormat="1" ht="14.85" customHeight="1">
      <c r="A114" s="1005"/>
      <c r="B114" s="1019" t="s">
        <v>111</v>
      </c>
      <c r="C114" s="1020"/>
      <c r="D114" s="1020"/>
      <c r="E114" s="1020"/>
      <c r="F114" s="1020"/>
      <c r="G114" s="1020"/>
      <c r="H114" s="1020"/>
      <c r="I114" s="1020"/>
      <c r="J114" s="1020"/>
      <c r="K114" s="1020"/>
      <c r="L114" s="1020"/>
      <c r="M114" s="1020"/>
      <c r="N114" s="1021">
        <f>MAX(N77:N112)</f>
        <v>1766090.8</v>
      </c>
      <c r="O114" s="1021"/>
      <c r="P114" s="1022">
        <f>MAX(P77:P112)</f>
        <v>1973290.8</v>
      </c>
      <c r="Q114" s="992"/>
      <c r="R114" s="992"/>
      <c r="S114" s="1023">
        <f>MAX(S77:S112)</f>
        <v>52.72</v>
      </c>
      <c r="T114" s="995"/>
      <c r="U114" s="996"/>
      <c r="V114" s="1011"/>
      <c r="W114" s="998"/>
      <c r="X114" s="999"/>
      <c r="Y114" s="999"/>
      <c r="Z114" s="999"/>
      <c r="AA114" s="1001"/>
      <c r="AB114" s="1002"/>
      <c r="AC114" s="1008"/>
      <c r="AD114" s="1003"/>
      <c r="AE114" s="1003"/>
      <c r="AF114" s="1004"/>
      <c r="AK114" s="1013"/>
      <c r="AL114" s="1010"/>
      <c r="AM114" s="1009"/>
    </row>
    <row r="115" spans="1:73" s="1012" customFormat="1" ht="14.85" customHeight="1">
      <c r="A115" s="1005"/>
      <c r="B115" s="1024" t="s">
        <v>115</v>
      </c>
      <c r="C115" s="1025"/>
      <c r="D115" s="1025"/>
      <c r="E115" s="1025"/>
      <c r="F115" s="1025"/>
      <c r="G115" s="1025"/>
      <c r="H115" s="1025"/>
      <c r="I115" s="1025"/>
      <c r="J115" s="1025"/>
      <c r="K115" s="1025"/>
      <c r="L115" s="1025"/>
      <c r="M115" s="1025"/>
      <c r="N115" s="940">
        <f>_xlfn.QUARTILE.INC(N77:N112,3)</f>
        <v>419257.21824999998</v>
      </c>
      <c r="O115" s="940"/>
      <c r="P115" s="1026">
        <f>_xlfn.QUARTILE.INC(P77:P112,3)</f>
        <v>542654.63100000005</v>
      </c>
      <c r="Q115" s="992"/>
      <c r="R115" s="992"/>
      <c r="S115" s="1027">
        <f>_xlfn.QUARTILE.INC(S77:S112,3)</f>
        <v>22.74</v>
      </c>
      <c r="T115" s="995"/>
      <c r="U115" s="996"/>
      <c r="V115" s="1011"/>
      <c r="W115" s="998"/>
      <c r="X115" s="999"/>
      <c r="Y115" s="999"/>
      <c r="Z115" s="999"/>
      <c r="AA115" s="1001"/>
      <c r="AB115" s="1002"/>
      <c r="AC115" s="1008"/>
      <c r="AD115" s="1003"/>
      <c r="AE115" s="1003"/>
      <c r="AF115" s="1004"/>
      <c r="AK115" s="1013"/>
      <c r="AL115" s="1010"/>
      <c r="AM115" s="1009"/>
    </row>
    <row r="116" spans="1:73" s="1012" customFormat="1" ht="14.85" customHeight="1">
      <c r="A116" s="1005"/>
      <c r="B116" s="1024" t="s">
        <v>43</v>
      </c>
      <c r="C116" s="1025"/>
      <c r="D116" s="1025"/>
      <c r="E116" s="1025"/>
      <c r="F116" s="1025"/>
      <c r="G116" s="1025"/>
      <c r="H116" s="1025"/>
      <c r="I116" s="1025"/>
      <c r="J116" s="1025"/>
      <c r="K116" s="1025"/>
      <c r="L116" s="1025"/>
      <c r="M116" s="1025"/>
      <c r="N116" s="940">
        <f>AVERAGE(N77:N112)</f>
        <v>303867.31893055554</v>
      </c>
      <c r="O116" s="940"/>
      <c r="P116" s="1026">
        <f>AVERAGE(P77:P112)</f>
        <v>390505.21676388901</v>
      </c>
      <c r="Q116" s="992"/>
      <c r="R116" s="992"/>
      <c r="S116" s="1027">
        <f>AVERAGE(S77:S112)</f>
        <v>18.112219444444442</v>
      </c>
      <c r="T116" s="995"/>
      <c r="U116" s="996"/>
      <c r="V116" s="1011"/>
      <c r="W116" s="998"/>
      <c r="X116" s="999"/>
      <c r="Y116" s="999"/>
      <c r="Z116" s="999"/>
      <c r="AA116" s="1001"/>
      <c r="AB116" s="1002"/>
      <c r="AC116" s="1008"/>
      <c r="AD116" s="1003"/>
      <c r="AE116" s="1003"/>
      <c r="AF116" s="1004"/>
      <c r="AK116" s="1013"/>
      <c r="AL116" s="1010"/>
      <c r="AM116" s="1009"/>
    </row>
    <row r="117" spans="1:73" s="1012" customFormat="1" ht="14.85" customHeight="1">
      <c r="A117" s="1005"/>
      <c r="B117" s="1024" t="s">
        <v>44</v>
      </c>
      <c r="C117" s="1025"/>
      <c r="D117" s="1025"/>
      <c r="E117" s="1025"/>
      <c r="F117" s="1025"/>
      <c r="G117" s="1025"/>
      <c r="H117" s="1025"/>
      <c r="I117" s="1025"/>
      <c r="J117" s="1025"/>
      <c r="K117" s="1025"/>
      <c r="L117" s="1025"/>
      <c r="M117" s="1025"/>
      <c r="N117" s="940">
        <f>MEDIAN(N77:N112)</f>
        <v>242242.29</v>
      </c>
      <c r="O117" s="940"/>
      <c r="P117" s="1026">
        <f>MEDIAN(P77:P112)</f>
        <v>326812.49549999996</v>
      </c>
      <c r="Q117" s="992"/>
      <c r="R117" s="992"/>
      <c r="S117" s="1027">
        <f>MEDIAN(S77:S112)</f>
        <v>15.68</v>
      </c>
      <c r="T117" s="995"/>
      <c r="U117" s="996"/>
      <c r="V117" s="1011"/>
      <c r="W117" s="998"/>
      <c r="X117" s="999"/>
      <c r="Y117" s="999"/>
      <c r="Z117" s="999"/>
      <c r="AA117" s="1001"/>
      <c r="AB117" s="1002"/>
      <c r="AC117" s="1008"/>
      <c r="AD117" s="1003"/>
      <c r="AE117" s="1003"/>
      <c r="AF117" s="1004"/>
      <c r="AK117" s="1013"/>
      <c r="AL117" s="1010"/>
      <c r="AM117" s="1009"/>
    </row>
    <row r="118" spans="1:73" s="1012" customFormat="1" ht="14.85" customHeight="1">
      <c r="A118" s="1005"/>
      <c r="B118" s="1024" t="s">
        <v>114</v>
      </c>
      <c r="C118" s="1025"/>
      <c r="D118" s="1025"/>
      <c r="E118" s="1025"/>
      <c r="F118" s="1025"/>
      <c r="G118" s="1025"/>
      <c r="H118" s="1025"/>
      <c r="I118" s="1025"/>
      <c r="J118" s="1025"/>
      <c r="K118" s="1025"/>
      <c r="L118" s="1025"/>
      <c r="M118" s="1025"/>
      <c r="N118" s="940">
        <f>_xlfn.QUARTILE.INC(N77:N112,1)</f>
        <v>94170.287749999989</v>
      </c>
      <c r="O118" s="940"/>
      <c r="P118" s="1026">
        <f>_xlfn.QUARTILE.INC(P77:P112,1)</f>
        <v>145303.01799999998</v>
      </c>
      <c r="Q118" s="992"/>
      <c r="R118" s="992"/>
      <c r="S118" s="1027">
        <f>_xlfn.QUARTILE.INC(S77:S112,1)</f>
        <v>11.9125</v>
      </c>
      <c r="T118" s="995"/>
      <c r="U118" s="996"/>
      <c r="V118" s="1011"/>
      <c r="W118" s="998"/>
      <c r="X118" s="999"/>
      <c r="Y118" s="999"/>
      <c r="Z118" s="999"/>
      <c r="AA118" s="1001"/>
      <c r="AB118" s="1002"/>
      <c r="AC118" s="1008"/>
      <c r="AD118" s="1003"/>
      <c r="AE118" s="1003"/>
      <c r="AF118" s="1004"/>
      <c r="AK118" s="1013"/>
      <c r="AL118" s="1010"/>
      <c r="AM118" s="1009"/>
    </row>
    <row r="119" spans="1:73" s="1012" customFormat="1" ht="14.85" customHeight="1">
      <c r="A119" s="1005"/>
      <c r="B119" s="1028" t="s">
        <v>112</v>
      </c>
      <c r="C119" s="1029"/>
      <c r="D119" s="1029"/>
      <c r="E119" s="1029"/>
      <c r="F119" s="1029"/>
      <c r="G119" s="1029"/>
      <c r="H119" s="1029"/>
      <c r="I119" s="1029"/>
      <c r="J119" s="1029"/>
      <c r="K119" s="1029"/>
      <c r="L119" s="1029"/>
      <c r="M119" s="1029"/>
      <c r="N119" s="942">
        <f>MIN(N77:N112)</f>
        <v>18940.300000000003</v>
      </c>
      <c r="O119" s="942"/>
      <c r="P119" s="1030">
        <f>MIN(P77:P112)</f>
        <v>38940.300000000003</v>
      </c>
      <c r="Q119" s="992"/>
      <c r="R119" s="992"/>
      <c r="S119" s="1031">
        <f>MIN(S77:S112)</f>
        <v>3.13</v>
      </c>
      <c r="T119" s="995"/>
      <c r="U119" s="996"/>
      <c r="V119" s="1011"/>
      <c r="W119" s="998"/>
      <c r="X119" s="999"/>
      <c r="Y119" s="999"/>
      <c r="Z119" s="999"/>
      <c r="AA119" s="1001"/>
      <c r="AB119" s="1002"/>
      <c r="AC119" s="1008"/>
      <c r="AD119" s="1003"/>
      <c r="AE119" s="1003"/>
      <c r="AF119" s="1004"/>
      <c r="AK119" s="1013"/>
      <c r="AL119" s="1010"/>
      <c r="AM119" s="1009"/>
    </row>
    <row r="120" spans="1:73" s="1012" customFormat="1" ht="14.85" customHeight="1">
      <c r="A120" s="1005"/>
      <c r="B120" s="986"/>
      <c r="C120" s="989"/>
      <c r="D120" s="988"/>
      <c r="E120" s="989"/>
      <c r="F120" s="990"/>
      <c r="G120" s="1017"/>
      <c r="H120" s="1006"/>
      <c r="I120" s="1006"/>
      <c r="J120" s="1017"/>
      <c r="K120" s="1018"/>
      <c r="L120" s="994"/>
      <c r="M120" s="994"/>
      <c r="N120" s="992"/>
      <c r="O120" s="994"/>
      <c r="P120" s="992"/>
      <c r="Q120" s="992"/>
      <c r="R120" s="992"/>
      <c r="S120" s="991"/>
      <c r="T120" s="995"/>
      <c r="U120" s="996"/>
      <c r="V120" s="1011"/>
      <c r="W120" s="998"/>
      <c r="X120" s="999"/>
      <c r="Y120" s="999"/>
      <c r="Z120" s="999"/>
      <c r="AA120" s="1001"/>
      <c r="AB120" s="1002"/>
      <c r="AC120" s="1008"/>
      <c r="AD120" s="1003"/>
      <c r="AE120" s="1003"/>
      <c r="AF120" s="1004"/>
      <c r="AK120" s="1013"/>
      <c r="AL120" s="1010"/>
      <c r="AM120" s="1009"/>
    </row>
    <row r="121" spans="1:73" s="1012" customFormat="1" ht="14.85" customHeight="1">
      <c r="A121" s="1005"/>
      <c r="B121" s="1032" t="s">
        <v>1886</v>
      </c>
      <c r="C121" s="989"/>
      <c r="D121" s="988"/>
      <c r="E121" s="989"/>
      <c r="F121" s="990"/>
      <c r="G121" s="1017"/>
      <c r="H121" s="1006"/>
      <c r="I121" s="1006"/>
      <c r="J121" s="1017"/>
      <c r="K121" s="1018"/>
      <c r="L121" s="994"/>
      <c r="M121" s="994"/>
      <c r="N121" s="992"/>
      <c r="O121" s="994"/>
      <c r="P121" s="992"/>
      <c r="Q121" s="992"/>
      <c r="R121" s="992"/>
      <c r="S121" s="991"/>
      <c r="T121" s="995"/>
      <c r="U121" s="996"/>
      <c r="V121" s="998"/>
      <c r="W121" s="998"/>
      <c r="X121" s="1004"/>
      <c r="Y121" s="999"/>
      <c r="Z121" s="999"/>
      <c r="AA121" s="1001"/>
      <c r="AB121" s="1002"/>
      <c r="AC121" s="1008"/>
      <c r="AD121" s="1003"/>
      <c r="AE121" s="1003"/>
      <c r="AF121" s="979"/>
      <c r="AG121" s="964"/>
      <c r="AH121" s="964"/>
      <c r="AI121" s="964"/>
      <c r="AJ121" s="994"/>
      <c r="AK121" s="1010"/>
      <c r="AL121" s="1009"/>
      <c r="AM121" s="964"/>
      <c r="AN121" s="964"/>
      <c r="AO121" s="964"/>
    </row>
    <row r="122" spans="1:73" s="1012" customFormat="1" ht="14.85" customHeight="1">
      <c r="A122" s="1005"/>
      <c r="B122" s="986" t="s">
        <v>1887</v>
      </c>
      <c r="C122" s="989" t="s">
        <v>1888</v>
      </c>
      <c r="D122" s="988" t="s">
        <v>999</v>
      </c>
      <c r="E122" s="989" t="s">
        <v>1889</v>
      </c>
      <c r="F122" s="990">
        <v>43055</v>
      </c>
      <c r="G122" s="1006">
        <v>14</v>
      </c>
      <c r="H122" s="1006">
        <v>14</v>
      </c>
      <c r="I122" s="1006">
        <v>16</v>
      </c>
      <c r="J122" s="1006">
        <v>13.5</v>
      </c>
      <c r="K122" s="992">
        <f t="shared" ref="K122:K140" si="36">+M122-L122</f>
        <v>11210.151000000002</v>
      </c>
      <c r="L122" s="994">
        <v>6400</v>
      </c>
      <c r="M122" s="994">
        <v>17610.151000000002</v>
      </c>
      <c r="N122" s="992">
        <f t="shared" ref="N122:N140" si="37">+G122*K122</f>
        <v>156942.11400000003</v>
      </c>
      <c r="O122" s="994">
        <f t="shared" ref="O122:O140" si="38">+G122*L122</f>
        <v>89600</v>
      </c>
      <c r="P122" s="992">
        <f t="shared" ref="P122:P140" si="39">+N122+O122</f>
        <v>246542.11400000003</v>
      </c>
      <c r="Q122" s="992"/>
      <c r="R122" s="968">
        <v>1</v>
      </c>
      <c r="S122" s="991">
        <f t="shared" ref="S122:S140" si="40">J122</f>
        <v>13.5</v>
      </c>
      <c r="T122" s="995">
        <f t="shared" ref="T122:T140" si="41">S122*M122</f>
        <v>237737.03850000002</v>
      </c>
      <c r="U122" s="996">
        <f t="shared" ref="U122:U128" si="42">T122/P122-1</f>
        <v>-3.5714285714285698E-2</v>
      </c>
      <c r="V122" s="997" t="s">
        <v>1890</v>
      </c>
      <c r="W122" s="998" t="s">
        <v>1891</v>
      </c>
      <c r="X122" s="999"/>
      <c r="Y122" s="1033"/>
      <c r="Z122" s="1033"/>
      <c r="AA122" s="1001"/>
      <c r="AB122" s="1002"/>
      <c r="AC122" s="1002"/>
      <c r="AD122" s="1035"/>
      <c r="AE122" s="1035"/>
      <c r="AF122" s="1004" t="s">
        <v>1793</v>
      </c>
      <c r="AG122" s="979"/>
      <c r="AH122" s="964"/>
      <c r="AI122" s="964"/>
      <c r="AJ122" s="964"/>
      <c r="AK122" s="994"/>
      <c r="AL122" s="1010"/>
      <c r="AM122" s="1009"/>
      <c r="AN122" s="964"/>
      <c r="AO122" s="964"/>
      <c r="AP122" s="964"/>
    </row>
    <row r="123" spans="1:73" s="1012" customFormat="1" ht="14.85" customHeight="1">
      <c r="A123" s="1005"/>
      <c r="B123" s="986" t="s">
        <v>1892</v>
      </c>
      <c r="C123" s="989" t="s">
        <v>1893</v>
      </c>
      <c r="D123" s="988" t="s">
        <v>502</v>
      </c>
      <c r="E123" s="989" t="s">
        <v>1894</v>
      </c>
      <c r="F123" s="990">
        <v>43005</v>
      </c>
      <c r="G123" s="1006">
        <v>15</v>
      </c>
      <c r="H123" s="1006">
        <v>14</v>
      </c>
      <c r="I123" s="1006">
        <v>16</v>
      </c>
      <c r="J123" s="1006">
        <v>12.5</v>
      </c>
      <c r="K123" s="992">
        <f t="shared" si="36"/>
        <v>24214.641</v>
      </c>
      <c r="L123" s="994">
        <v>6667</v>
      </c>
      <c r="M123" s="994">
        <v>30881.641</v>
      </c>
      <c r="N123" s="992">
        <f t="shared" si="37"/>
        <v>363219.61499999999</v>
      </c>
      <c r="O123" s="994">
        <f t="shared" si="38"/>
        <v>100005</v>
      </c>
      <c r="P123" s="992">
        <f t="shared" si="39"/>
        <v>463224.61499999999</v>
      </c>
      <c r="Q123" s="992"/>
      <c r="R123" s="968">
        <v>1</v>
      </c>
      <c r="S123" s="991">
        <f t="shared" si="40"/>
        <v>12.5</v>
      </c>
      <c r="T123" s="995">
        <f t="shared" si="41"/>
        <v>386020.51250000001</v>
      </c>
      <c r="U123" s="996">
        <f t="shared" si="42"/>
        <v>-0.16666666666666663</v>
      </c>
      <c r="V123" s="997" t="s">
        <v>1895</v>
      </c>
      <c r="W123" s="998" t="s">
        <v>1896</v>
      </c>
      <c r="X123" s="999"/>
      <c r="Y123" s="1033"/>
      <c r="Z123" s="1033"/>
      <c r="AA123" s="1001"/>
      <c r="AB123" s="1002"/>
      <c r="AC123" s="1002"/>
      <c r="AD123" s="1035"/>
      <c r="AE123" s="1035"/>
      <c r="AF123" s="1004" t="s">
        <v>1793</v>
      </c>
      <c r="AG123" s="979"/>
      <c r="AH123" s="964"/>
      <c r="AI123" s="964"/>
      <c r="AJ123" s="964"/>
      <c r="AK123" s="994"/>
      <c r="AL123" s="1010"/>
      <c r="AM123" s="1009"/>
      <c r="AN123" s="964"/>
      <c r="AO123" s="964"/>
      <c r="AP123" s="964"/>
    </row>
    <row r="124" spans="1:73" s="1012" customFormat="1" ht="14.85" customHeight="1">
      <c r="A124" s="1005"/>
      <c r="B124" s="986" t="s">
        <v>1897</v>
      </c>
      <c r="C124" s="989" t="s">
        <v>1898</v>
      </c>
      <c r="D124" s="988" t="s">
        <v>989</v>
      </c>
      <c r="E124" s="989" t="s">
        <v>1899</v>
      </c>
      <c r="F124" s="990">
        <v>42998</v>
      </c>
      <c r="G124" s="1006">
        <v>18</v>
      </c>
      <c r="H124" s="1006">
        <v>16</v>
      </c>
      <c r="I124" s="1006">
        <v>18</v>
      </c>
      <c r="J124" s="1006">
        <v>28.64</v>
      </c>
      <c r="K124" s="992">
        <f t="shared" si="36"/>
        <v>40972.57</v>
      </c>
      <c r="L124" s="994">
        <v>8333.3330000000005</v>
      </c>
      <c r="M124" s="994">
        <v>49305.902999999998</v>
      </c>
      <c r="N124" s="992">
        <f t="shared" si="37"/>
        <v>737506.26</v>
      </c>
      <c r="O124" s="994">
        <f t="shared" si="38"/>
        <v>149999.99400000001</v>
      </c>
      <c r="P124" s="992">
        <f t="shared" si="39"/>
        <v>887506.25399999996</v>
      </c>
      <c r="Q124" s="992"/>
      <c r="R124" s="968">
        <v>1</v>
      </c>
      <c r="S124" s="991">
        <f t="shared" si="40"/>
        <v>28.64</v>
      </c>
      <c r="T124" s="995">
        <f t="shared" si="41"/>
        <v>1412121.06192</v>
      </c>
      <c r="U124" s="996">
        <f t="shared" si="42"/>
        <v>0.59111111111111114</v>
      </c>
      <c r="V124" s="997" t="s">
        <v>1900</v>
      </c>
      <c r="W124" s="998" t="s">
        <v>1901</v>
      </c>
      <c r="X124" s="999"/>
      <c r="Y124" s="1033"/>
      <c r="Z124" s="1033"/>
      <c r="AA124" s="1001"/>
      <c r="AB124" s="1002"/>
      <c r="AC124" s="1002"/>
      <c r="AD124" s="1035"/>
      <c r="AE124" s="1035"/>
      <c r="AF124" s="1004" t="s">
        <v>1793</v>
      </c>
      <c r="AG124" s="979"/>
      <c r="AH124" s="964"/>
      <c r="AI124" s="964"/>
      <c r="AJ124" s="964"/>
      <c r="AK124" s="994"/>
      <c r="AL124" s="1010"/>
      <c r="AM124" s="1009"/>
      <c r="AN124" s="964"/>
      <c r="AO124" s="964"/>
      <c r="AP124" s="964"/>
    </row>
    <row r="125" spans="1:73" s="1012" customFormat="1" ht="14.85" customHeight="1">
      <c r="A125" s="1005"/>
      <c r="B125" s="986" t="s">
        <v>1822</v>
      </c>
      <c r="C125" s="989" t="s">
        <v>1823</v>
      </c>
      <c r="D125" s="988" t="s">
        <v>502</v>
      </c>
      <c r="E125" s="989" t="s">
        <v>1824</v>
      </c>
      <c r="F125" s="990">
        <v>42935</v>
      </c>
      <c r="G125" s="1006">
        <v>15</v>
      </c>
      <c r="H125" s="1006">
        <v>14</v>
      </c>
      <c r="I125" s="1006">
        <v>16</v>
      </c>
      <c r="J125" s="1006">
        <v>21.36</v>
      </c>
      <c r="K125" s="992">
        <f t="shared" si="36"/>
        <v>17283</v>
      </c>
      <c r="L125" s="994">
        <v>6000</v>
      </c>
      <c r="M125" s="994">
        <v>23283</v>
      </c>
      <c r="N125" s="992">
        <f t="shared" si="37"/>
        <v>259245</v>
      </c>
      <c r="O125" s="994">
        <f t="shared" si="38"/>
        <v>90000</v>
      </c>
      <c r="P125" s="992">
        <f t="shared" si="39"/>
        <v>349245</v>
      </c>
      <c r="Q125" s="992"/>
      <c r="R125" s="968">
        <v>1</v>
      </c>
      <c r="S125" s="991">
        <f t="shared" si="40"/>
        <v>21.36</v>
      </c>
      <c r="T125" s="995">
        <f t="shared" si="41"/>
        <v>497324.88</v>
      </c>
      <c r="U125" s="996">
        <f t="shared" si="42"/>
        <v>0.42399999999999993</v>
      </c>
      <c r="V125" s="997" t="s">
        <v>1824</v>
      </c>
      <c r="W125" s="998" t="s">
        <v>1825</v>
      </c>
      <c r="X125" s="999">
        <f>+N125+O125</f>
        <v>349245</v>
      </c>
      <c r="Y125" s="1033">
        <v>9710000</v>
      </c>
      <c r="Z125" s="1033">
        <v>26350000</v>
      </c>
      <c r="AA125" s="1001">
        <v>-16290749</v>
      </c>
      <c r="AB125" s="1002"/>
      <c r="AC125" s="1002"/>
      <c r="AD125" s="1035"/>
      <c r="AE125" s="1035"/>
      <c r="AF125" s="1004" t="s">
        <v>1793</v>
      </c>
      <c r="AG125" s="979"/>
      <c r="AH125" s="964"/>
      <c r="AI125" s="964"/>
      <c r="AJ125" s="964"/>
      <c r="AK125" s="994"/>
      <c r="AL125" s="1010"/>
      <c r="AM125" s="1009"/>
      <c r="AN125" s="964"/>
      <c r="AO125" s="964"/>
      <c r="AP125" s="964"/>
    </row>
    <row r="126" spans="1:73" s="1012" customFormat="1" ht="14.85" customHeight="1">
      <c r="A126" s="1005"/>
      <c r="B126" s="986" t="s">
        <v>1902</v>
      </c>
      <c r="C126" s="989" t="s">
        <v>1903</v>
      </c>
      <c r="D126" s="988" t="s">
        <v>502</v>
      </c>
      <c r="E126" s="989" t="s">
        <v>1904</v>
      </c>
      <c r="F126" s="990">
        <v>42929</v>
      </c>
      <c r="G126" s="1006">
        <v>8</v>
      </c>
      <c r="H126" s="1006">
        <v>12</v>
      </c>
      <c r="I126" s="1006">
        <v>14</v>
      </c>
      <c r="J126" s="1006">
        <v>14.21</v>
      </c>
      <c r="K126" s="992">
        <f t="shared" si="36"/>
        <v>48572.879000000001</v>
      </c>
      <c r="L126" s="994">
        <v>15625</v>
      </c>
      <c r="M126" s="994">
        <v>64197.879000000001</v>
      </c>
      <c r="N126" s="992">
        <f t="shared" si="37"/>
        <v>388583.03200000001</v>
      </c>
      <c r="O126" s="994">
        <f t="shared" si="38"/>
        <v>125000</v>
      </c>
      <c r="P126" s="992">
        <f t="shared" si="39"/>
        <v>513583.03200000001</v>
      </c>
      <c r="Q126" s="992"/>
      <c r="R126" s="968">
        <v>1</v>
      </c>
      <c r="S126" s="991">
        <f t="shared" si="40"/>
        <v>14.21</v>
      </c>
      <c r="T126" s="995">
        <f t="shared" si="41"/>
        <v>912251.86059000005</v>
      </c>
      <c r="U126" s="996">
        <f t="shared" si="42"/>
        <v>0.77625000000000011</v>
      </c>
      <c r="V126" s="997" t="s">
        <v>1905</v>
      </c>
      <c r="W126" s="998" t="s">
        <v>1906</v>
      </c>
      <c r="X126" s="999"/>
      <c r="Y126" s="1033"/>
      <c r="Z126" s="1033"/>
      <c r="AA126" s="1001"/>
      <c r="AB126" s="1002"/>
      <c r="AC126" s="1002"/>
      <c r="AD126" s="1035"/>
      <c r="AE126" s="1035"/>
      <c r="AF126" s="1004" t="s">
        <v>1793</v>
      </c>
      <c r="AG126" s="979"/>
      <c r="AH126" s="964"/>
      <c r="AI126" s="964"/>
      <c r="AJ126" s="964"/>
      <c r="AK126" s="994"/>
      <c r="AL126" s="1010"/>
      <c r="AM126" s="1009"/>
      <c r="AN126" s="964"/>
      <c r="AO126" s="964"/>
      <c r="AP126" s="964"/>
    </row>
    <row r="127" spans="1:73" s="979" customFormat="1" ht="14.85" customHeight="1">
      <c r="A127" s="1005"/>
      <c r="B127" s="986" t="s">
        <v>1826</v>
      </c>
      <c r="C127" s="989" t="s">
        <v>1827</v>
      </c>
      <c r="D127" s="988" t="s">
        <v>502</v>
      </c>
      <c r="E127" s="989" t="s">
        <v>1828</v>
      </c>
      <c r="F127" s="990">
        <v>42914</v>
      </c>
      <c r="G127" s="1006">
        <v>17</v>
      </c>
      <c r="H127" s="1006">
        <v>15</v>
      </c>
      <c r="I127" s="1006">
        <v>17</v>
      </c>
      <c r="J127" s="1006">
        <v>19.5</v>
      </c>
      <c r="K127" s="992">
        <f t="shared" si="36"/>
        <v>20575.206999999999</v>
      </c>
      <c r="L127" s="992">
        <v>4415</v>
      </c>
      <c r="M127" s="992">
        <v>24990.206999999999</v>
      </c>
      <c r="N127" s="992">
        <f t="shared" si="37"/>
        <v>349778.51899999997</v>
      </c>
      <c r="O127" s="994">
        <f t="shared" si="38"/>
        <v>75055</v>
      </c>
      <c r="P127" s="992">
        <f t="shared" si="39"/>
        <v>424833.51899999997</v>
      </c>
      <c r="Q127" s="992"/>
      <c r="R127" s="968">
        <v>1</v>
      </c>
      <c r="S127" s="991">
        <f t="shared" si="40"/>
        <v>19.5</v>
      </c>
      <c r="T127" s="995">
        <f t="shared" si="41"/>
        <v>487309.03649999999</v>
      </c>
      <c r="U127" s="996">
        <f t="shared" si="42"/>
        <v>0.14705882352941191</v>
      </c>
      <c r="V127" s="997" t="s">
        <v>1829</v>
      </c>
      <c r="W127" s="998" t="s">
        <v>1830</v>
      </c>
      <c r="X127" s="999">
        <f t="shared" ref="X127:X140" si="43">+N127+O127</f>
        <v>424833.51899999997</v>
      </c>
      <c r="Y127" s="1033">
        <v>13640</v>
      </c>
      <c r="Z127" s="1033">
        <v>28709</v>
      </c>
      <c r="AA127" s="1001">
        <v>409764.51899999997</v>
      </c>
      <c r="AB127" s="1002">
        <v>0</v>
      </c>
      <c r="AC127" s="1002">
        <v>0</v>
      </c>
      <c r="AD127" s="1035" t="s">
        <v>13</v>
      </c>
      <c r="AE127" s="1035" t="s">
        <v>13</v>
      </c>
      <c r="AF127" s="1004">
        <f>+P127-X127</f>
        <v>0</v>
      </c>
      <c r="AH127" s="964"/>
      <c r="AI127" s="964"/>
      <c r="AJ127" s="964"/>
      <c r="AK127" s="994"/>
      <c r="AL127" s="1010"/>
      <c r="AM127" s="1009"/>
      <c r="AN127" s="964"/>
      <c r="AO127" s="964"/>
      <c r="AP127" s="964"/>
      <c r="AQ127" s="1012"/>
      <c r="AR127" s="1012"/>
      <c r="AS127" s="1012"/>
      <c r="AT127" s="1012"/>
      <c r="AU127" s="1012"/>
      <c r="AV127" s="1012"/>
      <c r="AW127" s="1012"/>
      <c r="AX127" s="1012"/>
      <c r="AY127" s="1012"/>
      <c r="AZ127" s="1012"/>
      <c r="BA127" s="1012"/>
      <c r="BB127" s="1012"/>
      <c r="BC127" s="1012"/>
      <c r="BD127" s="1012"/>
      <c r="BE127" s="1012"/>
      <c r="BF127" s="1012"/>
      <c r="BG127" s="1012"/>
      <c r="BH127" s="1012"/>
      <c r="BI127" s="1012"/>
      <c r="BJ127" s="1012"/>
      <c r="BK127" s="1012"/>
      <c r="BL127" s="1012"/>
      <c r="BM127" s="1012"/>
      <c r="BN127" s="1012"/>
      <c r="BO127" s="1012"/>
      <c r="BP127" s="1012"/>
      <c r="BQ127" s="1012"/>
      <c r="BR127" s="1012"/>
      <c r="BS127" s="1012"/>
      <c r="BT127" s="1012"/>
      <c r="BU127" s="1012"/>
    </row>
    <row r="128" spans="1:73" s="1012" customFormat="1" ht="14.85" customHeight="1">
      <c r="A128" s="1005"/>
      <c r="B128" s="986" t="s">
        <v>1831</v>
      </c>
      <c r="C128" s="989" t="s">
        <v>1832</v>
      </c>
      <c r="D128" s="988" t="s">
        <v>502</v>
      </c>
      <c r="E128" s="989" t="s">
        <v>1833</v>
      </c>
      <c r="F128" s="990">
        <v>42900</v>
      </c>
      <c r="G128" s="1006">
        <v>11</v>
      </c>
      <c r="H128" s="1006">
        <v>11</v>
      </c>
      <c r="I128" s="1006">
        <v>13</v>
      </c>
      <c r="J128" s="1006">
        <v>18.82</v>
      </c>
      <c r="K128" s="992">
        <f t="shared" si="36"/>
        <v>49248.567999999999</v>
      </c>
      <c r="L128" s="992">
        <v>6000</v>
      </c>
      <c r="M128" s="992">
        <v>55248.567999999999</v>
      </c>
      <c r="N128" s="992">
        <f t="shared" si="37"/>
        <v>541734.24800000002</v>
      </c>
      <c r="O128" s="994">
        <f t="shared" si="38"/>
        <v>66000</v>
      </c>
      <c r="P128" s="992">
        <f t="shared" si="39"/>
        <v>607734.24800000002</v>
      </c>
      <c r="Q128" s="992"/>
      <c r="R128" s="968">
        <v>1</v>
      </c>
      <c r="S128" s="991">
        <f t="shared" si="40"/>
        <v>18.82</v>
      </c>
      <c r="T128" s="995">
        <f t="shared" si="41"/>
        <v>1039778.04976</v>
      </c>
      <c r="U128" s="996">
        <f t="shared" si="42"/>
        <v>0.71090909090909071</v>
      </c>
      <c r="V128" s="997" t="s">
        <v>1834</v>
      </c>
      <c r="W128" s="998" t="s">
        <v>1835</v>
      </c>
      <c r="X128" s="999">
        <f t="shared" si="43"/>
        <v>607734.24800000002</v>
      </c>
      <c r="Y128" s="1033">
        <v>45816</v>
      </c>
      <c r="Z128" s="1033">
        <v>26034</v>
      </c>
      <c r="AA128" s="1001">
        <v>627516.24800000002</v>
      </c>
      <c r="AB128" s="1002">
        <v>0</v>
      </c>
      <c r="AC128" s="1002">
        <v>0</v>
      </c>
      <c r="AD128" s="1035" t="s">
        <v>13</v>
      </c>
      <c r="AE128" s="1035" t="s">
        <v>13</v>
      </c>
      <c r="AF128" s="1004">
        <f>+P128-X128</f>
        <v>0</v>
      </c>
      <c r="AG128" s="979"/>
      <c r="AH128" s="964"/>
      <c r="AI128" s="964"/>
      <c r="AJ128" s="964"/>
      <c r="AK128" s="994"/>
      <c r="AL128" s="1010"/>
      <c r="AM128" s="1009"/>
      <c r="AN128" s="964"/>
      <c r="AO128" s="964"/>
      <c r="AP128" s="964"/>
    </row>
    <row r="129" spans="1:73" s="1012" customFormat="1" ht="14.85" customHeight="1">
      <c r="A129" s="1005"/>
      <c r="B129" s="986" t="s">
        <v>1537</v>
      </c>
      <c r="C129" s="987" t="s">
        <v>1538</v>
      </c>
      <c r="D129" s="988" t="s">
        <v>502</v>
      </c>
      <c r="E129" s="989" t="s">
        <v>1539</v>
      </c>
      <c r="F129" s="990">
        <v>42802</v>
      </c>
      <c r="G129" s="991">
        <v>20</v>
      </c>
      <c r="H129" s="991">
        <v>20</v>
      </c>
      <c r="I129" s="991">
        <v>22</v>
      </c>
      <c r="J129" s="991">
        <v>20.100000000000001</v>
      </c>
      <c r="K129" s="992">
        <f t="shared" si="36"/>
        <v>21381.206999999999</v>
      </c>
      <c r="L129" s="993">
        <v>174.286</v>
      </c>
      <c r="M129" s="993">
        <v>21555.492999999999</v>
      </c>
      <c r="N129" s="992">
        <f t="shared" si="37"/>
        <v>427624.13999999996</v>
      </c>
      <c r="O129" s="994">
        <f t="shared" si="38"/>
        <v>3485.7200000000003</v>
      </c>
      <c r="P129" s="992">
        <f t="shared" si="39"/>
        <v>431109.85999999993</v>
      </c>
      <c r="Q129" s="992"/>
      <c r="R129" s="968">
        <v>1</v>
      </c>
      <c r="S129" s="991">
        <f t="shared" si="40"/>
        <v>20.100000000000001</v>
      </c>
      <c r="T129" s="995">
        <f t="shared" si="41"/>
        <v>433265.4093</v>
      </c>
      <c r="U129" s="996">
        <f>IFERROR(T129/P129-1,"n/a")</f>
        <v>5.0000000000001155E-3</v>
      </c>
      <c r="V129" s="997" t="s">
        <v>1540</v>
      </c>
      <c r="W129" s="998" t="s">
        <v>1541</v>
      </c>
      <c r="X129" s="999">
        <f t="shared" si="43"/>
        <v>431109.85999999993</v>
      </c>
      <c r="Y129" s="999">
        <v>0</v>
      </c>
      <c r="Z129" s="999">
        <v>17329</v>
      </c>
      <c r="AA129" s="1001">
        <f t="shared" ref="AA129:AA136" si="44">X129+Y129-Z129</f>
        <v>413780.85999999993</v>
      </c>
      <c r="AB129" s="1002">
        <v>0</v>
      </c>
      <c r="AC129" s="1008">
        <v>-9209</v>
      </c>
      <c r="AD129" s="1003" t="str">
        <f t="shared" ref="AD129:AD140" si="45">IFERROR(AA129/AB129,"n/a")</f>
        <v>n/a</v>
      </c>
      <c r="AE129" s="1003">
        <f t="shared" ref="AE129:AE140" si="46">IFERROR(AA129/AC129,"n/a")</f>
        <v>-44.932224997285253</v>
      </c>
      <c r="AF129" s="1004">
        <f>+P129-X129</f>
        <v>0</v>
      </c>
      <c r="AG129" s="979"/>
      <c r="AH129" s="1054" t="s">
        <v>1542</v>
      </c>
      <c r="AI129" s="979"/>
      <c r="AJ129" s="979"/>
      <c r="AK129" s="979"/>
      <c r="AL129" s="979"/>
      <c r="AM129" s="979"/>
      <c r="AN129" s="979"/>
      <c r="AO129" s="979"/>
      <c r="AP129" s="979"/>
      <c r="AQ129" s="979"/>
      <c r="AR129" s="979"/>
      <c r="AS129" s="979"/>
      <c r="AT129" s="979"/>
      <c r="AU129" s="979"/>
      <c r="AV129" s="979"/>
      <c r="AW129" s="979"/>
      <c r="AX129" s="979"/>
      <c r="AY129" s="979"/>
      <c r="AZ129" s="979"/>
      <c r="BA129" s="979"/>
      <c r="BB129" s="979"/>
      <c r="BC129" s="979"/>
      <c r="BD129" s="979"/>
      <c r="BE129" s="979"/>
      <c r="BF129" s="979"/>
      <c r="BG129" s="979"/>
      <c r="BH129" s="979"/>
      <c r="BI129" s="979"/>
      <c r="BJ129" s="979"/>
      <c r="BK129" s="979"/>
      <c r="BL129" s="979"/>
      <c r="BM129" s="979"/>
      <c r="BN129" s="979"/>
      <c r="BO129" s="979"/>
      <c r="BP129" s="979"/>
      <c r="BQ129" s="979"/>
      <c r="BR129" s="979"/>
      <c r="BS129" s="979"/>
      <c r="BT129" s="979"/>
      <c r="BU129" s="979"/>
    </row>
    <row r="130" spans="1:73" s="979" customFormat="1" ht="14.85" customHeight="1">
      <c r="A130" s="1005"/>
      <c r="B130" s="986" t="s">
        <v>1052</v>
      </c>
      <c r="C130" s="987" t="s">
        <v>1053</v>
      </c>
      <c r="D130" s="988" t="s">
        <v>502</v>
      </c>
      <c r="E130" s="989" t="s">
        <v>1054</v>
      </c>
      <c r="F130" s="990">
        <v>42633</v>
      </c>
      <c r="G130" s="991">
        <v>11</v>
      </c>
      <c r="H130" s="991">
        <v>11</v>
      </c>
      <c r="I130" s="991">
        <v>13</v>
      </c>
      <c r="J130" s="991">
        <v>20.59</v>
      </c>
      <c r="K130" s="992">
        <f t="shared" si="36"/>
        <v>11223.659</v>
      </c>
      <c r="L130" s="993">
        <v>4100</v>
      </c>
      <c r="M130" s="993">
        <v>15323.659</v>
      </c>
      <c r="N130" s="992">
        <f t="shared" si="37"/>
        <v>123460.249</v>
      </c>
      <c r="O130" s="994">
        <f t="shared" si="38"/>
        <v>45100</v>
      </c>
      <c r="P130" s="992">
        <f t="shared" si="39"/>
        <v>168560.24900000001</v>
      </c>
      <c r="Q130" s="992"/>
      <c r="R130" s="968">
        <v>1</v>
      </c>
      <c r="S130" s="991">
        <f t="shared" si="40"/>
        <v>20.59</v>
      </c>
      <c r="T130" s="995">
        <f t="shared" si="41"/>
        <v>315514.13880999997</v>
      </c>
      <c r="U130" s="996">
        <f>T130/P130-1</f>
        <v>0.8718181818181816</v>
      </c>
      <c r="V130" s="997" t="s">
        <v>1055</v>
      </c>
      <c r="W130" s="998" t="s">
        <v>1056</v>
      </c>
      <c r="X130" s="999">
        <f t="shared" si="43"/>
        <v>168560.24900000001</v>
      </c>
      <c r="Y130" s="999">
        <v>5146000</v>
      </c>
      <c r="Z130" s="999">
        <v>19602</v>
      </c>
      <c r="AA130" s="1001">
        <f t="shared" si="44"/>
        <v>5294958.2489999998</v>
      </c>
      <c r="AB130" s="1008">
        <v>0</v>
      </c>
      <c r="AC130" s="1008">
        <v>-44204</v>
      </c>
      <c r="AD130" s="1003" t="str">
        <f t="shared" si="45"/>
        <v>n/a</v>
      </c>
      <c r="AE130" s="1003">
        <f t="shared" si="46"/>
        <v>-119.78459526287213</v>
      </c>
      <c r="AF130" s="1004">
        <f>+P130-X130</f>
        <v>0</v>
      </c>
    </row>
    <row r="131" spans="1:73" s="1005" customFormat="1" ht="14.85" customHeight="1">
      <c r="B131" s="986" t="s">
        <v>1543</v>
      </c>
      <c r="C131" s="989" t="s">
        <v>1544</v>
      </c>
      <c r="D131" s="988" t="s">
        <v>502</v>
      </c>
      <c r="E131" s="989" t="s">
        <v>1545</v>
      </c>
      <c r="F131" s="990">
        <v>42522</v>
      </c>
      <c r="G131" s="991">
        <v>7</v>
      </c>
      <c r="H131" s="991">
        <v>14</v>
      </c>
      <c r="I131" s="991">
        <v>16</v>
      </c>
      <c r="J131" s="991">
        <v>6.78</v>
      </c>
      <c r="K131" s="992">
        <f t="shared" si="36"/>
        <v>12251.079</v>
      </c>
      <c r="L131" s="993">
        <f>4000000/1000</f>
        <v>4000</v>
      </c>
      <c r="M131" s="993">
        <f>16251079/1000</f>
        <v>16251.079</v>
      </c>
      <c r="N131" s="992">
        <f t="shared" si="37"/>
        <v>85757.553</v>
      </c>
      <c r="O131" s="994">
        <f t="shared" si="38"/>
        <v>28000</v>
      </c>
      <c r="P131" s="992">
        <f t="shared" si="39"/>
        <v>113757.553</v>
      </c>
      <c r="Q131" s="992"/>
      <c r="R131" s="968">
        <v>1</v>
      </c>
      <c r="S131" s="991">
        <f t="shared" si="40"/>
        <v>6.78</v>
      </c>
      <c r="T131" s="995">
        <f t="shared" si="41"/>
        <v>110182.31562000001</v>
      </c>
      <c r="U131" s="1052">
        <v>-3.1428571428571361E-2</v>
      </c>
      <c r="V131" s="1055" t="s">
        <v>1545</v>
      </c>
      <c r="W131" s="1053" t="s">
        <v>1546</v>
      </c>
      <c r="X131" s="1056">
        <f t="shared" si="43"/>
        <v>113757.553</v>
      </c>
      <c r="Y131" s="999">
        <v>6035000</v>
      </c>
      <c r="Z131" s="999">
        <v>15887</v>
      </c>
      <c r="AA131" s="1001">
        <f t="shared" si="44"/>
        <v>6132870.5530000003</v>
      </c>
      <c r="AB131" s="1008">
        <v>510</v>
      </c>
      <c r="AC131" s="1008">
        <v>-18864</v>
      </c>
      <c r="AD131" s="1003">
        <f t="shared" si="45"/>
        <v>12025.236378431373</v>
      </c>
      <c r="AE131" s="1003">
        <f t="shared" si="46"/>
        <v>-325.10976213952506</v>
      </c>
      <c r="AF131" s="994"/>
    </row>
    <row r="132" spans="1:73" s="979" customFormat="1" ht="14.85" customHeight="1">
      <c r="A132" s="1005"/>
      <c r="B132" s="986" t="s">
        <v>1084</v>
      </c>
      <c r="C132" s="987" t="s">
        <v>1085</v>
      </c>
      <c r="D132" s="988" t="s">
        <v>502</v>
      </c>
      <c r="E132" s="989" t="s">
        <v>1086</v>
      </c>
      <c r="F132" s="990">
        <v>42515</v>
      </c>
      <c r="G132" s="1006">
        <v>11</v>
      </c>
      <c r="H132" s="1006">
        <v>14</v>
      </c>
      <c r="I132" s="1006">
        <v>16</v>
      </c>
      <c r="J132" s="1006">
        <v>20.14</v>
      </c>
      <c r="K132" s="992">
        <f t="shared" si="36"/>
        <v>15998.106</v>
      </c>
      <c r="L132" s="993">
        <v>5500</v>
      </c>
      <c r="M132" s="993">
        <v>21498.106</v>
      </c>
      <c r="N132" s="992">
        <f t="shared" si="37"/>
        <v>175979.166</v>
      </c>
      <c r="O132" s="994">
        <f t="shared" si="38"/>
        <v>60500</v>
      </c>
      <c r="P132" s="992">
        <f t="shared" si="39"/>
        <v>236479.166</v>
      </c>
      <c r="Q132" s="992"/>
      <c r="R132" s="968">
        <v>1</v>
      </c>
      <c r="S132" s="991">
        <f t="shared" si="40"/>
        <v>20.14</v>
      </c>
      <c r="T132" s="995">
        <f t="shared" si="41"/>
        <v>432971.85483999999</v>
      </c>
      <c r="U132" s="996">
        <f t="shared" ref="U132:U140" si="47">T132/P132-1</f>
        <v>0.83090909090909082</v>
      </c>
      <c r="V132" s="1007" t="s">
        <v>1087</v>
      </c>
      <c r="W132" s="998" t="s">
        <v>1088</v>
      </c>
      <c r="X132" s="999">
        <f t="shared" si="43"/>
        <v>236479.166</v>
      </c>
      <c r="Y132" s="999">
        <v>0</v>
      </c>
      <c r="Z132" s="999">
        <v>41853</v>
      </c>
      <c r="AA132" s="1001">
        <f t="shared" si="44"/>
        <v>194626.166</v>
      </c>
      <c r="AB132" s="1008">
        <v>49731</v>
      </c>
      <c r="AC132" s="1008">
        <v>-641</v>
      </c>
      <c r="AD132" s="1003">
        <f t="shared" si="45"/>
        <v>3.9135783716394199</v>
      </c>
      <c r="AE132" s="1003">
        <f t="shared" si="46"/>
        <v>-303.62896411856474</v>
      </c>
      <c r="AF132" s="1004">
        <f t="shared" ref="AF132:AF140" si="48">+P132-X132</f>
        <v>0</v>
      </c>
      <c r="AG132" s="1009"/>
    </row>
    <row r="133" spans="1:73" s="964" customFormat="1" ht="14.85" customHeight="1">
      <c r="A133" s="1005"/>
      <c r="B133" s="986" t="s">
        <v>1130</v>
      </c>
      <c r="C133" s="987" t="s">
        <v>1742</v>
      </c>
      <c r="D133" s="988" t="s">
        <v>502</v>
      </c>
      <c r="E133" s="989" t="s">
        <v>1132</v>
      </c>
      <c r="F133" s="990">
        <v>42327</v>
      </c>
      <c r="G133" s="1006">
        <v>9</v>
      </c>
      <c r="H133" s="1006">
        <v>11</v>
      </c>
      <c r="I133" s="1006">
        <v>13</v>
      </c>
      <c r="J133" s="1006">
        <v>9.11</v>
      </c>
      <c r="K133" s="992">
        <f t="shared" si="36"/>
        <v>13470.476999999999</v>
      </c>
      <c r="L133" s="993">
        <v>5666.6670000000004</v>
      </c>
      <c r="M133" s="993">
        <v>19137.144</v>
      </c>
      <c r="N133" s="992">
        <f t="shared" si="37"/>
        <v>121234.29299999999</v>
      </c>
      <c r="O133" s="994">
        <f t="shared" si="38"/>
        <v>51000.003000000004</v>
      </c>
      <c r="P133" s="992">
        <f t="shared" si="39"/>
        <v>172234.296</v>
      </c>
      <c r="Q133" s="992"/>
      <c r="R133" s="968">
        <v>1</v>
      </c>
      <c r="S133" s="991">
        <f t="shared" si="40"/>
        <v>9.11</v>
      </c>
      <c r="T133" s="995">
        <f t="shared" si="41"/>
        <v>174339.38183999999</v>
      </c>
      <c r="U133" s="996">
        <f t="shared" si="47"/>
        <v>1.2222222222222134E-2</v>
      </c>
      <c r="V133" s="1011" t="s">
        <v>1133</v>
      </c>
      <c r="W133" s="998" t="s">
        <v>1134</v>
      </c>
      <c r="X133" s="999">
        <f t="shared" si="43"/>
        <v>172234.296</v>
      </c>
      <c r="Y133" s="999">
        <v>15137820</v>
      </c>
      <c r="Z133" s="999">
        <v>4620.87</v>
      </c>
      <c r="AA133" s="1001">
        <f t="shared" si="44"/>
        <v>15305433.426000001</v>
      </c>
      <c r="AB133" s="1008">
        <v>0</v>
      </c>
      <c r="AC133" s="1008">
        <v>-17881.009999999998</v>
      </c>
      <c r="AD133" s="1003" t="str">
        <f t="shared" si="45"/>
        <v>n/a</v>
      </c>
      <c r="AE133" s="1003">
        <f t="shared" si="46"/>
        <v>-855.96022965145721</v>
      </c>
      <c r="AF133" s="1004">
        <f t="shared" si="48"/>
        <v>0</v>
      </c>
      <c r="AG133" s="1012"/>
      <c r="AH133" s="1012"/>
      <c r="AI133" s="1012"/>
      <c r="AJ133" s="1012"/>
      <c r="AK133" s="1013"/>
      <c r="AL133" s="1010"/>
      <c r="AM133" s="1009"/>
      <c r="AN133" s="1012"/>
      <c r="AO133" s="1012"/>
      <c r="AP133" s="1012"/>
    </row>
    <row r="134" spans="1:73" s="964" customFormat="1" ht="14.85" customHeight="1">
      <c r="A134" s="1005"/>
      <c r="B134" s="986" t="s">
        <v>1191</v>
      </c>
      <c r="C134" s="989" t="s">
        <v>1192</v>
      </c>
      <c r="D134" s="988" t="s">
        <v>502</v>
      </c>
      <c r="E134" s="989" t="s">
        <v>1193</v>
      </c>
      <c r="F134" s="990">
        <v>42208</v>
      </c>
      <c r="G134" s="1006">
        <v>15</v>
      </c>
      <c r="H134" s="1006">
        <v>14</v>
      </c>
      <c r="I134" s="1006">
        <v>16</v>
      </c>
      <c r="J134" s="1006">
        <v>24.9</v>
      </c>
      <c r="K134" s="992">
        <f t="shared" si="36"/>
        <v>9688.7160000000003</v>
      </c>
      <c r="L134" s="993">
        <v>4800</v>
      </c>
      <c r="M134" s="993">
        <v>14488.716</v>
      </c>
      <c r="N134" s="992">
        <f t="shared" si="37"/>
        <v>145330.74</v>
      </c>
      <c r="O134" s="994">
        <f t="shared" si="38"/>
        <v>72000</v>
      </c>
      <c r="P134" s="992">
        <f t="shared" si="39"/>
        <v>217330.74</v>
      </c>
      <c r="Q134" s="992"/>
      <c r="R134" s="968">
        <v>1</v>
      </c>
      <c r="S134" s="991">
        <f t="shared" si="40"/>
        <v>24.9</v>
      </c>
      <c r="T134" s="995">
        <f t="shared" si="41"/>
        <v>360769.02840000001</v>
      </c>
      <c r="U134" s="996">
        <f t="shared" si="47"/>
        <v>0.66000000000000014</v>
      </c>
      <c r="V134" s="997" t="s">
        <v>1194</v>
      </c>
      <c r="W134" s="998" t="s">
        <v>1195</v>
      </c>
      <c r="X134" s="999">
        <f t="shared" si="43"/>
        <v>217330.74</v>
      </c>
      <c r="Y134" s="999">
        <v>29619000</v>
      </c>
      <c r="Z134" s="999">
        <v>26169</v>
      </c>
      <c r="AA134" s="1001">
        <f t="shared" si="44"/>
        <v>29810161.739999998</v>
      </c>
      <c r="AB134" s="1008">
        <v>5948</v>
      </c>
      <c r="AC134" s="1008">
        <v>-48634</v>
      </c>
      <c r="AD134" s="1003">
        <f t="shared" si="45"/>
        <v>5011.7958540685941</v>
      </c>
      <c r="AE134" s="1003">
        <f t="shared" si="46"/>
        <v>-612.94900152156924</v>
      </c>
      <c r="AF134" s="1004">
        <f t="shared" si="48"/>
        <v>0</v>
      </c>
      <c r="AG134" s="979"/>
      <c r="AK134" s="994"/>
      <c r="AL134" s="1010"/>
      <c r="AM134" s="1009"/>
    </row>
    <row r="135" spans="1:73" s="1012" customFormat="1" ht="14.85" customHeight="1">
      <c r="A135" s="1005"/>
      <c r="B135" s="986" t="s">
        <v>1196</v>
      </c>
      <c r="C135" s="989" t="s">
        <v>1197</v>
      </c>
      <c r="D135" s="988" t="s">
        <v>1547</v>
      </c>
      <c r="E135" s="989" t="s">
        <v>1198</v>
      </c>
      <c r="F135" s="990">
        <v>42200</v>
      </c>
      <c r="G135" s="1006">
        <v>16</v>
      </c>
      <c r="H135" s="1006">
        <v>13</v>
      </c>
      <c r="I135" s="1006">
        <v>15</v>
      </c>
      <c r="J135" s="1006">
        <v>28.27</v>
      </c>
      <c r="K135" s="992">
        <f t="shared" si="36"/>
        <v>16609.642</v>
      </c>
      <c r="L135" s="993">
        <v>6365</v>
      </c>
      <c r="M135" s="993">
        <v>22974.642</v>
      </c>
      <c r="N135" s="992">
        <f t="shared" si="37"/>
        <v>265754.272</v>
      </c>
      <c r="O135" s="994">
        <f t="shared" si="38"/>
        <v>101840</v>
      </c>
      <c r="P135" s="992">
        <f t="shared" si="39"/>
        <v>367594.272</v>
      </c>
      <c r="Q135" s="992"/>
      <c r="R135" s="968">
        <v>1</v>
      </c>
      <c r="S135" s="991">
        <f t="shared" si="40"/>
        <v>28.27</v>
      </c>
      <c r="T135" s="995">
        <f t="shared" si="41"/>
        <v>649493.12933999998</v>
      </c>
      <c r="U135" s="996">
        <f t="shared" si="47"/>
        <v>0.76687499999999997</v>
      </c>
      <c r="V135" s="1011" t="s">
        <v>1199</v>
      </c>
      <c r="W135" s="998" t="s">
        <v>1200</v>
      </c>
      <c r="X135" s="999">
        <f t="shared" si="43"/>
        <v>367594.272</v>
      </c>
      <c r="Y135" s="999">
        <v>0</v>
      </c>
      <c r="Z135" s="999">
        <v>70871.77</v>
      </c>
      <c r="AA135" s="1001">
        <f t="shared" si="44"/>
        <v>296722.50199999998</v>
      </c>
      <c r="AB135" s="1008">
        <v>0</v>
      </c>
      <c r="AC135" s="1008">
        <v>-60684</v>
      </c>
      <c r="AD135" s="1003" t="str">
        <f t="shared" si="45"/>
        <v>n/a</v>
      </c>
      <c r="AE135" s="1003">
        <f t="shared" si="46"/>
        <v>-4.8896332146859134</v>
      </c>
      <c r="AF135" s="1004">
        <f t="shared" si="48"/>
        <v>0</v>
      </c>
      <c r="AG135" s="1014"/>
      <c r="AH135" s="1013"/>
      <c r="AI135" s="1014"/>
      <c r="AJ135" s="1015"/>
      <c r="AK135" s="1013"/>
      <c r="AL135" s="1010"/>
      <c r="AM135" s="1009"/>
      <c r="AN135" s="1011"/>
      <c r="AO135" s="1016"/>
      <c r="AP135" s="1016"/>
      <c r="AQ135" s="964"/>
      <c r="AR135" s="964"/>
      <c r="AS135" s="964"/>
      <c r="AT135" s="964"/>
      <c r="AU135" s="964"/>
      <c r="AV135" s="964"/>
      <c r="AW135" s="964"/>
      <c r="AX135" s="964"/>
      <c r="AY135" s="964"/>
      <c r="AZ135" s="964"/>
      <c r="BA135" s="964"/>
      <c r="BB135" s="964"/>
      <c r="BC135" s="964"/>
      <c r="BD135" s="964"/>
      <c r="BE135" s="964"/>
      <c r="BF135" s="964"/>
      <c r="BG135" s="964"/>
      <c r="BH135" s="964"/>
      <c r="BI135" s="964"/>
      <c r="BJ135" s="964"/>
      <c r="BK135" s="964"/>
      <c r="BL135" s="964"/>
      <c r="BM135" s="964"/>
      <c r="BN135" s="964"/>
      <c r="BO135" s="964"/>
      <c r="BP135" s="964"/>
      <c r="BQ135" s="964"/>
      <c r="BR135" s="964"/>
      <c r="BS135" s="964"/>
      <c r="BT135" s="964"/>
      <c r="BU135" s="964"/>
    </row>
    <row r="136" spans="1:73" s="1012" customFormat="1" ht="14.85" customHeight="1">
      <c r="A136" s="1005"/>
      <c r="B136" s="986" t="s">
        <v>1226</v>
      </c>
      <c r="C136" s="989" t="s">
        <v>1227</v>
      </c>
      <c r="D136" s="988" t="s">
        <v>1547</v>
      </c>
      <c r="E136" s="989" t="s">
        <v>1228</v>
      </c>
      <c r="F136" s="990">
        <v>42130</v>
      </c>
      <c r="G136" s="1006">
        <v>12</v>
      </c>
      <c r="H136" s="1006">
        <v>12</v>
      </c>
      <c r="I136" s="1006">
        <v>14</v>
      </c>
      <c r="J136" s="1006">
        <v>19.079999999999998</v>
      </c>
      <c r="K136" s="992">
        <f t="shared" si="36"/>
        <v>13907.935000000001</v>
      </c>
      <c r="L136" s="993">
        <v>5800</v>
      </c>
      <c r="M136" s="993">
        <v>19707.935000000001</v>
      </c>
      <c r="N136" s="992">
        <f t="shared" si="37"/>
        <v>166895.22000000003</v>
      </c>
      <c r="O136" s="994">
        <f t="shared" si="38"/>
        <v>69600</v>
      </c>
      <c r="P136" s="992">
        <f t="shared" si="39"/>
        <v>236495.22000000003</v>
      </c>
      <c r="Q136" s="992"/>
      <c r="R136" s="968">
        <v>1</v>
      </c>
      <c r="S136" s="991">
        <f t="shared" si="40"/>
        <v>19.079999999999998</v>
      </c>
      <c r="T136" s="995">
        <f t="shared" si="41"/>
        <v>376027.39980000001</v>
      </c>
      <c r="U136" s="996">
        <f t="shared" si="47"/>
        <v>0.58999999999999986</v>
      </c>
      <c r="V136" s="997" t="s">
        <v>1229</v>
      </c>
      <c r="W136" s="998" t="s">
        <v>1230</v>
      </c>
      <c r="X136" s="999">
        <f t="shared" si="43"/>
        <v>236495.22000000003</v>
      </c>
      <c r="Y136" s="999">
        <v>13007000</v>
      </c>
      <c r="Z136" s="999">
        <v>1634</v>
      </c>
      <c r="AA136" s="1001">
        <f t="shared" si="44"/>
        <v>13241861.220000001</v>
      </c>
      <c r="AB136" s="1008">
        <v>0</v>
      </c>
      <c r="AC136" s="1008">
        <v>-58596</v>
      </c>
      <c r="AD136" s="1003" t="str">
        <f t="shared" si="45"/>
        <v>n/a</v>
      </c>
      <c r="AE136" s="1003">
        <f t="shared" si="46"/>
        <v>-225.98575363506043</v>
      </c>
      <c r="AF136" s="1004">
        <f t="shared" si="48"/>
        <v>0</v>
      </c>
      <c r="AG136" s="979"/>
      <c r="AH136" s="964"/>
      <c r="AI136" s="964"/>
      <c r="AJ136" s="964"/>
      <c r="AK136" s="994"/>
      <c r="AL136" s="1010"/>
      <c r="AM136" s="1009"/>
      <c r="AN136" s="964"/>
      <c r="AO136" s="964"/>
      <c r="AP136" s="964"/>
    </row>
    <row r="137" spans="1:73" s="1012" customFormat="1" ht="14.85" customHeight="1">
      <c r="A137" s="1005"/>
      <c r="B137" s="986" t="s">
        <v>1231</v>
      </c>
      <c r="C137" s="989" t="s">
        <v>1232</v>
      </c>
      <c r="D137" s="988" t="s">
        <v>502</v>
      </c>
      <c r="E137" s="989" t="s">
        <v>1233</v>
      </c>
      <c r="F137" s="990">
        <v>42129</v>
      </c>
      <c r="G137" s="1006">
        <v>10</v>
      </c>
      <c r="H137" s="1006">
        <v>13</v>
      </c>
      <c r="I137" s="1006">
        <v>15</v>
      </c>
      <c r="J137" s="1006">
        <v>8.4499999999999993</v>
      </c>
      <c r="K137" s="992">
        <f t="shared" si="36"/>
        <v>9638.9889999999996</v>
      </c>
      <c r="L137" s="993">
        <v>5500</v>
      </c>
      <c r="M137" s="993">
        <v>15138.989</v>
      </c>
      <c r="N137" s="992">
        <f t="shared" si="37"/>
        <v>96389.89</v>
      </c>
      <c r="O137" s="994">
        <f t="shared" si="38"/>
        <v>55000</v>
      </c>
      <c r="P137" s="992">
        <f t="shared" si="39"/>
        <v>151389.89000000001</v>
      </c>
      <c r="Q137" s="992"/>
      <c r="R137" s="968">
        <v>1</v>
      </c>
      <c r="S137" s="991">
        <f t="shared" si="40"/>
        <v>8.4499999999999993</v>
      </c>
      <c r="T137" s="995">
        <f t="shared" si="41"/>
        <v>127924.45704999998</v>
      </c>
      <c r="U137" s="996">
        <f t="shared" si="47"/>
        <v>-0.15500000000000014</v>
      </c>
      <c r="V137" s="1011" t="s">
        <v>1234</v>
      </c>
      <c r="W137" s="998" t="s">
        <v>1235</v>
      </c>
      <c r="X137" s="999">
        <f t="shared" si="43"/>
        <v>151389.89000000001</v>
      </c>
      <c r="Y137" s="999" t="s">
        <v>13</v>
      </c>
      <c r="Z137" s="999" t="s">
        <v>13</v>
      </c>
      <c r="AA137" s="999" t="s">
        <v>13</v>
      </c>
      <c r="AB137" s="999" t="s">
        <v>13</v>
      </c>
      <c r="AC137" s="999" t="s">
        <v>13</v>
      </c>
      <c r="AD137" s="1003" t="str">
        <f t="shared" si="45"/>
        <v>n/a</v>
      </c>
      <c r="AE137" s="1003" t="str">
        <f t="shared" si="46"/>
        <v>n/a</v>
      </c>
      <c r="AF137" s="1004">
        <f t="shared" si="48"/>
        <v>0</v>
      </c>
      <c r="AK137" s="1057"/>
      <c r="AL137" s="1010"/>
      <c r="AM137" s="1009"/>
    </row>
    <row r="138" spans="1:73" s="1012" customFormat="1" ht="14.85" customHeight="1">
      <c r="A138" s="1005"/>
      <c r="B138" s="986" t="s">
        <v>1263</v>
      </c>
      <c r="C138" s="989" t="s">
        <v>1264</v>
      </c>
      <c r="D138" s="988" t="s">
        <v>502</v>
      </c>
      <c r="E138" s="989" t="s">
        <v>1265</v>
      </c>
      <c r="F138" s="990">
        <v>42108</v>
      </c>
      <c r="G138" s="1006">
        <v>19</v>
      </c>
      <c r="H138" s="1006">
        <v>18</v>
      </c>
      <c r="I138" s="1006">
        <v>20</v>
      </c>
      <c r="J138" s="1006">
        <v>19.93</v>
      </c>
      <c r="K138" s="992">
        <f t="shared" si="36"/>
        <v>27716.631000000001</v>
      </c>
      <c r="L138" s="993">
        <v>4000</v>
      </c>
      <c r="M138" s="993">
        <v>31716.631000000001</v>
      </c>
      <c r="N138" s="992">
        <f t="shared" si="37"/>
        <v>526615.98900000006</v>
      </c>
      <c r="O138" s="994">
        <f t="shared" si="38"/>
        <v>76000</v>
      </c>
      <c r="P138" s="992">
        <f t="shared" si="39"/>
        <v>602615.98900000006</v>
      </c>
      <c r="Q138" s="992"/>
      <c r="R138" s="968">
        <v>1</v>
      </c>
      <c r="S138" s="991">
        <f t="shared" si="40"/>
        <v>19.93</v>
      </c>
      <c r="T138" s="995">
        <f t="shared" si="41"/>
        <v>632112.45582999999</v>
      </c>
      <c r="U138" s="996">
        <f t="shared" si="47"/>
        <v>4.8947368421052406E-2</v>
      </c>
      <c r="V138" s="998" t="s">
        <v>1266</v>
      </c>
      <c r="W138" s="998" t="s">
        <v>1267</v>
      </c>
      <c r="X138" s="999">
        <f t="shared" si="43"/>
        <v>602615.98900000006</v>
      </c>
      <c r="Y138" s="999">
        <v>0</v>
      </c>
      <c r="Z138" s="999">
        <v>57329</v>
      </c>
      <c r="AA138" s="1001">
        <f>X138+Y138-Z138</f>
        <v>545286.98900000006</v>
      </c>
      <c r="AB138" s="1008">
        <v>0</v>
      </c>
      <c r="AC138" s="1008">
        <v>-46039</v>
      </c>
      <c r="AD138" s="1003" t="str">
        <f t="shared" si="45"/>
        <v>n/a</v>
      </c>
      <c r="AE138" s="1003">
        <f t="shared" si="46"/>
        <v>-11.844023306327246</v>
      </c>
      <c r="AF138" s="1004">
        <f t="shared" si="48"/>
        <v>0</v>
      </c>
      <c r="AG138" s="964"/>
      <c r="AH138" s="964"/>
      <c r="AI138" s="1049"/>
      <c r="AJ138" s="994"/>
      <c r="AK138" s="1010"/>
      <c r="AL138" s="1009"/>
      <c r="AM138" s="964"/>
      <c r="AN138" s="964"/>
      <c r="AO138" s="964"/>
    </row>
    <row r="139" spans="1:73" s="964" customFormat="1" ht="14.85" customHeight="1">
      <c r="A139" s="1005"/>
      <c r="B139" s="986" t="s">
        <v>1278</v>
      </c>
      <c r="C139" s="989" t="s">
        <v>1279</v>
      </c>
      <c r="D139" s="988" t="s">
        <v>502</v>
      </c>
      <c r="E139" s="989" t="s">
        <v>1280</v>
      </c>
      <c r="F139" s="990">
        <v>42047</v>
      </c>
      <c r="G139" s="1006">
        <v>6</v>
      </c>
      <c r="H139" s="1006">
        <v>12</v>
      </c>
      <c r="I139" s="1006">
        <v>14</v>
      </c>
      <c r="J139" s="1006">
        <v>3.1</v>
      </c>
      <c r="K139" s="992">
        <f t="shared" si="36"/>
        <v>5645.3540000000003</v>
      </c>
      <c r="L139" s="993">
        <v>683.25</v>
      </c>
      <c r="M139" s="993">
        <v>6328.6040000000003</v>
      </c>
      <c r="N139" s="992">
        <f t="shared" si="37"/>
        <v>33872.124000000003</v>
      </c>
      <c r="O139" s="994">
        <f t="shared" si="38"/>
        <v>4099.5</v>
      </c>
      <c r="P139" s="992">
        <f t="shared" si="39"/>
        <v>37971.624000000003</v>
      </c>
      <c r="Q139" s="992"/>
      <c r="R139" s="968">
        <v>1</v>
      </c>
      <c r="S139" s="991">
        <f t="shared" si="40"/>
        <v>3.1</v>
      </c>
      <c r="T139" s="995">
        <f t="shared" si="41"/>
        <v>19618.672400000003</v>
      </c>
      <c r="U139" s="996">
        <f t="shared" si="47"/>
        <v>-0.48333333333333328</v>
      </c>
      <c r="V139" s="998" t="s">
        <v>1281</v>
      </c>
      <c r="W139" s="998" t="s">
        <v>1282</v>
      </c>
      <c r="X139" s="999">
        <f t="shared" si="43"/>
        <v>37971.624000000003</v>
      </c>
      <c r="Y139" s="999">
        <v>2842130</v>
      </c>
      <c r="Z139" s="999">
        <v>311.09999999999997</v>
      </c>
      <c r="AA139" s="1001">
        <f>X139+Y139-Z139</f>
        <v>2879790.5239999997</v>
      </c>
      <c r="AB139" s="1008">
        <v>234.6</v>
      </c>
      <c r="AC139" s="1008">
        <v>-10063.75</v>
      </c>
      <c r="AD139" s="1003">
        <f t="shared" si="45"/>
        <v>12275.321926683717</v>
      </c>
      <c r="AE139" s="1003">
        <f t="shared" si="46"/>
        <v>-286.15481545149669</v>
      </c>
      <c r="AF139" s="1004">
        <f t="shared" si="48"/>
        <v>0</v>
      </c>
      <c r="AG139" s="1012"/>
      <c r="AH139" s="1012"/>
      <c r="AI139" s="1012"/>
      <c r="AJ139" s="1013"/>
      <c r="AK139" s="1010"/>
      <c r="AL139" s="1009"/>
      <c r="AM139" s="1012"/>
      <c r="AN139" s="1012"/>
      <c r="AO139" s="1012"/>
      <c r="AP139" s="1012"/>
      <c r="AQ139" s="1012"/>
      <c r="AR139" s="1012"/>
      <c r="AS139" s="1012"/>
      <c r="AT139" s="1012"/>
      <c r="AU139" s="1012"/>
      <c r="AV139" s="1012"/>
      <c r="AW139" s="1012"/>
      <c r="AX139" s="1012"/>
      <c r="AY139" s="1012"/>
      <c r="AZ139" s="1012"/>
      <c r="BA139" s="1012"/>
      <c r="BB139" s="1012"/>
      <c r="BC139" s="1012"/>
      <c r="BD139" s="1012"/>
      <c r="BE139" s="1012"/>
      <c r="BF139" s="1012"/>
      <c r="BG139" s="1012"/>
      <c r="BH139" s="1012"/>
      <c r="BI139" s="1012"/>
      <c r="BJ139" s="1012"/>
      <c r="BK139" s="1012"/>
      <c r="BL139" s="1012"/>
      <c r="BM139" s="1012"/>
      <c r="BN139" s="1012"/>
      <c r="BO139" s="1012"/>
      <c r="BP139" s="1012"/>
      <c r="BQ139" s="1012"/>
      <c r="BR139" s="1012"/>
      <c r="BS139" s="1012"/>
      <c r="BT139" s="1012"/>
      <c r="BU139" s="1012"/>
    </row>
    <row r="140" spans="1:73" s="1012" customFormat="1" ht="14.85" customHeight="1">
      <c r="A140" s="1005"/>
      <c r="B140" s="986" t="s">
        <v>735</v>
      </c>
      <c r="C140" s="989" t="s">
        <v>733</v>
      </c>
      <c r="D140" s="988" t="s">
        <v>502</v>
      </c>
      <c r="E140" s="989" t="s">
        <v>1283</v>
      </c>
      <c r="F140" s="990">
        <v>42033</v>
      </c>
      <c r="G140" s="1006">
        <v>23</v>
      </c>
      <c r="H140" s="1006">
        <v>15</v>
      </c>
      <c r="I140" s="1006">
        <v>17</v>
      </c>
      <c r="J140" s="1006">
        <v>57.59</v>
      </c>
      <c r="K140" s="992">
        <f t="shared" si="36"/>
        <v>16490.366999999998</v>
      </c>
      <c r="L140" s="993">
        <v>7000</v>
      </c>
      <c r="M140" s="993">
        <v>23490.366999999998</v>
      </c>
      <c r="N140" s="992">
        <f t="shared" si="37"/>
        <v>379278.44099999999</v>
      </c>
      <c r="O140" s="994">
        <f t="shared" si="38"/>
        <v>161000</v>
      </c>
      <c r="P140" s="992">
        <f t="shared" si="39"/>
        <v>540278.44099999999</v>
      </c>
      <c r="Q140" s="992"/>
      <c r="R140" s="968">
        <v>1</v>
      </c>
      <c r="S140" s="991">
        <f t="shared" si="40"/>
        <v>57.59</v>
      </c>
      <c r="T140" s="995">
        <f t="shared" si="41"/>
        <v>1352810.2355299999</v>
      </c>
      <c r="U140" s="996">
        <f t="shared" si="47"/>
        <v>1.5039130434782608</v>
      </c>
      <c r="V140" s="998" t="s">
        <v>734</v>
      </c>
      <c r="W140" s="998" t="s">
        <v>736</v>
      </c>
      <c r="X140" s="999">
        <f t="shared" si="43"/>
        <v>540278.44099999999</v>
      </c>
      <c r="Y140" s="999">
        <v>0</v>
      </c>
      <c r="Z140" s="999">
        <v>67272.599999999991</v>
      </c>
      <c r="AA140" s="1001">
        <f>X140+Y140-Z140</f>
        <v>473005.84100000001</v>
      </c>
      <c r="AB140" s="1008">
        <v>21077.84</v>
      </c>
      <c r="AC140" s="1008">
        <v>-75140.02</v>
      </c>
      <c r="AD140" s="1003">
        <f t="shared" si="45"/>
        <v>22.440906705810463</v>
      </c>
      <c r="AE140" s="1003">
        <f t="shared" si="46"/>
        <v>-6.2949922158657925</v>
      </c>
      <c r="AF140" s="1004">
        <f t="shared" si="48"/>
        <v>0</v>
      </c>
      <c r="AG140" s="964"/>
      <c r="AH140" s="964"/>
      <c r="AI140" s="964"/>
      <c r="AJ140" s="994"/>
      <c r="AK140" s="1010"/>
      <c r="AL140" s="1009"/>
      <c r="AM140" s="964"/>
      <c r="AN140" s="964"/>
      <c r="AO140" s="964"/>
    </row>
    <row r="141" spans="1:73" s="964" customFormat="1" ht="14.85" customHeight="1">
      <c r="A141" s="1046"/>
      <c r="B141" s="986"/>
      <c r="C141" s="986"/>
      <c r="D141" s="986"/>
      <c r="E141" s="986"/>
      <c r="F141" s="1058"/>
      <c r="G141" s="1058"/>
      <c r="H141" s="1058"/>
      <c r="I141" s="1058"/>
      <c r="J141" s="1058"/>
      <c r="K141" s="1058"/>
      <c r="L141" s="1058"/>
      <c r="M141" s="1058"/>
      <c r="N141" s="1058"/>
      <c r="O141" s="1058"/>
      <c r="P141" s="1058"/>
      <c r="Q141" s="992"/>
      <c r="R141" s="992"/>
      <c r="S141" s="1059"/>
    </row>
    <row r="142" spans="1:73" s="964" customFormat="1" ht="14.85" customHeight="1">
      <c r="B142" s="1019" t="s">
        <v>111</v>
      </c>
      <c r="C142" s="1020"/>
      <c r="D142" s="1020"/>
      <c r="E142" s="1020"/>
      <c r="F142" s="1020"/>
      <c r="G142" s="1020"/>
      <c r="H142" s="1020"/>
      <c r="I142" s="1020"/>
      <c r="J142" s="1020"/>
      <c r="K142" s="1020"/>
      <c r="L142" s="1020"/>
      <c r="M142" s="1020"/>
      <c r="N142" s="1021">
        <f>MAX(N122:N140)</f>
        <v>737506.26</v>
      </c>
      <c r="O142" s="1021"/>
      <c r="P142" s="1022">
        <f>MAX(P122:P140)</f>
        <v>887506.25399999996</v>
      </c>
      <c r="Q142" s="968"/>
      <c r="R142" s="968"/>
      <c r="S142" s="1060">
        <f>MAX(S122:S140)</f>
        <v>57.59</v>
      </c>
    </row>
    <row r="143" spans="1:73" s="964" customFormat="1" ht="14.85" customHeight="1">
      <c r="B143" s="1024" t="s">
        <v>115</v>
      </c>
      <c r="C143" s="1025"/>
      <c r="D143" s="1025"/>
      <c r="E143" s="1025"/>
      <c r="F143" s="1025"/>
      <c r="G143" s="1025"/>
      <c r="H143" s="1025"/>
      <c r="I143" s="1025"/>
      <c r="J143" s="1025"/>
      <c r="K143" s="1025"/>
      <c r="L143" s="1025"/>
      <c r="M143" s="1025"/>
      <c r="N143" s="940">
        <f>QUARTILE(N122:N140,3)</f>
        <v>383930.7365</v>
      </c>
      <c r="O143" s="940"/>
      <c r="P143" s="1026">
        <f>QUARTILE(P122:P140,3)</f>
        <v>488403.8235</v>
      </c>
      <c r="Q143" s="968"/>
      <c r="R143" s="968"/>
      <c r="S143" s="1061">
        <f>QUARTILE(S122:S140,3)</f>
        <v>20.975000000000001</v>
      </c>
    </row>
    <row r="144" spans="1:73" s="964" customFormat="1" ht="14.85" customHeight="1">
      <c r="B144" s="1024" t="s">
        <v>43</v>
      </c>
      <c r="C144" s="1025"/>
      <c r="D144" s="1025"/>
      <c r="E144" s="1025"/>
      <c r="F144" s="1025"/>
      <c r="G144" s="1025"/>
      <c r="H144" s="1025"/>
      <c r="I144" s="1025"/>
      <c r="J144" s="1025"/>
      <c r="K144" s="1025"/>
      <c r="L144" s="1025"/>
      <c r="M144" s="1025"/>
      <c r="N144" s="940">
        <f>AVERAGE(N122:N140)</f>
        <v>281326.36131578946</v>
      </c>
      <c r="O144" s="940"/>
      <c r="P144" s="1026">
        <f>AVERAGE(P122:P140)</f>
        <v>356236.10957894736</v>
      </c>
      <c r="Q144" s="968"/>
      <c r="R144" s="968"/>
      <c r="S144" s="1061">
        <f>AVERAGE(S122:S140)</f>
        <v>19.293157894736844</v>
      </c>
    </row>
    <row r="145" spans="2:19" s="964" customFormat="1" ht="14.85" customHeight="1">
      <c r="B145" s="1024" t="s">
        <v>44</v>
      </c>
      <c r="C145" s="1025"/>
      <c r="D145" s="1025"/>
      <c r="E145" s="1025"/>
      <c r="F145" s="1025"/>
      <c r="G145" s="1025"/>
      <c r="H145" s="1025"/>
      <c r="I145" s="1025"/>
      <c r="J145" s="1025"/>
      <c r="K145" s="1025"/>
      <c r="L145" s="1025"/>
      <c r="M145" s="1025"/>
      <c r="N145" s="940">
        <f>MEDIAN(N122:N140)</f>
        <v>259245</v>
      </c>
      <c r="O145" s="940"/>
      <c r="P145" s="1026">
        <f>MEDIAN(P122:P140)</f>
        <v>349245</v>
      </c>
      <c r="Q145" s="968"/>
      <c r="R145" s="968"/>
      <c r="S145" s="1061">
        <f>MEDIAN(S122:S140)</f>
        <v>19.5</v>
      </c>
    </row>
    <row r="146" spans="2:19" s="964" customFormat="1" ht="14.85" customHeight="1">
      <c r="B146" s="1024" t="s">
        <v>114</v>
      </c>
      <c r="C146" s="1025"/>
      <c r="D146" s="1025"/>
      <c r="E146" s="1025"/>
      <c r="F146" s="1025"/>
      <c r="G146" s="1025"/>
      <c r="H146" s="1025"/>
      <c r="I146" s="1025"/>
      <c r="J146" s="1025"/>
      <c r="K146" s="1025"/>
      <c r="L146" s="1025"/>
      <c r="M146" s="1025"/>
      <c r="N146" s="940">
        <f>QUARTILE(N122:N140,1)</f>
        <v>134395.4945</v>
      </c>
      <c r="O146" s="940"/>
      <c r="P146" s="1026">
        <f>QUARTILE(P122:P140,1)</f>
        <v>194782.51799999998</v>
      </c>
      <c r="Q146" s="968"/>
      <c r="R146" s="968"/>
      <c r="S146" s="1061">
        <f>QUARTILE(S122:S140,1)</f>
        <v>13</v>
      </c>
    </row>
    <row r="147" spans="2:19" s="964" customFormat="1" ht="14.85" customHeight="1">
      <c r="B147" s="1028" t="s">
        <v>112</v>
      </c>
      <c r="C147" s="1029"/>
      <c r="D147" s="1029"/>
      <c r="E147" s="1029"/>
      <c r="F147" s="1029"/>
      <c r="G147" s="1029"/>
      <c r="H147" s="1029"/>
      <c r="I147" s="1029"/>
      <c r="J147" s="1029"/>
      <c r="K147" s="1029"/>
      <c r="L147" s="1029"/>
      <c r="M147" s="1029"/>
      <c r="N147" s="942">
        <f>MIN(N122:N140)</f>
        <v>33872.124000000003</v>
      </c>
      <c r="O147" s="942"/>
      <c r="P147" s="1030">
        <f>MIN(P122:P140)</f>
        <v>37971.624000000003</v>
      </c>
      <c r="Q147" s="968"/>
      <c r="R147" s="968"/>
      <c r="S147" s="1062">
        <f>MIN(S122:S140)</f>
        <v>3.1</v>
      </c>
    </row>
    <row r="148" spans="2:19" s="964" customFormat="1" ht="14.85" customHeight="1">
      <c r="B148" s="1049"/>
      <c r="C148" s="1049"/>
      <c r="D148" s="1049"/>
      <c r="E148" s="1049"/>
      <c r="F148" s="1059"/>
      <c r="G148" s="1059"/>
      <c r="H148" s="1059"/>
      <c r="I148" s="1059"/>
      <c r="J148" s="1059"/>
      <c r="K148" s="1059"/>
      <c r="L148" s="1059"/>
      <c r="M148" s="1059"/>
      <c r="N148" s="1059"/>
      <c r="O148" s="1059"/>
      <c r="P148" s="1059"/>
      <c r="Q148" s="968"/>
      <c r="R148" s="968"/>
      <c r="S148" s="1059"/>
    </row>
    <row r="149" spans="2:19" s="964" customFormat="1" ht="14.85" customHeight="1">
      <c r="B149" s="1063" t="s">
        <v>1548</v>
      </c>
      <c r="C149" s="1049"/>
      <c r="D149" s="1049"/>
      <c r="E149" s="1049"/>
      <c r="F149" s="1059"/>
      <c r="G149" s="1059"/>
      <c r="H149" s="1059"/>
      <c r="I149" s="1059"/>
      <c r="J149" s="1059"/>
      <c r="K149" s="1059"/>
      <c r="L149" s="1059"/>
      <c r="M149" s="1059"/>
      <c r="N149" s="1059"/>
      <c r="O149" s="1059"/>
      <c r="P149" s="1059"/>
      <c r="Q149" s="968"/>
      <c r="R149" s="968"/>
      <c r="S149" s="1059"/>
    </row>
    <row r="150" spans="2:19" s="964" customFormat="1" ht="14.85" customHeight="1">
      <c r="B150" s="1019" t="s">
        <v>111</v>
      </c>
      <c r="C150" s="1020"/>
      <c r="D150" s="1020"/>
      <c r="E150" s="1020"/>
      <c r="F150" s="1020"/>
      <c r="G150" s="1020"/>
      <c r="H150" s="1020"/>
      <c r="I150" s="1020"/>
      <c r="J150" s="1020"/>
      <c r="K150" s="1020"/>
      <c r="L150" s="1020"/>
      <c r="M150" s="1020"/>
      <c r="N150" s="1021">
        <f t="array" ref="N150">MAX(IF($R$12:$R$140=1,N$12:N$140,""))</f>
        <v>1766090.8</v>
      </c>
      <c r="O150" s="1021"/>
      <c r="P150" s="1022">
        <f t="array" ref="P150">MAX(IF($R$12:$R$140=1,P$12:P$140,""))</f>
        <v>1973290.8</v>
      </c>
      <c r="Q150" s="968"/>
      <c r="R150" s="968"/>
      <c r="S150" s="1059"/>
    </row>
    <row r="151" spans="2:19" s="964" customFormat="1" ht="14.85" customHeight="1">
      <c r="B151" s="1024" t="s">
        <v>115</v>
      </c>
      <c r="C151" s="1025"/>
      <c r="D151" s="1025"/>
      <c r="E151" s="1025"/>
      <c r="F151" s="1025"/>
      <c r="G151" s="1025"/>
      <c r="H151" s="1025"/>
      <c r="I151" s="1025"/>
      <c r="J151" s="1025"/>
      <c r="K151" s="1025"/>
      <c r="L151" s="1025"/>
      <c r="M151" s="1025"/>
      <c r="N151" s="940">
        <f t="array" ref="N151">QUARTILE(IF($R$12:$R$140=1,N$12:N$140,""),3)</f>
        <v>362007.06746106001</v>
      </c>
      <c r="O151" s="940"/>
      <c r="P151" s="1026">
        <f t="array" ref="P151">QUARTILE(IF($R$12:$R$140=1,P$12:P$140,""),3)</f>
        <v>464537.68125000002</v>
      </c>
      <c r="Q151" s="968"/>
      <c r="R151" s="968"/>
      <c r="S151" s="1059"/>
    </row>
    <row r="152" spans="2:19" s="964" customFormat="1" ht="14.85" customHeight="1">
      <c r="B152" s="1024" t="s">
        <v>43</v>
      </c>
      <c r="C152" s="1025"/>
      <c r="D152" s="1025"/>
      <c r="E152" s="1025"/>
      <c r="F152" s="1025"/>
      <c r="G152" s="1025"/>
      <c r="H152" s="1025"/>
      <c r="I152" s="1025"/>
      <c r="J152" s="1025"/>
      <c r="K152" s="1025"/>
      <c r="L152" s="1025"/>
      <c r="M152" s="1025"/>
      <c r="N152" s="940">
        <f t="array" ref="N152">AVERAGE(IF($R$12:$R$140=1,N$12:N$140,""))</f>
        <v>291737.12692330958</v>
      </c>
      <c r="O152" s="940"/>
      <c r="P152" s="1026">
        <f t="array" ref="P152">AVERAGE(IF($R$12:$R$140=1,P$12:P$140,""))</f>
        <v>373228.01189027465</v>
      </c>
      <c r="Q152" s="968"/>
      <c r="R152" s="968"/>
      <c r="S152" s="1059"/>
    </row>
    <row r="153" spans="2:19" s="964" customFormat="1" ht="14.85" customHeight="1">
      <c r="B153" s="1024" t="s">
        <v>44</v>
      </c>
      <c r="C153" s="1025"/>
      <c r="D153" s="1025"/>
      <c r="E153" s="1025"/>
      <c r="F153" s="1025"/>
      <c r="G153" s="1025"/>
      <c r="H153" s="1025"/>
      <c r="I153" s="1025"/>
      <c r="J153" s="1025"/>
      <c r="K153" s="1025"/>
      <c r="L153" s="1025"/>
      <c r="M153" s="1025"/>
      <c r="N153" s="940">
        <f t="array" ref="N153">MEDIAN(IF($R$12:$R$140=1,N$12:N$140,""))</f>
        <v>233913.50625000001</v>
      </c>
      <c r="O153" s="940"/>
      <c r="P153" s="1026">
        <f t="array" ref="P153">MEDIAN(IF($R$12:$R$140=1,P$12:P$140,""))</f>
        <v>304277.87549999997</v>
      </c>
      <c r="Q153" s="968"/>
      <c r="R153" s="968"/>
      <c r="S153" s="1059"/>
    </row>
    <row r="154" spans="2:19" s="964" customFormat="1" ht="14.85" customHeight="1">
      <c r="B154" s="1024" t="s">
        <v>114</v>
      </c>
      <c r="C154" s="1025"/>
      <c r="D154" s="1025"/>
      <c r="E154" s="1025"/>
      <c r="F154" s="1025"/>
      <c r="G154" s="1025"/>
      <c r="H154" s="1025"/>
      <c r="I154" s="1025"/>
      <c r="J154" s="1025"/>
      <c r="K154" s="1025"/>
      <c r="L154" s="1025"/>
      <c r="M154" s="1025"/>
      <c r="N154" s="940">
        <f t="array" ref="N154">QUARTILE(IF($R$12:$R$140=1,N$12:N$140,""),1)</f>
        <v>99683.968500000003</v>
      </c>
      <c r="O154" s="940"/>
      <c r="P154" s="1026">
        <f t="array" ref="P154">QUARTILE(IF($R$12:$R$140=1,P$12:P$140,""),1)</f>
        <v>155058.69874999998</v>
      </c>
      <c r="Q154" s="968"/>
      <c r="R154" s="968"/>
      <c r="S154" s="1059"/>
    </row>
    <row r="155" spans="2:19" s="964" customFormat="1" ht="14.85" customHeight="1">
      <c r="B155" s="1028" t="s">
        <v>112</v>
      </c>
      <c r="C155" s="1029"/>
      <c r="D155" s="1029"/>
      <c r="E155" s="1029"/>
      <c r="F155" s="1029"/>
      <c r="G155" s="1029"/>
      <c r="H155" s="1029"/>
      <c r="I155" s="1029"/>
      <c r="J155" s="1029"/>
      <c r="K155" s="1029"/>
      <c r="L155" s="1029"/>
      <c r="M155" s="1029"/>
      <c r="N155" s="942">
        <f t="array" ref="N155">MIN(IF($R$12:$R$140=1,N$12:N$140,""))</f>
        <v>18940.300000000003</v>
      </c>
      <c r="O155" s="942"/>
      <c r="P155" s="1030">
        <f t="array" ref="P155">MIN(IF($R$12:$R$140=1,P$12:P$140,""))</f>
        <v>37971.624000000003</v>
      </c>
      <c r="Q155" s="968"/>
      <c r="R155" s="968"/>
      <c r="S155" s="1059"/>
    </row>
    <row r="156" spans="2:19" s="964" customFormat="1" ht="14.85" customHeight="1">
      <c r="F156" s="1064"/>
      <c r="G156" s="1064"/>
      <c r="H156" s="1064"/>
      <c r="I156" s="1064"/>
      <c r="J156" s="1064"/>
      <c r="K156" s="1064"/>
      <c r="L156" s="1064"/>
      <c r="M156" s="1064"/>
      <c r="N156" s="1064"/>
      <c r="O156" s="1064"/>
      <c r="P156" s="1064"/>
      <c r="Q156" s="1064"/>
      <c r="R156" s="1064"/>
      <c r="S156" s="1064"/>
    </row>
    <row r="157" spans="2:19" s="964" customFormat="1" ht="14.85" customHeight="1">
      <c r="B157" s="295" t="s">
        <v>116</v>
      </c>
      <c r="C157" s="1065"/>
      <c r="D157" s="1065"/>
      <c r="E157" s="1065"/>
      <c r="F157" s="1065"/>
      <c r="G157" s="1065"/>
      <c r="H157" s="1065"/>
      <c r="I157" s="1065"/>
      <c r="J157" s="1065"/>
      <c r="K157" s="1065"/>
      <c r="L157" s="1065"/>
      <c r="M157" s="1065"/>
      <c r="N157" s="1065"/>
      <c r="O157" s="1065"/>
      <c r="P157" s="1065"/>
      <c r="Q157" s="1064"/>
      <c r="R157" s="1064"/>
      <c r="S157" s="1064"/>
    </row>
    <row r="158" spans="2:19" ht="14.85" customHeight="1">
      <c r="C158" s="944" t="s">
        <v>1320</v>
      </c>
      <c r="S158" s="946"/>
    </row>
    <row r="159" spans="2:19" ht="14.85" customHeight="1">
      <c r="C159" s="944" t="s">
        <v>1321</v>
      </c>
      <c r="S159" s="946"/>
    </row>
    <row r="160" spans="2:19" ht="14.85" customHeight="1">
      <c r="C160" s="944" t="s">
        <v>1322</v>
      </c>
      <c r="S160" s="946"/>
    </row>
    <row r="161" spans="3:19" ht="14.85" customHeight="1">
      <c r="C161" s="944" t="s">
        <v>1367</v>
      </c>
      <c r="S161" s="946"/>
    </row>
    <row r="162" spans="3:19" ht="14.85" customHeight="1">
      <c r="C162" s="944" t="s">
        <v>1368</v>
      </c>
      <c r="S162" s="946"/>
    </row>
    <row r="163" spans="3:19" ht="14.85" customHeight="1">
      <c r="C163" s="944" t="s">
        <v>1323</v>
      </c>
      <c r="S163" s="946"/>
    </row>
    <row r="164" spans="3:19" ht="14.85" customHeight="1">
      <c r="C164" s="944" t="s">
        <v>769</v>
      </c>
      <c r="S164" s="946"/>
    </row>
    <row r="165" spans="3:19" ht="14.85" customHeight="1">
      <c r="C165" s="944" t="s">
        <v>1324</v>
      </c>
      <c r="S165" s="946"/>
    </row>
    <row r="166" spans="3:19" ht="14.85" customHeight="1">
      <c r="C166" s="944" t="s">
        <v>1325</v>
      </c>
      <c r="S166" s="946"/>
    </row>
    <row r="167" spans="3:19" ht="14.85" customHeight="1">
      <c r="C167" s="944" t="s">
        <v>1327</v>
      </c>
      <c r="S167" s="946"/>
    </row>
    <row r="168" spans="3:19" ht="14.85" customHeight="1">
      <c r="C168" s="944" t="s">
        <v>1330</v>
      </c>
      <c r="S168" s="946"/>
    </row>
    <row r="169" spans="3:19" ht="14.85" customHeight="1">
      <c r="C169" s="944" t="s">
        <v>1332</v>
      </c>
      <c r="S169" s="946"/>
    </row>
    <row r="170" spans="3:19" ht="14.85" customHeight="1">
      <c r="C170" s="944" t="s">
        <v>1336</v>
      </c>
      <c r="S170" s="946"/>
    </row>
    <row r="171" spans="3:19" ht="14.85" customHeight="1">
      <c r="C171" s="944" t="s">
        <v>1340</v>
      </c>
      <c r="S171" s="946"/>
    </row>
    <row r="172" spans="3:19" ht="14.85" customHeight="1">
      <c r="C172" s="944" t="s">
        <v>1341</v>
      </c>
      <c r="S172" s="946"/>
    </row>
    <row r="173" spans="3:19" ht="14.85" customHeight="1">
      <c r="C173" s="944" t="s">
        <v>1342</v>
      </c>
      <c r="S173" s="946"/>
    </row>
    <row r="174" spans="3:19" ht="14.85" customHeight="1">
      <c r="C174" s="944" t="s">
        <v>1344</v>
      </c>
      <c r="S174" s="946"/>
    </row>
    <row r="175" spans="3:19" ht="14.85" customHeight="1">
      <c r="S175" s="946"/>
    </row>
    <row r="176" spans="3:19" ht="14.85" customHeight="1">
      <c r="S176" s="946"/>
    </row>
    <row r="177" spans="19:19" ht="14.85" customHeight="1">
      <c r="S177" s="946"/>
    </row>
    <row r="178" spans="19:19" ht="14.85" customHeight="1">
      <c r="S178" s="946"/>
    </row>
    <row r="179" spans="19:19" ht="14.85" customHeight="1">
      <c r="S179" s="946"/>
    </row>
    <row r="180" spans="19:19" ht="14.85" customHeight="1">
      <c r="S180" s="946"/>
    </row>
    <row r="181" spans="19:19" ht="14.85" customHeight="1">
      <c r="S181" s="946"/>
    </row>
    <row r="182" spans="19:19" ht="14.85" customHeight="1">
      <c r="S182" s="946"/>
    </row>
    <row r="183" spans="19:19" ht="14.85" customHeight="1">
      <c r="S183" s="946"/>
    </row>
    <row r="184" spans="19:19" ht="14.85" customHeight="1">
      <c r="S184" s="946"/>
    </row>
    <row r="185" spans="19:19" ht="14.85" customHeight="1">
      <c r="S185" s="946"/>
    </row>
    <row r="186" spans="19:19" ht="14.85" customHeight="1">
      <c r="S186" s="946"/>
    </row>
    <row r="187" spans="19:19" ht="14.85" customHeight="1">
      <c r="S187" s="946"/>
    </row>
    <row r="188" spans="19:19" ht="14.85" customHeight="1">
      <c r="S188" s="946"/>
    </row>
    <row r="189" spans="19:19" ht="14.85" customHeight="1"/>
    <row r="190" spans="19:19" ht="14.85" customHeight="1"/>
    <row r="191" spans="19:19" ht="14.85" customHeight="1"/>
    <row r="192" spans="19:19"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mergeCells count="21">
    <mergeCell ref="U8:U9"/>
    <mergeCell ref="P8:P9"/>
    <mergeCell ref="K8:K9"/>
    <mergeCell ref="O8:O9"/>
    <mergeCell ref="L8:L9"/>
    <mergeCell ref="M8:M9"/>
    <mergeCell ref="N8:N9"/>
    <mergeCell ref="S8:S9"/>
    <mergeCell ref="T8:T9"/>
    <mergeCell ref="F8:F9"/>
    <mergeCell ref="D8:D9"/>
    <mergeCell ref="G8:G9"/>
    <mergeCell ref="H8:I8"/>
    <mergeCell ref="J8:J9"/>
    <mergeCell ref="V8:V9"/>
    <mergeCell ref="X8:X9"/>
    <mergeCell ref="AE8:AE9"/>
    <mergeCell ref="AA8:AA9"/>
    <mergeCell ref="AB8:AB9"/>
    <mergeCell ref="AC8:AC9"/>
    <mergeCell ref="AD8:AD9"/>
  </mergeCells>
  <conditionalFormatting sqref="C4:E4">
    <cfRule type="cellIs" dxfId="110" priority="8" stopIfTrue="1" operator="equal">
      <formula>"input"</formula>
    </cfRule>
  </conditionalFormatting>
  <conditionalFormatting sqref="F4:G4">
    <cfRule type="cellIs" dxfId="109" priority="7" stopIfTrue="1" operator="equal">
      <formula>"input"</formula>
    </cfRule>
  </conditionalFormatting>
  <conditionalFormatting sqref="H4:I4">
    <cfRule type="cellIs" dxfId="108" priority="6" stopIfTrue="1" operator="equal">
      <formula>"input"</formula>
    </cfRule>
  </conditionalFormatting>
  <conditionalFormatting sqref="J4:K4">
    <cfRule type="cellIs" dxfId="107" priority="5" stopIfTrue="1" operator="equal">
      <formula>"input"</formula>
    </cfRule>
  </conditionalFormatting>
  <conditionalFormatting sqref="L4:M4">
    <cfRule type="cellIs" dxfId="106" priority="4" stopIfTrue="1" operator="equal">
      <formula>"input"</formula>
    </cfRule>
  </conditionalFormatting>
  <conditionalFormatting sqref="N4:O4">
    <cfRule type="cellIs" dxfId="105" priority="3" stopIfTrue="1" operator="equal">
      <formula>"input"</formula>
    </cfRule>
  </conditionalFormatting>
  <conditionalFormatting sqref="P4">
    <cfRule type="cellIs" dxfId="104" priority="2" stopIfTrue="1" operator="equal">
      <formula>"input"</formula>
    </cfRule>
  </conditionalFormatting>
  <conditionalFormatting sqref="B4">
    <cfRule type="cellIs" dxfId="103" priority="1" stopIfTrue="1" operator="equal">
      <formula>"input"</formula>
    </cfRule>
  </conditionalFormatting>
  <pageMargins left="0.5" right="0.5" top="0.5" bottom="0.5" header="0.5" footer="0.5"/>
  <pageSetup scale="78" fitToWidth="0" fitToHeight="0" orientation="landscape" r:id="rId1"/>
  <rowBreaks count="3" manualBreakCount="3">
    <brk id="35" max="16" man="1"/>
    <brk id="68" max="16" man="1"/>
    <brk id="99" max="16" man="1"/>
  </rowBreaks>
  <legacyDrawing r:id="rId2"/>
  <legacyDrawingHF r:id="rId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57"/>
  <dimension ref="A1:Q761"/>
  <sheetViews>
    <sheetView showGridLines="0" view="pageBreakPreview" zoomScale="80" zoomScaleNormal="100" zoomScaleSheetLayoutView="80" workbookViewId="0">
      <selection activeCell="B4" sqref="B4"/>
    </sheetView>
  </sheetViews>
  <sheetFormatPr defaultRowHeight="12.75" outlineLevelRow="1"/>
  <cols>
    <col min="1" max="1" width="4.5" style="208" customWidth="1"/>
    <col min="2" max="2" width="13.6640625" style="208" customWidth="1"/>
    <col min="3" max="3" width="37" style="208" customWidth="1"/>
    <col min="4" max="4" width="2.83203125" style="208" customWidth="1"/>
    <col min="5" max="5" width="33.33203125" style="208" customWidth="1"/>
    <col min="6" max="6" width="2.83203125" style="208" customWidth="1"/>
    <col min="7" max="7" width="33.33203125" style="208" customWidth="1"/>
    <col min="8" max="8" width="2.83203125" style="208" customWidth="1"/>
    <col min="9" max="9" width="33.33203125" style="208" customWidth="1"/>
    <col min="10" max="10" width="1.83203125" style="208" customWidth="1"/>
    <col min="11" max="11" width="2.83203125" style="208" customWidth="1"/>
    <col min="12" max="13" width="12.83203125" style="208" customWidth="1"/>
    <col min="14" max="14" width="4.5" style="208" customWidth="1"/>
    <col min="15" max="15" width="9.33203125" style="208"/>
    <col min="16" max="17" width="14.83203125" style="208" customWidth="1"/>
    <col min="18" max="16384" width="9.33203125" style="208"/>
  </cols>
  <sheetData>
    <row r="1" spans="2:17" ht="10.7" customHeight="1" thickBot="1"/>
    <row r="2" spans="2:17" ht="16.5" customHeight="1" thickTop="1">
      <c r="B2" s="216" t="str">
        <f>'MASTER PubCo Inputs'!$C$5</f>
        <v>Medikine, Inc.</v>
      </c>
      <c r="C2" s="216"/>
      <c r="D2" s="216"/>
      <c r="E2" s="216"/>
      <c r="F2" s="216"/>
      <c r="G2" s="216"/>
      <c r="H2" s="216"/>
      <c r="I2" s="216"/>
      <c r="J2" s="216"/>
      <c r="K2" s="216"/>
      <c r="L2" s="216"/>
      <c r="M2" s="216"/>
    </row>
    <row r="3" spans="2:17" ht="15.75" customHeight="1">
      <c r="B3" s="217" t="e">
        <f>VLOOKUP(B4,Outline!$E$8:$G$79,COLUMNS(Outline!$E$8:$G$8),FALSE)</f>
        <v>#N/A</v>
      </c>
      <c r="C3" s="217"/>
      <c r="D3" s="217"/>
      <c r="E3" s="217"/>
      <c r="F3" s="217"/>
      <c r="G3" s="217"/>
      <c r="H3" s="217"/>
      <c r="I3" s="217"/>
      <c r="J3" s="217"/>
      <c r="K3" s="217"/>
      <c r="L3" s="217"/>
      <c r="M3" s="217"/>
    </row>
    <row r="4" spans="2:17" ht="16.5" customHeight="1" thickBot="1">
      <c r="B4" s="444" t="s">
        <v>508</v>
      </c>
      <c r="C4" s="444"/>
      <c r="D4" s="444"/>
      <c r="E4" s="444"/>
      <c r="F4" s="444"/>
      <c r="G4" s="444"/>
      <c r="H4" s="444"/>
      <c r="I4" s="444"/>
      <c r="J4" s="444"/>
      <c r="K4" s="444"/>
      <c r="L4" s="444"/>
      <c r="M4" s="444"/>
    </row>
    <row r="5" spans="2:17" ht="14.85" customHeight="1" thickTop="1"/>
    <row r="6" spans="2:17" ht="14.85" customHeight="1">
      <c r="B6" s="1737" t="s">
        <v>2509</v>
      </c>
      <c r="C6" s="1533"/>
      <c r="D6" s="1533"/>
      <c r="E6" s="1533"/>
      <c r="F6" s="1533"/>
      <c r="G6" s="1533"/>
      <c r="H6" s="1533"/>
      <c r="I6" s="1533"/>
      <c r="J6" s="1533"/>
      <c r="K6" s="1533"/>
      <c r="L6" s="1533"/>
      <c r="M6" s="1533"/>
    </row>
    <row r="7" spans="2:17" s="338" customFormat="1" ht="14.85" customHeight="1">
      <c r="B7" s="1738" t="s">
        <v>676</v>
      </c>
      <c r="C7" s="1739"/>
      <c r="D7" s="1740"/>
      <c r="E7" s="1763" t="s">
        <v>593</v>
      </c>
      <c r="F7" s="1764"/>
      <c r="G7" s="1763"/>
      <c r="H7" s="1740"/>
      <c r="I7" s="1740"/>
      <c r="J7" s="1765"/>
      <c r="K7" s="1741"/>
      <c r="L7" s="1740"/>
      <c r="M7" s="1742"/>
    </row>
    <row r="8" spans="2:17" s="1736" customFormat="1" ht="9.9499999999999993" customHeight="1" thickBot="1">
      <c r="B8" s="1768"/>
      <c r="C8" s="1768"/>
      <c r="D8" s="1768"/>
      <c r="E8" s="1769"/>
      <c r="F8" s="1769"/>
      <c r="G8" s="1770"/>
      <c r="H8" s="1742"/>
      <c r="I8" s="1745"/>
      <c r="J8" s="1745"/>
      <c r="K8" s="1746"/>
      <c r="L8" s="1745"/>
      <c r="M8" s="1744"/>
    </row>
    <row r="9" spans="2:17" s="338" customFormat="1" ht="14.85" customHeight="1">
      <c r="B9" s="1771" t="s">
        <v>111</v>
      </c>
      <c r="C9" s="1772"/>
      <c r="D9" s="1772"/>
      <c r="E9" s="1773">
        <f>MAX(L18:L35)</f>
        <v>0.81028199999999995</v>
      </c>
      <c r="F9" s="1773"/>
      <c r="G9" s="1773">
        <f>MAX(M18:M35)</f>
        <v>0.89130399999999999</v>
      </c>
      <c r="H9" s="1766"/>
      <c r="I9" s="1746"/>
      <c r="J9" s="1767"/>
      <c r="K9" s="1746"/>
      <c r="L9" s="1746"/>
      <c r="M9" s="1742"/>
    </row>
    <row r="10" spans="2:17" s="338" customFormat="1" ht="14.85" customHeight="1">
      <c r="B10" s="1747" t="s">
        <v>115</v>
      </c>
      <c r="C10" s="1743"/>
      <c r="D10" s="1743"/>
      <c r="E10" s="1217">
        <f>QUARTILE(L18:L35,3)</f>
        <v>0.79103174999999992</v>
      </c>
      <c r="G10" s="1217">
        <f>QUARTILE(M18:M35,3)</f>
        <v>0.64214274999999998</v>
      </c>
      <c r="H10" s="1766"/>
      <c r="I10" s="1746"/>
      <c r="J10" s="1767"/>
      <c r="K10" s="1746"/>
      <c r="L10" s="1746"/>
      <c r="M10" s="1217"/>
    </row>
    <row r="11" spans="2:17" s="338" customFormat="1" ht="14.85" customHeight="1">
      <c r="B11" s="1747" t="s">
        <v>594</v>
      </c>
      <c r="C11" s="1747"/>
      <c r="D11" s="1747"/>
      <c r="E11" s="1748">
        <f>AVERAGE(L18:L35)</f>
        <v>0.52934400000000004</v>
      </c>
      <c r="G11" s="1748">
        <f>AVERAGE(M18:M35)</f>
        <v>0.58109575000000002</v>
      </c>
      <c r="H11" s="1748"/>
      <c r="I11" s="1746"/>
      <c r="J11" s="1746"/>
      <c r="K11" s="1746"/>
      <c r="L11" s="1745"/>
      <c r="M11" s="1749"/>
    </row>
    <row r="12" spans="2:17" s="338" customFormat="1" ht="14.85" customHeight="1">
      <c r="B12" s="1747" t="s">
        <v>44</v>
      </c>
      <c r="C12" s="1747"/>
      <c r="D12" s="1747"/>
      <c r="E12" s="1748">
        <f>MEDIAN(L18:L35)</f>
        <v>0.59672899999999995</v>
      </c>
      <c r="G12" s="1748">
        <f>MEDIAN(M18:M35)</f>
        <v>0.53218199999999993</v>
      </c>
      <c r="H12" s="1749"/>
      <c r="I12" s="1745"/>
      <c r="J12" s="1745"/>
      <c r="K12" s="1745"/>
      <c r="L12" s="1745"/>
      <c r="M12" s="1749"/>
      <c r="P12" s="338" t="s">
        <v>2508</v>
      </c>
    </row>
    <row r="13" spans="2:17" s="338" customFormat="1" ht="14.85" customHeight="1">
      <c r="B13" s="1747" t="s">
        <v>114</v>
      </c>
      <c r="C13" s="1747"/>
      <c r="D13" s="1747"/>
      <c r="E13" s="1217">
        <f>QUARTILE(L18:L35,1)</f>
        <v>0.33504125000000001</v>
      </c>
      <c r="G13" s="1217">
        <f>QUARTILE(M18:M35,1)</f>
        <v>0.47113500000000003</v>
      </c>
      <c r="H13" s="1750"/>
      <c r="I13" s="1745"/>
      <c r="J13" s="1745"/>
      <c r="K13" s="1745"/>
      <c r="L13" s="1745"/>
      <c r="M13" s="1750"/>
      <c r="P13" s="1777">
        <v>1</v>
      </c>
    </row>
    <row r="14" spans="2:17" s="338" customFormat="1" ht="14.85" customHeight="1">
      <c r="B14" s="1747" t="s">
        <v>112</v>
      </c>
      <c r="C14" s="1747"/>
      <c r="D14" s="1747"/>
      <c r="E14" s="1217">
        <f>MIN(L18:L35)</f>
        <v>0.113636</v>
      </c>
      <c r="G14" s="1217">
        <f>MIN(M18:M35)</f>
        <v>0.36871500000000001</v>
      </c>
      <c r="H14" s="1750"/>
      <c r="I14" s="1745"/>
      <c r="J14" s="1745"/>
      <c r="K14" s="1745"/>
      <c r="L14" s="1745"/>
      <c r="M14" s="1750"/>
    </row>
    <row r="15" spans="2:17" s="338" customFormat="1" ht="14.85" customHeight="1">
      <c r="B15" s="1745"/>
      <c r="C15" s="1745"/>
      <c r="D15" s="1745"/>
      <c r="E15" s="1751"/>
      <c r="F15" s="1752"/>
      <c r="G15" s="1752"/>
      <c r="H15" s="1752"/>
      <c r="I15" s="1753"/>
      <c r="J15" s="1753"/>
      <c r="K15" s="1753"/>
      <c r="L15" s="1753"/>
      <c r="M15" s="1745"/>
    </row>
    <row r="16" spans="2:17" s="338" customFormat="1" ht="45" customHeight="1">
      <c r="B16" s="1754" t="s">
        <v>299</v>
      </c>
      <c r="C16" s="1755" t="s">
        <v>2504</v>
      </c>
      <c r="D16" s="1756"/>
      <c r="E16" s="1937" t="s">
        <v>2505</v>
      </c>
      <c r="F16" s="1937"/>
      <c r="G16" s="1937"/>
      <c r="H16" s="1937"/>
      <c r="I16" s="1937"/>
      <c r="J16" s="1937"/>
      <c r="K16" s="1761"/>
      <c r="L16" s="1775" t="s">
        <v>2506</v>
      </c>
      <c r="M16" s="1774" t="s">
        <v>2507</v>
      </c>
      <c r="P16" s="1736" t="s">
        <v>2506</v>
      </c>
      <c r="Q16" s="1736" t="s">
        <v>2507</v>
      </c>
    </row>
    <row r="17" spans="2:17" s="338" customFormat="1" ht="9.9499999999999993" customHeight="1">
      <c r="B17" s="1757"/>
      <c r="C17" s="1758"/>
      <c r="D17" s="1759"/>
      <c r="E17" s="1762"/>
      <c r="F17" s="1762"/>
      <c r="G17" s="1762"/>
      <c r="H17" s="1762"/>
      <c r="I17" s="1762"/>
      <c r="J17" s="1762"/>
      <c r="K17" s="1762"/>
      <c r="L17" s="1762"/>
      <c r="M17" s="1760"/>
    </row>
    <row r="18" spans="2:17" s="338" customFormat="1" ht="54.95" customHeight="1">
      <c r="B18" s="1757">
        <f>'Capital IQ Sheet-STM'!B10</f>
        <v>43389</v>
      </c>
      <c r="C18" s="1785" t="str">
        <f>'Capital IQ Sheet-STM'!D10</f>
        <v>Medac Pharma, Inc.</v>
      </c>
      <c r="D18" s="1759"/>
      <c r="E18" s="1938" t="str">
        <f>'Capital IQ Sheet-STM'!AL10</f>
        <v>Medac Pharma, Inc. engages in developing and commercializing medicines for autoimmune diseases and cancer. The company is headquartered in Chicago, Illinois. Medac Pharma, Inc. operates as a subsidiary of medac Gesellschaft für klinische Spezialpräparate mbH. As of October 16, 2018, Medac Pharma, Inc. operates as a subsidiary of Pediapharm Inc.</v>
      </c>
      <c r="F18" s="1938"/>
      <c r="G18" s="1938"/>
      <c r="H18" s="1938"/>
      <c r="I18" s="1938"/>
      <c r="J18" s="1938"/>
      <c r="K18" s="1762"/>
      <c r="L18" s="1776" t="str">
        <f>IF(P18&gt;$P$13,"n/a",P18)</f>
        <v>n/a</v>
      </c>
      <c r="M18" s="1776" t="str">
        <f>IF(Q18&gt;$P$13,"n/a",Q18)</f>
        <v>n/a</v>
      </c>
      <c r="P18" s="1776" t="str">
        <f>'Capital IQ Sheet-STM'!AH10</f>
        <v>NM</v>
      </c>
      <c r="Q18" s="1776" t="str">
        <f>'Capital IQ Sheet-STM'!AI10</f>
        <v>NM</v>
      </c>
    </row>
    <row r="19" spans="2:17" s="338" customFormat="1" ht="66" customHeight="1">
      <c r="B19" s="1757">
        <f>'Capital IQ Sheet-STM'!B11</f>
        <v>43364</v>
      </c>
      <c r="C19" s="1785" t="str">
        <f>'Capital IQ Sheet-STM'!D11</f>
        <v>Adhaere Pharmaceuticals, Inc.</v>
      </c>
      <c r="D19" s="1759"/>
      <c r="E19" s="1938" t="str">
        <f>'Capital IQ Sheet-STM'!AL11</f>
        <v>Adhaere Pharmaceuticals, Inc. develops novel small molecule therapeutics for the treatment of cancer and inflammatory, and autoimmune diseases. It focuses on developing novel compounds to reduce leukocyte activation and tissue recruitment as a way to treat a various inflammatory and autoimmune diseases. The company was founded in 2010 and is based in Miami, Florida. As of September 21, 2018, Adhaere Pharmaceuticals, Inc. operates as a subsidiary of Gossamer Bio, Inc.</v>
      </c>
      <c r="F19" s="1938"/>
      <c r="G19" s="1938"/>
      <c r="H19" s="1938"/>
      <c r="I19" s="1938"/>
      <c r="J19" s="1938"/>
      <c r="K19" s="1762"/>
      <c r="L19" s="1776" t="str">
        <f t="shared" ref="L19:M35" si="0">IF(P19&gt;$P$13,"n/a",P19)</f>
        <v>n/a</v>
      </c>
      <c r="M19" s="1776" t="str">
        <f t="shared" si="0"/>
        <v>n/a</v>
      </c>
      <c r="P19" s="1776" t="str">
        <f>'Capital IQ Sheet-STM'!AH11</f>
        <v>NM</v>
      </c>
      <c r="Q19" s="1776" t="str">
        <f>'Capital IQ Sheet-STM'!AI11</f>
        <v>NM</v>
      </c>
    </row>
    <row r="20" spans="2:17" s="338" customFormat="1" ht="168.95" customHeight="1">
      <c r="B20" s="1757">
        <f>'Capital IQ Sheet-STM'!B12</f>
        <v>43272</v>
      </c>
      <c r="C20" s="1785" t="str">
        <f>'Capital IQ Sheet-STM'!D12</f>
        <v>ARMO BioSciences, Inc.</v>
      </c>
      <c r="D20" s="1759"/>
      <c r="E20" s="1938" t="str">
        <f>'Capital IQ Sheet-STM'!AL12</f>
        <v>ARMO BioSciences, Inc., an immuno-oncology company, develops a pipeline of novel product candidates that activate the immune system of cancer patients to recognize and eradicate tumors in the United States. Its lead product candidate is AM0010, a long acting form of human interleukin-10 that is in Phase III randomized pivotal clinical trial for the treatment of pancreatic ductal adenocarcinoma. The company is also developing AM0010 that has completed Phase I/Ib clinical trial for the treatment of non-small cell lung cancer, renal cell carcinoma, colorectal cancer, and melanoma and breast cancer. In addition, it is developing AM0001, a monoclonal antibody against programmed cell death protein-1 checkpoint inhibitor; AM0015, a recombinant human interleukin-15; AM0012, a recombinant human Interleukin-12; and AM0003, a monoclonal antibody against leukocyte activating gene-3 protein program. The company was formerly known as Targenics, Inc. and changed its name to ARMO BioSciences, Inc. in December 2012. ARMO BioSciences, Inc. was incorporated in 2010 and is headquartered in Redwood City, California. As of June 21, 2018, ARMO BioSciences, Inc. operates as a subsidiary of Eli Lilly and Company.</v>
      </c>
      <c r="F20" s="1938"/>
      <c r="G20" s="1938"/>
      <c r="H20" s="1938"/>
      <c r="I20" s="1938"/>
      <c r="J20" s="1938"/>
      <c r="K20" s="1762"/>
      <c r="L20" s="1776">
        <f t="shared" si="0"/>
        <v>0.81028199999999995</v>
      </c>
      <c r="M20" s="1776">
        <f t="shared" si="0"/>
        <v>0.55908899999999995</v>
      </c>
      <c r="P20" s="1776">
        <f>'Capital IQ Sheet-STM'!AH12</f>
        <v>0.81028199999999995</v>
      </c>
      <c r="Q20" s="1776">
        <f>'Capital IQ Sheet-STM'!AI12</f>
        <v>0.55908899999999995</v>
      </c>
    </row>
    <row r="21" spans="2:17" s="338" customFormat="1" ht="80.099999999999994" customHeight="1">
      <c r="B21" s="1757">
        <f>'Capital IQ Sheet-STM'!B13</f>
        <v>43194</v>
      </c>
      <c r="C21" s="1785" t="str">
        <f>'Capital IQ Sheet-STM'!D13</f>
        <v>Rebiotix, Inc.</v>
      </c>
      <c r="D21" s="1759"/>
      <c r="E21" s="1938" t="str">
        <f>'Capital IQ Sheet-STM'!AL13</f>
        <v>Rebiotix, Inc., a clinical stage biotechnology company, develops and commercializes medical therapies. It offers human microbiome, microbiota restoration therapy drug platform, clostridium difficile, inflammatory bowel disease/ulcerative colitis, hepatic encephalopathy, and multi-drug resistant organisms. Rebiotix, Inc. was formerly known as MikrobEX Inc. and changed its name to Rebiotix, Inc. in October 2018. The company was founded in 2011 and is based in Roseville, Minnesota. As of April 4, 2018, Rebiotix, Inc. operates as a subsidiary of Ferring Pharmaceuticals SA.</v>
      </c>
      <c r="F21" s="1938"/>
      <c r="G21" s="1938"/>
      <c r="H21" s="1938"/>
      <c r="I21" s="1938"/>
      <c r="J21" s="1938"/>
      <c r="K21" s="1762"/>
      <c r="L21" s="1776" t="str">
        <f t="shared" si="0"/>
        <v>n/a</v>
      </c>
      <c r="M21" s="1776" t="str">
        <f t="shared" si="0"/>
        <v>n/a</v>
      </c>
      <c r="P21" s="1776" t="str">
        <f>'Capital IQ Sheet-STM'!AH13</f>
        <v>NM</v>
      </c>
      <c r="Q21" s="1776" t="str">
        <f>'Capital IQ Sheet-STM'!AI13</f>
        <v>NM</v>
      </c>
    </row>
    <row r="22" spans="2:17" s="338" customFormat="1" ht="260.10000000000002" customHeight="1">
      <c r="B22" s="1757">
        <f>'Capital IQ Sheet-STM'!B14</f>
        <v>43165</v>
      </c>
      <c r="C22" s="1785" t="str">
        <f>'Capital IQ Sheet-STM'!D14</f>
        <v>Juno Therapeutics, Inc.</v>
      </c>
      <c r="D22" s="1759"/>
      <c r="E22" s="1938" t="str">
        <f>'Capital IQ Sheet-STM'!AL14</f>
        <v>Juno Therapeutics, Inc. develops cell-based cancer immunotherapies based on its chimeric antigen receptor and T cell receptor technologies to genetically engineer T cells to recognize and kill cancer cells. Its CD19 product candidates include JCAR017 that is in Phase I/II trials for adults with relapsed or refractory (r/r) B cell aggressive non-Hodgkin lymphoma (NHL) and pediatric patients with r/r B cell acute lymphoblastic leukemia (ALL); and JCAR014, which is in Phase I/II trials to treat B cell malignancies in patients relapsed or refractory to standard therapies. The company’s CD22 product candidate comprise JCAR018 that is in Phase I trial for pediatric and young adult patients with CD22-positive r/r ALL or r/r NHL. Its additional product candidates include CD171, a cell-surface adhesion molecule for neuroblastoma; Lewis Y for the treatment of lung cancer; JCAR023, which is in Phase I trial for refractory or recurrent pediatric neuroblastoma; MUC-16 protein for ovarian cancers; and IL-12, a cytokine to overcome the inhibitory effects. The company’s additional product candidates also comprise ROR-1 protein for non-small cell lung, triple negative breast, pancreatic, and prostate cancers; WT-1, an intracellular protein that is in Phase I/II clinical trials; HPV e6/e7 for cancers; and IL13ra2 for glioblastoma. Juno Therapeutics, Inc. has collaboration agreements with Celgene Corporation, Fred Hutchinson Cancer Research Center, Memorial Sloan Kettering Cancer Center, St. Jude Children’s Research Hospital/Novartis, Seattle Children’s Research Institute, Opus Bio, Inc., Fate Therapeutics, Inc., Editas Medicine, Inc., and JW (Cayman) Therapeutics Co., Ltd. The company was formerly known as FC Therapeutics, Inc. and changed its name to Juno Therapeutics, Inc. in October 2013. Juno Therapeutics, Inc. was founded in 2013 and is headquartered in Seattle, Washington. As of March 6, 2018, Juno Therapeutics, Inc. operates as a subsidiary of Celgene Corporation.</v>
      </c>
      <c r="F22" s="1938"/>
      <c r="G22" s="1938"/>
      <c r="H22" s="1938"/>
      <c r="I22" s="1938"/>
      <c r="J22" s="1938"/>
      <c r="K22" s="1762"/>
      <c r="L22" s="1776">
        <f t="shared" si="0"/>
        <v>0.78461499999999995</v>
      </c>
      <c r="M22" s="1776">
        <f t="shared" si="0"/>
        <v>0.89130399999999999</v>
      </c>
      <c r="P22" s="1776">
        <f>'Capital IQ Sheet-STM'!AH14</f>
        <v>0.78461499999999995</v>
      </c>
      <c r="Q22" s="1776">
        <f>'Capital IQ Sheet-STM'!AI14</f>
        <v>0.89130399999999999</v>
      </c>
    </row>
    <row r="23" spans="2:17" s="338" customFormat="1" ht="120" customHeight="1">
      <c r="B23" s="1757">
        <f>'Capital IQ Sheet-STM'!B15</f>
        <v>42997</v>
      </c>
      <c r="C23" s="1785" t="str">
        <f>'Capital IQ Sheet-STM'!D15</f>
        <v>Opexa Therapeutics, Inc.</v>
      </c>
      <c r="D23" s="1759"/>
      <c r="E23" s="1938" t="str">
        <f>'Capital IQ Sheet-STM'!AL15</f>
        <v>As of September 19, 2017, Opexa Therapeutics, Inc. was acquired by Acer Therapeutics Inc., in a reverse merger transaction. Opexa Therapeutics, Inc., a biopharmaceutical company, develops personalized immunotherapy to treat multiple sclerosis (MS) and other autoimmune diseases based on its proprietary T-cell technology. The company’s lead product candidate is Tcelna, a T-cell immunotherapy for the treatment of patients with secondary progressive MS. It is also developing OPX-212, an autologous T-cell immunotherapy that is in preclinical development to treat neuromyelitis optica. The company was formerly known as PharmaFrontiers Corp. and changed its name to Opexa Therapeutics, Inc. in June 2006. Opexa Therapeutics, Inc. was founded in 2003 and is headquartered in The Woodlands, Texas.</v>
      </c>
      <c r="F23" s="1938"/>
      <c r="G23" s="1938"/>
      <c r="H23" s="1938"/>
      <c r="I23" s="1938"/>
      <c r="J23" s="1938"/>
      <c r="K23" s="1762"/>
      <c r="L23" s="1776" t="str">
        <f t="shared" si="0"/>
        <v>n/a</v>
      </c>
      <c r="M23" s="1776" t="str">
        <f t="shared" si="0"/>
        <v>n/a</v>
      </c>
      <c r="P23" s="1776" t="str">
        <f>'Capital IQ Sheet-STM'!AH15</f>
        <v>NM</v>
      </c>
      <c r="Q23" s="1776" t="str">
        <f>'Capital IQ Sheet-STM'!AI15</f>
        <v>NM</v>
      </c>
    </row>
    <row r="24" spans="2:17" s="338" customFormat="1" ht="170.1" customHeight="1">
      <c r="B24" s="1757">
        <f>'Capital IQ Sheet-STM'!B16</f>
        <v>42948</v>
      </c>
      <c r="C24" s="1785" t="str">
        <f>'Capital IQ Sheet-STM'!D16</f>
        <v>Altor BioScience Corporation</v>
      </c>
      <c r="D24" s="1759"/>
      <c r="E24" s="1938" t="str">
        <f>'Capital IQ Sheet-STM'!AL16</f>
        <v>As of August 1, 2018, Altor BioScience Corporation was acquired by NantCell, Inc. Altor BioScience Corporation, a biopharmaceutical company, engages in the discovery, development, and commercialization of immunotherapeutic agents for the treatment of cancer, viral infections, and inflammatory and autoimmune diseases. Its product candidates include ALT-801, a T-cell receptor-targeted immunotherapeutic for cancer; ALT-836, a monoclonal antibody-based tissue factor antagonist treatment of patients with acute respiratory distress syndrome and acute lung injury; and ALT-803, an IL-15 superagonist for patients with solid and hematological tumors/metastatic melanoma. The company’s product candidates also include ALT-802, a p53-TCR (T-cell receptors)/IgG1 fusion protein for treating non-small cell lung cancer; ALT-804, a p53-TCR/IL-15 fusion protein for treating cancer; antiviral TCR–Ck and TCR–Ig fusions targeted to antigens derived from HIV, cytomegalovirus, and hepatitis C; and other product candidates. In addition, it offers multimers reagents for the detection of disease targets presented on the surface of cells and tissues. Altor BioScience Corporation was founded in 2002 and is based in Miramar, Florida.</v>
      </c>
      <c r="F24" s="1938"/>
      <c r="G24" s="1938"/>
      <c r="H24" s="1938"/>
      <c r="I24" s="1938"/>
      <c r="J24" s="1938"/>
      <c r="K24" s="1762"/>
      <c r="L24" s="1776" t="str">
        <f t="shared" si="0"/>
        <v>n/a</v>
      </c>
      <c r="M24" s="1776" t="str">
        <f t="shared" si="0"/>
        <v>n/a</v>
      </c>
      <c r="P24" s="1776" t="str">
        <f>'Capital IQ Sheet-STM'!AH16</f>
        <v>NM</v>
      </c>
      <c r="Q24" s="1776" t="str">
        <f>'Capital IQ Sheet-STM'!AI16</f>
        <v>NM</v>
      </c>
    </row>
    <row r="25" spans="2:17" s="338" customFormat="1" ht="68.25" customHeight="1">
      <c r="B25" s="1757">
        <f>'Capital IQ Sheet-STM'!B17</f>
        <v>42863</v>
      </c>
      <c r="C25" s="1785" t="str">
        <f>'Capital IQ Sheet-STM'!D17</f>
        <v>River Vision Development Corp.</v>
      </c>
      <c r="D25" s="1759"/>
      <c r="E25" s="1938" t="str">
        <f>'Capital IQ Sheet-STM'!AL17</f>
        <v>River Vision Development Corp. develops biologic medicine. It develops teprotumumab (RV001), a human monoclonal antibody (mAb) used for the treatment of Thyroid Eye Disease (TED), an autoimmune inflammatory disorder. The company was founded in 2011 and is based in New York, New York. As of May 8, 2017, River Vision Development Corp. operates as a subsidiary of Horizon Pharma Public Limited Company.</v>
      </c>
      <c r="F25" s="1938"/>
      <c r="G25" s="1938"/>
      <c r="H25" s="1938"/>
      <c r="I25" s="1938"/>
      <c r="J25" s="1938"/>
      <c r="K25" s="1762"/>
      <c r="L25" s="1776" t="str">
        <f t="shared" si="0"/>
        <v>n/a</v>
      </c>
      <c r="M25" s="1776" t="str">
        <f t="shared" si="0"/>
        <v>n/a</v>
      </c>
      <c r="P25" s="1776" t="str">
        <f>'Capital IQ Sheet-STM'!AH17</f>
        <v>NM</v>
      </c>
      <c r="Q25" s="1776" t="str">
        <f>'Capital IQ Sheet-STM'!AI17</f>
        <v>NM</v>
      </c>
    </row>
    <row r="26" spans="2:17" s="338" customFormat="1" ht="245.1" customHeight="1">
      <c r="B26" s="1757">
        <f>'Capital IQ Sheet-STM'!B18</f>
        <v>42776</v>
      </c>
      <c r="C26" s="1785" t="str">
        <f>'Capital IQ Sheet-STM'!D18</f>
        <v>Immunomedics, Inc.</v>
      </c>
      <c r="D26" s="1759"/>
      <c r="E26" s="1938" t="str">
        <f>'Capital IQ Sheet-STM'!AL18</f>
        <v>Immunomedics, Inc., a clinical-stage biopharmaceutical company, develops monoclonal antibody-based products for the targeted treatment of cancer. Its advanced antibody-drug conjugates are sacituzumab govitecan and labetuzumab govitecan, which are in advanced trials for various solid tumors and metastatic colorectal cancer, respectively. The company focuses on commercializing sacituzumab govitecan as a third-line therapy for patients with metastatic triple-negative breast cancer in the United States. The company also develops IMMU-140, a humanized antibody directed against an immune response target. Its other product candidates include products for the treatment of cancer and autoimmune diseases, including epratuzumab, an anti-CD22 antibody; veltuzumab, an anti-CD20 antibody; milatuzumab, an anti-CD74 antibody; and IMMU-114, a humanized anti-HLA-DR antibody. Immunomedics, Inc. has clinical collaboration with AstraZeneca and MedImmune, to evaluate Imfinzi, a human monoclonal antibody against PD-L1, with sacituzumab govitecan as a frontline treatment of patients with TNBC and urothelial cancer; collaboration agreement with The Bayer Group for the development of epratuzumab; clinical and preclinical collaborations with academic cancer institutions, identifying new cancer indications for sacituzumab govitecan and the biology of the Trop-2 antigen; and research collaboration with the Memorial Sloan Kettering Cancer Center to investigate Sacituzumab Govitecan and Labetuzumab Govitecan in preclinical cancer models. Immunomedics, Inc. has a partnership agreement with the Samsung BioLogics Co., Ltd. to manufacture hRS7, an Immunomedics proprietary humanized antibody. The company was founded in 1982 and is headquartered in Morris Plains, New Jersey.</v>
      </c>
      <c r="F26" s="1938"/>
      <c r="G26" s="1938"/>
      <c r="H26" s="1938"/>
      <c r="I26" s="1938"/>
      <c r="J26" s="1938"/>
      <c r="K26" s="1762"/>
      <c r="L26" s="1776">
        <f t="shared" si="0"/>
        <v>0.113636</v>
      </c>
      <c r="M26" s="1776">
        <f t="shared" si="0"/>
        <v>0.36871500000000001</v>
      </c>
      <c r="P26" s="1776">
        <f>'Capital IQ Sheet-STM'!AH18</f>
        <v>0.113636</v>
      </c>
      <c r="Q26" s="1776">
        <f>'Capital IQ Sheet-STM'!AI18</f>
        <v>0.36871500000000001</v>
      </c>
    </row>
    <row r="27" spans="2:17" s="338" customFormat="1" ht="66.75" customHeight="1">
      <c r="B27" s="1757">
        <f>'Capital IQ Sheet-STM'!B19</f>
        <v>42769</v>
      </c>
      <c r="C27" s="1785" t="str">
        <f>'Capital IQ Sheet-STM'!D19</f>
        <v>Delinia, Inc.</v>
      </c>
      <c r="D27" s="1759"/>
      <c r="E27" s="1938" t="str">
        <f>'Capital IQ Sheet-STM'!AL19</f>
        <v>Delinia, Inc., a biotechnology company, focuses on developing novel therapeutics for the treatment of autoimmune diseases. Its lead program is a molecule that potentiates and expands regulatory T cells (Tregs), which are critical to maintaining self-tolerance and immune system homeostasis. The company was incorporated in 2014 and is based in San Francisco, California. Delinia, Inc. As of February 3, 2017, Delinia, Inc. operates as a subsidiary of Celgene Corporation.</v>
      </c>
      <c r="F27" s="1938"/>
      <c r="G27" s="1938"/>
      <c r="H27" s="1938"/>
      <c r="I27" s="1938"/>
      <c r="J27" s="1938"/>
      <c r="K27" s="1762"/>
      <c r="L27" s="1776" t="str">
        <f t="shared" si="0"/>
        <v>n/a</v>
      </c>
      <c r="M27" s="1776" t="str">
        <f t="shared" si="0"/>
        <v>n/a</v>
      </c>
      <c r="P27" s="1776" t="str">
        <f>'Capital IQ Sheet-STM'!AH19</f>
        <v>NM</v>
      </c>
      <c r="Q27" s="1776" t="str">
        <f>'Capital IQ Sheet-STM'!AI19</f>
        <v>NM</v>
      </c>
    </row>
    <row r="28" spans="2:17" s="338" customFormat="1" ht="105.75" customHeight="1">
      <c r="B28" s="1757">
        <f>'Capital IQ Sheet-STM'!B20</f>
        <v>42692</v>
      </c>
      <c r="C28" s="1785" t="str">
        <f>'Capital IQ Sheet-STM'!D20</f>
        <v>Knight Knox Development Corp. (nka:Artelo Biosciences, Inc.)</v>
      </c>
      <c r="D28" s="1759"/>
      <c r="E28" s="1938" t="str">
        <f>'Capital IQ Sheet-STM'!AL20</f>
        <v>Artelo Biosciences, Inc., an ethical biopharmaceutical company, focuses on developing, licensing, and commercializing cannabinoid therapeutic treatments. Its products pipeline includes ART12.11, a cannabidiol composition for the treatment of inflammatory bowel disease, stroke, and rare/orphan diseases; ART26.12, an endocannabinoid transport protein (FABP5) inhibitor for the treatment of breast cancer, prostate cancer, and neuropathic and nociceptive pain; and ART27.13 for the treatment of cancer and cachexia. The company was formerly known as Reactive Medical, Inc. and changed its name to Artelo Biosciences, Inc. in April 2017. Artelo Biosciences, Inc. was founded in 2011 and is based in La Jolla, California.</v>
      </c>
      <c r="F28" s="1938"/>
      <c r="G28" s="1938"/>
      <c r="H28" s="1938"/>
      <c r="I28" s="1938"/>
      <c r="J28" s="1938"/>
      <c r="K28" s="1762"/>
      <c r="L28" s="1776" t="str">
        <f t="shared" si="0"/>
        <v>n/a</v>
      </c>
      <c r="M28" s="1776" t="str">
        <f t="shared" si="0"/>
        <v>n/a</v>
      </c>
      <c r="P28" s="1776" t="str">
        <f>'Capital IQ Sheet-STM'!AH20</f>
        <v>NM</v>
      </c>
      <c r="Q28" s="1776" t="str">
        <f>'Capital IQ Sheet-STM'!AI20</f>
        <v>NM</v>
      </c>
    </row>
    <row r="29" spans="2:17" s="338" customFormat="1" ht="143.1" customHeight="1">
      <c r="B29" s="1757">
        <f>'Capital IQ Sheet-STM'!B21</f>
        <v>42682</v>
      </c>
      <c r="C29" s="1785" t="str">
        <f>'Capital IQ Sheet-STM'!D21</f>
        <v>Panther Biotechnology, Inc.</v>
      </c>
      <c r="D29" s="1759"/>
      <c r="E29" s="1938" t="str">
        <f>'Capital IQ Sheet-STM'!AL21</f>
        <v>As of November 8, 2016, Panther Biotechnology, Inc. was acquired by Brown Technical Media Corp., in a reverse merger transaction. Panther Biotechnology, Inc., a biotechnology company, specializes in the acquisition and development of enhanced therapeutics for the treatment of neoplastic, autoimmune, and antiviral disorders. The company’s lead candidate, TRF-DOX, is a combination of transferrin glycoproteins with Doxorubicin for targeted delivery to tumors with the reduction of serious side effects. It also holds licensed rights from the University of Rochester to develop and commercialize TDZD-8, a small molecule engineered to kill leukemic stem cells; and from Northwestern University to develop and commercialize Numonafides, which are optimized derivatives of Amonafide, and are engineered to avoid acetylation and eliminate a toxic metabolite. The company was formerly known as NEF Enterprises, Inc. and changed its name to Panther Biotechnology, Inc. in May 2014. Panther Biotechnology, Inc. was founded in 2011 and is based in La Jolla, California.</v>
      </c>
      <c r="F29" s="1938"/>
      <c r="G29" s="1938"/>
      <c r="H29" s="1938"/>
      <c r="I29" s="1938"/>
      <c r="J29" s="1938"/>
      <c r="K29" s="1762"/>
      <c r="L29" s="1776" t="str">
        <f t="shared" si="0"/>
        <v>n/a</v>
      </c>
      <c r="M29" s="1776" t="str">
        <f t="shared" si="0"/>
        <v>n/a</v>
      </c>
      <c r="P29" s="1776" t="str">
        <f>'Capital IQ Sheet-STM'!AH21</f>
        <v>NM</v>
      </c>
      <c r="Q29" s="1776" t="str">
        <f>'Capital IQ Sheet-STM'!AI21</f>
        <v>NM</v>
      </c>
    </row>
    <row r="30" spans="2:17" s="338" customFormat="1" ht="129.75" customHeight="1">
      <c r="B30" s="1757">
        <f>'Capital IQ Sheet-STM'!B22</f>
        <v>42667</v>
      </c>
      <c r="C30" s="1785" t="str">
        <f>'Capital IQ Sheet-STM'!D22</f>
        <v>Vitae Pharmaceuticals, Inc.</v>
      </c>
      <c r="D30" s="1759"/>
      <c r="E30" s="1938" t="str">
        <f>'Capital IQ Sheet-STM'!AL22</f>
        <v>Vitae Pharmaceuticals, Inc., a biotechnology company, focuses on discovering and developing novel and small molecule drugs for diseases with unmet medical needs in the United States. Its products include VTP-43742 in Phase I clinical trial for the treatment of autoimmune disorders, including psoriasis, psoriatic arthritis, ankylosing spondylitis, inflammatory bowel disease, and multiple sclerosis; VTP-38543 in Phase IIa for the treatment of atopic dermatitis; and BI 1147560 for the treatment and prevention of Alzheimer's disease. The company’s products also include VTP-34072 that is in Phase II clinical trial for the treatment of type 2 diabetes; and VTP-38443 for the treatment of acute coronary syndrome. Vitae Pharmaceuticals, Inc. was founded in 2001 and is headquartered in Fort Washington, Pennsylvania. As of October 24, 2016, Vitae Pharmaceuticals, Inc. operates as a subsidiary of Allergan plc.</v>
      </c>
      <c r="F30" s="1938"/>
      <c r="G30" s="1938"/>
      <c r="H30" s="1938"/>
      <c r="I30" s="1938"/>
      <c r="J30" s="1938"/>
      <c r="K30" s="1762"/>
      <c r="L30" s="1776" t="str">
        <f t="shared" si="0"/>
        <v>n/a</v>
      </c>
      <c r="M30" s="1776" t="str">
        <f t="shared" si="0"/>
        <v>n/a</v>
      </c>
      <c r="P30" s="1776">
        <f>'Capital IQ Sheet-STM'!AH22</f>
        <v>1.634881</v>
      </c>
      <c r="Q30" s="1776">
        <f>'Capital IQ Sheet-STM'!AI22</f>
        <v>1.3917999999999999</v>
      </c>
    </row>
    <row r="31" spans="2:17" s="338" customFormat="1" ht="54.75" customHeight="1">
      <c r="B31" s="1757">
        <f>'Capital IQ Sheet-STM'!B23</f>
        <v>42461</v>
      </c>
      <c r="C31" s="1785" t="str">
        <f>'Capital IQ Sheet-STM'!D23</f>
        <v>Padlock Therapeutics, Inc.</v>
      </c>
      <c r="D31" s="1759"/>
      <c r="E31" s="1938" t="str">
        <f>'Capital IQ Sheet-STM'!AL23</f>
        <v>Padlock Therapeutics, Inc. is a biotechnology company that develops new medicines for destructive autoimmune diseases. It develops drugs that block the protein-arginine deiminase (PAD) enzymes. The company was founded in 2014 and is based in Cambridge, Massachusetts. As of April 1, 2016, Padlock Therapeutics, Inc. operates as a subsidiary of Bristol-Myers Squibb Company.</v>
      </c>
      <c r="F31" s="1938"/>
      <c r="G31" s="1938"/>
      <c r="H31" s="1938"/>
      <c r="I31" s="1938"/>
      <c r="J31" s="1938"/>
      <c r="K31" s="1762"/>
      <c r="L31" s="1776" t="str">
        <f t="shared" si="0"/>
        <v>n/a</v>
      </c>
      <c r="M31" s="1776" t="str">
        <f t="shared" si="0"/>
        <v>n/a</v>
      </c>
      <c r="P31" s="1776" t="str">
        <f>'Capital IQ Sheet-STM'!AH23</f>
        <v>NM</v>
      </c>
      <c r="Q31" s="1776" t="str">
        <f>'Capital IQ Sheet-STM'!AI23</f>
        <v>NM</v>
      </c>
    </row>
    <row r="32" spans="2:17" s="338" customFormat="1" ht="117" customHeight="1">
      <c r="B32" s="1757">
        <f>'Capital IQ Sheet-STM'!B24</f>
        <v>42429</v>
      </c>
      <c r="C32" s="1785" t="str">
        <f>'Capital IQ Sheet-STM'!D24</f>
        <v>Alba Therapeutics Corporation</v>
      </c>
      <c r="D32" s="1759"/>
      <c r="E32" s="1938" t="str">
        <f>'Capital IQ Sheet-STM'!AL24</f>
        <v>Alba Therapeutics Corporation is a clinical-stage biopharmaceutical company in Maryland. The company focuses on the discovery, development, and commercialization of pharmaceutical products for the treatment of autoimmune and inflammatory diseases. It offers a technology platform based on modifying disease state epithelial permeability using compounds which impact the regulation of tight junctions in cell barriers throughout the body with applications in celiac disease, asthma/COPD, and acute lung injury. The company also focuses on providing solutions for various therapeutic areas that include immune-based disorders, as well as gastrointestinal, metabolic, pulmonary, renal, and other disease states. Alba Therapeutics Corporation has a strategic partnership with Peptisyntha. The company was founded in 2004 and is based in Baltimore, Maryland.</v>
      </c>
      <c r="F32" s="1938"/>
      <c r="G32" s="1938"/>
      <c r="H32" s="1938"/>
      <c r="I32" s="1938"/>
      <c r="J32" s="1938"/>
      <c r="K32" s="1762"/>
      <c r="L32" s="1776" t="str">
        <f t="shared" si="0"/>
        <v>n/a</v>
      </c>
      <c r="M32" s="1776" t="str">
        <f t="shared" si="0"/>
        <v>n/a</v>
      </c>
      <c r="P32" s="1776" t="str">
        <f>'Capital IQ Sheet-STM'!AH24</f>
        <v>NM</v>
      </c>
      <c r="Q32" s="1776" t="str">
        <f>'Capital IQ Sheet-STM'!AI24</f>
        <v>NM</v>
      </c>
    </row>
    <row r="33" spans="1:17" s="338" customFormat="1" ht="53.25" customHeight="1">
      <c r="B33" s="1757">
        <f>'Capital IQ Sheet-STM'!B25</f>
        <v>42293</v>
      </c>
      <c r="C33" s="1785" t="str">
        <f>'Capital IQ Sheet-STM'!D25</f>
        <v>Admune Therapeutics LLC</v>
      </c>
      <c r="D33" s="1759"/>
      <c r="E33" s="1938" t="str">
        <f>'Capital IQ Sheet-STM'!AL25</f>
        <v>Admune Therapeutics LLC, a clinical-stage biotech company, develops and delivers cytokine therapy drugs for the treatment of various cancers. It focuses on heterodimeric IL-15, an IL-15 agonist for various applications in cancer immunotherapy. The company is based in Danvers, Massachusetts. As of October 16, 2015, Admune Therapeutics LLC operates as a subsidiary of Novartis International AG.</v>
      </c>
      <c r="F33" s="1938"/>
      <c r="G33" s="1938"/>
      <c r="H33" s="1938"/>
      <c r="I33" s="1938"/>
      <c r="J33" s="1938"/>
      <c r="K33" s="1762"/>
      <c r="L33" s="1776" t="str">
        <f t="shared" si="0"/>
        <v>n/a</v>
      </c>
      <c r="M33" s="1776" t="str">
        <f t="shared" si="0"/>
        <v>n/a</v>
      </c>
      <c r="P33" s="1776" t="str">
        <f>'Capital IQ Sheet-STM'!AH25</f>
        <v>NM</v>
      </c>
      <c r="Q33" s="1776" t="str">
        <f>'Capital IQ Sheet-STM'!AI25</f>
        <v>NM</v>
      </c>
    </row>
    <row r="34" spans="1:17" s="338" customFormat="1" ht="270" customHeight="1">
      <c r="B34" s="1757">
        <f>'Capital IQ Sheet-STM'!B26</f>
        <v>42250</v>
      </c>
      <c r="C34" s="1785" t="str">
        <f>'Capital IQ Sheet-STM'!D26</f>
        <v>Hospira Inc.</v>
      </c>
      <c r="D34" s="1759"/>
      <c r="E34" s="1938" t="str">
        <f>'Capital IQ Sheet-STM'!AL26</f>
        <v>Hospira, Inc. provides injectable drugs and infusion technologies to develop, manufacture, distribute, and market products worldwide. The company operates through Americas, EMEA, and APAC segments. It provides specialty injectable pharmaceuticals, which include approximately 200 injectable generic drugs in multiple dosages and formulations; and proprietary specialty injectables, such as Precedex, a proprietary drug for sedation. The company’s specialty injectable pharmaceuticals also comprise Biosimilars that include Retacrit, an EPO, which is primarily used in the treatment of anemia in dialysis and in certain oncology applications; Nivestim, a biosimilar filgrastim used for the treatment of low white blood cells in patients who have received a chemotherapeutic agent; and Inflectra, a biosimilar infliximab for the treatment of patients with autoimmune diseases, such as rheumatoid arthritis and inflammatory bowel disease. In addition, it offers medication management products, including infusion pumps and dedicated administration sets; Hospira MedNet safety software system and related services; software applications and devices that support point-of-care medication administration; gravity administration sets; and other device products. Further, the company provides intravenous solutions and nutritional products; and contract manufacturing services, as well as develops proprietary pharmaceutical products, such as Dyloject, a nonsteroidal anti-inflammatory drug analgesic. It serves hospitals and alternate site providers, such as clinics, home healthcare providers, and long-term care facilities. The company has collaborative arrangements with Bioceuticals Arzneimittel AG to license and market Retacrit; and Q Core Medical, Ltd to market and distribute Sapphire, a multi-therapy infusion system. Hospira, Inc. was founded in 2003 and is headquartered in Lake Forest, Illinois. As of September 3, 2015, Hospira Inc. operates as a subsidiary of Pfizer Inc..</v>
      </c>
      <c r="F34" s="1938"/>
      <c r="G34" s="1938"/>
      <c r="H34" s="1938"/>
      <c r="I34" s="1938"/>
      <c r="J34" s="1938"/>
      <c r="K34" s="1762"/>
      <c r="L34" s="1776">
        <f t="shared" si="0"/>
        <v>0.40884300000000001</v>
      </c>
      <c r="M34" s="1776">
        <f t="shared" si="0"/>
        <v>0.50527500000000003</v>
      </c>
      <c r="P34" s="1776">
        <f>'Capital IQ Sheet-STM'!AH26</f>
        <v>0.40884300000000001</v>
      </c>
      <c r="Q34" s="1776">
        <f>'Capital IQ Sheet-STM'!AI26</f>
        <v>0.50527500000000003</v>
      </c>
    </row>
    <row r="35" spans="1:17" s="338" customFormat="1" ht="192.95" customHeight="1">
      <c r="B35" s="1757">
        <f>'Capital IQ Sheet-STM'!B27</f>
        <v>42139</v>
      </c>
      <c r="C35" s="1785" t="str">
        <f>'Capital IQ Sheet-STM'!D27</f>
        <v>Abeona Therapeutics LLC</v>
      </c>
      <c r="D35" s="1759"/>
      <c r="E35" s="1938" t="str">
        <f>'Capital IQ Sheet-STM'!AL27</f>
        <v>Abeona Therapeutics LLC, a biopharmaceutical company, focuses on developing and delivering gene therapy and plasma-based products for severe and life-threatening rare diseases. It engages in developing adeno-associated viral (AAV)-based gene therapies for MPS III (Sanfilippo syndrome), which involves a one-time delivery of a normal copy of the defective gene to cells of the central nervous system to reverse the effects of the genetic errors that cause the disease. The company offers ABO-101 and ABO-102, which induce cells in the central nervous system and peripheral organs to produce the missing enzymes and help repair damage caused to the cells; ABO-201 for Juvenile Batten Disease (JBD); and ABO-301 (AAV LK19 FANCC), an AAV-based gene therapy for the delivery of a normal copy of the defective gene to cells of the hematopoietic or blood system to reverse the effects of the genetic errors that cause Fanconi anemia. It also provides Salt Diafiltration Process (SDF) that focuses on the ethanol-free extraction of therapeutic biologics from human plasma, including PTB-101 SDF Alpha (alpha1-proteinase inhibitor) for chronic augmentation and maintenance therapy in adults; and PTB-201 SDF IVIG for autoimmune, infectious, and idiopathic diseases. The company was founded in 2013 and is based in Cleveland, Ohio. As of May 15, 2015, Abeona Therapeutics LLC operates as a subsidiary of Abeona Therapeutics Inc.</v>
      </c>
      <c r="F35" s="1938"/>
      <c r="G35" s="1938"/>
      <c r="H35" s="1938"/>
      <c r="I35" s="1938"/>
      <c r="J35" s="1938"/>
      <c r="K35" s="1762"/>
      <c r="L35" s="1776" t="str">
        <f t="shared" si="0"/>
        <v>n/a</v>
      </c>
      <c r="M35" s="1776" t="str">
        <f t="shared" si="0"/>
        <v>n/a</v>
      </c>
      <c r="P35" s="1776" t="str">
        <f>'Capital IQ Sheet-STM'!AH27</f>
        <v>NM</v>
      </c>
      <c r="Q35" s="1776" t="str">
        <f>'Capital IQ Sheet-STM'!AI27</f>
        <v>NM</v>
      </c>
    </row>
    <row r="36" spans="1:17" s="338" customFormat="1" ht="14.85" customHeight="1">
      <c r="B36" s="1757"/>
      <c r="C36" s="1758"/>
      <c r="D36" s="1759"/>
      <c r="E36" s="1938"/>
      <c r="F36" s="1938"/>
      <c r="G36" s="1938"/>
      <c r="H36" s="1938"/>
      <c r="I36" s="1938"/>
      <c r="J36" s="1938"/>
      <c r="K36" s="1938"/>
      <c r="L36" s="1776"/>
      <c r="M36" s="1776"/>
    </row>
    <row r="37" spans="1:17" s="338" customFormat="1" ht="14.85" customHeight="1" outlineLevel="1">
      <c r="B37" s="1778" t="s">
        <v>595</v>
      </c>
      <c r="C37" s="1779"/>
      <c r="D37" s="1780"/>
      <c r="E37" s="1781"/>
      <c r="F37" s="1781" t="s">
        <v>224</v>
      </c>
      <c r="G37" s="1781"/>
      <c r="H37" s="1781"/>
      <c r="I37" s="1782">
        <v>0.35</v>
      </c>
    </row>
    <row r="38" spans="1:17" s="338" customFormat="1" ht="14.85" customHeight="1">
      <c r="B38" s="1783" t="s">
        <v>1407</v>
      </c>
      <c r="C38" s="427"/>
      <c r="D38" s="427"/>
      <c r="E38" s="427"/>
      <c r="F38" s="1162"/>
      <c r="G38" s="1162"/>
      <c r="H38" s="1162"/>
      <c r="I38" s="662">
        <f>MROUND(1-1/(1+I37),5%)</f>
        <v>0.25</v>
      </c>
    </row>
    <row r="39" spans="1:17" ht="14.85" customHeight="1">
      <c r="B39" s="338"/>
      <c r="C39" s="338"/>
      <c r="F39" s="310"/>
    </row>
    <row r="40" spans="1:17" ht="14.85" customHeight="1">
      <c r="B40" s="295" t="s">
        <v>86</v>
      </c>
      <c r="C40" s="295"/>
      <c r="F40" s="310"/>
    </row>
    <row r="41" spans="1:17" ht="27" customHeight="1">
      <c r="A41" s="806" t="str">
        <f>F37</f>
        <v>(1)</v>
      </c>
      <c r="B41" s="1939" t="s">
        <v>2510</v>
      </c>
      <c r="C41" s="1939"/>
      <c r="D41" s="1939"/>
      <c r="E41" s="1939"/>
      <c r="F41" s="1939"/>
      <c r="G41" s="1939"/>
      <c r="H41" s="1939"/>
      <c r="I41" s="1939"/>
      <c r="J41" s="1939"/>
      <c r="K41" s="1939"/>
      <c r="L41" s="1939"/>
      <c r="M41" s="1939"/>
    </row>
    <row r="42" spans="1:17" ht="14.85" customHeight="1">
      <c r="A42" s="310"/>
      <c r="B42" s="1784"/>
      <c r="C42" s="1784"/>
      <c r="D42" s="310"/>
      <c r="E42" s="310"/>
      <c r="F42" s="310"/>
      <c r="G42" s="310"/>
      <c r="H42" s="310"/>
    </row>
    <row r="43" spans="1:17" ht="14.85" customHeight="1">
      <c r="A43" s="310"/>
      <c r="B43" s="1940"/>
      <c r="C43" s="1940"/>
      <c r="D43" s="1940"/>
      <c r="E43" s="1940"/>
      <c r="F43" s="1940"/>
      <c r="G43" s="1940"/>
      <c r="H43" s="1940"/>
    </row>
    <row r="44" spans="1:17" ht="14.85" customHeight="1">
      <c r="A44" s="310"/>
      <c r="B44" s="1940"/>
      <c r="C44" s="1940"/>
      <c r="D44" s="1940"/>
      <c r="E44" s="1940"/>
      <c r="F44" s="1940"/>
      <c r="G44" s="1940"/>
      <c r="H44" s="1940"/>
    </row>
    <row r="45" spans="1:17" ht="14.85" customHeight="1">
      <c r="B45" s="405"/>
      <c r="C45" s="405"/>
      <c r="F45" s="310"/>
    </row>
    <row r="46" spans="1:17" ht="14.85" customHeight="1">
      <c r="B46" s="405"/>
      <c r="C46" s="405"/>
      <c r="F46" s="310"/>
    </row>
    <row r="47" spans="1:17" ht="14.85" customHeight="1">
      <c r="F47" s="310"/>
    </row>
    <row r="48" spans="1:17" ht="14.85" customHeight="1">
      <c r="F48" s="310"/>
    </row>
    <row r="49" spans="6:6" ht="14.85" customHeight="1">
      <c r="F49" s="310"/>
    </row>
    <row r="50" spans="6:6" ht="14.85" customHeight="1">
      <c r="F50" s="310"/>
    </row>
    <row r="51" spans="6:6" ht="14.85" customHeight="1">
      <c r="F51" s="310"/>
    </row>
    <row r="52" spans="6:6" ht="14.85" customHeight="1">
      <c r="F52" s="310"/>
    </row>
    <row r="53" spans="6:6" ht="14.85" customHeight="1">
      <c r="F53" s="310"/>
    </row>
    <row r="54" spans="6:6" ht="14.85" customHeight="1">
      <c r="F54" s="310"/>
    </row>
    <row r="55" spans="6:6" ht="14.85" customHeight="1">
      <c r="F55" s="310"/>
    </row>
    <row r="56" spans="6:6" ht="14.85" customHeight="1">
      <c r="F56" s="310"/>
    </row>
    <row r="57" spans="6:6" ht="14.85" customHeight="1"/>
    <row r="58" spans="6:6" ht="14.85" customHeight="1"/>
    <row r="59" spans="6:6" ht="14.85" customHeight="1"/>
    <row r="60" spans="6:6" ht="14.85" customHeight="1"/>
    <row r="61" spans="6:6" ht="14.85" customHeight="1"/>
    <row r="62" spans="6:6" ht="14.85" customHeight="1"/>
    <row r="63" spans="6:6" ht="14.85" customHeight="1"/>
    <row r="64" spans="6:6"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sheetData>
  <mergeCells count="22">
    <mergeCell ref="B43:H44"/>
    <mergeCell ref="E33:J33"/>
    <mergeCell ref="E34:J34"/>
    <mergeCell ref="E35:J35"/>
    <mergeCell ref="E31:J31"/>
    <mergeCell ref="E32:J32"/>
    <mergeCell ref="E16:J16"/>
    <mergeCell ref="E36:K36"/>
    <mergeCell ref="B41:M41"/>
    <mergeCell ref="E18:J18"/>
    <mergeCell ref="E19:J19"/>
    <mergeCell ref="E20:J20"/>
    <mergeCell ref="E21:J21"/>
    <mergeCell ref="E22:J22"/>
    <mergeCell ref="E23:J23"/>
    <mergeCell ref="E24:J24"/>
    <mergeCell ref="E25:J25"/>
    <mergeCell ref="E26:J26"/>
    <mergeCell ref="E27:J27"/>
    <mergeCell ref="E28:J28"/>
    <mergeCell ref="E29:J29"/>
    <mergeCell ref="E30:J30"/>
  </mergeCells>
  <conditionalFormatting sqref="D4:M4">
    <cfRule type="cellIs" dxfId="102" priority="14" stopIfTrue="1" operator="equal">
      <formula>"input"</formula>
    </cfRule>
  </conditionalFormatting>
  <conditionalFormatting sqref="B4:C4">
    <cfRule type="cellIs" dxfId="101" priority="12" stopIfTrue="1" operator="equal">
      <formula>"input"</formula>
    </cfRule>
  </conditionalFormatting>
  <conditionalFormatting sqref="D6:H6">
    <cfRule type="cellIs" dxfId="100" priority="10" stopIfTrue="1" operator="equal">
      <formula>"input"</formula>
    </cfRule>
  </conditionalFormatting>
  <conditionalFormatting sqref="C6">
    <cfRule type="cellIs" dxfId="99" priority="9" stopIfTrue="1" operator="equal">
      <formula>"input"</formula>
    </cfRule>
  </conditionalFormatting>
  <conditionalFormatting sqref="C15">
    <cfRule type="duplicateValues" dxfId="98" priority="7"/>
  </conditionalFormatting>
  <conditionalFormatting sqref="C16">
    <cfRule type="duplicateValues" dxfId="97" priority="6"/>
  </conditionalFormatting>
  <conditionalFormatting sqref="C8:C14">
    <cfRule type="duplicateValues" dxfId="96" priority="8"/>
  </conditionalFormatting>
  <conditionalFormatting sqref="C17">
    <cfRule type="duplicateValues" dxfId="95" priority="5"/>
  </conditionalFormatting>
  <conditionalFormatting sqref="I6:J6">
    <cfRule type="cellIs" dxfId="94" priority="4" stopIfTrue="1" operator="equal">
      <formula>"input"</formula>
    </cfRule>
  </conditionalFormatting>
  <conditionalFormatting sqref="K6:L6">
    <cfRule type="cellIs" dxfId="93" priority="3" stopIfTrue="1" operator="equal">
      <formula>"input"</formula>
    </cfRule>
  </conditionalFormatting>
  <conditionalFormatting sqref="M6">
    <cfRule type="cellIs" dxfId="92" priority="2" stopIfTrue="1" operator="equal">
      <formula>"input"</formula>
    </cfRule>
  </conditionalFormatting>
  <conditionalFormatting sqref="C7">
    <cfRule type="duplicateValues" dxfId="91" priority="11"/>
  </conditionalFormatting>
  <conditionalFormatting sqref="C18:C36">
    <cfRule type="duplicateValues" dxfId="90" priority="64"/>
  </conditionalFormatting>
  <pageMargins left="0.5" right="0.5" top="0.5" bottom="0.5" header="0.5" footer="0.5"/>
  <pageSetup scale="75" orientation="landscape" r:id="rId1"/>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83"/>
  <dimension ref="A1:BU764"/>
  <sheetViews>
    <sheetView showGridLines="0" view="pageBreakPreview" zoomScale="80" zoomScaleNormal="100" zoomScaleSheetLayoutView="80" workbookViewId="0">
      <selection activeCell="B25" sqref="B25"/>
    </sheetView>
  </sheetViews>
  <sheetFormatPr defaultColWidth="10.6640625" defaultRowHeight="12.75" outlineLevelCol="1"/>
  <cols>
    <col min="1" max="1" width="4.5" style="944" customWidth="1"/>
    <col min="2" max="2" width="42.5" style="944" customWidth="1"/>
    <col min="3" max="3" width="19.83203125" style="944" hidden="1" customWidth="1" outlineLevel="1"/>
    <col min="4" max="4" width="16.5" style="944" customWidth="1" collapsed="1"/>
    <col min="5" max="5" width="15.1640625" style="944" hidden="1" customWidth="1" outlineLevel="1"/>
    <col min="6" max="6" width="12.5" style="946" customWidth="1" collapsed="1"/>
    <col min="7" max="7" width="12" style="946" customWidth="1"/>
    <col min="8" max="9" width="14" style="946" hidden="1" customWidth="1" outlineLevel="1"/>
    <col min="10" max="10" width="15" style="946" customWidth="1" collapsed="1"/>
    <col min="11" max="11" width="12.33203125" style="946" customWidth="1"/>
    <col min="12" max="12" width="14" style="946" customWidth="1"/>
    <col min="13" max="13" width="14.5" style="946" customWidth="1"/>
    <col min="14" max="14" width="18.6640625" style="946" customWidth="1"/>
    <col min="15" max="15" width="13.33203125" style="946" customWidth="1"/>
    <col min="16" max="16" width="18.33203125" style="946" customWidth="1"/>
    <col min="17" max="17" width="4.5" style="946" customWidth="1"/>
    <col min="18" max="18" width="29.1640625" style="946" bestFit="1" customWidth="1"/>
    <col min="19" max="19" width="16.33203125" style="944" customWidth="1"/>
    <col min="20" max="20" width="13.6640625" style="944" customWidth="1"/>
    <col min="21" max="21" width="14.83203125" style="944" customWidth="1"/>
    <col min="22" max="22" width="13.5" style="944" bestFit="1" customWidth="1"/>
    <col min="23" max="23" width="16.1640625" style="944" bestFit="1" customWidth="1"/>
    <col min="24" max="24" width="16.1640625" style="944" customWidth="1"/>
    <col min="25" max="25" width="22.6640625" style="944" bestFit="1" customWidth="1"/>
    <col min="26" max="28" width="16.1640625" style="944" customWidth="1"/>
    <col min="29" max="29" width="11.83203125" style="944" customWidth="1"/>
    <col min="30" max="30" width="10.83203125" style="944" customWidth="1"/>
    <col min="31" max="31" width="11.83203125" style="944" bestFit="1" customWidth="1"/>
    <col min="32" max="32" width="11" style="944" bestFit="1" customWidth="1"/>
    <col min="33" max="35" width="10.6640625" style="944"/>
    <col min="36" max="36" width="12.5" style="944" bestFit="1" customWidth="1"/>
    <col min="37" max="37" width="15.1640625" style="944" bestFit="1" customWidth="1"/>
    <col min="38" max="42" width="10.6640625" style="944"/>
    <col min="43" max="44" width="12.5" style="944" bestFit="1" customWidth="1"/>
    <col min="45" max="45" width="14" style="944" bestFit="1" customWidth="1"/>
    <col min="46" max="46" width="10.6640625" style="944"/>
    <col min="47" max="48" width="11" style="944" bestFit="1" customWidth="1"/>
    <col min="49" max="49" width="12.5" style="944" bestFit="1" customWidth="1"/>
    <col min="50" max="50" width="12.33203125" style="944" bestFit="1" customWidth="1"/>
    <col min="51" max="51" width="14" style="944" bestFit="1" customWidth="1"/>
    <col min="52" max="52" width="14.33203125" style="944" bestFit="1" customWidth="1"/>
    <col min="53" max="53" width="11" style="944" bestFit="1" customWidth="1"/>
    <col min="54" max="54" width="18" style="944" bestFit="1" customWidth="1"/>
    <col min="55" max="55" width="14" style="944" bestFit="1" customWidth="1"/>
    <col min="56" max="56" width="18" style="944" bestFit="1" customWidth="1"/>
    <col min="57" max="59" width="11" style="944" bestFit="1" customWidth="1"/>
    <col min="60" max="60" width="14" style="944" bestFit="1" customWidth="1"/>
    <col min="61" max="61" width="11" style="944" bestFit="1" customWidth="1"/>
    <col min="62" max="62" width="18.1640625" style="944" bestFit="1" customWidth="1"/>
    <col min="63" max="63" width="10.6640625" style="944"/>
    <col min="64" max="64" width="14" style="944" bestFit="1" customWidth="1"/>
    <col min="65" max="65" width="11" style="944" bestFit="1" customWidth="1"/>
    <col min="66" max="66" width="12" style="944" bestFit="1" customWidth="1"/>
    <col min="67" max="67" width="15.5" style="944" bestFit="1" customWidth="1"/>
    <col min="68" max="68" width="12" style="944" bestFit="1" customWidth="1"/>
    <col min="69" max="72" width="10.6640625" style="944"/>
    <col min="73" max="73" width="11" style="944" bestFit="1" customWidth="1"/>
    <col min="74" max="16384" width="10.6640625" style="944"/>
  </cols>
  <sheetData>
    <row r="1" spans="1:43" ht="11.25" customHeight="1" thickBot="1">
      <c r="A1" s="943"/>
      <c r="F1" s="945"/>
      <c r="G1" s="945"/>
      <c r="H1" s="945"/>
      <c r="I1" s="945"/>
      <c r="J1" s="945"/>
      <c r="K1" s="945"/>
      <c r="L1" s="945"/>
      <c r="M1" s="945"/>
      <c r="N1" s="945"/>
      <c r="R1" s="944"/>
      <c r="S1" s="947"/>
      <c r="T1" s="948"/>
      <c r="W1" s="944" t="s">
        <v>378</v>
      </c>
      <c r="X1" s="944" t="s">
        <v>380</v>
      </c>
      <c r="AQ1" s="949"/>
    </row>
    <row r="2" spans="1:43" ht="15" thickTop="1">
      <c r="A2" s="950"/>
      <c r="B2" s="216" t="str">
        <f>'MASTER PubCo Inputs'!$C$5</f>
        <v>Medikine, Inc.</v>
      </c>
      <c r="C2" s="216"/>
      <c r="D2" s="216"/>
      <c r="E2" s="216"/>
      <c r="F2" s="216"/>
      <c r="G2" s="216"/>
      <c r="H2" s="216"/>
      <c r="I2" s="216"/>
      <c r="J2" s="216"/>
      <c r="K2" s="216"/>
      <c r="L2" s="216"/>
      <c r="M2" s="216"/>
      <c r="N2" s="216"/>
      <c r="O2" s="216"/>
      <c r="P2" s="216"/>
      <c r="Q2" s="951"/>
      <c r="R2" s="952"/>
      <c r="S2" s="953" t="s">
        <v>1406</v>
      </c>
      <c r="T2" s="954">
        <v>43082</v>
      </c>
      <c r="W2" s="944" t="s">
        <v>702</v>
      </c>
      <c r="X2" s="944" t="s">
        <v>703</v>
      </c>
    </row>
    <row r="3" spans="1:43" ht="14.25">
      <c r="A3" s="950"/>
      <c r="B3" s="217" t="e">
        <f>VLOOKUP(B4,Outline!$E$8:$G$79,COLUMNS(Outline!$E$8:$G$8),FALSE)</f>
        <v>#N/A</v>
      </c>
      <c r="C3" s="217"/>
      <c r="D3" s="217"/>
      <c r="E3" s="217"/>
      <c r="F3" s="217"/>
      <c r="G3" s="217"/>
      <c r="H3" s="217"/>
      <c r="I3" s="217"/>
      <c r="J3" s="217"/>
      <c r="K3" s="217"/>
      <c r="L3" s="217"/>
      <c r="M3" s="217"/>
      <c r="N3" s="217"/>
      <c r="O3" s="217"/>
      <c r="P3" s="217"/>
      <c r="Q3" s="951"/>
      <c r="R3" s="952"/>
      <c r="S3" s="955" t="s">
        <v>1836</v>
      </c>
      <c r="T3" s="956"/>
      <c r="W3" s="944" t="s">
        <v>379</v>
      </c>
      <c r="X3" s="944" t="s">
        <v>381</v>
      </c>
    </row>
    <row r="4" spans="1:43" ht="15" thickBot="1">
      <c r="B4" s="444" t="s">
        <v>1023</v>
      </c>
      <c r="C4" s="444"/>
      <c r="D4" s="444"/>
      <c r="E4" s="444"/>
      <c r="F4" s="444"/>
      <c r="G4" s="444"/>
      <c r="H4" s="444"/>
      <c r="I4" s="444"/>
      <c r="J4" s="444"/>
      <c r="K4" s="444"/>
      <c r="L4" s="444"/>
      <c r="M4" s="444"/>
      <c r="N4" s="444"/>
      <c r="O4" s="444"/>
      <c r="P4" s="445" t="str">
        <f>'MASTER PubCo Inputs'!C20</f>
        <v>(in thousands of USD and shares, except price per share)</v>
      </c>
      <c r="Q4" s="951"/>
      <c r="R4" s="944"/>
      <c r="W4" s="944" t="s">
        <v>89</v>
      </c>
      <c r="X4" s="944" t="s">
        <v>90</v>
      </c>
    </row>
    <row r="5" spans="1:43" ht="14.85" customHeight="1" thickTop="1">
      <c r="B5" s="1787"/>
      <c r="C5" s="1788"/>
      <c r="D5" s="1787"/>
      <c r="E5" s="1787"/>
      <c r="F5" s="1789"/>
      <c r="G5" s="945"/>
      <c r="H5" s="945"/>
      <c r="I5" s="945"/>
      <c r="J5" s="945"/>
      <c r="K5" s="945"/>
      <c r="L5" s="945"/>
      <c r="M5" s="945"/>
      <c r="N5" s="945"/>
      <c r="Q5" s="951"/>
      <c r="R5" s="944"/>
    </row>
    <row r="6" spans="1:43" ht="14.85" customHeight="1">
      <c r="B6" s="960"/>
      <c r="C6" s="950"/>
      <c r="D6" s="960"/>
      <c r="E6" s="960"/>
      <c r="F6" s="945"/>
      <c r="G6" s="945"/>
      <c r="H6" s="945"/>
      <c r="I6" s="945"/>
      <c r="J6" s="945"/>
      <c r="K6" s="945"/>
      <c r="L6" s="961"/>
      <c r="M6" s="945"/>
      <c r="N6" s="962"/>
      <c r="P6" s="963"/>
    </row>
    <row r="7" spans="1:43" s="964" customFormat="1" ht="14.85" customHeight="1">
      <c r="B7" s="965" t="s">
        <v>1024</v>
      </c>
      <c r="C7" s="966"/>
      <c r="D7" s="966"/>
      <c r="E7" s="966"/>
      <c r="F7" s="966"/>
      <c r="G7" s="966"/>
      <c r="H7" s="966"/>
      <c r="I7" s="966"/>
      <c r="J7" s="966"/>
      <c r="K7" s="966"/>
      <c r="L7" s="966"/>
      <c r="M7" s="966"/>
      <c r="N7" s="966"/>
      <c r="O7" s="966"/>
      <c r="P7" s="967"/>
      <c r="Q7" s="968"/>
      <c r="R7" s="968"/>
      <c r="S7" s="968"/>
      <c r="T7" s="969"/>
      <c r="U7" s="969"/>
    </row>
    <row r="8" spans="1:43" s="970" customFormat="1" ht="14.85" customHeight="1">
      <c r="B8" s="971"/>
      <c r="C8" s="1619"/>
      <c r="D8" s="1931" t="s">
        <v>1739</v>
      </c>
      <c r="E8" s="1619" t="s">
        <v>1026</v>
      </c>
      <c r="F8" s="1931" t="s">
        <v>1550</v>
      </c>
      <c r="G8" s="1933" t="s">
        <v>1027</v>
      </c>
      <c r="H8" s="1933" t="s">
        <v>1028</v>
      </c>
      <c r="I8" s="1933"/>
      <c r="J8" s="1933" t="s">
        <v>1029</v>
      </c>
      <c r="K8" s="1933" t="s">
        <v>1737</v>
      </c>
      <c r="L8" s="1933" t="s">
        <v>1030</v>
      </c>
      <c r="M8" s="1933" t="s">
        <v>1031</v>
      </c>
      <c r="N8" s="1933" t="s">
        <v>1032</v>
      </c>
      <c r="O8" s="1933" t="s">
        <v>1738</v>
      </c>
      <c r="P8" s="1935" t="s">
        <v>1487</v>
      </c>
      <c r="Q8" s="968"/>
      <c r="R8" s="968"/>
      <c r="S8" s="1930" t="s">
        <v>1029</v>
      </c>
      <c r="T8" s="1930" t="s">
        <v>1488</v>
      </c>
      <c r="U8" s="1930" t="s">
        <v>1489</v>
      </c>
      <c r="V8" s="1929" t="s">
        <v>1036</v>
      </c>
      <c r="X8" s="1930" t="s">
        <v>1037</v>
      </c>
      <c r="Y8" s="1618"/>
      <c r="Z8" s="1618"/>
      <c r="AA8" s="1930" t="s">
        <v>146</v>
      </c>
      <c r="AB8" s="1930" t="s">
        <v>1743</v>
      </c>
      <c r="AC8" s="1930" t="s">
        <v>1744</v>
      </c>
      <c r="AD8" s="1930" t="s">
        <v>1745</v>
      </c>
      <c r="AE8" s="1930" t="s">
        <v>1746</v>
      </c>
    </row>
    <row r="9" spans="1:43" s="970" customFormat="1" ht="14.85" customHeight="1">
      <c r="B9" s="974" t="s">
        <v>1038</v>
      </c>
      <c r="C9" s="1620" t="s">
        <v>1039</v>
      </c>
      <c r="D9" s="1932"/>
      <c r="E9" s="1620" t="s">
        <v>1040</v>
      </c>
      <c r="F9" s="1932"/>
      <c r="G9" s="1934"/>
      <c r="H9" s="1621" t="s">
        <v>112</v>
      </c>
      <c r="I9" s="1621" t="s">
        <v>111</v>
      </c>
      <c r="J9" s="1934"/>
      <c r="K9" s="1934"/>
      <c r="L9" s="1934"/>
      <c r="M9" s="1934"/>
      <c r="N9" s="1934"/>
      <c r="O9" s="1934"/>
      <c r="P9" s="1936"/>
      <c r="Q9" s="968"/>
      <c r="R9" s="977" t="s">
        <v>1839</v>
      </c>
      <c r="S9" s="1930"/>
      <c r="T9" s="1930" t="s">
        <v>1488</v>
      </c>
      <c r="U9" s="1930"/>
      <c r="V9" s="1929"/>
      <c r="W9" s="1622" t="s">
        <v>1490</v>
      </c>
      <c r="X9" s="1930"/>
      <c r="Y9" s="1618" t="s">
        <v>95</v>
      </c>
      <c r="Z9" s="1618" t="s">
        <v>685</v>
      </c>
      <c r="AA9" s="1930"/>
      <c r="AB9" s="1930"/>
      <c r="AC9" s="1930"/>
      <c r="AD9" s="1930"/>
      <c r="AE9" s="1930"/>
    </row>
    <row r="10" spans="1:43" s="979" customFormat="1" ht="14.85" customHeight="1">
      <c r="B10" s="980"/>
      <c r="C10" s="980"/>
      <c r="D10" s="980"/>
      <c r="E10" s="980"/>
      <c r="F10" s="980"/>
      <c r="G10" s="980"/>
      <c r="H10" s="980"/>
      <c r="I10" s="980"/>
      <c r="J10" s="980"/>
      <c r="K10" s="980"/>
      <c r="L10" s="980"/>
      <c r="M10" s="980"/>
      <c r="N10" s="980"/>
      <c r="O10" s="980"/>
      <c r="P10" s="980"/>
      <c r="Q10" s="968"/>
      <c r="R10" s="968"/>
      <c r="S10" s="968"/>
      <c r="T10" s="1617"/>
      <c r="U10" s="1617"/>
      <c r="AF10" s="982" t="s">
        <v>110</v>
      </c>
    </row>
    <row r="11" spans="1:43" s="979" customFormat="1" ht="14.85" customHeight="1">
      <c r="B11" s="983" t="s">
        <v>1491</v>
      </c>
      <c r="C11" s="980"/>
      <c r="D11" s="980"/>
      <c r="E11" s="980"/>
      <c r="F11" s="984"/>
      <c r="G11" s="980"/>
      <c r="H11" s="980"/>
      <c r="I11" s="980"/>
      <c r="J11" s="980"/>
      <c r="K11" s="980"/>
      <c r="L11" s="985"/>
      <c r="M11" s="980"/>
      <c r="N11" s="980"/>
      <c r="O11" s="980"/>
      <c r="P11" s="980"/>
      <c r="Q11" s="968"/>
      <c r="R11" s="968"/>
      <c r="S11" s="968"/>
      <c r="T11" s="1617"/>
      <c r="U11" s="1617"/>
    </row>
    <row r="12" spans="1:43" s="979" customFormat="1" ht="14.85" customHeight="1">
      <c r="B12" s="986" t="s">
        <v>1773</v>
      </c>
      <c r="C12" s="987" t="s">
        <v>1774</v>
      </c>
      <c r="D12" s="988" t="s">
        <v>732</v>
      </c>
      <c r="E12" s="989" t="s">
        <v>1775</v>
      </c>
      <c r="F12" s="990">
        <v>42997</v>
      </c>
      <c r="G12" s="991">
        <v>10</v>
      </c>
      <c r="H12" s="991">
        <v>9</v>
      </c>
      <c r="I12" s="991">
        <v>11</v>
      </c>
      <c r="J12" s="991">
        <v>9.99</v>
      </c>
      <c r="K12" s="992">
        <v>5643.2469999999994</v>
      </c>
      <c r="L12" s="993">
        <v>4000</v>
      </c>
      <c r="M12" s="993">
        <v>9643.2469999999994</v>
      </c>
      <c r="N12" s="992">
        <v>56832.47</v>
      </c>
      <c r="O12" s="994">
        <v>40000</v>
      </c>
      <c r="P12" s="992">
        <v>96832.47</v>
      </c>
      <c r="Q12" s="968"/>
      <c r="R12" s="968">
        <v>1</v>
      </c>
      <c r="S12" s="991">
        <v>9.99</v>
      </c>
      <c r="T12" s="995">
        <v>96336.037530000001</v>
      </c>
      <c r="U12" s="996">
        <v>-5.1267149335342266E-3</v>
      </c>
      <c r="V12" s="997" t="s">
        <v>1776</v>
      </c>
      <c r="W12" s="998" t="s">
        <v>1777</v>
      </c>
      <c r="X12" s="999">
        <v>96832.47</v>
      </c>
      <c r="Y12" s="1000">
        <v>0</v>
      </c>
      <c r="Z12" s="1000">
        <v>3518</v>
      </c>
      <c r="AA12" s="1001">
        <v>93314.47</v>
      </c>
      <c r="AB12" s="1002">
        <v>1518</v>
      </c>
      <c r="AC12" s="1002">
        <v>-46202</v>
      </c>
      <c r="AD12" s="1003">
        <v>61.471982872200265</v>
      </c>
      <c r="AE12" s="1003">
        <v>-2.0197062897710056</v>
      </c>
      <c r="AF12" s="1004">
        <v>0</v>
      </c>
    </row>
    <row r="13" spans="1:43" s="979" customFormat="1" ht="14.85" customHeight="1">
      <c r="B13" s="986" t="s">
        <v>739</v>
      </c>
      <c r="C13" s="987" t="s">
        <v>737</v>
      </c>
      <c r="D13" s="988" t="s">
        <v>868</v>
      </c>
      <c r="E13" s="989" t="s">
        <v>1046</v>
      </c>
      <c r="F13" s="990">
        <v>42661</v>
      </c>
      <c r="G13" s="991">
        <v>14</v>
      </c>
      <c r="H13" s="991">
        <v>15</v>
      </c>
      <c r="I13" s="991">
        <v>17</v>
      </c>
      <c r="J13" s="991">
        <v>20.5</v>
      </c>
      <c r="K13" s="992">
        <f t="shared" ref="K13:K28" si="0">+M13-L13</f>
        <v>35360.633999999998</v>
      </c>
      <c r="L13" s="993">
        <v>4000</v>
      </c>
      <c r="M13" s="993">
        <v>39360.633999999998</v>
      </c>
      <c r="N13" s="992">
        <f t="shared" ref="N13:N28" si="1">+G13*K13</f>
        <v>495048.87599999999</v>
      </c>
      <c r="O13" s="994">
        <f t="shared" ref="O13:O28" si="2">+G13*L13</f>
        <v>56000</v>
      </c>
      <c r="P13" s="992">
        <f t="shared" ref="P13:P28" si="3">+N13+O13</f>
        <v>551048.87599999993</v>
      </c>
      <c r="Q13" s="968"/>
      <c r="R13" s="968">
        <v>1</v>
      </c>
      <c r="S13" s="991">
        <f>J13</f>
        <v>20.5</v>
      </c>
      <c r="T13" s="995">
        <f t="shared" ref="T13:T28" si="4">S13*M13</f>
        <v>806892.99699999997</v>
      </c>
      <c r="U13" s="996">
        <f t="shared" ref="U13:U28" si="5">T13/P13-1</f>
        <v>0.46428571428571441</v>
      </c>
      <c r="V13" s="997" t="s">
        <v>738</v>
      </c>
      <c r="W13" s="998" t="s">
        <v>740</v>
      </c>
      <c r="X13" s="999">
        <f>+N13+O13</f>
        <v>551048.87599999993</v>
      </c>
      <c r="Y13" s="1000">
        <v>0</v>
      </c>
      <c r="Z13" s="1000">
        <v>246849</v>
      </c>
      <c r="AA13" s="1001">
        <f>X13+Y13-Z13</f>
        <v>304199.87599999993</v>
      </c>
      <c r="AB13" s="1002">
        <v>1518</v>
      </c>
      <c r="AC13" s="1002">
        <v>-46202</v>
      </c>
      <c r="AD13" s="1003">
        <f>IFERROR(AA13/AB13,"n/a")</f>
        <v>200.39517523056648</v>
      </c>
      <c r="AE13" s="1003">
        <f>IFERROR(AA13/AC13,"n/a")</f>
        <v>-6.584127873252239</v>
      </c>
      <c r="AF13" s="1004">
        <f t="shared" ref="AF13:AF28" si="6">+P13-X13</f>
        <v>0</v>
      </c>
    </row>
    <row r="14" spans="1:43" s="979" customFormat="1" ht="14.85" customHeight="1">
      <c r="A14" s="1005"/>
      <c r="B14" s="986" t="s">
        <v>763</v>
      </c>
      <c r="C14" s="987" t="s">
        <v>761</v>
      </c>
      <c r="D14" s="988" t="s">
        <v>732</v>
      </c>
      <c r="E14" s="989" t="s">
        <v>1072</v>
      </c>
      <c r="F14" s="990">
        <v>42571</v>
      </c>
      <c r="G14" s="1006">
        <v>15</v>
      </c>
      <c r="H14" s="1006">
        <v>14</v>
      </c>
      <c r="I14" s="1006">
        <v>16</v>
      </c>
      <c r="J14" s="1006">
        <v>14.4</v>
      </c>
      <c r="K14" s="992">
        <f t="shared" si="0"/>
        <v>16020.378000000001</v>
      </c>
      <c r="L14" s="993">
        <v>5000</v>
      </c>
      <c r="M14" s="993">
        <v>21020.378000000001</v>
      </c>
      <c r="N14" s="992">
        <f t="shared" si="1"/>
        <v>240305.67</v>
      </c>
      <c r="O14" s="994">
        <f t="shared" si="2"/>
        <v>75000</v>
      </c>
      <c r="P14" s="992">
        <f t="shared" si="3"/>
        <v>315305.67000000004</v>
      </c>
      <c r="Q14" s="992"/>
      <c r="R14" s="968">
        <v>1</v>
      </c>
      <c r="S14" s="991">
        <f t="shared" ref="S14:S28" si="7">J14</f>
        <v>14.4</v>
      </c>
      <c r="T14" s="995">
        <f t="shared" si="4"/>
        <v>302693.44320000004</v>
      </c>
      <c r="U14" s="996">
        <f t="shared" si="5"/>
        <v>-4.0000000000000036E-2</v>
      </c>
      <c r="V14" s="1007" t="s">
        <v>762</v>
      </c>
      <c r="W14" s="998" t="s">
        <v>764</v>
      </c>
      <c r="X14" s="999">
        <f t="shared" ref="X14:X28" si="8">+N14+O14</f>
        <v>315305.67000000004</v>
      </c>
      <c r="Y14" s="999">
        <v>0</v>
      </c>
      <c r="Z14" s="999">
        <v>59713</v>
      </c>
      <c r="AA14" s="1001">
        <f t="shared" ref="AA14:AA28" si="9">X14+Y14-Z14</f>
        <v>255592.67000000004</v>
      </c>
      <c r="AB14" s="1002">
        <v>0</v>
      </c>
      <c r="AC14" s="1008">
        <v>-40429</v>
      </c>
      <c r="AD14" s="1003" t="str">
        <f t="shared" ref="AD14:AD28" si="10">IFERROR(AA14/AB14,"n/a")</f>
        <v>n/a</v>
      </c>
      <c r="AE14" s="1003">
        <f t="shared" ref="AE14:AE28" si="11">IFERROR(AA14/AC14,"n/a")</f>
        <v>-6.3220131588711084</v>
      </c>
      <c r="AF14" s="1004">
        <f t="shared" si="6"/>
        <v>0</v>
      </c>
      <c r="AG14" s="1009"/>
    </row>
    <row r="15" spans="1:43" s="979" customFormat="1" ht="14.85" customHeight="1">
      <c r="A15" s="1005"/>
      <c r="B15" s="986" t="s">
        <v>1079</v>
      </c>
      <c r="C15" s="987" t="s">
        <v>1080</v>
      </c>
      <c r="D15" s="988" t="s">
        <v>732</v>
      </c>
      <c r="E15" s="989" t="s">
        <v>1081</v>
      </c>
      <c r="F15" s="990">
        <v>42522</v>
      </c>
      <c r="G15" s="1006">
        <v>6</v>
      </c>
      <c r="H15" s="1006">
        <v>5</v>
      </c>
      <c r="I15" s="1006">
        <v>6</v>
      </c>
      <c r="J15" s="1006">
        <v>7.0350000000000001</v>
      </c>
      <c r="K15" s="992">
        <f t="shared" si="0"/>
        <v>6895.2960000000003</v>
      </c>
      <c r="L15" s="993">
        <v>1540.0260000000001</v>
      </c>
      <c r="M15" s="993">
        <v>8435.3220000000001</v>
      </c>
      <c r="N15" s="992">
        <f t="shared" si="1"/>
        <v>41371.775999999998</v>
      </c>
      <c r="O15" s="994">
        <f t="shared" si="2"/>
        <v>9240.1560000000009</v>
      </c>
      <c r="P15" s="992">
        <f t="shared" si="3"/>
        <v>50611.932000000001</v>
      </c>
      <c r="Q15" s="992"/>
      <c r="R15" s="968">
        <v>1</v>
      </c>
      <c r="S15" s="991">
        <f t="shared" si="7"/>
        <v>7.0350000000000001</v>
      </c>
      <c r="T15" s="995">
        <f t="shared" si="4"/>
        <v>59342.490270000002</v>
      </c>
      <c r="U15" s="996">
        <f t="shared" si="5"/>
        <v>0.1725000000000001</v>
      </c>
      <c r="V15" s="1007" t="s">
        <v>1082</v>
      </c>
      <c r="W15" s="998" t="s">
        <v>1083</v>
      </c>
      <c r="X15" s="999">
        <f t="shared" si="8"/>
        <v>50611.932000000001</v>
      </c>
      <c r="Y15" s="999">
        <v>450000</v>
      </c>
      <c r="Z15" s="999">
        <v>28.09</v>
      </c>
      <c r="AA15" s="1001">
        <f t="shared" si="9"/>
        <v>500583.842</v>
      </c>
      <c r="AB15" s="1002">
        <v>0</v>
      </c>
      <c r="AC15" s="1008">
        <v>0</v>
      </c>
      <c r="AD15" s="1003" t="str">
        <f t="shared" si="10"/>
        <v>n/a</v>
      </c>
      <c r="AE15" s="1003" t="str">
        <f t="shared" si="11"/>
        <v>n/a</v>
      </c>
      <c r="AF15" s="1004">
        <f t="shared" si="6"/>
        <v>0</v>
      </c>
      <c r="AG15" s="1009"/>
    </row>
    <row r="16" spans="1:43" s="1009" customFormat="1" ht="14.85" customHeight="1">
      <c r="A16" s="1005"/>
      <c r="B16" s="986" t="s">
        <v>773</v>
      </c>
      <c r="C16" s="989" t="s">
        <v>771</v>
      </c>
      <c r="D16" s="988" t="s">
        <v>732</v>
      </c>
      <c r="E16" s="989" t="s">
        <v>1094</v>
      </c>
      <c r="F16" s="990">
        <v>42507</v>
      </c>
      <c r="G16" s="1006">
        <v>5</v>
      </c>
      <c r="H16" s="1006">
        <v>0</v>
      </c>
      <c r="I16" s="1006">
        <v>0</v>
      </c>
      <c r="J16" s="1006">
        <v>5.18</v>
      </c>
      <c r="K16" s="992">
        <f t="shared" si="0"/>
        <v>7883.2340000000004</v>
      </c>
      <c r="L16" s="993">
        <v>3700</v>
      </c>
      <c r="M16" s="993">
        <v>11583.234</v>
      </c>
      <c r="N16" s="992">
        <f t="shared" si="1"/>
        <v>39416.17</v>
      </c>
      <c r="O16" s="994">
        <f t="shared" si="2"/>
        <v>18500</v>
      </c>
      <c r="P16" s="992">
        <f t="shared" si="3"/>
        <v>57916.17</v>
      </c>
      <c r="Q16" s="992"/>
      <c r="R16" s="968">
        <v>1</v>
      </c>
      <c r="S16" s="991">
        <f t="shared" si="7"/>
        <v>5.18</v>
      </c>
      <c r="T16" s="995">
        <f t="shared" si="4"/>
        <v>60001.152119999999</v>
      </c>
      <c r="U16" s="996">
        <f t="shared" si="5"/>
        <v>3.6000000000000032E-2</v>
      </c>
      <c r="V16" s="1007" t="s">
        <v>772</v>
      </c>
      <c r="W16" s="998" t="s">
        <v>774</v>
      </c>
      <c r="X16" s="999">
        <f t="shared" si="8"/>
        <v>57916.17</v>
      </c>
      <c r="Y16" s="999">
        <v>19992000</v>
      </c>
      <c r="Z16" s="999">
        <v>905</v>
      </c>
      <c r="AA16" s="1001">
        <f t="shared" si="9"/>
        <v>20049011.170000002</v>
      </c>
      <c r="AB16" s="1002">
        <v>0</v>
      </c>
      <c r="AC16" s="1008">
        <v>-14899</v>
      </c>
      <c r="AD16" s="1003" t="str">
        <f t="shared" si="10"/>
        <v>n/a</v>
      </c>
      <c r="AE16" s="1003">
        <f t="shared" si="11"/>
        <v>-1345.6615323176054</v>
      </c>
      <c r="AF16" s="1004">
        <f t="shared" si="6"/>
        <v>0</v>
      </c>
      <c r="AG16" s="979"/>
      <c r="AK16" s="1004"/>
      <c r="AL16" s="1010"/>
    </row>
    <row r="17" spans="1:42" s="979" customFormat="1" ht="14.85" customHeight="1">
      <c r="A17" s="1005"/>
      <c r="B17" s="986" t="s">
        <v>759</v>
      </c>
      <c r="C17" s="989" t="s">
        <v>757</v>
      </c>
      <c r="D17" s="988" t="s">
        <v>868</v>
      </c>
      <c r="E17" s="989" t="s">
        <v>1100</v>
      </c>
      <c r="F17" s="990">
        <v>42495</v>
      </c>
      <c r="G17" s="1006">
        <v>18</v>
      </c>
      <c r="H17" s="1006">
        <v>16</v>
      </c>
      <c r="I17" s="1006">
        <v>18</v>
      </c>
      <c r="J17" s="1006">
        <v>28.8</v>
      </c>
      <c r="K17" s="992">
        <f t="shared" si="0"/>
        <v>29096.264999999999</v>
      </c>
      <c r="L17" s="993">
        <v>6000</v>
      </c>
      <c r="M17" s="993">
        <v>35096.264999999999</v>
      </c>
      <c r="N17" s="992">
        <f t="shared" si="1"/>
        <v>523732.77</v>
      </c>
      <c r="O17" s="994">
        <f t="shared" si="2"/>
        <v>108000</v>
      </c>
      <c r="P17" s="992">
        <f t="shared" si="3"/>
        <v>631732.77</v>
      </c>
      <c r="Q17" s="992"/>
      <c r="R17" s="968">
        <v>1</v>
      </c>
      <c r="S17" s="991">
        <f t="shared" si="7"/>
        <v>28.8</v>
      </c>
      <c r="T17" s="995">
        <f t="shared" si="4"/>
        <v>1010772.432</v>
      </c>
      <c r="U17" s="996">
        <f t="shared" si="5"/>
        <v>0.60000000000000009</v>
      </c>
      <c r="V17" s="1007" t="s">
        <v>758</v>
      </c>
      <c r="W17" s="998" t="s">
        <v>760</v>
      </c>
      <c r="X17" s="999">
        <f t="shared" si="8"/>
        <v>631732.77</v>
      </c>
      <c r="Y17" s="999">
        <v>0</v>
      </c>
      <c r="Z17" s="999">
        <v>75816</v>
      </c>
      <c r="AA17" s="1001">
        <f t="shared" si="9"/>
        <v>555916.77</v>
      </c>
      <c r="AB17" s="1002">
        <v>9364</v>
      </c>
      <c r="AC17" s="1008">
        <v>-21770</v>
      </c>
      <c r="AD17" s="1003">
        <f t="shared" si="10"/>
        <v>59.367446604015377</v>
      </c>
      <c r="AE17" s="1003">
        <f t="shared" si="11"/>
        <v>-25.535910427193386</v>
      </c>
      <c r="AF17" s="1004">
        <f t="shared" si="6"/>
        <v>0</v>
      </c>
      <c r="AK17" s="1004"/>
      <c r="AL17" s="1010"/>
      <c r="AM17" s="1009"/>
    </row>
    <row r="18" spans="1:42" s="979" customFormat="1" ht="14.85" customHeight="1">
      <c r="A18" s="1005"/>
      <c r="B18" s="986" t="s">
        <v>1105</v>
      </c>
      <c r="C18" s="989" t="s">
        <v>1106</v>
      </c>
      <c r="D18" s="988" t="s">
        <v>1492</v>
      </c>
      <c r="E18" s="989" t="s">
        <v>1107</v>
      </c>
      <c r="F18" s="990">
        <v>42466</v>
      </c>
      <c r="G18" s="1006">
        <v>10</v>
      </c>
      <c r="H18" s="1006">
        <v>16</v>
      </c>
      <c r="I18" s="1006">
        <v>18</v>
      </c>
      <c r="J18" s="1006">
        <v>8.7100000000000009</v>
      </c>
      <c r="K18" s="992">
        <f t="shared" si="0"/>
        <v>7929.8320000000003</v>
      </c>
      <c r="L18" s="993">
        <v>5000</v>
      </c>
      <c r="M18" s="993">
        <v>12929.832</v>
      </c>
      <c r="N18" s="992">
        <f t="shared" si="1"/>
        <v>79298.320000000007</v>
      </c>
      <c r="O18" s="994">
        <f t="shared" si="2"/>
        <v>50000</v>
      </c>
      <c r="P18" s="992">
        <f t="shared" si="3"/>
        <v>129298.32</v>
      </c>
      <c r="Q18" s="992"/>
      <c r="R18" s="968">
        <v>1</v>
      </c>
      <c r="S18" s="991">
        <f t="shared" si="7"/>
        <v>8.7100000000000009</v>
      </c>
      <c r="T18" s="995">
        <f t="shared" si="4"/>
        <v>112618.83672000002</v>
      </c>
      <c r="U18" s="996">
        <f t="shared" si="5"/>
        <v>-0.12899999999999989</v>
      </c>
      <c r="V18" s="997" t="s">
        <v>1108</v>
      </c>
      <c r="W18" s="998" t="s">
        <v>1109</v>
      </c>
      <c r="X18" s="999">
        <f t="shared" si="8"/>
        <v>129298.32</v>
      </c>
      <c r="Y18" s="999">
        <v>0</v>
      </c>
      <c r="Z18" s="999">
        <v>29294</v>
      </c>
      <c r="AA18" s="1001">
        <f t="shared" si="9"/>
        <v>100004.32</v>
      </c>
      <c r="AB18" s="1002">
        <v>4890</v>
      </c>
      <c r="AC18" s="1008">
        <v>-17383</v>
      </c>
      <c r="AD18" s="1003">
        <f t="shared" si="10"/>
        <v>20.450781186094073</v>
      </c>
      <c r="AE18" s="1003">
        <f t="shared" si="11"/>
        <v>-5.7529954553299207</v>
      </c>
      <c r="AF18" s="1004">
        <f t="shared" si="6"/>
        <v>0</v>
      </c>
      <c r="AK18" s="994"/>
      <c r="AL18" s="1010"/>
      <c r="AM18" s="1009"/>
    </row>
    <row r="19" spans="1:42" s="964" customFormat="1" ht="14.85" customHeight="1">
      <c r="A19" s="1005"/>
      <c r="B19" s="986" t="s">
        <v>1124</v>
      </c>
      <c r="C19" s="989" t="s">
        <v>1125</v>
      </c>
      <c r="D19" s="988" t="s">
        <v>1492</v>
      </c>
      <c r="E19" s="989" t="s">
        <v>1126</v>
      </c>
      <c r="F19" s="990">
        <v>42410</v>
      </c>
      <c r="G19" s="1006">
        <v>8</v>
      </c>
      <c r="H19" s="1006">
        <v>12</v>
      </c>
      <c r="I19" s="1006">
        <v>14</v>
      </c>
      <c r="J19" s="1006">
        <v>8.9600000000000009</v>
      </c>
      <c r="K19" s="992">
        <f t="shared" si="0"/>
        <v>12861.478999999999</v>
      </c>
      <c r="L19" s="993">
        <v>6250</v>
      </c>
      <c r="M19" s="993">
        <v>19111.478999999999</v>
      </c>
      <c r="N19" s="992">
        <f t="shared" si="1"/>
        <v>102891.83199999999</v>
      </c>
      <c r="O19" s="994">
        <f t="shared" si="2"/>
        <v>50000</v>
      </c>
      <c r="P19" s="992">
        <f t="shared" si="3"/>
        <v>152891.83199999999</v>
      </c>
      <c r="Q19" s="992"/>
      <c r="R19" s="968">
        <v>1</v>
      </c>
      <c r="S19" s="991">
        <f t="shared" si="7"/>
        <v>8.9600000000000009</v>
      </c>
      <c r="T19" s="995">
        <f t="shared" si="4"/>
        <v>171238.85184000002</v>
      </c>
      <c r="U19" s="996">
        <f t="shared" si="5"/>
        <v>0.12000000000000011</v>
      </c>
      <c r="V19" s="997" t="s">
        <v>1127</v>
      </c>
      <c r="W19" s="998" t="s">
        <v>1128</v>
      </c>
      <c r="X19" s="999">
        <f t="shared" si="8"/>
        <v>152891.83199999999</v>
      </c>
      <c r="Y19" s="999">
        <v>0</v>
      </c>
      <c r="Z19" s="999">
        <v>20919</v>
      </c>
      <c r="AA19" s="1001">
        <f t="shared" si="9"/>
        <v>131972.83199999999</v>
      </c>
      <c r="AB19" s="1002">
        <v>5044</v>
      </c>
      <c r="AC19" s="1008">
        <v>-29704</v>
      </c>
      <c r="AD19" s="1003">
        <f t="shared" si="10"/>
        <v>26.164320380650278</v>
      </c>
      <c r="AE19" s="1003">
        <f t="shared" si="11"/>
        <v>-4.442931322380824</v>
      </c>
      <c r="AF19" s="1004">
        <f t="shared" si="6"/>
        <v>0</v>
      </c>
      <c r="AG19" s="979"/>
      <c r="AK19" s="994"/>
      <c r="AL19" s="1010"/>
      <c r="AM19" s="1009"/>
    </row>
    <row r="20" spans="1:42" s="964" customFormat="1" ht="14.85" customHeight="1">
      <c r="A20" s="1005"/>
      <c r="B20" s="986" t="s">
        <v>751</v>
      </c>
      <c r="C20" s="989" t="s">
        <v>749</v>
      </c>
      <c r="D20" s="988" t="s">
        <v>732</v>
      </c>
      <c r="E20" s="989" t="s">
        <v>1129</v>
      </c>
      <c r="F20" s="990">
        <v>42402</v>
      </c>
      <c r="G20" s="1006">
        <v>16</v>
      </c>
      <c r="H20" s="1006">
        <v>16</v>
      </c>
      <c r="I20" s="1006">
        <v>18</v>
      </c>
      <c r="J20" s="1006">
        <v>35.56</v>
      </c>
      <c r="K20" s="992">
        <f t="shared" si="0"/>
        <v>29799.538</v>
      </c>
      <c r="L20" s="993">
        <v>5900</v>
      </c>
      <c r="M20" s="993">
        <v>35699.538</v>
      </c>
      <c r="N20" s="992">
        <f t="shared" si="1"/>
        <v>476792.60800000001</v>
      </c>
      <c r="O20" s="994">
        <f t="shared" si="2"/>
        <v>94400</v>
      </c>
      <c r="P20" s="992">
        <f t="shared" si="3"/>
        <v>571192.60800000001</v>
      </c>
      <c r="Q20" s="992"/>
      <c r="R20" s="968">
        <v>1</v>
      </c>
      <c r="S20" s="991">
        <f t="shared" si="7"/>
        <v>35.56</v>
      </c>
      <c r="T20" s="995">
        <f t="shared" si="4"/>
        <v>1269475.57128</v>
      </c>
      <c r="U20" s="996">
        <f t="shared" si="5"/>
        <v>1.2225000000000001</v>
      </c>
      <c r="V20" s="997" t="s">
        <v>750</v>
      </c>
      <c r="W20" s="998" t="s">
        <v>752</v>
      </c>
      <c r="X20" s="999">
        <f t="shared" si="8"/>
        <v>571192.60800000001</v>
      </c>
      <c r="Y20" s="999">
        <v>1826000</v>
      </c>
      <c r="Z20" s="999">
        <v>155301</v>
      </c>
      <c r="AA20" s="1001">
        <f t="shared" si="9"/>
        <v>2241891.608</v>
      </c>
      <c r="AB20" s="1002">
        <v>5655</v>
      </c>
      <c r="AC20" s="1008">
        <v>-56081</v>
      </c>
      <c r="AD20" s="1003">
        <f t="shared" si="10"/>
        <v>396.44413934571173</v>
      </c>
      <c r="AE20" s="1003">
        <f t="shared" si="11"/>
        <v>-39.975956348852556</v>
      </c>
      <c r="AF20" s="1004">
        <f t="shared" si="6"/>
        <v>0</v>
      </c>
      <c r="AG20" s="979"/>
      <c r="AK20" s="994"/>
      <c r="AL20" s="1010"/>
      <c r="AM20" s="1009"/>
    </row>
    <row r="21" spans="1:42" s="964" customFormat="1" ht="14.85" customHeight="1">
      <c r="A21" s="1005"/>
      <c r="B21" s="986" t="s">
        <v>743</v>
      </c>
      <c r="C21" s="989" t="s">
        <v>741</v>
      </c>
      <c r="D21" s="988" t="s">
        <v>732</v>
      </c>
      <c r="E21" s="989" t="s">
        <v>1138</v>
      </c>
      <c r="F21" s="990">
        <v>42318</v>
      </c>
      <c r="G21" s="1006">
        <v>16</v>
      </c>
      <c r="H21" s="1006">
        <v>15</v>
      </c>
      <c r="I21" s="1006">
        <v>17</v>
      </c>
      <c r="J21" s="1006">
        <v>13.785</v>
      </c>
      <c r="K21" s="992">
        <f t="shared" si="0"/>
        <v>14558.296999999999</v>
      </c>
      <c r="L21" s="993">
        <v>6375</v>
      </c>
      <c r="M21" s="993">
        <v>20933.296999999999</v>
      </c>
      <c r="N21" s="992">
        <f t="shared" si="1"/>
        <v>232932.75199999998</v>
      </c>
      <c r="O21" s="994">
        <f t="shared" si="2"/>
        <v>102000</v>
      </c>
      <c r="P21" s="992">
        <f t="shared" si="3"/>
        <v>334932.75199999998</v>
      </c>
      <c r="Q21" s="992"/>
      <c r="R21" s="968">
        <v>1</v>
      </c>
      <c r="S21" s="991">
        <f t="shared" si="7"/>
        <v>13.785</v>
      </c>
      <c r="T21" s="995">
        <f t="shared" si="4"/>
        <v>288565.49914500001</v>
      </c>
      <c r="U21" s="996">
        <f t="shared" si="5"/>
        <v>-0.13843749999999988</v>
      </c>
      <c r="V21" s="997" t="s">
        <v>742</v>
      </c>
      <c r="W21" s="998" t="s">
        <v>744</v>
      </c>
      <c r="X21" s="999">
        <f t="shared" si="8"/>
        <v>334932.75199999998</v>
      </c>
      <c r="Y21" s="999">
        <v>171000</v>
      </c>
      <c r="Z21" s="999">
        <v>7779</v>
      </c>
      <c r="AA21" s="1001">
        <f t="shared" si="9"/>
        <v>498153.75199999998</v>
      </c>
      <c r="AB21" s="1002">
        <v>417</v>
      </c>
      <c r="AC21" s="1008">
        <v>-31242</v>
      </c>
      <c r="AD21" s="1003">
        <f t="shared" si="10"/>
        <v>1194.613314148681</v>
      </c>
      <c r="AE21" s="1003">
        <f t="shared" si="11"/>
        <v>-15.945001984508034</v>
      </c>
      <c r="AF21" s="1004">
        <f t="shared" si="6"/>
        <v>0</v>
      </c>
      <c r="AG21" s="979"/>
      <c r="AK21" s="994"/>
      <c r="AL21" s="1010"/>
      <c r="AM21" s="1009"/>
    </row>
    <row r="22" spans="1:42" s="964" customFormat="1" ht="14.85" customHeight="1">
      <c r="A22" s="1005"/>
      <c r="B22" s="986" t="s">
        <v>1155</v>
      </c>
      <c r="C22" s="989" t="s">
        <v>1156</v>
      </c>
      <c r="D22" s="988" t="s">
        <v>732</v>
      </c>
      <c r="E22" s="989" t="s">
        <v>1157</v>
      </c>
      <c r="F22" s="990">
        <v>42284</v>
      </c>
      <c r="G22" s="1006">
        <v>12</v>
      </c>
      <c r="H22" s="1006">
        <v>14</v>
      </c>
      <c r="I22" s="1006">
        <v>16</v>
      </c>
      <c r="J22" s="1006">
        <v>11.42</v>
      </c>
      <c r="K22" s="992">
        <f t="shared" si="0"/>
        <v>28253.925999999999</v>
      </c>
      <c r="L22" s="993">
        <v>6666.6670000000004</v>
      </c>
      <c r="M22" s="993">
        <v>34920.593000000001</v>
      </c>
      <c r="N22" s="992">
        <f t="shared" si="1"/>
        <v>339047.11199999996</v>
      </c>
      <c r="O22" s="994">
        <f t="shared" si="2"/>
        <v>80000.004000000001</v>
      </c>
      <c r="P22" s="992">
        <f t="shared" si="3"/>
        <v>419047.11599999998</v>
      </c>
      <c r="Q22" s="992"/>
      <c r="R22" s="968">
        <v>1</v>
      </c>
      <c r="S22" s="991">
        <f t="shared" si="7"/>
        <v>11.42</v>
      </c>
      <c r="T22" s="995">
        <f t="shared" si="4"/>
        <v>398793.17206000001</v>
      </c>
      <c r="U22" s="996">
        <f t="shared" si="5"/>
        <v>-4.8333333333333228E-2</v>
      </c>
      <c r="V22" s="997" t="s">
        <v>1158</v>
      </c>
      <c r="W22" s="998" t="s">
        <v>1159</v>
      </c>
      <c r="X22" s="999">
        <f t="shared" si="8"/>
        <v>419047.11599999998</v>
      </c>
      <c r="Y22" s="999">
        <v>2292000</v>
      </c>
      <c r="Z22" s="999">
        <v>45842</v>
      </c>
      <c r="AA22" s="1001">
        <f t="shared" si="9"/>
        <v>2665205.1159999999</v>
      </c>
      <c r="AB22" s="1002">
        <v>9244</v>
      </c>
      <c r="AC22" s="1008">
        <v>-51797</v>
      </c>
      <c r="AD22" s="1003">
        <f t="shared" si="10"/>
        <v>288.31729943747297</v>
      </c>
      <c r="AE22" s="1003">
        <f t="shared" si="11"/>
        <v>-51.454816224877888</v>
      </c>
      <c r="AF22" s="1004">
        <f t="shared" si="6"/>
        <v>0</v>
      </c>
      <c r="AG22" s="979"/>
      <c r="AK22" s="994"/>
      <c r="AL22" s="1010"/>
      <c r="AM22" s="1009"/>
    </row>
    <row r="23" spans="1:42" s="964" customFormat="1" ht="14.85" customHeight="1">
      <c r="A23" s="1005"/>
      <c r="B23" s="986" t="s">
        <v>747</v>
      </c>
      <c r="C23" s="989" t="s">
        <v>745</v>
      </c>
      <c r="D23" s="988" t="s">
        <v>732</v>
      </c>
      <c r="E23" s="989" t="s">
        <v>1174</v>
      </c>
      <c r="F23" s="990">
        <v>42263</v>
      </c>
      <c r="G23" s="1006">
        <v>22</v>
      </c>
      <c r="H23" s="1006">
        <v>17</v>
      </c>
      <c r="I23" s="1006">
        <v>19</v>
      </c>
      <c r="J23" s="1006">
        <v>18.55</v>
      </c>
      <c r="K23" s="992">
        <f t="shared" si="0"/>
        <v>19050.707999999999</v>
      </c>
      <c r="L23" s="993">
        <v>6300</v>
      </c>
      <c r="M23" s="993">
        <v>25350.707999999999</v>
      </c>
      <c r="N23" s="992">
        <f t="shared" si="1"/>
        <v>419115.576</v>
      </c>
      <c r="O23" s="994">
        <f t="shared" si="2"/>
        <v>138600</v>
      </c>
      <c r="P23" s="992">
        <f t="shared" si="3"/>
        <v>557715.576</v>
      </c>
      <c r="Q23" s="992"/>
      <c r="R23" s="968">
        <v>1</v>
      </c>
      <c r="S23" s="991">
        <f t="shared" si="7"/>
        <v>18.55</v>
      </c>
      <c r="T23" s="995">
        <f t="shared" si="4"/>
        <v>470255.63339999999</v>
      </c>
      <c r="U23" s="996">
        <f t="shared" si="5"/>
        <v>-0.15681818181818186</v>
      </c>
      <c r="V23" s="1011" t="s">
        <v>746</v>
      </c>
      <c r="W23" s="998" t="s">
        <v>748</v>
      </c>
      <c r="X23" s="999">
        <f t="shared" si="8"/>
        <v>557715.576</v>
      </c>
      <c r="Y23" s="999">
        <v>0</v>
      </c>
      <c r="Z23" s="999">
        <v>85215</v>
      </c>
      <c r="AA23" s="1001">
        <f t="shared" si="9"/>
        <v>472500.576</v>
      </c>
      <c r="AB23" s="1002">
        <v>8349</v>
      </c>
      <c r="AC23" s="1008">
        <v>-38825</v>
      </c>
      <c r="AD23" s="1003">
        <f t="shared" si="10"/>
        <v>56.593673014732303</v>
      </c>
      <c r="AE23" s="1003">
        <f t="shared" si="11"/>
        <v>-12.170008396651642</v>
      </c>
      <c r="AF23" s="1004">
        <f t="shared" si="6"/>
        <v>0</v>
      </c>
      <c r="AG23" s="1012"/>
      <c r="AH23" s="1012"/>
      <c r="AI23" s="1012"/>
      <c r="AJ23" s="1012"/>
      <c r="AK23" s="1013"/>
      <c r="AL23" s="1010"/>
      <c r="AM23" s="1009"/>
      <c r="AN23" s="1012"/>
      <c r="AO23" s="1012"/>
      <c r="AP23" s="1012"/>
    </row>
    <row r="24" spans="1:42" s="964" customFormat="1" ht="14.85" customHeight="1">
      <c r="A24" s="1005"/>
      <c r="B24" s="986" t="s">
        <v>1185</v>
      </c>
      <c r="C24" s="989" t="s">
        <v>1186</v>
      </c>
      <c r="D24" s="988" t="s">
        <v>732</v>
      </c>
      <c r="E24" s="989" t="s">
        <v>1187</v>
      </c>
      <c r="F24" s="990">
        <v>42220</v>
      </c>
      <c r="G24" s="1006">
        <v>14</v>
      </c>
      <c r="H24" s="1006">
        <v>13</v>
      </c>
      <c r="I24" s="1006">
        <v>15</v>
      </c>
      <c r="J24" s="1006">
        <v>28.8</v>
      </c>
      <c r="K24" s="992">
        <f t="shared" si="0"/>
        <v>5733.9629999999997</v>
      </c>
      <c r="L24" s="993">
        <v>3000</v>
      </c>
      <c r="M24" s="993">
        <v>8733.9629999999997</v>
      </c>
      <c r="N24" s="992">
        <f t="shared" si="1"/>
        <v>80275.481999999989</v>
      </c>
      <c r="O24" s="994">
        <f t="shared" si="2"/>
        <v>42000</v>
      </c>
      <c r="P24" s="992">
        <f t="shared" si="3"/>
        <v>122275.48199999999</v>
      </c>
      <c r="Q24" s="992"/>
      <c r="R24" s="968">
        <v>1</v>
      </c>
      <c r="S24" s="991">
        <f t="shared" si="7"/>
        <v>28.8</v>
      </c>
      <c r="T24" s="995">
        <f t="shared" si="4"/>
        <v>251538.13440000001</v>
      </c>
      <c r="U24" s="996">
        <f t="shared" si="5"/>
        <v>1.0571428571428574</v>
      </c>
      <c r="V24" s="1011" t="s">
        <v>1188</v>
      </c>
      <c r="W24" s="998" t="s">
        <v>1189</v>
      </c>
      <c r="X24" s="999">
        <f t="shared" si="8"/>
        <v>122275.48199999999</v>
      </c>
      <c r="Y24" s="999">
        <v>0</v>
      </c>
      <c r="Z24" s="999">
        <v>7375.9800000000005</v>
      </c>
      <c r="AA24" s="1001">
        <f t="shared" si="9"/>
        <v>114899.50199999999</v>
      </c>
      <c r="AB24" s="1002">
        <v>255.92999999999998</v>
      </c>
      <c r="AC24" s="1008">
        <v>-19887.91</v>
      </c>
      <c r="AD24" s="1003">
        <f t="shared" si="10"/>
        <v>448.94893916305239</v>
      </c>
      <c r="AE24" s="1003">
        <f t="shared" si="11"/>
        <v>-5.7773542820738824</v>
      </c>
      <c r="AF24" s="1004">
        <f t="shared" si="6"/>
        <v>0</v>
      </c>
      <c r="AG24" s="1014"/>
      <c r="AH24" s="1013"/>
      <c r="AI24" s="1014"/>
      <c r="AJ24" s="1015"/>
      <c r="AK24" s="1013"/>
      <c r="AL24" s="1010"/>
      <c r="AM24" s="1009"/>
      <c r="AN24" s="1011"/>
      <c r="AO24" s="1016"/>
      <c r="AP24" s="1016"/>
    </row>
    <row r="25" spans="1:42" s="1012" customFormat="1" ht="14.85" customHeight="1">
      <c r="A25" s="1005"/>
      <c r="B25" s="986" t="s">
        <v>1236</v>
      </c>
      <c r="C25" s="989" t="s">
        <v>1237</v>
      </c>
      <c r="D25" s="988" t="s">
        <v>732</v>
      </c>
      <c r="E25" s="989" t="s">
        <v>1238</v>
      </c>
      <c r="F25" s="990">
        <v>42125</v>
      </c>
      <c r="G25" s="1006">
        <v>3.0585200000000001</v>
      </c>
      <c r="H25" s="1006">
        <v>0</v>
      </c>
      <c r="I25" s="1006">
        <v>0</v>
      </c>
      <c r="J25" s="1006">
        <v>3.2423000000000002</v>
      </c>
      <c r="K25" s="992">
        <f t="shared" si="0"/>
        <v>117170.86200000002</v>
      </c>
      <c r="L25" s="993">
        <v>32569.046999999999</v>
      </c>
      <c r="M25" s="993">
        <v>149739.90900000001</v>
      </c>
      <c r="N25" s="992">
        <f t="shared" si="1"/>
        <v>358369.42484424007</v>
      </c>
      <c r="O25" s="994">
        <f t="shared" si="2"/>
        <v>99613.081630440007</v>
      </c>
      <c r="P25" s="992">
        <f t="shared" si="3"/>
        <v>457982.50647468009</v>
      </c>
      <c r="Q25" s="992"/>
      <c r="R25" s="968">
        <v>1</v>
      </c>
      <c r="S25" s="991">
        <f t="shared" si="7"/>
        <v>3.2423000000000002</v>
      </c>
      <c r="T25" s="995">
        <f t="shared" si="4"/>
        <v>485501.70695070009</v>
      </c>
      <c r="U25" s="996">
        <f t="shared" si="5"/>
        <v>6.0087885644036998E-2</v>
      </c>
      <c r="V25" s="997" t="s">
        <v>1239</v>
      </c>
      <c r="W25" s="998" t="s">
        <v>1240</v>
      </c>
      <c r="X25" s="999">
        <f t="shared" si="8"/>
        <v>457982.50647468009</v>
      </c>
      <c r="Y25" s="999">
        <v>2081999.9999999998</v>
      </c>
      <c r="Z25" s="999">
        <v>213</v>
      </c>
      <c r="AA25" s="1001">
        <f t="shared" si="9"/>
        <v>2539769.5064746798</v>
      </c>
      <c r="AB25" s="1002">
        <v>0</v>
      </c>
      <c r="AC25" s="1008">
        <v>-13913</v>
      </c>
      <c r="AD25" s="1003" t="str">
        <f t="shared" si="10"/>
        <v>n/a</v>
      </c>
      <c r="AE25" s="1003">
        <f t="shared" si="11"/>
        <v>-182.54650373569177</v>
      </c>
      <c r="AF25" s="1004">
        <f t="shared" si="6"/>
        <v>0</v>
      </c>
      <c r="AG25" s="979"/>
      <c r="AH25" s="964"/>
      <c r="AI25" s="964"/>
      <c r="AJ25" s="964"/>
      <c r="AK25" s="994"/>
      <c r="AL25" s="1010"/>
      <c r="AM25" s="1009"/>
      <c r="AN25" s="964"/>
      <c r="AO25" s="964"/>
      <c r="AP25" s="964"/>
    </row>
    <row r="26" spans="1:42" s="1012" customFormat="1" ht="14.85" customHeight="1">
      <c r="A26" s="1005"/>
      <c r="B26" s="986" t="s">
        <v>1006</v>
      </c>
      <c r="C26" s="989" t="s">
        <v>1241</v>
      </c>
      <c r="D26" s="988" t="s">
        <v>1493</v>
      </c>
      <c r="E26" s="989" t="s">
        <v>1242</v>
      </c>
      <c r="F26" s="990">
        <v>42123</v>
      </c>
      <c r="G26" s="1006">
        <v>18</v>
      </c>
      <c r="H26" s="1006">
        <v>15</v>
      </c>
      <c r="I26" s="1006">
        <v>17</v>
      </c>
      <c r="J26" s="1006">
        <v>28.69</v>
      </c>
      <c r="K26" s="992">
        <f t="shared" si="0"/>
        <v>17686.131000000001</v>
      </c>
      <c r="L26" s="993">
        <v>8145.8339999999998</v>
      </c>
      <c r="M26" s="993">
        <v>25831.965</v>
      </c>
      <c r="N26" s="992">
        <f t="shared" si="1"/>
        <v>318350.35800000001</v>
      </c>
      <c r="O26" s="994">
        <f t="shared" si="2"/>
        <v>146625.01199999999</v>
      </c>
      <c r="P26" s="992">
        <f t="shared" si="3"/>
        <v>464975.37</v>
      </c>
      <c r="Q26" s="992"/>
      <c r="R26" s="968">
        <v>1</v>
      </c>
      <c r="S26" s="991">
        <f t="shared" si="7"/>
        <v>28.69</v>
      </c>
      <c r="T26" s="995">
        <f t="shared" si="4"/>
        <v>741119.07585000002</v>
      </c>
      <c r="U26" s="996">
        <f t="shared" si="5"/>
        <v>0.59388888888888891</v>
      </c>
      <c r="V26" s="1011" t="s">
        <v>1243</v>
      </c>
      <c r="W26" s="998" t="s">
        <v>1494</v>
      </c>
      <c r="X26" s="999">
        <f t="shared" si="8"/>
        <v>464975.37</v>
      </c>
      <c r="Y26" s="999">
        <v>9042000</v>
      </c>
      <c r="Z26" s="999">
        <v>47240</v>
      </c>
      <c r="AA26" s="1001">
        <f t="shared" si="9"/>
        <v>9459735.3699999992</v>
      </c>
      <c r="AB26" s="1002">
        <v>21982</v>
      </c>
      <c r="AC26" s="1008">
        <v>-60899</v>
      </c>
      <c r="AD26" s="1003">
        <f t="shared" si="10"/>
        <v>430.3400677827313</v>
      </c>
      <c r="AE26" s="1003">
        <f t="shared" si="11"/>
        <v>-155.33482273928962</v>
      </c>
      <c r="AF26" s="1004">
        <f t="shared" si="6"/>
        <v>0</v>
      </c>
      <c r="AK26" s="1013"/>
      <c r="AL26" s="1010"/>
      <c r="AM26" s="1009"/>
    </row>
    <row r="27" spans="1:42" s="1012" customFormat="1" ht="14.85" customHeight="1">
      <c r="A27" s="1005"/>
      <c r="B27" s="986" t="s">
        <v>1254</v>
      </c>
      <c r="C27" s="989" t="s">
        <v>1255</v>
      </c>
      <c r="D27" s="988" t="s">
        <v>732</v>
      </c>
      <c r="E27" s="989" t="s">
        <v>1256</v>
      </c>
      <c r="F27" s="990">
        <v>42108</v>
      </c>
      <c r="G27" s="1006">
        <v>16</v>
      </c>
      <c r="H27" s="1006">
        <v>14</v>
      </c>
      <c r="I27" s="1006">
        <v>16</v>
      </c>
      <c r="J27" s="1006">
        <v>16.32</v>
      </c>
      <c r="K27" s="992">
        <f t="shared" si="0"/>
        <v>8694.1180000000004</v>
      </c>
      <c r="L27" s="993">
        <v>4800</v>
      </c>
      <c r="M27" s="993">
        <v>13494.118</v>
      </c>
      <c r="N27" s="992">
        <f t="shared" si="1"/>
        <v>139105.88800000001</v>
      </c>
      <c r="O27" s="994">
        <f t="shared" si="2"/>
        <v>76800</v>
      </c>
      <c r="P27" s="992">
        <f t="shared" si="3"/>
        <v>215905.88800000001</v>
      </c>
      <c r="Q27" s="992"/>
      <c r="R27" s="968">
        <v>1</v>
      </c>
      <c r="S27" s="991">
        <f t="shared" si="7"/>
        <v>16.32</v>
      </c>
      <c r="T27" s="995">
        <f t="shared" si="4"/>
        <v>220224.00576</v>
      </c>
      <c r="U27" s="996">
        <f t="shared" si="5"/>
        <v>2.0000000000000018E-2</v>
      </c>
      <c r="V27" s="998" t="s">
        <v>1257</v>
      </c>
      <c r="W27" s="998" t="s">
        <v>1258</v>
      </c>
      <c r="X27" s="999">
        <f t="shared" si="8"/>
        <v>215905.88800000001</v>
      </c>
      <c r="Y27" s="999">
        <v>0</v>
      </c>
      <c r="Z27" s="999">
        <v>22796</v>
      </c>
      <c r="AA27" s="1001">
        <f t="shared" si="9"/>
        <v>193109.88800000001</v>
      </c>
      <c r="AB27" s="1002">
        <v>0</v>
      </c>
      <c r="AC27" s="1008">
        <v>-40241</v>
      </c>
      <c r="AD27" s="1003" t="str">
        <f t="shared" si="10"/>
        <v>n/a</v>
      </c>
      <c r="AE27" s="1003">
        <f t="shared" si="11"/>
        <v>-4.7988342238015953</v>
      </c>
      <c r="AF27" s="1004">
        <f t="shared" si="6"/>
        <v>0</v>
      </c>
      <c r="AG27" s="964"/>
      <c r="AH27" s="964"/>
      <c r="AI27" s="964"/>
      <c r="AJ27" s="994"/>
      <c r="AK27" s="1010"/>
      <c r="AL27" s="1009"/>
      <c r="AM27" s="964"/>
      <c r="AN27" s="964"/>
      <c r="AO27" s="964"/>
    </row>
    <row r="28" spans="1:42" s="1012" customFormat="1" ht="14.85" customHeight="1">
      <c r="A28" s="1005"/>
      <c r="B28" s="986" t="s">
        <v>1288</v>
      </c>
      <c r="C28" s="989" t="s">
        <v>1289</v>
      </c>
      <c r="D28" s="988" t="s">
        <v>732</v>
      </c>
      <c r="E28" s="989" t="s">
        <v>1290</v>
      </c>
      <c r="F28" s="990">
        <v>42032</v>
      </c>
      <c r="G28" s="1006">
        <v>16</v>
      </c>
      <c r="H28" s="1006">
        <v>12</v>
      </c>
      <c r="I28" s="1006">
        <v>14</v>
      </c>
      <c r="J28" s="1006">
        <v>17.385000000000002</v>
      </c>
      <c r="K28" s="992">
        <f t="shared" si="0"/>
        <v>12405.409</v>
      </c>
      <c r="L28" s="993">
        <v>5400</v>
      </c>
      <c r="M28" s="993">
        <v>17805.409</v>
      </c>
      <c r="N28" s="992">
        <f t="shared" si="1"/>
        <v>198486.54399999999</v>
      </c>
      <c r="O28" s="994">
        <f t="shared" si="2"/>
        <v>86400</v>
      </c>
      <c r="P28" s="992">
        <f t="shared" si="3"/>
        <v>284886.54399999999</v>
      </c>
      <c r="Q28" s="992"/>
      <c r="R28" s="968">
        <v>1</v>
      </c>
      <c r="S28" s="991">
        <f t="shared" si="7"/>
        <v>17.385000000000002</v>
      </c>
      <c r="T28" s="995">
        <f t="shared" si="4"/>
        <v>309547.03546500002</v>
      </c>
      <c r="U28" s="996">
        <f t="shared" si="5"/>
        <v>8.6562500000000098E-2</v>
      </c>
      <c r="V28" s="998" t="s">
        <v>1291</v>
      </c>
      <c r="W28" s="998" t="s">
        <v>1495</v>
      </c>
      <c r="X28" s="999">
        <f t="shared" si="8"/>
        <v>284886.54399999999</v>
      </c>
      <c r="Y28" s="999">
        <v>0</v>
      </c>
      <c r="Z28" s="999">
        <v>0</v>
      </c>
      <c r="AA28" s="1001">
        <f t="shared" si="9"/>
        <v>284886.54399999999</v>
      </c>
      <c r="AB28" s="1002">
        <v>112.69</v>
      </c>
      <c r="AC28" s="1008">
        <v>-37145.539999999994</v>
      </c>
      <c r="AD28" s="1003">
        <f t="shared" si="10"/>
        <v>2528.0552311651431</v>
      </c>
      <c r="AE28" s="1003">
        <f t="shared" si="11"/>
        <v>-7.6694683668618104</v>
      </c>
      <c r="AF28" s="1004">
        <f t="shared" si="6"/>
        <v>0</v>
      </c>
      <c r="AG28" s="964"/>
      <c r="AH28" s="964"/>
      <c r="AI28" s="964"/>
      <c r="AJ28" s="994"/>
      <c r="AK28" s="1010"/>
      <c r="AL28" s="1009"/>
      <c r="AM28" s="964"/>
      <c r="AN28" s="964"/>
      <c r="AO28" s="964"/>
    </row>
    <row r="29" spans="1:42" s="1012" customFormat="1" ht="14.85" customHeight="1">
      <c r="A29" s="1005"/>
      <c r="B29" s="986"/>
      <c r="C29" s="989"/>
      <c r="D29" s="988"/>
      <c r="E29" s="989"/>
      <c r="F29" s="990"/>
      <c r="G29" s="1017"/>
      <c r="H29" s="1006"/>
      <c r="I29" s="1006"/>
      <c r="J29" s="1017"/>
      <c r="K29" s="1018"/>
      <c r="L29" s="994"/>
      <c r="M29" s="994"/>
      <c r="N29" s="992"/>
      <c r="O29" s="994"/>
      <c r="P29" s="992"/>
      <c r="Q29" s="992"/>
      <c r="R29" s="992"/>
      <c r="S29" s="991"/>
      <c r="T29" s="995"/>
      <c r="U29" s="996"/>
      <c r="V29" s="998"/>
      <c r="W29" s="998"/>
      <c r="X29" s="999"/>
      <c r="Y29" s="999"/>
      <c r="Z29" s="999"/>
      <c r="AA29" s="1001"/>
      <c r="AB29" s="1002"/>
      <c r="AC29" s="1008"/>
      <c r="AD29" s="1003"/>
      <c r="AE29" s="1003"/>
      <c r="AF29" s="1004"/>
      <c r="AG29" s="964"/>
      <c r="AH29" s="964"/>
      <c r="AI29" s="964"/>
      <c r="AJ29" s="994"/>
      <c r="AK29" s="1010"/>
      <c r="AL29" s="1009"/>
      <c r="AM29" s="964"/>
      <c r="AN29" s="964"/>
      <c r="AO29" s="964"/>
    </row>
    <row r="30" spans="1:42" s="1012" customFormat="1" ht="14.85" customHeight="1">
      <c r="A30" s="1005"/>
      <c r="B30" s="1019" t="s">
        <v>111</v>
      </c>
      <c r="C30" s="1020"/>
      <c r="D30" s="1020"/>
      <c r="E30" s="1020"/>
      <c r="F30" s="1020"/>
      <c r="G30" s="1020"/>
      <c r="H30" s="1020"/>
      <c r="I30" s="1020"/>
      <c r="J30" s="1020"/>
      <c r="K30" s="1020"/>
      <c r="L30" s="1020"/>
      <c r="M30" s="1020"/>
      <c r="N30" s="1021">
        <f>MAX(N12:N28)</f>
        <v>523732.77</v>
      </c>
      <c r="O30" s="1021"/>
      <c r="P30" s="1022">
        <f>MAX(P12:P28)</f>
        <v>631732.77</v>
      </c>
      <c r="Q30" s="992"/>
      <c r="R30" s="992"/>
      <c r="S30" s="1023">
        <f>MAX(S12:S28)</f>
        <v>35.56</v>
      </c>
      <c r="T30" s="995"/>
      <c r="U30" s="996"/>
      <c r="V30" s="998"/>
      <c r="W30" s="998"/>
      <c r="X30" s="999"/>
      <c r="Y30" s="999"/>
      <c r="Z30" s="999"/>
      <c r="AA30" s="1001"/>
      <c r="AB30" s="1002"/>
      <c r="AC30" s="1008"/>
      <c r="AD30" s="1003"/>
      <c r="AE30" s="1003"/>
      <c r="AF30" s="1004"/>
      <c r="AG30" s="964"/>
      <c r="AH30" s="964"/>
      <c r="AI30" s="964"/>
      <c r="AJ30" s="994"/>
      <c r="AK30" s="1010"/>
      <c r="AL30" s="1009"/>
      <c r="AM30" s="964"/>
      <c r="AN30" s="964"/>
      <c r="AO30" s="964"/>
    </row>
    <row r="31" spans="1:42" s="1012" customFormat="1" ht="14.85" customHeight="1">
      <c r="A31" s="1005"/>
      <c r="B31" s="1024" t="s">
        <v>115</v>
      </c>
      <c r="C31" s="1025"/>
      <c r="D31" s="1025"/>
      <c r="E31" s="1025"/>
      <c r="F31" s="1025"/>
      <c r="G31" s="1025"/>
      <c r="H31" s="1025"/>
      <c r="I31" s="1025"/>
      <c r="J31" s="1025"/>
      <c r="K31" s="1025"/>
      <c r="L31" s="1025"/>
      <c r="M31" s="1025"/>
      <c r="N31" s="940">
        <f>_xlfn.QUARTILE.INC(N12:N28,3)</f>
        <v>358369.42484424007</v>
      </c>
      <c r="O31" s="940"/>
      <c r="P31" s="1026">
        <f>_xlfn.QUARTILE.INC(P12:P28,3)</f>
        <v>464975.37</v>
      </c>
      <c r="Q31" s="992"/>
      <c r="R31" s="992"/>
      <c r="S31" s="1027">
        <f>_xlfn.QUARTILE.INC(S12:S28,3)</f>
        <v>20.5</v>
      </c>
      <c r="T31" s="995"/>
      <c r="U31" s="996"/>
      <c r="V31" s="998"/>
      <c r="W31" s="998"/>
      <c r="X31" s="999"/>
      <c r="Y31" s="999"/>
      <c r="Z31" s="999"/>
      <c r="AA31" s="1001"/>
      <c r="AB31" s="1002"/>
      <c r="AC31" s="1008"/>
      <c r="AD31" s="1003"/>
      <c r="AE31" s="1003"/>
      <c r="AF31" s="1004"/>
      <c r="AG31" s="964"/>
      <c r="AH31" s="964"/>
      <c r="AI31" s="964"/>
      <c r="AJ31" s="994"/>
      <c r="AK31" s="1010"/>
      <c r="AL31" s="1009"/>
      <c r="AM31" s="964"/>
      <c r="AN31" s="964"/>
      <c r="AO31" s="964"/>
    </row>
    <row r="32" spans="1:42" s="1012" customFormat="1" ht="14.85" customHeight="1">
      <c r="A32" s="1005"/>
      <c r="B32" s="1024" t="s">
        <v>43</v>
      </c>
      <c r="C32" s="1025"/>
      <c r="D32" s="1025"/>
      <c r="E32" s="1025"/>
      <c r="F32" s="1025"/>
      <c r="G32" s="1025"/>
      <c r="H32" s="1025"/>
      <c r="I32" s="1025"/>
      <c r="J32" s="1025"/>
      <c r="K32" s="1025"/>
      <c r="L32" s="1025"/>
      <c r="M32" s="1025"/>
      <c r="N32" s="940">
        <f>AVERAGE(N12:N28)</f>
        <v>243610.21346142585</v>
      </c>
      <c r="O32" s="940"/>
      <c r="P32" s="1026">
        <f>AVERAGE(P12:P28)</f>
        <v>318503.05191027524</v>
      </c>
      <c r="Q32" s="992"/>
      <c r="R32" s="992"/>
      <c r="S32" s="1027">
        <f>AVERAGE(S12:S28)</f>
        <v>16.313370588235298</v>
      </c>
      <c r="T32" s="995"/>
      <c r="U32" s="996"/>
      <c r="V32" s="998"/>
      <c r="W32" s="998"/>
      <c r="X32" s="999"/>
      <c r="Y32" s="999"/>
      <c r="Z32" s="999"/>
      <c r="AA32" s="1001"/>
      <c r="AB32" s="1002"/>
      <c r="AC32" s="1008"/>
      <c r="AD32" s="1003"/>
      <c r="AE32" s="1003"/>
      <c r="AF32" s="1004"/>
      <c r="AG32" s="964"/>
      <c r="AH32" s="964"/>
      <c r="AI32" s="964"/>
      <c r="AJ32" s="994"/>
      <c r="AK32" s="1010"/>
      <c r="AL32" s="1009"/>
      <c r="AM32" s="964"/>
      <c r="AN32" s="964"/>
      <c r="AO32" s="964"/>
    </row>
    <row r="33" spans="1:73" s="1012" customFormat="1" ht="14.85" customHeight="1">
      <c r="A33" s="1005"/>
      <c r="B33" s="1024" t="s">
        <v>44</v>
      </c>
      <c r="C33" s="1025"/>
      <c r="D33" s="1025"/>
      <c r="E33" s="1025"/>
      <c r="F33" s="1025"/>
      <c r="G33" s="1025"/>
      <c r="H33" s="1025"/>
      <c r="I33" s="1025"/>
      <c r="J33" s="1025"/>
      <c r="K33" s="1025"/>
      <c r="L33" s="1025"/>
      <c r="M33" s="1025"/>
      <c r="N33" s="940">
        <f>MEDIAN(N12:N28)</f>
        <v>232932.75199999998</v>
      </c>
      <c r="O33" s="940"/>
      <c r="P33" s="1026">
        <f>MEDIAN(P12:P28)</f>
        <v>315305.67000000004</v>
      </c>
      <c r="Q33" s="992"/>
      <c r="R33" s="992"/>
      <c r="S33" s="1027">
        <f>MEDIAN(S12:S28)</f>
        <v>14.4</v>
      </c>
      <c r="T33" s="995"/>
      <c r="U33" s="996"/>
      <c r="V33" s="998"/>
      <c r="W33" s="998"/>
      <c r="X33" s="999"/>
      <c r="Y33" s="999"/>
      <c r="Z33" s="999"/>
      <c r="AA33" s="1001"/>
      <c r="AB33" s="1002"/>
      <c r="AC33" s="1008"/>
      <c r="AD33" s="1003"/>
      <c r="AE33" s="1003"/>
      <c r="AF33" s="1004"/>
      <c r="AG33" s="964"/>
      <c r="AH33" s="964"/>
      <c r="AI33" s="964"/>
      <c r="AJ33" s="994"/>
      <c r="AK33" s="1010"/>
      <c r="AL33" s="1009"/>
      <c r="AM33" s="964"/>
      <c r="AN33" s="964"/>
      <c r="AO33" s="964"/>
    </row>
    <row r="34" spans="1:73" s="1012" customFormat="1" ht="14.85" customHeight="1">
      <c r="A34" s="1005"/>
      <c r="B34" s="1024" t="s">
        <v>114</v>
      </c>
      <c r="C34" s="1025"/>
      <c r="D34" s="1025"/>
      <c r="E34" s="1025"/>
      <c r="F34" s="1025"/>
      <c r="G34" s="1025"/>
      <c r="H34" s="1025"/>
      <c r="I34" s="1025"/>
      <c r="J34" s="1025"/>
      <c r="K34" s="1025"/>
      <c r="L34" s="1025"/>
      <c r="M34" s="1025"/>
      <c r="N34" s="940">
        <f>_xlfn.QUARTILE.INC(N12:N28,1)</f>
        <v>80275.481999999989</v>
      </c>
      <c r="O34" s="940"/>
      <c r="P34" s="1026">
        <f>_xlfn.QUARTILE.INC(P12:P28,1)</f>
        <v>129298.32</v>
      </c>
      <c r="Q34" s="992"/>
      <c r="R34" s="992"/>
      <c r="S34" s="1027">
        <f>_xlfn.QUARTILE.INC(S12:S28,1)</f>
        <v>8.9600000000000009</v>
      </c>
      <c r="T34" s="995"/>
      <c r="U34" s="996"/>
      <c r="V34" s="998"/>
      <c r="W34" s="998"/>
      <c r="X34" s="999"/>
      <c r="Y34" s="999"/>
      <c r="Z34" s="999"/>
      <c r="AA34" s="1001"/>
      <c r="AB34" s="1002"/>
      <c r="AC34" s="1008"/>
      <c r="AD34" s="1003"/>
      <c r="AE34" s="1003"/>
      <c r="AF34" s="1004"/>
      <c r="AG34" s="964"/>
      <c r="AH34" s="964"/>
      <c r="AI34" s="964"/>
      <c r="AJ34" s="994"/>
      <c r="AK34" s="1010"/>
      <c r="AL34" s="1009"/>
      <c r="AM34" s="964"/>
      <c r="AN34" s="964"/>
      <c r="AO34" s="964"/>
    </row>
    <row r="35" spans="1:73" s="1012" customFormat="1" ht="14.85" customHeight="1">
      <c r="A35" s="1005"/>
      <c r="B35" s="1028" t="s">
        <v>112</v>
      </c>
      <c r="C35" s="1029"/>
      <c r="D35" s="1029"/>
      <c r="E35" s="1029"/>
      <c r="F35" s="1029"/>
      <c r="G35" s="1029"/>
      <c r="H35" s="1029"/>
      <c r="I35" s="1029"/>
      <c r="J35" s="1029"/>
      <c r="K35" s="1029"/>
      <c r="L35" s="1029"/>
      <c r="M35" s="1029"/>
      <c r="N35" s="942">
        <f>MIN(N12:N28)</f>
        <v>39416.17</v>
      </c>
      <c r="O35" s="942"/>
      <c r="P35" s="1030">
        <f>MIN(P12:P28)</f>
        <v>50611.932000000001</v>
      </c>
      <c r="Q35" s="992"/>
      <c r="R35" s="992"/>
      <c r="S35" s="1031">
        <f>MIN(S12:S28)</f>
        <v>3.2423000000000002</v>
      </c>
      <c r="T35" s="995"/>
      <c r="U35" s="996"/>
      <c r="V35" s="998"/>
      <c r="W35" s="998"/>
      <c r="X35" s="999"/>
      <c r="Y35" s="999"/>
      <c r="Z35" s="999"/>
      <c r="AA35" s="1001"/>
      <c r="AB35" s="1002"/>
      <c r="AC35" s="1008"/>
      <c r="AD35" s="1003"/>
      <c r="AE35" s="1003"/>
      <c r="AF35" s="1004"/>
      <c r="AG35" s="964"/>
      <c r="AH35" s="964"/>
      <c r="AI35" s="964"/>
      <c r="AJ35" s="994"/>
      <c r="AK35" s="1010"/>
      <c r="AL35" s="1009"/>
      <c r="AM35" s="964"/>
      <c r="AN35" s="964"/>
      <c r="AO35" s="964"/>
    </row>
    <row r="36" spans="1:73" s="1012" customFormat="1" ht="14.85" customHeight="1">
      <c r="A36" s="1005"/>
      <c r="B36" s="986"/>
      <c r="C36" s="989"/>
      <c r="D36" s="988"/>
      <c r="E36" s="989"/>
      <c r="F36" s="990"/>
      <c r="G36" s="1017"/>
      <c r="H36" s="1006"/>
      <c r="I36" s="1006"/>
      <c r="J36" s="1017"/>
      <c r="K36" s="1018"/>
      <c r="L36" s="994"/>
      <c r="M36" s="994"/>
      <c r="N36" s="992"/>
      <c r="O36" s="994"/>
      <c r="P36" s="992"/>
      <c r="Q36" s="992"/>
      <c r="R36" s="992"/>
      <c r="S36" s="991"/>
      <c r="T36" s="995"/>
      <c r="U36" s="996"/>
      <c r="V36" s="998"/>
      <c r="W36" s="998"/>
      <c r="X36" s="1004"/>
      <c r="Y36" s="999"/>
      <c r="Z36" s="999"/>
      <c r="AA36" s="1001"/>
      <c r="AB36" s="1002"/>
      <c r="AC36" s="1008"/>
      <c r="AD36" s="1003"/>
      <c r="AE36" s="1003"/>
      <c r="AF36" s="979"/>
      <c r="AG36" s="964"/>
      <c r="AH36" s="964"/>
      <c r="AI36" s="964"/>
      <c r="AJ36" s="994"/>
      <c r="AK36" s="1010"/>
      <c r="AL36" s="1009"/>
      <c r="AM36" s="964"/>
      <c r="AN36" s="964"/>
      <c r="AO36" s="964"/>
    </row>
    <row r="37" spans="1:73" s="1012" customFormat="1" ht="14.85" customHeight="1">
      <c r="A37" s="1005"/>
      <c r="B37" s="1032" t="s">
        <v>1496</v>
      </c>
      <c r="C37" s="989"/>
      <c r="D37" s="988"/>
      <c r="E37" s="989"/>
      <c r="F37" s="990"/>
      <c r="G37" s="1017"/>
      <c r="H37" s="1006"/>
      <c r="I37" s="1006"/>
      <c r="J37" s="1017"/>
      <c r="K37" s="1018"/>
      <c r="L37" s="994"/>
      <c r="M37" s="994"/>
      <c r="N37" s="992"/>
      <c r="O37" s="994"/>
      <c r="P37" s="992"/>
      <c r="Q37" s="992"/>
      <c r="R37" s="992"/>
      <c r="S37" s="991"/>
      <c r="T37" s="995"/>
      <c r="U37" s="996"/>
      <c r="V37" s="998"/>
      <c r="W37" s="998"/>
      <c r="X37" s="1004"/>
      <c r="Y37" s="999"/>
      <c r="Z37" s="999"/>
      <c r="AA37" s="1001"/>
      <c r="AB37" s="1002"/>
      <c r="AC37" s="1008"/>
      <c r="AD37" s="1003"/>
      <c r="AE37" s="1003"/>
      <c r="AF37" s="979"/>
      <c r="AG37" s="964"/>
      <c r="AH37" s="964"/>
      <c r="AI37" s="964"/>
      <c r="AJ37" s="994"/>
      <c r="AK37" s="1010"/>
      <c r="AL37" s="1009"/>
      <c r="AM37" s="964"/>
      <c r="AN37" s="964"/>
      <c r="AO37" s="964"/>
    </row>
    <row r="38" spans="1:73" s="1034" customFormat="1" ht="14.85" customHeight="1">
      <c r="A38" s="1005"/>
      <c r="B38" s="986" t="s">
        <v>1840</v>
      </c>
      <c r="C38" s="989" t="s">
        <v>1841</v>
      </c>
      <c r="D38" s="988" t="s">
        <v>501</v>
      </c>
      <c r="E38" s="989" t="s">
        <v>1842</v>
      </c>
      <c r="F38" s="990">
        <v>43076</v>
      </c>
      <c r="G38" s="1006">
        <v>18</v>
      </c>
      <c r="H38" s="1006">
        <v>17</v>
      </c>
      <c r="I38" s="1006">
        <v>19</v>
      </c>
      <c r="J38" s="1006">
        <v>18.71</v>
      </c>
      <c r="K38" s="992">
        <f t="shared" ref="K38:K67" si="12">+M38-L38</f>
        <v>74090.587</v>
      </c>
      <c r="L38" s="994">
        <v>13888.888000000001</v>
      </c>
      <c r="M38" s="994">
        <v>87979.475000000006</v>
      </c>
      <c r="N38" s="992">
        <f t="shared" ref="N38:N67" si="13">+G38*K38</f>
        <v>1333630.5660000001</v>
      </c>
      <c r="O38" s="994">
        <f t="shared" ref="O38:O67" si="14">+G38*L38</f>
        <v>249999.98400000003</v>
      </c>
      <c r="P38" s="992">
        <f t="shared" ref="P38:P67" si="15">+N38+O38</f>
        <v>1583630.55</v>
      </c>
      <c r="Q38" s="992"/>
      <c r="R38" s="968">
        <v>1</v>
      </c>
      <c r="S38" s="991">
        <f t="shared" ref="S38:S67" si="16">J38</f>
        <v>18.71</v>
      </c>
      <c r="T38" s="995">
        <f t="shared" ref="T38:T67" si="17">S38*M38</f>
        <v>1646095.9772500002</v>
      </c>
      <c r="U38" s="996">
        <f t="shared" ref="U38:U67" si="18">T38/P38-1</f>
        <v>3.9444444444444615E-2</v>
      </c>
      <c r="V38" s="997" t="s">
        <v>1843</v>
      </c>
      <c r="W38" s="998" t="s">
        <v>1844</v>
      </c>
      <c r="X38" s="999">
        <f t="shared" ref="X38:X67" si="19">+N38+O38</f>
        <v>1583630.55</v>
      </c>
      <c r="Y38" s="1002"/>
      <c r="Z38" s="1033"/>
      <c r="AA38" s="1001"/>
      <c r="AC38" s="1002"/>
      <c r="AD38" s="1035"/>
      <c r="AE38" s="1035"/>
      <c r="AF38" s="1004"/>
      <c r="AG38" s="979"/>
      <c r="AH38" s="964"/>
      <c r="AI38" s="964"/>
      <c r="AJ38" s="964"/>
      <c r="AK38" s="994"/>
      <c r="AL38" s="1010"/>
      <c r="AM38" s="1009"/>
      <c r="AN38" s="964"/>
      <c r="AO38" s="964"/>
      <c r="AP38" s="964"/>
      <c r="AQ38" s="1012"/>
      <c r="AR38" s="1012"/>
      <c r="AS38" s="1012"/>
      <c r="AT38" s="1012"/>
      <c r="AU38" s="1012"/>
      <c r="AV38" s="1012"/>
      <c r="AW38" s="1012"/>
      <c r="AX38" s="1012"/>
      <c r="AY38" s="1012"/>
      <c r="AZ38" s="1012"/>
      <c r="BA38" s="1012"/>
      <c r="BB38" s="1012"/>
      <c r="BC38" s="1012"/>
      <c r="BD38" s="1012"/>
      <c r="BE38" s="1012"/>
      <c r="BF38" s="1012"/>
      <c r="BG38" s="1012"/>
      <c r="BH38" s="1012"/>
      <c r="BI38" s="1012"/>
      <c r="BJ38" s="1012"/>
      <c r="BK38" s="1012"/>
      <c r="BL38" s="1012"/>
      <c r="BM38" s="1012"/>
      <c r="BN38" s="1012"/>
      <c r="BO38" s="1012"/>
      <c r="BP38" s="1012"/>
      <c r="BQ38" s="1012"/>
      <c r="BR38" s="1012"/>
      <c r="BS38" s="1012"/>
      <c r="BT38" s="1012"/>
      <c r="BU38" s="1012"/>
    </row>
    <row r="39" spans="1:73" s="1034" customFormat="1" ht="14.85" customHeight="1">
      <c r="A39" s="1005"/>
      <c r="B39" s="986" t="s">
        <v>1850</v>
      </c>
      <c r="C39" s="989" t="s">
        <v>1851</v>
      </c>
      <c r="D39" s="988" t="s">
        <v>501</v>
      </c>
      <c r="E39" s="989" t="s">
        <v>1852</v>
      </c>
      <c r="F39" s="990">
        <v>43040</v>
      </c>
      <c r="G39" s="1006">
        <v>14</v>
      </c>
      <c r="H39" s="1006">
        <v>14</v>
      </c>
      <c r="I39" s="1006">
        <v>16</v>
      </c>
      <c r="J39" s="1006">
        <v>12.14</v>
      </c>
      <c r="K39" s="992">
        <f t="shared" si="12"/>
        <v>8397.6839999999993</v>
      </c>
      <c r="L39" s="994">
        <v>5500</v>
      </c>
      <c r="M39" s="994">
        <v>13897.683999999999</v>
      </c>
      <c r="N39" s="992">
        <f t="shared" si="13"/>
        <v>117567.57599999999</v>
      </c>
      <c r="O39" s="994">
        <f t="shared" si="14"/>
        <v>77000</v>
      </c>
      <c r="P39" s="992">
        <f t="shared" si="15"/>
        <v>194567.576</v>
      </c>
      <c r="Q39" s="992"/>
      <c r="R39" s="968">
        <v>1</v>
      </c>
      <c r="S39" s="991">
        <f t="shared" si="16"/>
        <v>12.14</v>
      </c>
      <c r="T39" s="995">
        <f t="shared" si="17"/>
        <v>168717.88376</v>
      </c>
      <c r="U39" s="996">
        <f t="shared" si="18"/>
        <v>-0.1328571428571429</v>
      </c>
      <c r="V39" s="997" t="s">
        <v>1853</v>
      </c>
      <c r="W39" s="998" t="s">
        <v>1854</v>
      </c>
      <c r="X39" s="999">
        <f t="shared" si="19"/>
        <v>194567.576</v>
      </c>
      <c r="Y39" s="1002"/>
      <c r="Z39" s="1033"/>
      <c r="AA39" s="1001"/>
      <c r="AC39" s="1002"/>
      <c r="AD39" s="1035"/>
      <c r="AE39" s="1035"/>
      <c r="AF39" s="1004"/>
      <c r="AG39" s="979"/>
      <c r="AH39" s="964"/>
      <c r="AI39" s="964"/>
      <c r="AJ39" s="964"/>
      <c r="AK39" s="994"/>
      <c r="AL39" s="1010"/>
      <c r="AM39" s="1009"/>
      <c r="AN39" s="964"/>
      <c r="AO39" s="964"/>
      <c r="AP39" s="964"/>
      <c r="AQ39" s="1012"/>
      <c r="AR39" s="1012"/>
      <c r="AS39" s="1012"/>
      <c r="AT39" s="1012"/>
      <c r="AU39" s="1012"/>
      <c r="AV39" s="1012"/>
      <c r="AW39" s="1012"/>
      <c r="AX39" s="1012"/>
      <c r="AY39" s="1012"/>
      <c r="AZ39" s="1012"/>
      <c r="BA39" s="1012"/>
      <c r="BB39" s="1012"/>
      <c r="BC39" s="1012"/>
      <c r="BD39" s="1012"/>
      <c r="BE39" s="1012"/>
      <c r="BF39" s="1012"/>
      <c r="BG39" s="1012"/>
      <c r="BH39" s="1012"/>
      <c r="BI39" s="1012"/>
      <c r="BJ39" s="1012"/>
      <c r="BK39" s="1012"/>
      <c r="BL39" s="1012"/>
      <c r="BM39" s="1012"/>
      <c r="BN39" s="1012"/>
      <c r="BO39" s="1012"/>
      <c r="BP39" s="1012"/>
      <c r="BQ39" s="1012"/>
      <c r="BR39" s="1012"/>
      <c r="BS39" s="1012"/>
      <c r="BT39" s="1012"/>
      <c r="BU39" s="1012"/>
    </row>
    <row r="40" spans="1:73" s="1034" customFormat="1" ht="14.85" customHeight="1">
      <c r="A40" s="1005"/>
      <c r="B40" s="986" t="s">
        <v>1768</v>
      </c>
      <c r="C40" s="989" t="s">
        <v>1769</v>
      </c>
      <c r="D40" s="988" t="s">
        <v>501</v>
      </c>
      <c r="E40" s="989" t="s">
        <v>1770</v>
      </c>
      <c r="F40" s="990">
        <v>43005</v>
      </c>
      <c r="G40" s="1006">
        <v>17</v>
      </c>
      <c r="H40" s="1006">
        <v>15</v>
      </c>
      <c r="I40" s="1006">
        <v>17</v>
      </c>
      <c r="J40" s="1006">
        <v>18.64</v>
      </c>
      <c r="K40" s="992">
        <f t="shared" si="12"/>
        <v>25091.686000000002</v>
      </c>
      <c r="L40" s="994">
        <v>7500</v>
      </c>
      <c r="M40" s="994">
        <v>32591.686000000002</v>
      </c>
      <c r="N40" s="992">
        <f t="shared" si="13"/>
        <v>426558.66200000001</v>
      </c>
      <c r="O40" s="994">
        <f t="shared" si="14"/>
        <v>127500</v>
      </c>
      <c r="P40" s="992">
        <f t="shared" si="15"/>
        <v>554058.66200000001</v>
      </c>
      <c r="Q40" s="992"/>
      <c r="R40" s="968">
        <v>1</v>
      </c>
      <c r="S40" s="991">
        <f t="shared" si="16"/>
        <v>18.64</v>
      </c>
      <c r="T40" s="995">
        <f t="shared" si="17"/>
        <v>607509.02704000007</v>
      </c>
      <c r="U40" s="996">
        <f t="shared" si="18"/>
        <v>9.6470588235294308E-2</v>
      </c>
      <c r="V40" s="997" t="s">
        <v>1771</v>
      </c>
      <c r="W40" s="998" t="s">
        <v>1772</v>
      </c>
      <c r="X40" s="999">
        <f t="shared" si="19"/>
        <v>554058.66200000001</v>
      </c>
      <c r="Y40" s="1002">
        <v>1575000</v>
      </c>
      <c r="Z40" s="1033">
        <v>93992000</v>
      </c>
      <c r="AA40" s="1001"/>
      <c r="AC40" s="1002"/>
      <c r="AD40" s="1035"/>
      <c r="AE40" s="1035"/>
      <c r="AF40" s="1004"/>
      <c r="AG40" s="979"/>
      <c r="AH40" s="964"/>
      <c r="AI40" s="964"/>
      <c r="AJ40" s="964"/>
      <c r="AK40" s="994"/>
      <c r="AL40" s="1010"/>
      <c r="AM40" s="1009"/>
      <c r="AN40" s="964"/>
      <c r="AO40" s="964"/>
      <c r="AP40" s="964"/>
      <c r="AQ40" s="1012"/>
      <c r="AR40" s="1012"/>
      <c r="AS40" s="1012"/>
      <c r="AT40" s="1012"/>
      <c r="AU40" s="1012"/>
      <c r="AV40" s="1012"/>
      <c r="AW40" s="1012"/>
      <c r="AX40" s="1012"/>
      <c r="AY40" s="1012"/>
      <c r="AZ40" s="1012"/>
      <c r="BA40" s="1012"/>
      <c r="BB40" s="1012"/>
      <c r="BC40" s="1012"/>
      <c r="BD40" s="1012"/>
      <c r="BE40" s="1012"/>
      <c r="BF40" s="1012"/>
      <c r="BG40" s="1012"/>
      <c r="BH40" s="1012"/>
      <c r="BI40" s="1012"/>
      <c r="BJ40" s="1012"/>
      <c r="BK40" s="1012"/>
      <c r="BL40" s="1012"/>
      <c r="BM40" s="1012"/>
      <c r="BN40" s="1012"/>
      <c r="BO40" s="1012"/>
      <c r="BP40" s="1012"/>
      <c r="BQ40" s="1012"/>
      <c r="BR40" s="1012"/>
      <c r="BS40" s="1012"/>
      <c r="BT40" s="1012"/>
      <c r="BU40" s="1012"/>
    </row>
    <row r="41" spans="1:73" s="1034" customFormat="1" ht="14.85" customHeight="1">
      <c r="A41" s="1005"/>
      <c r="B41" s="986" t="s">
        <v>1855</v>
      </c>
      <c r="C41" s="989" t="s">
        <v>1856</v>
      </c>
      <c r="D41" s="988" t="s">
        <v>1146</v>
      </c>
      <c r="E41" s="989" t="s">
        <v>1857</v>
      </c>
      <c r="F41" s="990">
        <v>43005</v>
      </c>
      <c r="G41" s="1006">
        <v>14</v>
      </c>
      <c r="H41" s="1006">
        <v>13</v>
      </c>
      <c r="I41" s="1006">
        <v>15</v>
      </c>
      <c r="J41" s="1006">
        <v>20.8</v>
      </c>
      <c r="K41" s="992">
        <f t="shared" si="12"/>
        <v>22740.714</v>
      </c>
      <c r="L41" s="994">
        <v>5360</v>
      </c>
      <c r="M41" s="994">
        <v>28100.714</v>
      </c>
      <c r="N41" s="992">
        <f t="shared" si="13"/>
        <v>318369.99599999998</v>
      </c>
      <c r="O41" s="994">
        <f t="shared" si="14"/>
        <v>75040</v>
      </c>
      <c r="P41" s="992">
        <f t="shared" si="15"/>
        <v>393409.99599999998</v>
      </c>
      <c r="Q41" s="992"/>
      <c r="R41" s="968">
        <v>1</v>
      </c>
      <c r="S41" s="991">
        <f t="shared" si="16"/>
        <v>20.8</v>
      </c>
      <c r="T41" s="995">
        <f t="shared" si="17"/>
        <v>584494.85120000003</v>
      </c>
      <c r="U41" s="996">
        <f t="shared" si="18"/>
        <v>0.48571428571428577</v>
      </c>
      <c r="V41" s="997" t="s">
        <v>1858</v>
      </c>
      <c r="W41" s="998" t="s">
        <v>1859</v>
      </c>
      <c r="X41" s="999">
        <f t="shared" si="19"/>
        <v>393409.99599999998</v>
      </c>
      <c r="Y41" s="1002"/>
      <c r="Z41" s="1033"/>
      <c r="AA41" s="1001"/>
      <c r="AC41" s="1002"/>
      <c r="AD41" s="1035"/>
      <c r="AE41" s="1035"/>
      <c r="AF41" s="1004"/>
      <c r="AG41" s="979"/>
      <c r="AH41" s="964"/>
      <c r="AI41" s="964"/>
      <c r="AJ41" s="964"/>
      <c r="AK41" s="994"/>
      <c r="AL41" s="1010"/>
      <c r="AM41" s="1009"/>
      <c r="AN41" s="964"/>
      <c r="AO41" s="964"/>
      <c r="AP41" s="964"/>
      <c r="AQ41" s="1012"/>
      <c r="AR41" s="1012"/>
      <c r="AS41" s="1012"/>
      <c r="AT41" s="1012"/>
      <c r="AU41" s="1012"/>
      <c r="AV41" s="1012"/>
      <c r="AW41" s="1012"/>
      <c r="AX41" s="1012"/>
      <c r="AY41" s="1012"/>
      <c r="AZ41" s="1012"/>
      <c r="BA41" s="1012"/>
      <c r="BB41" s="1012"/>
      <c r="BC41" s="1012"/>
      <c r="BD41" s="1012"/>
      <c r="BE41" s="1012"/>
      <c r="BF41" s="1012"/>
      <c r="BG41" s="1012"/>
      <c r="BH41" s="1012"/>
      <c r="BI41" s="1012"/>
      <c r="BJ41" s="1012"/>
      <c r="BK41" s="1012"/>
      <c r="BL41" s="1012"/>
      <c r="BM41" s="1012"/>
      <c r="BN41" s="1012"/>
      <c r="BO41" s="1012"/>
      <c r="BP41" s="1012"/>
      <c r="BQ41" s="1012"/>
      <c r="BR41" s="1012"/>
      <c r="BS41" s="1012"/>
      <c r="BT41" s="1012"/>
      <c r="BU41" s="1012"/>
    </row>
    <row r="42" spans="1:73" s="1034" customFormat="1" ht="14.85" customHeight="1">
      <c r="A42" s="1005"/>
      <c r="B42" s="986" t="s">
        <v>1773</v>
      </c>
      <c r="C42" s="989" t="s">
        <v>1774</v>
      </c>
      <c r="D42" s="988" t="s">
        <v>501</v>
      </c>
      <c r="E42" s="989" t="s">
        <v>1775</v>
      </c>
      <c r="F42" s="990">
        <v>42997</v>
      </c>
      <c r="G42" s="1006">
        <v>10</v>
      </c>
      <c r="H42" s="1006">
        <v>9</v>
      </c>
      <c r="I42" s="1006">
        <v>11</v>
      </c>
      <c r="J42" s="1006">
        <v>9.99</v>
      </c>
      <c r="K42" s="992">
        <f t="shared" si="12"/>
        <v>4084.884</v>
      </c>
      <c r="L42" s="994">
        <v>3960</v>
      </c>
      <c r="M42" s="994">
        <v>8044.884</v>
      </c>
      <c r="N42" s="992">
        <f t="shared" si="13"/>
        <v>40848.839999999997</v>
      </c>
      <c r="O42" s="994">
        <f t="shared" si="14"/>
        <v>39600</v>
      </c>
      <c r="P42" s="992">
        <f t="shared" si="15"/>
        <v>80448.84</v>
      </c>
      <c r="Q42" s="992"/>
      <c r="R42" s="968">
        <v>1</v>
      </c>
      <c r="S42" s="991">
        <f t="shared" si="16"/>
        <v>9.99</v>
      </c>
      <c r="T42" s="995">
        <f t="shared" si="17"/>
        <v>80368.391159999999</v>
      </c>
      <c r="U42" s="996">
        <f t="shared" si="18"/>
        <v>-1.0000000000000009E-3</v>
      </c>
      <c r="V42" s="997" t="s">
        <v>1776</v>
      </c>
      <c r="W42" s="998" t="s">
        <v>1777</v>
      </c>
      <c r="X42" s="999">
        <f t="shared" si="19"/>
        <v>80448.84</v>
      </c>
      <c r="Y42" s="1002">
        <v>4142000.0000000005</v>
      </c>
      <c r="Z42" s="1033">
        <v>3518000</v>
      </c>
      <c r="AA42" s="1001"/>
      <c r="AC42" s="1002"/>
      <c r="AD42" s="1035"/>
      <c r="AE42" s="1035"/>
      <c r="AF42" s="1004"/>
      <c r="AG42" s="979"/>
      <c r="AH42" s="964"/>
      <c r="AI42" s="964"/>
      <c r="AJ42" s="964"/>
      <c r="AK42" s="994"/>
      <c r="AL42" s="1010"/>
      <c r="AM42" s="1009"/>
      <c r="AN42" s="964"/>
      <c r="AO42" s="964"/>
      <c r="AP42" s="964"/>
      <c r="AQ42" s="1012"/>
      <c r="AR42" s="1012"/>
      <c r="AS42" s="1012"/>
      <c r="AT42" s="1012"/>
      <c r="AU42" s="1012"/>
      <c r="AV42" s="1012"/>
      <c r="AW42" s="1012"/>
      <c r="AX42" s="1012"/>
      <c r="AY42" s="1012"/>
      <c r="AZ42" s="1012"/>
      <c r="BA42" s="1012"/>
      <c r="BB42" s="1012"/>
      <c r="BC42" s="1012"/>
      <c r="BD42" s="1012"/>
      <c r="BE42" s="1012"/>
      <c r="BF42" s="1012"/>
      <c r="BG42" s="1012"/>
      <c r="BH42" s="1012"/>
      <c r="BI42" s="1012"/>
      <c r="BJ42" s="1012"/>
      <c r="BK42" s="1012"/>
      <c r="BL42" s="1012"/>
      <c r="BM42" s="1012"/>
      <c r="BN42" s="1012"/>
      <c r="BO42" s="1012"/>
      <c r="BP42" s="1012"/>
      <c r="BQ42" s="1012"/>
      <c r="BR42" s="1012"/>
      <c r="BS42" s="1012"/>
      <c r="BT42" s="1012"/>
      <c r="BU42" s="1012"/>
    </row>
    <row r="43" spans="1:73" s="1034" customFormat="1" ht="14.85" customHeight="1">
      <c r="A43" s="1005"/>
      <c r="B43" s="986" t="s">
        <v>1778</v>
      </c>
      <c r="C43" s="989" t="s">
        <v>1779</v>
      </c>
      <c r="D43" s="988" t="s">
        <v>501</v>
      </c>
      <c r="E43" s="989" t="s">
        <v>1780</v>
      </c>
      <c r="F43" s="990">
        <v>42913</v>
      </c>
      <c r="G43" s="1006">
        <v>15</v>
      </c>
      <c r="H43" s="1006">
        <v>14</v>
      </c>
      <c r="I43" s="1006">
        <v>16</v>
      </c>
      <c r="J43" s="1006">
        <v>14.61</v>
      </c>
      <c r="K43" s="992">
        <f t="shared" si="12"/>
        <v>17645.620999999999</v>
      </c>
      <c r="L43" s="994">
        <v>5000</v>
      </c>
      <c r="M43" s="994">
        <v>22645.620999999999</v>
      </c>
      <c r="N43" s="992">
        <f t="shared" si="13"/>
        <v>264684.315</v>
      </c>
      <c r="O43" s="994">
        <f t="shared" si="14"/>
        <v>75000</v>
      </c>
      <c r="P43" s="992">
        <f t="shared" si="15"/>
        <v>339684.315</v>
      </c>
      <c r="Q43" s="992"/>
      <c r="R43" s="968">
        <v>1</v>
      </c>
      <c r="S43" s="991">
        <f t="shared" si="16"/>
        <v>14.61</v>
      </c>
      <c r="T43" s="995">
        <f t="shared" si="17"/>
        <v>330852.52280999999</v>
      </c>
      <c r="U43" s="996">
        <f t="shared" si="18"/>
        <v>-2.6000000000000023E-2</v>
      </c>
      <c r="V43" s="997" t="s">
        <v>1781</v>
      </c>
      <c r="W43" s="998" t="s">
        <v>1782</v>
      </c>
      <c r="X43" s="999">
        <f t="shared" si="19"/>
        <v>339684.315</v>
      </c>
      <c r="Y43" s="1033">
        <v>0</v>
      </c>
      <c r="Z43" s="1033">
        <v>88515</v>
      </c>
      <c r="AA43" s="1001">
        <v>251169.315</v>
      </c>
      <c r="AB43" s="1002">
        <v>0</v>
      </c>
      <c r="AC43" s="1002">
        <v>0</v>
      </c>
      <c r="AD43" s="1035" t="s">
        <v>13</v>
      </c>
      <c r="AE43" s="1035" t="s">
        <v>13</v>
      </c>
      <c r="AF43" s="1004">
        <f>+P43-X43</f>
        <v>0</v>
      </c>
      <c r="AG43" s="979"/>
      <c r="AH43" s="964"/>
      <c r="AI43" s="964"/>
      <c r="AJ43" s="964"/>
      <c r="AK43" s="994"/>
      <c r="AL43" s="1010"/>
      <c r="AM43" s="1009"/>
      <c r="AN43" s="964"/>
      <c r="AO43" s="964"/>
      <c r="AP43" s="964"/>
      <c r="AQ43" s="1012"/>
      <c r="AR43" s="1012"/>
      <c r="AS43" s="1012"/>
      <c r="AT43" s="1012"/>
      <c r="AU43" s="1012"/>
      <c r="AV43" s="1012"/>
      <c r="AW43" s="1012"/>
      <c r="AX43" s="1012"/>
      <c r="AY43" s="1012"/>
      <c r="AZ43" s="1012"/>
      <c r="BA43" s="1012"/>
      <c r="BB43" s="1012"/>
      <c r="BC43" s="1012"/>
      <c r="BD43" s="1012"/>
      <c r="BE43" s="1012"/>
      <c r="BF43" s="1012"/>
      <c r="BG43" s="1012"/>
      <c r="BH43" s="1012"/>
      <c r="BI43" s="1012"/>
      <c r="BJ43" s="1012"/>
      <c r="BK43" s="1012"/>
      <c r="BL43" s="1012"/>
      <c r="BM43" s="1012"/>
      <c r="BN43" s="1012"/>
      <c r="BO43" s="1012"/>
      <c r="BP43" s="1012"/>
      <c r="BQ43" s="1012"/>
      <c r="BR43" s="1012"/>
      <c r="BS43" s="1012"/>
      <c r="BT43" s="1012"/>
      <c r="BU43" s="1012"/>
    </row>
    <row r="44" spans="1:73" s="1034" customFormat="1" ht="14.85" customHeight="1">
      <c r="A44" s="1036"/>
      <c r="B44" s="1037" t="s">
        <v>1783</v>
      </c>
      <c r="C44" s="1038" t="s">
        <v>1784</v>
      </c>
      <c r="D44" s="1039" t="s">
        <v>493</v>
      </c>
      <c r="E44" s="1038" t="s">
        <v>1785</v>
      </c>
      <c r="F44" s="990">
        <v>42871</v>
      </c>
      <c r="G44" s="1006">
        <v>15</v>
      </c>
      <c r="H44" s="1006">
        <v>15</v>
      </c>
      <c r="I44" s="1006">
        <v>17</v>
      </c>
      <c r="J44" s="1006">
        <v>17.12</v>
      </c>
      <c r="K44" s="992">
        <f t="shared" si="12"/>
        <v>20413.833999999999</v>
      </c>
      <c r="L44" s="994">
        <v>6250</v>
      </c>
      <c r="M44" s="994">
        <v>26663.833999999999</v>
      </c>
      <c r="N44" s="992">
        <f t="shared" si="13"/>
        <v>306207.51</v>
      </c>
      <c r="O44" s="994">
        <f t="shared" si="14"/>
        <v>93750</v>
      </c>
      <c r="P44" s="992">
        <f t="shared" si="15"/>
        <v>399957.51</v>
      </c>
      <c r="Q44" s="1040"/>
      <c r="R44" s="968">
        <v>1</v>
      </c>
      <c r="S44" s="991">
        <f t="shared" si="16"/>
        <v>17.12</v>
      </c>
      <c r="T44" s="995">
        <f t="shared" si="17"/>
        <v>456484.83808000002</v>
      </c>
      <c r="U44" s="996">
        <f t="shared" si="18"/>
        <v>0.14133333333333331</v>
      </c>
      <c r="V44" s="1041" t="s">
        <v>1786</v>
      </c>
      <c r="W44" s="1042" t="s">
        <v>1787</v>
      </c>
      <c r="X44" s="1043">
        <f t="shared" si="19"/>
        <v>399957.51</v>
      </c>
      <c r="Y44" s="1033">
        <v>0</v>
      </c>
      <c r="Z44" s="1033">
        <v>37726.520000000004</v>
      </c>
      <c r="AA44" s="1001">
        <f>X44+Y44-Z44</f>
        <v>362230.99</v>
      </c>
      <c r="AB44" s="1002">
        <v>522.42999999999995</v>
      </c>
      <c r="AC44" s="1002">
        <v>-15381.439999999999</v>
      </c>
      <c r="AD44" s="1035">
        <f>IFERROR(AA44/AB44,"n/a")</f>
        <v>693.35794269088683</v>
      </c>
      <c r="AE44" s="1035">
        <f>IFERROR(AA44/AC44,"n/a")</f>
        <v>-23.549875044209127</v>
      </c>
      <c r="AF44" s="1044">
        <f>+P44-X44</f>
        <v>0</v>
      </c>
      <c r="AG44" s="1045"/>
      <c r="AH44" s="1045"/>
    </row>
    <row r="45" spans="1:73" s="1012" customFormat="1" ht="14.85" customHeight="1">
      <c r="A45" s="1005"/>
      <c r="B45" s="986" t="s">
        <v>1860</v>
      </c>
      <c r="C45" s="989" t="s">
        <v>1861</v>
      </c>
      <c r="D45" s="988" t="s">
        <v>501</v>
      </c>
      <c r="E45" s="989" t="s">
        <v>1862</v>
      </c>
      <c r="F45" s="990">
        <v>42852</v>
      </c>
      <c r="G45" s="1006">
        <v>13</v>
      </c>
      <c r="H45" s="1006">
        <v>13</v>
      </c>
      <c r="I45" s="1006">
        <v>16</v>
      </c>
      <c r="J45" s="1006">
        <v>12.67601</v>
      </c>
      <c r="K45" s="992">
        <f t="shared" si="12"/>
        <v>20424.460999999999</v>
      </c>
      <c r="L45" s="994">
        <v>4500</v>
      </c>
      <c r="M45" s="994">
        <v>24924.460999999999</v>
      </c>
      <c r="N45" s="992">
        <f t="shared" si="13"/>
        <v>265517.99300000002</v>
      </c>
      <c r="O45" s="994">
        <f t="shared" si="14"/>
        <v>58500</v>
      </c>
      <c r="P45" s="992">
        <f t="shared" si="15"/>
        <v>324017.99300000002</v>
      </c>
      <c r="Q45" s="992"/>
      <c r="R45" s="968">
        <v>1</v>
      </c>
      <c r="S45" s="991">
        <f t="shared" si="16"/>
        <v>12.67601</v>
      </c>
      <c r="T45" s="995">
        <f t="shared" si="17"/>
        <v>315942.71688060998</v>
      </c>
      <c r="U45" s="996">
        <f t="shared" si="18"/>
        <v>-2.4922307692307855E-2</v>
      </c>
      <c r="V45" s="997" t="s">
        <v>1863</v>
      </c>
      <c r="W45" s="998" t="s">
        <v>1864</v>
      </c>
      <c r="X45" s="999">
        <f t="shared" si="19"/>
        <v>324017.99300000002</v>
      </c>
      <c r="Y45" s="1002"/>
      <c r="Z45" s="1033"/>
      <c r="AA45" s="1001"/>
      <c r="AB45" s="1034"/>
      <c r="AC45" s="1002"/>
      <c r="AD45" s="1035"/>
      <c r="AE45" s="1035"/>
      <c r="AF45" s="1004"/>
      <c r="AG45" s="979"/>
      <c r="AH45" s="964"/>
      <c r="AI45" s="964"/>
      <c r="AJ45" s="964"/>
      <c r="AK45" s="994"/>
      <c r="AL45" s="1010"/>
      <c r="AM45" s="1009"/>
      <c r="AN45" s="964"/>
      <c r="AO45" s="964"/>
      <c r="AP45" s="964"/>
    </row>
    <row r="46" spans="1:73" s="1012" customFormat="1" ht="14.85" customHeight="1">
      <c r="A46" s="1005"/>
      <c r="B46" s="986" t="s">
        <v>1497</v>
      </c>
      <c r="C46" s="989" t="s">
        <v>1498</v>
      </c>
      <c r="D46" s="988" t="s">
        <v>1146</v>
      </c>
      <c r="E46" s="989" t="s">
        <v>1499</v>
      </c>
      <c r="F46" s="990">
        <v>42761</v>
      </c>
      <c r="G46" s="1006">
        <v>16</v>
      </c>
      <c r="H46" s="1006">
        <v>13</v>
      </c>
      <c r="I46" s="1006">
        <v>15</v>
      </c>
      <c r="J46" s="1006">
        <v>19.84</v>
      </c>
      <c r="K46" s="992">
        <f t="shared" si="12"/>
        <v>24802.026000000002</v>
      </c>
      <c r="L46" s="994">
        <f>5360000/1000</f>
        <v>5360</v>
      </c>
      <c r="M46" s="994">
        <f>30162026/1000</f>
        <v>30162.026000000002</v>
      </c>
      <c r="N46" s="992">
        <f t="shared" si="13"/>
        <v>396832.41600000003</v>
      </c>
      <c r="O46" s="994">
        <f t="shared" si="14"/>
        <v>85760</v>
      </c>
      <c r="P46" s="992">
        <f t="shared" si="15"/>
        <v>482592.41600000003</v>
      </c>
      <c r="Q46" s="992"/>
      <c r="R46" s="968">
        <v>1</v>
      </c>
      <c r="S46" s="991">
        <f t="shared" si="16"/>
        <v>19.84</v>
      </c>
      <c r="T46" s="995">
        <f t="shared" si="17"/>
        <v>598414.59584000008</v>
      </c>
      <c r="U46" s="996">
        <f t="shared" si="18"/>
        <v>0.24</v>
      </c>
      <c r="V46" s="997" t="s">
        <v>1499</v>
      </c>
      <c r="W46" s="998" t="s">
        <v>1747</v>
      </c>
      <c r="X46" s="999">
        <f t="shared" si="19"/>
        <v>482592.41600000003</v>
      </c>
      <c r="Y46" s="999">
        <v>0</v>
      </c>
      <c r="Z46" s="999">
        <v>89317</v>
      </c>
      <c r="AA46" s="1001">
        <f t="shared" ref="AA46:AA67" si="20">X46+Y46-Z46</f>
        <v>393275.41600000003</v>
      </c>
      <c r="AB46" s="1002">
        <v>0</v>
      </c>
      <c r="AC46" s="1008">
        <v>-40216</v>
      </c>
      <c r="AD46" s="1003" t="str">
        <f t="shared" ref="AD46:AD67" si="21">IFERROR(AA46/AB46,"n/a")</f>
        <v>n/a</v>
      </c>
      <c r="AE46" s="1003">
        <f t="shared" ref="AE46:AE67" si="22">IFERROR(AA46/AC46,"n/a")</f>
        <v>-9.779078376765467</v>
      </c>
      <c r="AF46" s="1004">
        <f t="shared" ref="AF46:AF67" si="23">+P46-X46</f>
        <v>0</v>
      </c>
      <c r="AG46" s="964"/>
      <c r="AH46" s="964"/>
      <c r="AI46" s="964"/>
      <c r="AJ46" s="994"/>
      <c r="AK46" s="1010"/>
      <c r="AL46" s="1009"/>
      <c r="AM46" s="964"/>
      <c r="AN46" s="964"/>
      <c r="AO46" s="964"/>
    </row>
    <row r="47" spans="1:73" s="979" customFormat="1" ht="14.85" customHeight="1">
      <c r="B47" s="986" t="s">
        <v>1500</v>
      </c>
      <c r="C47" s="989" t="s">
        <v>1501</v>
      </c>
      <c r="D47" s="988" t="s">
        <v>501</v>
      </c>
      <c r="E47" s="989" t="s">
        <v>1502</v>
      </c>
      <c r="F47" s="990">
        <v>42760</v>
      </c>
      <c r="G47" s="991">
        <v>15</v>
      </c>
      <c r="H47" s="991">
        <v>14</v>
      </c>
      <c r="I47" s="991">
        <v>16</v>
      </c>
      <c r="J47" s="991">
        <v>24.6</v>
      </c>
      <c r="K47" s="992">
        <f t="shared" si="12"/>
        <v>14159.332999999999</v>
      </c>
      <c r="L47" s="993">
        <f>4000000/1000</f>
        <v>4000</v>
      </c>
      <c r="M47" s="993">
        <f>18159333/1000</f>
        <v>18159.332999999999</v>
      </c>
      <c r="N47" s="992">
        <f t="shared" si="13"/>
        <v>212389.995</v>
      </c>
      <c r="O47" s="994">
        <f t="shared" si="14"/>
        <v>60000</v>
      </c>
      <c r="P47" s="992">
        <f t="shared" si="15"/>
        <v>272389.995</v>
      </c>
      <c r="Q47" s="968"/>
      <c r="R47" s="968">
        <v>1</v>
      </c>
      <c r="S47" s="991">
        <f t="shared" si="16"/>
        <v>24.6</v>
      </c>
      <c r="T47" s="995">
        <f t="shared" si="17"/>
        <v>446719.59179999999</v>
      </c>
      <c r="U47" s="996">
        <f t="shared" si="18"/>
        <v>0.6399999999999999</v>
      </c>
      <c r="V47" s="997" t="s">
        <v>1503</v>
      </c>
      <c r="W47" s="998" t="s">
        <v>1748</v>
      </c>
      <c r="X47" s="999">
        <f t="shared" si="19"/>
        <v>272389.995</v>
      </c>
      <c r="Y47" s="999">
        <v>4983000</v>
      </c>
      <c r="Z47" s="999">
        <v>47134</v>
      </c>
      <c r="AA47" s="1001">
        <f t="shared" si="20"/>
        <v>5208255.9950000001</v>
      </c>
      <c r="AB47" s="1002">
        <v>19308</v>
      </c>
      <c r="AC47" s="1008">
        <v>-2817</v>
      </c>
      <c r="AD47" s="1003">
        <f t="shared" si="21"/>
        <v>269.74601175678475</v>
      </c>
      <c r="AE47" s="1003">
        <f t="shared" si="22"/>
        <v>-1848.8661679091233</v>
      </c>
      <c r="AF47" s="1004">
        <f t="shared" si="23"/>
        <v>0</v>
      </c>
    </row>
    <row r="48" spans="1:73" s="979" customFormat="1" ht="14.85" customHeight="1">
      <c r="B48" s="986" t="s">
        <v>1041</v>
      </c>
      <c r="C48" s="989" t="s">
        <v>1042</v>
      </c>
      <c r="D48" s="988" t="s">
        <v>501</v>
      </c>
      <c r="E48" s="989" t="s">
        <v>1043</v>
      </c>
      <c r="F48" s="990">
        <v>42668</v>
      </c>
      <c r="G48" s="991">
        <v>13</v>
      </c>
      <c r="H48" s="991">
        <v>12</v>
      </c>
      <c r="I48" s="991">
        <v>14</v>
      </c>
      <c r="J48" s="991">
        <v>13.14</v>
      </c>
      <c r="K48" s="992">
        <f t="shared" si="12"/>
        <v>14439.55</v>
      </c>
      <c r="L48" s="993">
        <v>7049.23</v>
      </c>
      <c r="M48" s="993">
        <v>21488.78</v>
      </c>
      <c r="N48" s="992">
        <f t="shared" si="13"/>
        <v>187714.15</v>
      </c>
      <c r="O48" s="994">
        <f t="shared" si="14"/>
        <v>91639.989999999991</v>
      </c>
      <c r="P48" s="992">
        <f t="shared" si="15"/>
        <v>279354.14</v>
      </c>
      <c r="Q48" s="968"/>
      <c r="R48" s="968">
        <v>1</v>
      </c>
      <c r="S48" s="991">
        <f t="shared" si="16"/>
        <v>13.14</v>
      </c>
      <c r="T48" s="995">
        <f t="shared" si="17"/>
        <v>282362.56919999997</v>
      </c>
      <c r="U48" s="996">
        <f t="shared" si="18"/>
        <v>1.0769230769230642E-2</v>
      </c>
      <c r="V48" s="997" t="s">
        <v>1044</v>
      </c>
      <c r="W48" s="998" t="s">
        <v>1045</v>
      </c>
      <c r="X48" s="999">
        <f t="shared" si="19"/>
        <v>279354.14</v>
      </c>
      <c r="Y48" s="999">
        <v>0</v>
      </c>
      <c r="Z48" s="999">
        <v>40246</v>
      </c>
      <c r="AA48" s="1001">
        <f t="shared" si="20"/>
        <v>239108.14</v>
      </c>
      <c r="AB48" s="1002">
        <v>6845</v>
      </c>
      <c r="AC48" s="1008">
        <v>-15697</v>
      </c>
      <c r="AD48" s="1003">
        <f t="shared" si="21"/>
        <v>34.931795471146827</v>
      </c>
      <c r="AE48" s="1003">
        <f t="shared" si="22"/>
        <v>-15.232728546856087</v>
      </c>
      <c r="AF48" s="1004">
        <f t="shared" si="23"/>
        <v>0</v>
      </c>
    </row>
    <row r="49" spans="1:42" s="979" customFormat="1" ht="14.85" customHeight="1">
      <c r="A49" s="1005"/>
      <c r="B49" s="986" t="s">
        <v>1047</v>
      </c>
      <c r="C49" s="989" t="s">
        <v>1048</v>
      </c>
      <c r="D49" s="988" t="s">
        <v>1504</v>
      </c>
      <c r="E49" s="989" t="s">
        <v>1049</v>
      </c>
      <c r="F49" s="990">
        <v>42654</v>
      </c>
      <c r="G49" s="991">
        <v>5.5</v>
      </c>
      <c r="H49" s="991">
        <v>6</v>
      </c>
      <c r="I49" s="991">
        <v>8</v>
      </c>
      <c r="J49" s="991">
        <v>4.74</v>
      </c>
      <c r="K49" s="992">
        <f t="shared" si="12"/>
        <v>8671.0879999999997</v>
      </c>
      <c r="L49" s="993">
        <v>960</v>
      </c>
      <c r="M49" s="993">
        <v>9631.0879999999997</v>
      </c>
      <c r="N49" s="992">
        <f t="shared" si="13"/>
        <v>47690.983999999997</v>
      </c>
      <c r="O49" s="994">
        <f t="shared" si="14"/>
        <v>5280</v>
      </c>
      <c r="P49" s="992">
        <f t="shared" si="15"/>
        <v>52970.983999999997</v>
      </c>
      <c r="Q49" s="992"/>
      <c r="R49" s="968">
        <v>1</v>
      </c>
      <c r="S49" s="991">
        <f t="shared" si="16"/>
        <v>4.74</v>
      </c>
      <c r="T49" s="995">
        <f t="shared" si="17"/>
        <v>45651.357120000001</v>
      </c>
      <c r="U49" s="996">
        <f t="shared" si="18"/>
        <v>-0.13818181818181807</v>
      </c>
      <c r="V49" s="997" t="s">
        <v>1050</v>
      </c>
      <c r="W49" s="998" t="s">
        <v>1051</v>
      </c>
      <c r="X49" s="999">
        <f t="shared" si="19"/>
        <v>52970.983999999997</v>
      </c>
      <c r="Y49" s="999">
        <v>9242640</v>
      </c>
      <c r="Z49" s="999">
        <v>1354.64</v>
      </c>
      <c r="AA49" s="1001">
        <f t="shared" si="20"/>
        <v>9294256.3439999986</v>
      </c>
      <c r="AB49" s="1002">
        <v>0</v>
      </c>
      <c r="AC49" s="1008">
        <v>-4114.3599999999997</v>
      </c>
      <c r="AD49" s="1003" t="str">
        <f t="shared" si="21"/>
        <v>n/a</v>
      </c>
      <c r="AE49" s="1003">
        <f t="shared" si="22"/>
        <v>-2258.9798520304494</v>
      </c>
      <c r="AF49" s="1004">
        <f t="shared" si="23"/>
        <v>0</v>
      </c>
    </row>
    <row r="50" spans="1:42" s="979" customFormat="1" ht="14.85" customHeight="1">
      <c r="A50" s="1005"/>
      <c r="B50" s="986" t="s">
        <v>1057</v>
      </c>
      <c r="C50" s="989" t="s">
        <v>1058</v>
      </c>
      <c r="D50" s="988" t="s">
        <v>501</v>
      </c>
      <c r="E50" s="989" t="s">
        <v>1059</v>
      </c>
      <c r="F50" s="990">
        <v>42592</v>
      </c>
      <c r="G50" s="991">
        <v>12</v>
      </c>
      <c r="H50" s="991">
        <v>11</v>
      </c>
      <c r="I50" s="991">
        <v>13</v>
      </c>
      <c r="J50" s="991">
        <v>12.4</v>
      </c>
      <c r="K50" s="992">
        <f t="shared" si="12"/>
        <v>8823.5509999999995</v>
      </c>
      <c r="L50" s="993">
        <v>7500</v>
      </c>
      <c r="M50" s="993">
        <v>16323.550999999999</v>
      </c>
      <c r="N50" s="992">
        <f t="shared" si="13"/>
        <v>105882.61199999999</v>
      </c>
      <c r="O50" s="994">
        <f t="shared" si="14"/>
        <v>90000</v>
      </c>
      <c r="P50" s="992">
        <f t="shared" si="15"/>
        <v>195882.61199999999</v>
      </c>
      <c r="Q50" s="992"/>
      <c r="R50" s="968">
        <v>1</v>
      </c>
      <c r="S50" s="991">
        <f t="shared" si="16"/>
        <v>12.4</v>
      </c>
      <c r="T50" s="995">
        <f t="shared" si="17"/>
        <v>202412.0324</v>
      </c>
      <c r="U50" s="996">
        <f t="shared" si="18"/>
        <v>3.3333333333333437E-2</v>
      </c>
      <c r="V50" s="1007" t="s">
        <v>1060</v>
      </c>
      <c r="W50" s="998" t="s">
        <v>1061</v>
      </c>
      <c r="X50" s="999">
        <f t="shared" si="19"/>
        <v>195882.61199999999</v>
      </c>
      <c r="Y50" s="999">
        <v>0</v>
      </c>
      <c r="Z50" s="999">
        <v>28629</v>
      </c>
      <c r="AA50" s="1001">
        <f t="shared" si="20"/>
        <v>167253.61199999999</v>
      </c>
      <c r="AB50" s="1002">
        <v>0</v>
      </c>
      <c r="AC50" s="1008">
        <v>-22858</v>
      </c>
      <c r="AD50" s="1003" t="str">
        <f t="shared" si="21"/>
        <v>n/a</v>
      </c>
      <c r="AE50" s="1003">
        <f t="shared" si="22"/>
        <v>-7.3170711348324433</v>
      </c>
      <c r="AF50" s="1004">
        <f t="shared" si="23"/>
        <v>0</v>
      </c>
      <c r="AG50" s="1009"/>
    </row>
    <row r="51" spans="1:42" s="979" customFormat="1" ht="14.85" customHeight="1">
      <c r="A51" s="1005"/>
      <c r="B51" s="986" t="s">
        <v>767</v>
      </c>
      <c r="C51" s="989" t="s">
        <v>765</v>
      </c>
      <c r="D51" s="988" t="s">
        <v>501</v>
      </c>
      <c r="E51" s="989" t="s">
        <v>1073</v>
      </c>
      <c r="F51" s="990">
        <v>42550</v>
      </c>
      <c r="G51" s="1006">
        <v>12.5</v>
      </c>
      <c r="H51" s="1006">
        <v>14</v>
      </c>
      <c r="I51" s="1006">
        <v>16</v>
      </c>
      <c r="J51" s="1006">
        <v>11.58</v>
      </c>
      <c r="K51" s="992">
        <f t="shared" si="12"/>
        <v>18760.161</v>
      </c>
      <c r="L51" s="993">
        <v>4000</v>
      </c>
      <c r="M51" s="993">
        <v>22760.161</v>
      </c>
      <c r="N51" s="992">
        <f t="shared" si="13"/>
        <v>234502.01250000001</v>
      </c>
      <c r="O51" s="994">
        <f t="shared" si="14"/>
        <v>50000</v>
      </c>
      <c r="P51" s="992">
        <f t="shared" si="15"/>
        <v>284502.01250000001</v>
      </c>
      <c r="Q51" s="992"/>
      <c r="R51" s="968">
        <v>1</v>
      </c>
      <c r="S51" s="991">
        <f t="shared" si="16"/>
        <v>11.58</v>
      </c>
      <c r="T51" s="995">
        <f t="shared" si="17"/>
        <v>263562.66438000003</v>
      </c>
      <c r="U51" s="996">
        <f t="shared" si="18"/>
        <v>-7.3599999999999888E-2</v>
      </c>
      <c r="V51" s="1007" t="s">
        <v>766</v>
      </c>
      <c r="W51" s="998" t="s">
        <v>768</v>
      </c>
      <c r="X51" s="999">
        <f t="shared" si="19"/>
        <v>284502.01250000001</v>
      </c>
      <c r="Y51" s="999">
        <v>322000</v>
      </c>
      <c r="Z51" s="999">
        <v>62133</v>
      </c>
      <c r="AA51" s="1001">
        <f t="shared" si="20"/>
        <v>544369.01249999995</v>
      </c>
      <c r="AB51" s="1002">
        <v>0</v>
      </c>
      <c r="AC51" s="1008">
        <v>-40816</v>
      </c>
      <c r="AD51" s="1003" t="str">
        <f t="shared" si="21"/>
        <v>n/a</v>
      </c>
      <c r="AE51" s="1003">
        <f t="shared" si="22"/>
        <v>-13.337147503430026</v>
      </c>
      <c r="AF51" s="1004">
        <f t="shared" si="23"/>
        <v>0</v>
      </c>
      <c r="AG51" s="1009"/>
    </row>
    <row r="52" spans="1:42" s="979" customFormat="1" ht="14.85" customHeight="1">
      <c r="A52" s="1005"/>
      <c r="B52" s="986" t="s">
        <v>1074</v>
      </c>
      <c r="C52" s="989" t="s">
        <v>1075</v>
      </c>
      <c r="D52" s="988" t="s">
        <v>501</v>
      </c>
      <c r="E52" s="989" t="s">
        <v>1076</v>
      </c>
      <c r="F52" s="990">
        <v>42542</v>
      </c>
      <c r="G52" s="1006">
        <v>14</v>
      </c>
      <c r="H52" s="1006">
        <v>14</v>
      </c>
      <c r="I52" s="1006">
        <v>16</v>
      </c>
      <c r="J52" s="1006">
        <v>13.77</v>
      </c>
      <c r="K52" s="992">
        <f t="shared" si="12"/>
        <v>12899.585999999999</v>
      </c>
      <c r="L52" s="993">
        <v>5000</v>
      </c>
      <c r="M52" s="993">
        <v>17899.585999999999</v>
      </c>
      <c r="N52" s="992">
        <f t="shared" si="13"/>
        <v>180594.204</v>
      </c>
      <c r="O52" s="994">
        <f t="shared" si="14"/>
        <v>70000</v>
      </c>
      <c r="P52" s="992">
        <f t="shared" si="15"/>
        <v>250594.204</v>
      </c>
      <c r="Q52" s="992"/>
      <c r="R52" s="968">
        <v>1</v>
      </c>
      <c r="S52" s="991">
        <f t="shared" si="16"/>
        <v>13.77</v>
      </c>
      <c r="T52" s="995">
        <f t="shared" si="17"/>
        <v>246477.29921999999</v>
      </c>
      <c r="U52" s="996">
        <f t="shared" si="18"/>
        <v>-1.6428571428571459E-2</v>
      </c>
      <c r="V52" s="1007" t="s">
        <v>1077</v>
      </c>
      <c r="W52" s="998" t="s">
        <v>1078</v>
      </c>
      <c r="X52" s="999">
        <f t="shared" si="19"/>
        <v>250594.204</v>
      </c>
      <c r="Y52" s="999">
        <v>11842000</v>
      </c>
      <c r="Z52" s="999">
        <v>17051</v>
      </c>
      <c r="AA52" s="1001">
        <f t="shared" si="20"/>
        <v>12075543.204</v>
      </c>
      <c r="AB52" s="1002">
        <v>7846</v>
      </c>
      <c r="AC52" s="1008">
        <v>-25757</v>
      </c>
      <c r="AD52" s="1003">
        <f t="shared" si="21"/>
        <v>1539.0699979607443</v>
      </c>
      <c r="AE52" s="1003">
        <f t="shared" si="22"/>
        <v>-468.825686376519</v>
      </c>
      <c r="AF52" s="1004">
        <f t="shared" si="23"/>
        <v>0</v>
      </c>
      <c r="AG52" s="1009"/>
    </row>
    <row r="53" spans="1:42" s="979" customFormat="1" ht="14.85" customHeight="1">
      <c r="A53" s="1005"/>
      <c r="B53" s="986" t="s">
        <v>1089</v>
      </c>
      <c r="C53" s="989" t="s">
        <v>1090</v>
      </c>
      <c r="D53" s="988" t="s">
        <v>1146</v>
      </c>
      <c r="E53" s="989" t="s">
        <v>1091</v>
      </c>
      <c r="F53" s="990">
        <v>42508</v>
      </c>
      <c r="G53" s="1006">
        <v>10</v>
      </c>
      <c r="H53" s="1006">
        <v>14</v>
      </c>
      <c r="I53" s="1006">
        <v>16</v>
      </c>
      <c r="J53" s="1006">
        <v>9.1691500000000001</v>
      </c>
      <c r="K53" s="992">
        <f t="shared" si="12"/>
        <v>8740.4410000000007</v>
      </c>
      <c r="L53" s="993">
        <v>5500</v>
      </c>
      <c r="M53" s="993">
        <v>14240.441000000001</v>
      </c>
      <c r="N53" s="992">
        <f t="shared" si="13"/>
        <v>87404.41</v>
      </c>
      <c r="O53" s="994">
        <f t="shared" si="14"/>
        <v>55000</v>
      </c>
      <c r="P53" s="992">
        <f t="shared" si="15"/>
        <v>142404.41</v>
      </c>
      <c r="Q53" s="992"/>
      <c r="R53" s="968">
        <v>1</v>
      </c>
      <c r="S53" s="991">
        <f t="shared" si="16"/>
        <v>9.1691500000000001</v>
      </c>
      <c r="T53" s="995">
        <f t="shared" si="17"/>
        <v>130572.73959515001</v>
      </c>
      <c r="U53" s="996">
        <f t="shared" si="18"/>
        <v>-8.3084999999999964E-2</v>
      </c>
      <c r="V53" s="1007" t="s">
        <v>1092</v>
      </c>
      <c r="W53" s="998" t="s">
        <v>1093</v>
      </c>
      <c r="X53" s="999">
        <f t="shared" si="19"/>
        <v>142404.41</v>
      </c>
      <c r="Y53" s="999">
        <v>709200</v>
      </c>
      <c r="Z53" s="999">
        <v>35678.519999999997</v>
      </c>
      <c r="AA53" s="1001">
        <f t="shared" si="20"/>
        <v>815925.89</v>
      </c>
      <c r="AB53" s="1002">
        <v>2951.86</v>
      </c>
      <c r="AC53" s="1008">
        <v>-22947.420000000002</v>
      </c>
      <c r="AD53" s="1003">
        <f t="shared" si="21"/>
        <v>276.41076812585965</v>
      </c>
      <c r="AE53" s="1003">
        <f t="shared" si="22"/>
        <v>-35.556323543125977</v>
      </c>
      <c r="AF53" s="1004">
        <f t="shared" si="23"/>
        <v>0</v>
      </c>
      <c r="AG53" s="1009"/>
    </row>
    <row r="54" spans="1:42" s="979" customFormat="1" ht="14.85" customHeight="1">
      <c r="A54" s="1005"/>
      <c r="B54" s="986" t="s">
        <v>1095</v>
      </c>
      <c r="C54" s="989" t="s">
        <v>1096</v>
      </c>
      <c r="D54" s="988" t="s">
        <v>501</v>
      </c>
      <c r="E54" s="989" t="s">
        <v>1097</v>
      </c>
      <c r="F54" s="990">
        <v>42502</v>
      </c>
      <c r="G54" s="1006">
        <v>6</v>
      </c>
      <c r="H54" s="1006">
        <v>11</v>
      </c>
      <c r="I54" s="1006">
        <v>13</v>
      </c>
      <c r="J54" s="1006">
        <v>3.35</v>
      </c>
      <c r="K54" s="992">
        <f t="shared" si="12"/>
        <v>16969.444</v>
      </c>
      <c r="L54" s="993">
        <v>5833.3339999999998</v>
      </c>
      <c r="M54" s="993">
        <v>22802.777999999998</v>
      </c>
      <c r="N54" s="992">
        <f t="shared" si="13"/>
        <v>101816.66399999999</v>
      </c>
      <c r="O54" s="994">
        <f t="shared" si="14"/>
        <v>35000.004000000001</v>
      </c>
      <c r="P54" s="992">
        <f t="shared" si="15"/>
        <v>136816.66800000001</v>
      </c>
      <c r="Q54" s="992"/>
      <c r="R54" s="968">
        <v>1</v>
      </c>
      <c r="S54" s="991">
        <f t="shared" si="16"/>
        <v>3.35</v>
      </c>
      <c r="T54" s="995">
        <f t="shared" si="17"/>
        <v>76389.306299999997</v>
      </c>
      <c r="U54" s="996">
        <f t="shared" si="18"/>
        <v>-0.44166666666666676</v>
      </c>
      <c r="V54" s="1007" t="s">
        <v>1098</v>
      </c>
      <c r="W54" s="998" t="s">
        <v>1099</v>
      </c>
      <c r="X54" s="999">
        <f t="shared" si="19"/>
        <v>136816.66800000001</v>
      </c>
      <c r="Y54" s="999">
        <v>15488800</v>
      </c>
      <c r="Z54" s="999">
        <v>5582.26</v>
      </c>
      <c r="AA54" s="1001">
        <f t="shared" si="20"/>
        <v>15620034.408</v>
      </c>
      <c r="AB54" s="1002">
        <v>2979.58</v>
      </c>
      <c r="AC54" s="1008">
        <v>-56013.52</v>
      </c>
      <c r="AD54" s="1003">
        <f t="shared" si="21"/>
        <v>5242.3611408319293</v>
      </c>
      <c r="AE54" s="1003">
        <f t="shared" si="22"/>
        <v>-278.86186063650348</v>
      </c>
      <c r="AF54" s="1004">
        <f t="shared" si="23"/>
        <v>0</v>
      </c>
      <c r="AK54" s="1004"/>
      <c r="AL54" s="1010"/>
      <c r="AM54" s="1009"/>
    </row>
    <row r="55" spans="1:42" s="964" customFormat="1" ht="14.85" customHeight="1">
      <c r="A55" s="1005"/>
      <c r="B55" s="986" t="s">
        <v>936</v>
      </c>
      <c r="C55" s="989" t="s">
        <v>1110</v>
      </c>
      <c r="D55" s="988" t="s">
        <v>1111</v>
      </c>
      <c r="E55" s="989" t="s">
        <v>1112</v>
      </c>
      <c r="F55" s="990">
        <v>42451</v>
      </c>
      <c r="G55" s="1006">
        <v>15</v>
      </c>
      <c r="H55" s="1006">
        <v>15</v>
      </c>
      <c r="I55" s="1006">
        <v>17</v>
      </c>
      <c r="J55" s="1006">
        <v>15.13</v>
      </c>
      <c r="K55" s="992">
        <f t="shared" si="12"/>
        <v>15706.356</v>
      </c>
      <c r="L55" s="993">
        <v>4700</v>
      </c>
      <c r="M55" s="993">
        <v>20406.356</v>
      </c>
      <c r="N55" s="992">
        <f t="shared" si="13"/>
        <v>235595.34</v>
      </c>
      <c r="O55" s="994">
        <f t="shared" si="14"/>
        <v>70500</v>
      </c>
      <c r="P55" s="992">
        <f t="shared" si="15"/>
        <v>306095.33999999997</v>
      </c>
      <c r="Q55" s="992"/>
      <c r="R55" s="968">
        <v>1</v>
      </c>
      <c r="S55" s="991">
        <f t="shared" si="16"/>
        <v>15.13</v>
      </c>
      <c r="T55" s="995">
        <f t="shared" si="17"/>
        <v>308748.16628</v>
      </c>
      <c r="U55" s="996">
        <f t="shared" si="18"/>
        <v>8.6666666666668224E-3</v>
      </c>
      <c r="V55" s="997" t="s">
        <v>1113</v>
      </c>
      <c r="W55" s="998" t="s">
        <v>1114</v>
      </c>
      <c r="X55" s="999">
        <f t="shared" si="19"/>
        <v>306095.33999999997</v>
      </c>
      <c r="Y55" s="999">
        <v>0</v>
      </c>
      <c r="Z55" s="999">
        <v>0</v>
      </c>
      <c r="AA55" s="1001">
        <f t="shared" si="20"/>
        <v>306095.33999999997</v>
      </c>
      <c r="AB55" s="1002">
        <v>0</v>
      </c>
      <c r="AC55" s="1008">
        <v>-24113</v>
      </c>
      <c r="AD55" s="1003" t="str">
        <f t="shared" si="21"/>
        <v>n/a</v>
      </c>
      <c r="AE55" s="1003">
        <f t="shared" si="22"/>
        <v>-12.69420395637208</v>
      </c>
      <c r="AF55" s="1004">
        <f t="shared" si="23"/>
        <v>0</v>
      </c>
      <c r="AG55" s="979"/>
      <c r="AK55" s="994"/>
      <c r="AL55" s="1010"/>
      <c r="AM55" s="1009"/>
    </row>
    <row r="56" spans="1:42" s="964" customFormat="1" ht="14.85" customHeight="1">
      <c r="A56" s="1005"/>
      <c r="B56" s="986" t="s">
        <v>940</v>
      </c>
      <c r="C56" s="989" t="s">
        <v>1115</v>
      </c>
      <c r="D56" s="988" t="s">
        <v>1222</v>
      </c>
      <c r="E56" s="989" t="s">
        <v>1116</v>
      </c>
      <c r="F56" s="990">
        <v>42431</v>
      </c>
      <c r="G56" s="1006">
        <v>12</v>
      </c>
      <c r="H56" s="1006">
        <v>14</v>
      </c>
      <c r="I56" s="1006">
        <v>16</v>
      </c>
      <c r="J56" s="1006">
        <v>13.11</v>
      </c>
      <c r="K56" s="992">
        <f t="shared" si="12"/>
        <v>12972.674999999999</v>
      </c>
      <c r="L56" s="993">
        <v>4400</v>
      </c>
      <c r="M56" s="993">
        <v>17372.674999999999</v>
      </c>
      <c r="N56" s="992">
        <f t="shared" si="13"/>
        <v>155672.09999999998</v>
      </c>
      <c r="O56" s="994">
        <f t="shared" si="14"/>
        <v>52800</v>
      </c>
      <c r="P56" s="992">
        <f t="shared" si="15"/>
        <v>208472.09999999998</v>
      </c>
      <c r="Q56" s="992"/>
      <c r="R56" s="968">
        <v>1</v>
      </c>
      <c r="S56" s="991">
        <f t="shared" si="16"/>
        <v>13.11</v>
      </c>
      <c r="T56" s="995">
        <f t="shared" si="17"/>
        <v>227755.76924999998</v>
      </c>
      <c r="U56" s="996">
        <f t="shared" si="18"/>
        <v>9.2500000000000027E-2</v>
      </c>
      <c r="V56" s="997" t="s">
        <v>1117</v>
      </c>
      <c r="W56" s="998" t="s">
        <v>1118</v>
      </c>
      <c r="X56" s="999">
        <f t="shared" si="19"/>
        <v>208472.09999999998</v>
      </c>
      <c r="Y56" s="999">
        <v>0</v>
      </c>
      <c r="Z56" s="999">
        <v>23179</v>
      </c>
      <c r="AA56" s="1001">
        <f t="shared" si="20"/>
        <v>185293.09999999998</v>
      </c>
      <c r="AB56" s="1002">
        <v>1220</v>
      </c>
      <c r="AC56" s="1008">
        <v>-27113</v>
      </c>
      <c r="AD56" s="1003">
        <f t="shared" si="21"/>
        <v>151.87959016393441</v>
      </c>
      <c r="AE56" s="1003">
        <f t="shared" si="22"/>
        <v>-6.8341054106885988</v>
      </c>
      <c r="AF56" s="1004">
        <f t="shared" si="23"/>
        <v>0</v>
      </c>
      <c r="AG56" s="979"/>
      <c r="AK56" s="994"/>
      <c r="AL56" s="1010"/>
      <c r="AM56" s="1009"/>
    </row>
    <row r="57" spans="1:42" s="964" customFormat="1" ht="14.85" customHeight="1">
      <c r="A57" s="1005"/>
      <c r="B57" s="986" t="s">
        <v>1119</v>
      </c>
      <c r="C57" s="989" t="s">
        <v>1120</v>
      </c>
      <c r="D57" s="988" t="s">
        <v>501</v>
      </c>
      <c r="E57" s="989" t="s">
        <v>1121</v>
      </c>
      <c r="F57" s="990">
        <v>42410</v>
      </c>
      <c r="G57" s="1006">
        <v>20</v>
      </c>
      <c r="H57" s="1006">
        <v>19</v>
      </c>
      <c r="I57" s="1006">
        <v>21</v>
      </c>
      <c r="J57" s="1006">
        <v>21.15</v>
      </c>
      <c r="K57" s="992">
        <f t="shared" si="12"/>
        <v>17650.57</v>
      </c>
      <c r="L57" s="993">
        <v>4750</v>
      </c>
      <c r="M57" s="993">
        <v>22400.57</v>
      </c>
      <c r="N57" s="992">
        <f t="shared" si="13"/>
        <v>353011.4</v>
      </c>
      <c r="O57" s="994">
        <f t="shared" si="14"/>
        <v>95000</v>
      </c>
      <c r="P57" s="992">
        <f t="shared" si="15"/>
        <v>448011.4</v>
      </c>
      <c r="Q57" s="992"/>
      <c r="R57" s="968">
        <v>1</v>
      </c>
      <c r="S57" s="991">
        <f t="shared" si="16"/>
        <v>21.15</v>
      </c>
      <c r="T57" s="995">
        <f t="shared" si="17"/>
        <v>473772.05549999996</v>
      </c>
      <c r="U57" s="996">
        <f t="shared" si="18"/>
        <v>5.7499999999999885E-2</v>
      </c>
      <c r="V57" s="997" t="s">
        <v>1122</v>
      </c>
      <c r="W57" s="998" t="s">
        <v>1123</v>
      </c>
      <c r="X57" s="999">
        <f t="shared" si="19"/>
        <v>448011.4</v>
      </c>
      <c r="Y57" s="999">
        <v>0</v>
      </c>
      <c r="Z57" s="999">
        <v>69706.460000000006</v>
      </c>
      <c r="AA57" s="1001">
        <f t="shared" si="20"/>
        <v>378304.94</v>
      </c>
      <c r="AB57" s="1002">
        <v>0</v>
      </c>
      <c r="AC57" s="1008">
        <v>-59309.03</v>
      </c>
      <c r="AD57" s="1003" t="str">
        <f t="shared" si="21"/>
        <v>n/a</v>
      </c>
      <c r="AE57" s="1003">
        <f t="shared" si="22"/>
        <v>-6.3785386474875754</v>
      </c>
      <c r="AF57" s="1004">
        <f t="shared" si="23"/>
        <v>0</v>
      </c>
      <c r="AG57" s="979"/>
      <c r="AK57" s="994"/>
      <c r="AL57" s="1010"/>
      <c r="AM57" s="1009"/>
    </row>
    <row r="58" spans="1:42" s="964" customFormat="1" ht="14.85" customHeight="1">
      <c r="A58" s="1005"/>
      <c r="B58" s="986" t="s">
        <v>679</v>
      </c>
      <c r="C58" s="989" t="s">
        <v>1135</v>
      </c>
      <c r="D58" s="988" t="s">
        <v>493</v>
      </c>
      <c r="E58" s="989" t="s">
        <v>1136</v>
      </c>
      <c r="F58" s="990">
        <v>42318</v>
      </c>
      <c r="G58" s="1006">
        <v>14</v>
      </c>
      <c r="H58" s="1006">
        <v>15</v>
      </c>
      <c r="I58" s="1006">
        <v>17</v>
      </c>
      <c r="J58" s="1006">
        <v>23.72</v>
      </c>
      <c r="K58" s="992">
        <f t="shared" si="12"/>
        <v>21034.71</v>
      </c>
      <c r="L58" s="993">
        <v>5000</v>
      </c>
      <c r="M58" s="993">
        <v>26034.71</v>
      </c>
      <c r="N58" s="992">
        <f t="shared" si="13"/>
        <v>294485.94</v>
      </c>
      <c r="O58" s="994">
        <f t="shared" si="14"/>
        <v>70000</v>
      </c>
      <c r="P58" s="992">
        <f t="shared" si="15"/>
        <v>364485.94</v>
      </c>
      <c r="Q58" s="992"/>
      <c r="R58" s="968">
        <v>1</v>
      </c>
      <c r="S58" s="991">
        <f t="shared" si="16"/>
        <v>23.72</v>
      </c>
      <c r="T58" s="995">
        <f t="shared" si="17"/>
        <v>617543.32120000001</v>
      </c>
      <c r="U58" s="996">
        <f t="shared" si="18"/>
        <v>0.69428571428571439</v>
      </c>
      <c r="V58" s="1011" t="s">
        <v>1137</v>
      </c>
      <c r="W58" s="998" t="s">
        <v>1505</v>
      </c>
      <c r="X58" s="999">
        <f t="shared" si="19"/>
        <v>364485.94</v>
      </c>
      <c r="Y58" s="999">
        <v>0</v>
      </c>
      <c r="Z58" s="999">
        <v>84748</v>
      </c>
      <c r="AA58" s="1001">
        <f t="shared" si="20"/>
        <v>279737.94</v>
      </c>
      <c r="AB58" s="1002">
        <v>18424</v>
      </c>
      <c r="AC58" s="1008">
        <v>-27932</v>
      </c>
      <c r="AD58" s="1003">
        <f t="shared" si="21"/>
        <v>15.183344550586192</v>
      </c>
      <c r="AE58" s="1003">
        <f t="shared" si="22"/>
        <v>-10.014962766719176</v>
      </c>
      <c r="AF58" s="1004">
        <f t="shared" si="23"/>
        <v>0</v>
      </c>
      <c r="AG58" s="1014"/>
      <c r="AH58" s="1013"/>
      <c r="AI58" s="1014"/>
      <c r="AJ58" s="1014"/>
      <c r="AK58" s="1013"/>
      <c r="AL58" s="1010"/>
      <c r="AM58" s="1009"/>
      <c r="AN58" s="1011"/>
      <c r="AO58" s="1016"/>
      <c r="AP58" s="1016"/>
    </row>
    <row r="59" spans="1:42" s="964" customFormat="1" ht="14.85" customHeight="1">
      <c r="A59" s="1005"/>
      <c r="B59" s="1046" t="s">
        <v>1139</v>
      </c>
      <c r="C59" s="989" t="s">
        <v>1140</v>
      </c>
      <c r="D59" s="988" t="s">
        <v>501</v>
      </c>
      <c r="E59" s="989" t="s">
        <v>1141</v>
      </c>
      <c r="F59" s="990">
        <v>42305</v>
      </c>
      <c r="G59" s="1006">
        <v>10</v>
      </c>
      <c r="H59" s="1006">
        <v>15</v>
      </c>
      <c r="I59" s="1006">
        <v>17</v>
      </c>
      <c r="J59" s="1006">
        <v>12.4</v>
      </c>
      <c r="K59" s="992">
        <f t="shared" si="12"/>
        <v>20805.473000000002</v>
      </c>
      <c r="L59" s="993">
        <v>5437.5</v>
      </c>
      <c r="M59" s="993">
        <v>26242.973000000002</v>
      </c>
      <c r="N59" s="992">
        <f t="shared" si="13"/>
        <v>208054.73</v>
      </c>
      <c r="O59" s="994">
        <f t="shared" si="14"/>
        <v>54375</v>
      </c>
      <c r="P59" s="992">
        <f t="shared" si="15"/>
        <v>262429.73</v>
      </c>
      <c r="Q59" s="992"/>
      <c r="R59" s="968">
        <v>1</v>
      </c>
      <c r="S59" s="991">
        <f t="shared" si="16"/>
        <v>12.4</v>
      </c>
      <c r="T59" s="995">
        <f t="shared" si="17"/>
        <v>325412.86520000006</v>
      </c>
      <c r="U59" s="996">
        <f t="shared" si="18"/>
        <v>0.24000000000000021</v>
      </c>
      <c r="V59" s="1011" t="s">
        <v>1142</v>
      </c>
      <c r="W59" s="998" t="s">
        <v>1143</v>
      </c>
      <c r="X59" s="999">
        <f t="shared" si="19"/>
        <v>262429.73</v>
      </c>
      <c r="Y59" s="999">
        <v>0</v>
      </c>
      <c r="Z59" s="999">
        <v>73076</v>
      </c>
      <c r="AA59" s="1001">
        <f t="shared" si="20"/>
        <v>189353.72999999998</v>
      </c>
      <c r="AB59" s="1002">
        <v>14199</v>
      </c>
      <c r="AC59" s="1008">
        <v>-30529</v>
      </c>
      <c r="AD59" s="1003">
        <f t="shared" si="21"/>
        <v>13.335708852736106</v>
      </c>
      <c r="AE59" s="1003">
        <f t="shared" si="22"/>
        <v>-6.2024216318909886</v>
      </c>
      <c r="AF59" s="1004">
        <f t="shared" si="23"/>
        <v>0</v>
      </c>
      <c r="AG59" s="1014"/>
      <c r="AH59" s="1013"/>
      <c r="AI59" s="1014"/>
      <c r="AJ59" s="1014"/>
      <c r="AK59" s="1013"/>
      <c r="AL59" s="1010"/>
      <c r="AM59" s="1009"/>
      <c r="AN59" s="1011"/>
      <c r="AO59" s="1016"/>
      <c r="AP59" s="1016"/>
    </row>
    <row r="60" spans="1:42" s="964" customFormat="1" ht="14.85" customHeight="1">
      <c r="A60" s="1005"/>
      <c r="B60" s="986" t="s">
        <v>1144</v>
      </c>
      <c r="C60" s="989" t="s">
        <v>1145</v>
      </c>
      <c r="D60" s="988" t="s">
        <v>501</v>
      </c>
      <c r="E60" s="989" t="s">
        <v>1147</v>
      </c>
      <c r="F60" s="990">
        <v>42298</v>
      </c>
      <c r="G60" s="1006">
        <v>13</v>
      </c>
      <c r="H60" s="1006">
        <v>14</v>
      </c>
      <c r="I60" s="1006">
        <v>16</v>
      </c>
      <c r="J60" s="1006">
        <v>13.45</v>
      </c>
      <c r="K60" s="992">
        <f t="shared" si="12"/>
        <v>19379.574000000001</v>
      </c>
      <c r="L60" s="993">
        <v>5500</v>
      </c>
      <c r="M60" s="993">
        <v>24879.574000000001</v>
      </c>
      <c r="N60" s="992">
        <f t="shared" si="13"/>
        <v>251934.462</v>
      </c>
      <c r="O60" s="994">
        <f t="shared" si="14"/>
        <v>71500</v>
      </c>
      <c r="P60" s="992">
        <f t="shared" si="15"/>
        <v>323434.462</v>
      </c>
      <c r="Q60" s="992"/>
      <c r="R60" s="968">
        <v>1</v>
      </c>
      <c r="S60" s="991">
        <f t="shared" si="16"/>
        <v>13.45</v>
      </c>
      <c r="T60" s="995">
        <f t="shared" si="17"/>
        <v>334630.27029999997</v>
      </c>
      <c r="U60" s="996">
        <f t="shared" si="18"/>
        <v>3.4615384615384492E-2</v>
      </c>
      <c r="V60" s="997" t="s">
        <v>1148</v>
      </c>
      <c r="W60" s="998" t="s">
        <v>1149</v>
      </c>
      <c r="X60" s="999">
        <f t="shared" si="19"/>
        <v>323434.462</v>
      </c>
      <c r="Y60" s="999">
        <v>1615000</v>
      </c>
      <c r="Z60" s="999">
        <v>80653</v>
      </c>
      <c r="AA60" s="1001">
        <f t="shared" si="20"/>
        <v>1857781.4620000001</v>
      </c>
      <c r="AB60" s="1002">
        <v>8991</v>
      </c>
      <c r="AC60" s="1008">
        <v>-40246</v>
      </c>
      <c r="AD60" s="1003">
        <f t="shared" si="21"/>
        <v>206.62678923367812</v>
      </c>
      <c r="AE60" s="1003">
        <f t="shared" si="22"/>
        <v>-46.160648561347713</v>
      </c>
      <c r="AF60" s="1004">
        <f t="shared" si="23"/>
        <v>0</v>
      </c>
      <c r="AG60" s="979"/>
      <c r="AK60" s="994"/>
      <c r="AL60" s="1010"/>
      <c r="AM60" s="1009"/>
    </row>
    <row r="61" spans="1:42" s="964" customFormat="1" ht="14.85" customHeight="1">
      <c r="A61" s="1005"/>
      <c r="B61" s="986" t="s">
        <v>1165</v>
      </c>
      <c r="C61" s="989" t="s">
        <v>1166</v>
      </c>
      <c r="D61" s="988" t="s">
        <v>501</v>
      </c>
      <c r="E61" s="989" t="s">
        <v>1167</v>
      </c>
      <c r="F61" s="990">
        <v>42277</v>
      </c>
      <c r="G61" s="1006">
        <v>7</v>
      </c>
      <c r="H61" s="1006">
        <v>13</v>
      </c>
      <c r="I61" s="1006">
        <v>15</v>
      </c>
      <c r="J61" s="1006">
        <v>5.78</v>
      </c>
      <c r="K61" s="992">
        <f t="shared" si="12"/>
        <v>13806.725999999999</v>
      </c>
      <c r="L61" s="993">
        <v>6250</v>
      </c>
      <c r="M61" s="993">
        <v>20056.725999999999</v>
      </c>
      <c r="N61" s="992">
        <f t="shared" si="13"/>
        <v>96647.081999999995</v>
      </c>
      <c r="O61" s="994">
        <f t="shared" si="14"/>
        <v>43750</v>
      </c>
      <c r="P61" s="992">
        <f t="shared" si="15"/>
        <v>140397.08199999999</v>
      </c>
      <c r="Q61" s="992"/>
      <c r="R61" s="968">
        <v>1</v>
      </c>
      <c r="S61" s="991">
        <f t="shared" si="16"/>
        <v>5.78</v>
      </c>
      <c r="T61" s="995">
        <f t="shared" si="17"/>
        <v>115927.87628</v>
      </c>
      <c r="U61" s="996">
        <f t="shared" si="18"/>
        <v>-0.17428571428571427</v>
      </c>
      <c r="V61" s="997" t="s">
        <v>1168</v>
      </c>
      <c r="W61" s="998" t="s">
        <v>1506</v>
      </c>
      <c r="X61" s="999">
        <f t="shared" si="19"/>
        <v>140397.08199999999</v>
      </c>
      <c r="Y61" s="999">
        <v>0</v>
      </c>
      <c r="Z61" s="999">
        <v>41579</v>
      </c>
      <c r="AA61" s="1001">
        <f t="shared" si="20"/>
        <v>98818.081999999995</v>
      </c>
      <c r="AB61" s="1002">
        <v>0</v>
      </c>
      <c r="AC61" s="1008">
        <v>-27374</v>
      </c>
      <c r="AD61" s="1003" t="str">
        <f t="shared" si="21"/>
        <v>n/a</v>
      </c>
      <c r="AE61" s="1003">
        <f t="shared" si="22"/>
        <v>-3.6099248191714763</v>
      </c>
      <c r="AF61" s="1004">
        <f t="shared" si="23"/>
        <v>0</v>
      </c>
      <c r="AG61" s="979"/>
      <c r="AK61" s="994"/>
      <c r="AL61" s="1010"/>
      <c r="AM61" s="1009"/>
    </row>
    <row r="62" spans="1:42" s="964" customFormat="1" ht="14.85" customHeight="1">
      <c r="A62" s="1005"/>
      <c r="B62" s="986" t="s">
        <v>1206</v>
      </c>
      <c r="C62" s="989" t="s">
        <v>1207</v>
      </c>
      <c r="D62" s="988" t="s">
        <v>1146</v>
      </c>
      <c r="E62" s="989" t="s">
        <v>1208</v>
      </c>
      <c r="F62" s="990">
        <v>42179</v>
      </c>
      <c r="G62" s="1006">
        <v>12</v>
      </c>
      <c r="H62" s="1006">
        <v>13</v>
      </c>
      <c r="I62" s="1006">
        <v>15</v>
      </c>
      <c r="J62" s="1006">
        <v>13.9</v>
      </c>
      <c r="K62" s="992">
        <f t="shared" si="12"/>
        <v>9547.7960000000003</v>
      </c>
      <c r="L62" s="993">
        <v>5000</v>
      </c>
      <c r="M62" s="993">
        <v>14547.796</v>
      </c>
      <c r="N62" s="992">
        <f t="shared" si="13"/>
        <v>114573.552</v>
      </c>
      <c r="O62" s="994">
        <f t="shared" si="14"/>
        <v>60000</v>
      </c>
      <c r="P62" s="992">
        <f t="shared" si="15"/>
        <v>174573.552</v>
      </c>
      <c r="Q62" s="992"/>
      <c r="R62" s="968">
        <v>1</v>
      </c>
      <c r="S62" s="991">
        <f t="shared" si="16"/>
        <v>13.9</v>
      </c>
      <c r="T62" s="995">
        <f t="shared" si="17"/>
        <v>202214.36440000002</v>
      </c>
      <c r="U62" s="996">
        <f t="shared" si="18"/>
        <v>0.15833333333333344</v>
      </c>
      <c r="V62" s="1011" t="s">
        <v>1209</v>
      </c>
      <c r="W62" s="998" t="s">
        <v>1507</v>
      </c>
      <c r="X62" s="999">
        <f t="shared" si="19"/>
        <v>174573.552</v>
      </c>
      <c r="Y62" s="999">
        <v>9656000</v>
      </c>
      <c r="Z62" s="999">
        <v>24303</v>
      </c>
      <c r="AA62" s="1001">
        <f t="shared" si="20"/>
        <v>9806270.5519999992</v>
      </c>
      <c r="AB62" s="1002">
        <v>0</v>
      </c>
      <c r="AC62" s="1008">
        <v>-35832</v>
      </c>
      <c r="AD62" s="1003" t="str">
        <f t="shared" si="21"/>
        <v>n/a</v>
      </c>
      <c r="AE62" s="1003">
        <f t="shared" si="22"/>
        <v>-273.67354744362581</v>
      </c>
      <c r="AF62" s="1004">
        <f t="shared" si="23"/>
        <v>0</v>
      </c>
      <c r="AG62" s="1014"/>
      <c r="AH62" s="1013"/>
      <c r="AI62" s="1014"/>
      <c r="AJ62" s="1015"/>
      <c r="AK62" s="1013"/>
      <c r="AL62" s="1010"/>
      <c r="AM62" s="1009"/>
      <c r="AN62" s="1011"/>
      <c r="AO62" s="1016"/>
      <c r="AP62" s="1016"/>
    </row>
    <row r="63" spans="1:42" s="1012" customFormat="1" ht="14.85" customHeight="1">
      <c r="A63" s="1005"/>
      <c r="B63" s="986" t="s">
        <v>1216</v>
      </c>
      <c r="C63" s="989" t="s">
        <v>1217</v>
      </c>
      <c r="D63" s="988" t="s">
        <v>493</v>
      </c>
      <c r="E63" s="989" t="s">
        <v>1218</v>
      </c>
      <c r="F63" s="990">
        <v>42171</v>
      </c>
      <c r="G63" s="1006">
        <v>14</v>
      </c>
      <c r="H63" s="1006">
        <v>13</v>
      </c>
      <c r="I63" s="1006">
        <v>15</v>
      </c>
      <c r="J63" s="1006">
        <v>19.010000000000002</v>
      </c>
      <c r="K63" s="992">
        <f t="shared" si="12"/>
        <v>9126.6830000000009</v>
      </c>
      <c r="L63" s="993">
        <v>5500</v>
      </c>
      <c r="M63" s="993">
        <v>14626.683000000001</v>
      </c>
      <c r="N63" s="992">
        <f t="shared" si="13"/>
        <v>127773.56200000001</v>
      </c>
      <c r="O63" s="994">
        <f t="shared" si="14"/>
        <v>77000</v>
      </c>
      <c r="P63" s="992">
        <f t="shared" si="15"/>
        <v>204773.56200000001</v>
      </c>
      <c r="Q63" s="992"/>
      <c r="R63" s="968">
        <v>1</v>
      </c>
      <c r="S63" s="991">
        <f t="shared" si="16"/>
        <v>19.010000000000002</v>
      </c>
      <c r="T63" s="995">
        <f t="shared" si="17"/>
        <v>278053.24383000005</v>
      </c>
      <c r="U63" s="996">
        <f t="shared" si="18"/>
        <v>0.3578571428571431</v>
      </c>
      <c r="V63" s="997" t="s">
        <v>1219</v>
      </c>
      <c r="W63" s="998" t="s">
        <v>1220</v>
      </c>
      <c r="X63" s="999">
        <f t="shared" si="19"/>
        <v>204773.56200000001</v>
      </c>
      <c r="Y63" s="999">
        <v>0</v>
      </c>
      <c r="Z63" s="999">
        <v>22864.5</v>
      </c>
      <c r="AA63" s="1001">
        <f t="shared" si="20"/>
        <v>181909.06200000001</v>
      </c>
      <c r="AB63" s="1002">
        <v>0</v>
      </c>
      <c r="AC63" s="1008">
        <v>-29160</v>
      </c>
      <c r="AD63" s="1003" t="str">
        <f t="shared" si="21"/>
        <v>n/a</v>
      </c>
      <c r="AE63" s="1003">
        <f t="shared" si="22"/>
        <v>-6.2383080246913583</v>
      </c>
      <c r="AF63" s="1004">
        <f t="shared" si="23"/>
        <v>0</v>
      </c>
      <c r="AG63" s="979"/>
      <c r="AH63" s="964"/>
      <c r="AI63" s="964"/>
      <c r="AJ63" s="964"/>
      <c r="AK63" s="994"/>
      <c r="AL63" s="1010"/>
      <c r="AM63" s="1009"/>
      <c r="AN63" s="964"/>
      <c r="AO63" s="964"/>
      <c r="AP63" s="964"/>
    </row>
    <row r="64" spans="1:42" s="1012" customFormat="1" ht="14.85" customHeight="1">
      <c r="A64" s="1005"/>
      <c r="B64" s="986" t="s">
        <v>1508</v>
      </c>
      <c r="C64" s="989" t="s">
        <v>1221</v>
      </c>
      <c r="D64" s="988" t="s">
        <v>1222</v>
      </c>
      <c r="E64" s="989" t="s">
        <v>1223</v>
      </c>
      <c r="F64" s="990">
        <v>42130</v>
      </c>
      <c r="G64" s="1006">
        <v>14</v>
      </c>
      <c r="H64" s="1006">
        <v>13</v>
      </c>
      <c r="I64" s="1006">
        <v>15</v>
      </c>
      <c r="J64" s="1006">
        <v>25.87</v>
      </c>
      <c r="K64" s="992">
        <f t="shared" si="12"/>
        <v>17189.739000000001</v>
      </c>
      <c r="L64" s="993">
        <v>5360</v>
      </c>
      <c r="M64" s="993">
        <v>22549.739000000001</v>
      </c>
      <c r="N64" s="992">
        <f t="shared" si="13"/>
        <v>240656.34600000002</v>
      </c>
      <c r="O64" s="994">
        <f t="shared" si="14"/>
        <v>75040</v>
      </c>
      <c r="P64" s="992">
        <f t="shared" si="15"/>
        <v>315696.34600000002</v>
      </c>
      <c r="Q64" s="992"/>
      <c r="R64" s="968">
        <v>1</v>
      </c>
      <c r="S64" s="991">
        <f t="shared" si="16"/>
        <v>25.87</v>
      </c>
      <c r="T64" s="995">
        <f t="shared" si="17"/>
        <v>583361.74793000007</v>
      </c>
      <c r="U64" s="996">
        <f t="shared" si="18"/>
        <v>0.84785714285714286</v>
      </c>
      <c r="V64" s="997" t="s">
        <v>1224</v>
      </c>
      <c r="W64" s="998" t="s">
        <v>1225</v>
      </c>
      <c r="X64" s="999">
        <f t="shared" si="19"/>
        <v>315696.34600000002</v>
      </c>
      <c r="Y64" s="999">
        <v>10276000</v>
      </c>
      <c r="Z64" s="999">
        <v>13899</v>
      </c>
      <c r="AA64" s="1001">
        <f t="shared" si="20"/>
        <v>10577797.346000001</v>
      </c>
      <c r="AB64" s="1002">
        <v>0</v>
      </c>
      <c r="AC64" s="1008">
        <v>-58426</v>
      </c>
      <c r="AD64" s="1003" t="str">
        <f t="shared" si="21"/>
        <v>n/a</v>
      </c>
      <c r="AE64" s="1003">
        <f t="shared" si="22"/>
        <v>-181.04606418375383</v>
      </c>
      <c r="AF64" s="1004">
        <f t="shared" si="23"/>
        <v>0</v>
      </c>
      <c r="AG64" s="979"/>
      <c r="AH64" s="964"/>
      <c r="AI64" s="964"/>
      <c r="AJ64" s="964"/>
      <c r="AK64" s="994"/>
      <c r="AL64" s="1010"/>
      <c r="AM64" s="1009"/>
      <c r="AN64" s="964"/>
      <c r="AO64" s="964"/>
      <c r="AP64" s="964"/>
    </row>
    <row r="65" spans="1:42" s="1012" customFormat="1" ht="14.85" customHeight="1">
      <c r="A65" s="1047"/>
      <c r="B65" s="986" t="s">
        <v>1509</v>
      </c>
      <c r="C65" s="989" t="s">
        <v>1510</v>
      </c>
      <c r="D65" s="988" t="s">
        <v>1146</v>
      </c>
      <c r="E65" s="989" t="s">
        <v>1511</v>
      </c>
      <c r="F65" s="990">
        <v>42130</v>
      </c>
      <c r="G65" s="1006">
        <v>17</v>
      </c>
      <c r="H65" s="1006">
        <v>15</v>
      </c>
      <c r="I65" s="1006">
        <v>17</v>
      </c>
      <c r="J65" s="1006">
        <v>15.34</v>
      </c>
      <c r="K65" s="992">
        <f t="shared" si="12"/>
        <v>59535.316666666695</v>
      </c>
      <c r="L65" s="993">
        <v>9375</v>
      </c>
      <c r="M65" s="993">
        <v>68910.316666666695</v>
      </c>
      <c r="N65" s="992">
        <f t="shared" si="13"/>
        <v>1012100.3833333338</v>
      </c>
      <c r="O65" s="994">
        <f t="shared" si="14"/>
        <v>159375</v>
      </c>
      <c r="P65" s="992">
        <f t="shared" si="15"/>
        <v>1171475.3833333338</v>
      </c>
      <c r="Q65" s="992"/>
      <c r="R65" s="968">
        <v>1</v>
      </c>
      <c r="S65" s="991">
        <f t="shared" si="16"/>
        <v>15.34</v>
      </c>
      <c r="T65" s="995">
        <f t="shared" si="17"/>
        <v>1057084.257666667</v>
      </c>
      <c r="U65" s="996">
        <f t="shared" si="18"/>
        <v>-9.764705882352942E-2</v>
      </c>
      <c r="V65" s="997" t="s">
        <v>1512</v>
      </c>
      <c r="W65" s="998" t="s">
        <v>1513</v>
      </c>
      <c r="X65" s="999">
        <f t="shared" si="19"/>
        <v>1171475.3833333338</v>
      </c>
      <c r="Y65" s="999">
        <v>0</v>
      </c>
      <c r="Z65" s="999">
        <v>101564.72</v>
      </c>
      <c r="AA65" s="1001">
        <f t="shared" si="20"/>
        <v>1069910.6633333338</v>
      </c>
      <c r="AB65" s="1002">
        <v>12356.199999999999</v>
      </c>
      <c r="AC65" s="1008">
        <v>-65690.23</v>
      </c>
      <c r="AD65" s="1003">
        <f t="shared" si="21"/>
        <v>86.588972607543894</v>
      </c>
      <c r="AE65" s="1003">
        <f t="shared" si="22"/>
        <v>-16.287211406221807</v>
      </c>
      <c r="AF65" s="1004">
        <f t="shared" si="23"/>
        <v>0</v>
      </c>
      <c r="AG65" s="979"/>
      <c r="AH65" s="964"/>
      <c r="AI65" s="964"/>
      <c r="AJ65" s="964"/>
      <c r="AK65" s="994"/>
      <c r="AL65" s="1010"/>
      <c r="AM65" s="1009"/>
      <c r="AN65" s="964"/>
      <c r="AO65" s="964"/>
      <c r="AP65" s="964"/>
    </row>
    <row r="66" spans="1:42" s="1012" customFormat="1" ht="14.85" customHeight="1">
      <c r="A66" s="1005"/>
      <c r="B66" s="986" t="s">
        <v>1244</v>
      </c>
      <c r="C66" s="989" t="s">
        <v>1245</v>
      </c>
      <c r="D66" s="988" t="s">
        <v>501</v>
      </c>
      <c r="E66" s="989" t="s">
        <v>1246</v>
      </c>
      <c r="F66" s="990">
        <v>42122</v>
      </c>
      <c r="G66" s="1006">
        <v>8</v>
      </c>
      <c r="H66" s="1006">
        <v>10</v>
      </c>
      <c r="I66" s="1006">
        <v>12</v>
      </c>
      <c r="J66" s="1006">
        <v>8.23</v>
      </c>
      <c r="K66" s="992">
        <f t="shared" si="12"/>
        <v>6154.3289999999997</v>
      </c>
      <c r="L66" s="993">
        <v>3000</v>
      </c>
      <c r="M66" s="993">
        <v>9154.3289999999997</v>
      </c>
      <c r="N66" s="992">
        <f t="shared" si="13"/>
        <v>49234.631999999998</v>
      </c>
      <c r="O66" s="994">
        <f t="shared" si="14"/>
        <v>24000</v>
      </c>
      <c r="P66" s="992">
        <f t="shared" si="15"/>
        <v>73234.631999999998</v>
      </c>
      <c r="Q66" s="992"/>
      <c r="R66" s="968">
        <v>1</v>
      </c>
      <c r="S66" s="991">
        <f t="shared" si="16"/>
        <v>8.23</v>
      </c>
      <c r="T66" s="995">
        <f t="shared" si="17"/>
        <v>75340.127670000002</v>
      </c>
      <c r="U66" s="996">
        <f t="shared" si="18"/>
        <v>2.8750000000000053E-2</v>
      </c>
      <c r="V66" s="1011" t="s">
        <v>1247</v>
      </c>
      <c r="W66" s="998" t="s">
        <v>1248</v>
      </c>
      <c r="X66" s="999">
        <f t="shared" si="19"/>
        <v>73234.631999999998</v>
      </c>
      <c r="Y66" s="999">
        <v>1568390</v>
      </c>
      <c r="Z66" s="999">
        <v>755.86</v>
      </c>
      <c r="AA66" s="1001">
        <f t="shared" si="20"/>
        <v>1640868.7719999999</v>
      </c>
      <c r="AB66" s="1002">
        <v>0</v>
      </c>
      <c r="AC66" s="1008">
        <v>0</v>
      </c>
      <c r="AD66" s="1003" t="str">
        <f t="shared" si="21"/>
        <v>n/a</v>
      </c>
      <c r="AE66" s="1003" t="str">
        <f t="shared" si="22"/>
        <v>n/a</v>
      </c>
      <c r="AF66" s="1004">
        <f t="shared" si="23"/>
        <v>0</v>
      </c>
      <c r="AK66" s="1013"/>
      <c r="AL66" s="1010"/>
      <c r="AM66" s="1009"/>
    </row>
    <row r="67" spans="1:42" s="1012" customFormat="1" ht="14.85" customHeight="1">
      <c r="A67" s="1047"/>
      <c r="B67" s="986" t="s">
        <v>1302</v>
      </c>
      <c r="C67" s="989" t="s">
        <v>1303</v>
      </c>
      <c r="D67" s="988" t="s">
        <v>1146</v>
      </c>
      <c r="E67" s="989" t="s">
        <v>1304</v>
      </c>
      <c r="F67" s="990">
        <v>41991</v>
      </c>
      <c r="G67" s="1006">
        <v>24</v>
      </c>
      <c r="H67" s="1006">
        <v>15</v>
      </c>
      <c r="I67" s="1006">
        <v>18</v>
      </c>
      <c r="J67" s="1006">
        <v>50.14</v>
      </c>
      <c r="K67" s="992">
        <f t="shared" si="12"/>
        <v>65143.189000000006</v>
      </c>
      <c r="L67" s="993">
        <v>12676.353999999999</v>
      </c>
      <c r="M67" s="993">
        <v>77819.543000000005</v>
      </c>
      <c r="N67" s="992">
        <f t="shared" si="13"/>
        <v>1563436.5360000001</v>
      </c>
      <c r="O67" s="994">
        <f t="shared" si="14"/>
        <v>304232.49599999998</v>
      </c>
      <c r="P67" s="992">
        <f t="shared" si="15"/>
        <v>1867669.0320000001</v>
      </c>
      <c r="Q67" s="992"/>
      <c r="R67" s="968">
        <v>1</v>
      </c>
      <c r="S67" s="991">
        <f t="shared" si="16"/>
        <v>50.14</v>
      </c>
      <c r="T67" s="995">
        <f t="shared" si="17"/>
        <v>3901871.8860200001</v>
      </c>
      <c r="U67" s="996">
        <f t="shared" si="18"/>
        <v>1.0891666666666664</v>
      </c>
      <c r="V67" s="998" t="s">
        <v>1305</v>
      </c>
      <c r="W67" s="998" t="s">
        <v>1306</v>
      </c>
      <c r="X67" s="999">
        <f t="shared" si="19"/>
        <v>1867669.0320000001</v>
      </c>
      <c r="Y67" s="999">
        <v>0</v>
      </c>
      <c r="Z67" s="999">
        <v>35966</v>
      </c>
      <c r="AA67" s="1001">
        <f t="shared" si="20"/>
        <v>1831703.0320000001</v>
      </c>
      <c r="AB67" s="1002">
        <v>43131</v>
      </c>
      <c r="AC67" s="1008">
        <v>-234013</v>
      </c>
      <c r="AD67" s="1003">
        <f t="shared" si="21"/>
        <v>42.468364563770841</v>
      </c>
      <c r="AE67" s="1003">
        <f t="shared" si="22"/>
        <v>-7.8273558819381837</v>
      </c>
      <c r="AF67" s="1004">
        <f t="shared" si="23"/>
        <v>0</v>
      </c>
      <c r="AK67" s="1013"/>
      <c r="AL67" s="1010"/>
      <c r="AM67" s="1009"/>
    </row>
    <row r="68" spans="1:42" s="1012" customFormat="1" ht="14.85" customHeight="1">
      <c r="A68" s="1005"/>
      <c r="B68" s="986"/>
      <c r="C68" s="989"/>
      <c r="D68" s="988"/>
      <c r="E68" s="989"/>
      <c r="F68" s="990"/>
      <c r="G68" s="1017"/>
      <c r="H68" s="1006"/>
      <c r="I68" s="1006"/>
      <c r="J68" s="1017"/>
      <c r="K68" s="1018"/>
      <c r="L68" s="994"/>
      <c r="M68" s="994"/>
      <c r="N68" s="992"/>
      <c r="O68" s="994"/>
      <c r="P68" s="992"/>
      <c r="Q68" s="992"/>
      <c r="R68" s="992"/>
      <c r="S68" s="991"/>
      <c r="T68" s="995"/>
      <c r="U68" s="996"/>
      <c r="V68" s="1011"/>
      <c r="W68" s="998"/>
      <c r="X68" s="999"/>
      <c r="Y68" s="999"/>
      <c r="Z68" s="999"/>
      <c r="AA68" s="1001"/>
      <c r="AB68" s="1002"/>
      <c r="AC68" s="1008"/>
      <c r="AD68" s="1003"/>
      <c r="AE68" s="1003"/>
      <c r="AF68" s="1004"/>
      <c r="AK68" s="1013"/>
      <c r="AL68" s="1010"/>
      <c r="AM68" s="1009"/>
    </row>
    <row r="69" spans="1:42" s="1012" customFormat="1" ht="14.85" customHeight="1">
      <c r="A69" s="1005"/>
      <c r="B69" s="1019" t="s">
        <v>111</v>
      </c>
      <c r="C69" s="1020"/>
      <c r="D69" s="1020"/>
      <c r="E69" s="1020"/>
      <c r="F69" s="1020"/>
      <c r="G69" s="1020"/>
      <c r="H69" s="1020"/>
      <c r="I69" s="1020"/>
      <c r="J69" s="1020"/>
      <c r="K69" s="1020"/>
      <c r="L69" s="1020"/>
      <c r="M69" s="1020"/>
      <c r="N69" s="1021">
        <f>MAX(N38:N67)</f>
        <v>1563436.5360000001</v>
      </c>
      <c r="O69" s="1021"/>
      <c r="P69" s="1022">
        <f>MAX(P38:P67)</f>
        <v>1867669.0320000001</v>
      </c>
      <c r="Q69" s="992"/>
      <c r="R69" s="992"/>
      <c r="S69" s="1023">
        <f>MAX(S38:S67)</f>
        <v>50.14</v>
      </c>
      <c r="T69" s="995"/>
      <c r="U69" s="996"/>
      <c r="V69" s="1011"/>
      <c r="W69" s="998"/>
      <c r="X69" s="999"/>
      <c r="Y69" s="999"/>
      <c r="Z69" s="999"/>
      <c r="AA69" s="1001"/>
      <c r="AB69" s="1002"/>
      <c r="AC69" s="1008"/>
      <c r="AD69" s="1003"/>
      <c r="AE69" s="1003"/>
      <c r="AF69" s="1004"/>
      <c r="AK69" s="1013"/>
      <c r="AL69" s="1010"/>
      <c r="AM69" s="1009"/>
    </row>
    <row r="70" spans="1:42" s="1012" customFormat="1" ht="14.85" customHeight="1">
      <c r="A70" s="1005"/>
      <c r="B70" s="1024" t="s">
        <v>115</v>
      </c>
      <c r="C70" s="1025"/>
      <c r="D70" s="1025"/>
      <c r="E70" s="1025"/>
      <c r="F70" s="1025"/>
      <c r="G70" s="1025"/>
      <c r="H70" s="1025"/>
      <c r="I70" s="1025"/>
      <c r="J70" s="1025"/>
      <c r="K70" s="1025"/>
      <c r="L70" s="1025"/>
      <c r="M70" s="1025"/>
      <c r="N70" s="940">
        <f>_xlfn.QUARTILE.INC(N38:N67,3)</f>
        <v>303277.11749999999</v>
      </c>
      <c r="O70" s="940"/>
      <c r="P70" s="1026">
        <f>_xlfn.QUARTILE.INC(P38:P67,3)</f>
        <v>386178.98199999996</v>
      </c>
      <c r="Q70" s="992"/>
      <c r="R70" s="992"/>
      <c r="S70" s="1027">
        <f>_xlfn.QUARTILE.INC(S38:S67,3)</f>
        <v>18.935000000000002</v>
      </c>
      <c r="T70" s="995"/>
      <c r="U70" s="996"/>
      <c r="V70" s="1011"/>
      <c r="W70" s="998"/>
      <c r="X70" s="999"/>
      <c r="Y70" s="999"/>
      <c r="Z70" s="999"/>
      <c r="AA70" s="1001"/>
      <c r="AB70" s="1002"/>
      <c r="AC70" s="1008"/>
      <c r="AD70" s="1003"/>
      <c r="AE70" s="1003"/>
      <c r="AF70" s="1004"/>
      <c r="AK70" s="1013"/>
      <c r="AL70" s="1010"/>
      <c r="AM70" s="1009"/>
    </row>
    <row r="71" spans="1:42" s="1012" customFormat="1" ht="14.85" customHeight="1">
      <c r="A71" s="1005"/>
      <c r="B71" s="1024" t="s">
        <v>43</v>
      </c>
      <c r="C71" s="1025"/>
      <c r="D71" s="1025"/>
      <c r="E71" s="1025"/>
      <c r="F71" s="1025"/>
      <c r="G71" s="1025"/>
      <c r="H71" s="1025"/>
      <c r="I71" s="1025"/>
      <c r="J71" s="1025"/>
      <c r="K71" s="1025"/>
      <c r="L71" s="1025"/>
      <c r="M71" s="1025"/>
      <c r="N71" s="940">
        <f>AVERAGE(N38:N67)</f>
        <v>311046.29902777786</v>
      </c>
      <c r="O71" s="940"/>
      <c r="P71" s="1026">
        <f>AVERAGE(P38:P67)</f>
        <v>394267.71482777788</v>
      </c>
      <c r="Q71" s="992"/>
      <c r="R71" s="992"/>
      <c r="S71" s="1027">
        <f>AVERAGE(S38:S67)</f>
        <v>15.816838666666664</v>
      </c>
      <c r="T71" s="995"/>
      <c r="U71" s="996"/>
      <c r="V71" s="1011"/>
      <c r="W71" s="998"/>
      <c r="X71" s="999"/>
      <c r="Y71" s="999"/>
      <c r="Z71" s="999"/>
      <c r="AA71" s="1001"/>
      <c r="AB71" s="1002"/>
      <c r="AC71" s="1008"/>
      <c r="AD71" s="1003"/>
      <c r="AE71" s="1003"/>
      <c r="AF71" s="1004"/>
      <c r="AK71" s="1013"/>
      <c r="AL71" s="1010"/>
      <c r="AM71" s="1009"/>
    </row>
    <row r="72" spans="1:42" s="1012" customFormat="1" ht="14.85" customHeight="1">
      <c r="A72" s="1005"/>
      <c r="B72" s="1024" t="s">
        <v>44</v>
      </c>
      <c r="C72" s="1025"/>
      <c r="D72" s="1025"/>
      <c r="E72" s="1025"/>
      <c r="F72" s="1025"/>
      <c r="G72" s="1025"/>
      <c r="H72" s="1025"/>
      <c r="I72" s="1025"/>
      <c r="J72" s="1025"/>
      <c r="K72" s="1025"/>
      <c r="L72" s="1025"/>
      <c r="M72" s="1025"/>
      <c r="N72" s="940">
        <f>MEDIAN(N38:N67)</f>
        <v>223446.00375</v>
      </c>
      <c r="O72" s="940"/>
      <c r="P72" s="1026">
        <f>MEDIAN(P38:P67)</f>
        <v>281928.07625000004</v>
      </c>
      <c r="Q72" s="992"/>
      <c r="R72" s="992"/>
      <c r="S72" s="1027">
        <f>MEDIAN(S38:S67)</f>
        <v>13.835000000000001</v>
      </c>
      <c r="T72" s="995"/>
      <c r="U72" s="996"/>
      <c r="V72" s="1011"/>
      <c r="W72" s="998"/>
      <c r="X72" s="999"/>
      <c r="Y72" s="999"/>
      <c r="Z72" s="999"/>
      <c r="AA72" s="1001"/>
      <c r="AB72" s="1002"/>
      <c r="AC72" s="1008"/>
      <c r="AD72" s="1003"/>
      <c r="AE72" s="1003"/>
      <c r="AF72" s="1004"/>
      <c r="AK72" s="1013"/>
      <c r="AL72" s="1010"/>
      <c r="AM72" s="1009"/>
    </row>
    <row r="73" spans="1:42" s="1012" customFormat="1" ht="14.85" customHeight="1">
      <c r="A73" s="1005"/>
      <c r="B73" s="1024" t="s">
        <v>114</v>
      </c>
      <c r="C73" s="1025"/>
      <c r="D73" s="1025"/>
      <c r="E73" s="1025"/>
      <c r="F73" s="1025"/>
      <c r="G73" s="1025"/>
      <c r="H73" s="1025"/>
      <c r="I73" s="1025"/>
      <c r="J73" s="1025"/>
      <c r="K73" s="1025"/>
      <c r="L73" s="1025"/>
      <c r="M73" s="1025"/>
      <c r="N73" s="940">
        <f>_xlfn.QUARTILE.INC(N38:N67,1)</f>
        <v>115322.05799999999</v>
      </c>
      <c r="O73" s="940"/>
      <c r="P73" s="1026">
        <f>_xlfn.QUARTILE.INC(P38:P67,1)</f>
        <v>194896.33499999999</v>
      </c>
      <c r="Q73" s="992"/>
      <c r="R73" s="992"/>
      <c r="S73" s="1027">
        <f>_xlfn.QUARTILE.INC(S38:S67,1)</f>
        <v>12.205</v>
      </c>
      <c r="T73" s="995">
        <v>1000</v>
      </c>
      <c r="U73" s="996"/>
      <c r="V73" s="1011"/>
      <c r="W73" s="998"/>
      <c r="X73" s="999"/>
      <c r="Y73" s="999"/>
      <c r="Z73" s="999"/>
      <c r="AA73" s="1001"/>
      <c r="AB73" s="1002"/>
      <c r="AC73" s="1008"/>
      <c r="AD73" s="1003"/>
      <c r="AE73" s="1003"/>
      <c r="AF73" s="1004"/>
      <c r="AK73" s="1013"/>
      <c r="AL73" s="1010"/>
      <c r="AM73" s="1009"/>
    </row>
    <row r="74" spans="1:42" s="1012" customFormat="1" ht="14.85" customHeight="1">
      <c r="A74" s="1005"/>
      <c r="B74" s="1028" t="s">
        <v>112</v>
      </c>
      <c r="C74" s="1029"/>
      <c r="D74" s="1029"/>
      <c r="E74" s="1029"/>
      <c r="F74" s="1029"/>
      <c r="G74" s="1029"/>
      <c r="H74" s="1029"/>
      <c r="I74" s="1029"/>
      <c r="J74" s="1029"/>
      <c r="K74" s="1029"/>
      <c r="L74" s="1029"/>
      <c r="M74" s="1029"/>
      <c r="N74" s="942">
        <f>MIN(N38:N67)</f>
        <v>40848.839999999997</v>
      </c>
      <c r="O74" s="942"/>
      <c r="P74" s="1030">
        <f>MIN(P38:P67)</f>
        <v>52970.983999999997</v>
      </c>
      <c r="Q74" s="992"/>
      <c r="R74" s="992"/>
      <c r="S74" s="1031">
        <f>MIN(S38:S67)</f>
        <v>3.35</v>
      </c>
      <c r="T74" s="995"/>
      <c r="U74" s="996"/>
      <c r="V74" s="1011"/>
      <c r="W74" s="998"/>
      <c r="X74" s="999"/>
      <c r="Y74" s="999"/>
      <c r="Z74" s="999"/>
      <c r="AA74" s="1001"/>
      <c r="AB74" s="1002"/>
      <c r="AC74" s="1008"/>
      <c r="AD74" s="1003"/>
      <c r="AE74" s="1003"/>
      <c r="AF74" s="1004"/>
      <c r="AK74" s="1013"/>
      <c r="AL74" s="1010"/>
      <c r="AM74" s="1009"/>
    </row>
    <row r="75" spans="1:42" s="1012" customFormat="1" ht="14.85" customHeight="1">
      <c r="A75" s="1005"/>
      <c r="B75" s="986"/>
      <c r="C75" s="989"/>
      <c r="D75" s="988"/>
      <c r="E75" s="989"/>
      <c r="F75" s="990"/>
      <c r="G75" s="1017"/>
      <c r="H75" s="1006"/>
      <c r="I75" s="1006"/>
      <c r="J75" s="1017"/>
      <c r="K75" s="1018"/>
      <c r="L75" s="994"/>
      <c r="M75" s="994"/>
      <c r="N75" s="992"/>
      <c r="O75" s="994"/>
      <c r="P75" s="992"/>
      <c r="Q75" s="992"/>
      <c r="R75" s="992"/>
      <c r="S75" s="991"/>
      <c r="T75" s="995"/>
      <c r="U75" s="996"/>
      <c r="V75" s="1011"/>
      <c r="W75" s="998"/>
      <c r="X75" s="999"/>
      <c r="Y75" s="999"/>
      <c r="Z75" s="999"/>
      <c r="AA75" s="1001"/>
      <c r="AB75" s="1002"/>
      <c r="AC75" s="1008"/>
      <c r="AD75" s="1003"/>
      <c r="AE75" s="1003"/>
      <c r="AF75" s="1004"/>
      <c r="AK75" s="1013"/>
      <c r="AL75" s="1010"/>
      <c r="AM75" s="1009"/>
    </row>
    <row r="76" spans="1:42" s="1012" customFormat="1" ht="14.85" customHeight="1">
      <c r="A76" s="1005"/>
      <c r="B76" s="1032" t="s">
        <v>1514</v>
      </c>
      <c r="C76" s="989"/>
      <c r="D76" s="988"/>
      <c r="E76" s="989"/>
      <c r="F76" s="990"/>
      <c r="G76" s="1017"/>
      <c r="H76" s="1006"/>
      <c r="I76" s="1006"/>
      <c r="J76" s="1017"/>
      <c r="K76" s="1018"/>
      <c r="L76" s="994"/>
      <c r="M76" s="994"/>
      <c r="N76" s="992"/>
      <c r="O76" s="994"/>
      <c r="P76" s="992"/>
      <c r="Q76" s="992"/>
      <c r="R76" s="992"/>
      <c r="S76" s="991"/>
      <c r="T76" s="995"/>
      <c r="U76" s="996"/>
      <c r="V76" s="1011"/>
      <c r="W76" s="998"/>
      <c r="X76" s="999"/>
      <c r="Y76" s="999"/>
      <c r="Z76" s="999"/>
      <c r="AA76" s="1001"/>
      <c r="AB76" s="1002"/>
      <c r="AC76" s="1008"/>
      <c r="AD76" s="1003"/>
      <c r="AE76" s="1003"/>
      <c r="AF76" s="1004"/>
      <c r="AK76" s="1013"/>
      <c r="AL76" s="1010"/>
      <c r="AM76" s="1009"/>
    </row>
    <row r="77" spans="1:42" s="1012" customFormat="1" ht="14.85" customHeight="1">
      <c r="A77" s="1005"/>
      <c r="B77" s="986" t="s">
        <v>1845</v>
      </c>
      <c r="C77" s="989" t="s">
        <v>1846</v>
      </c>
      <c r="D77" s="988" t="s">
        <v>494</v>
      </c>
      <c r="E77" s="989" t="s">
        <v>1847</v>
      </c>
      <c r="F77" s="990">
        <v>43075</v>
      </c>
      <c r="G77" s="1006">
        <v>24</v>
      </c>
      <c r="H77" s="1006">
        <v>24</v>
      </c>
      <c r="I77" s="1006">
        <v>27</v>
      </c>
      <c r="J77" s="1006">
        <v>22.72</v>
      </c>
      <c r="K77" s="992">
        <f t="shared" ref="K77:K112" si="24">+M77-L77</f>
        <v>20640.356</v>
      </c>
      <c r="L77" s="994">
        <v>6250</v>
      </c>
      <c r="M77" s="994">
        <v>26890.356</v>
      </c>
      <c r="N77" s="992">
        <f t="shared" ref="N77:N112" si="25">+G77*K77</f>
        <v>495368.54399999999</v>
      </c>
      <c r="O77" s="994">
        <f t="shared" ref="O77:O112" si="26">+G77*L77</f>
        <v>150000</v>
      </c>
      <c r="P77" s="992">
        <f t="shared" ref="P77:P112" si="27">+N77+O77</f>
        <v>645368.54399999999</v>
      </c>
      <c r="Q77" s="992"/>
      <c r="R77" s="968">
        <v>1</v>
      </c>
      <c r="S77" s="991">
        <f t="shared" ref="S77:S112" si="28">J77</f>
        <v>22.72</v>
      </c>
      <c r="T77" s="995">
        <f t="shared" ref="T77:T112" si="29">S77*M77</f>
        <v>610948.88831999991</v>
      </c>
      <c r="U77" s="996">
        <f t="shared" ref="U77:U112" si="30">T77/P77-1</f>
        <v>-5.3333333333333455E-2</v>
      </c>
      <c r="V77" s="997" t="s">
        <v>1848</v>
      </c>
      <c r="W77" s="998" t="s">
        <v>1849</v>
      </c>
      <c r="X77" s="999">
        <f t="shared" ref="X77:X112" si="31">+N77+O77</f>
        <v>645368.54399999999</v>
      </c>
      <c r="Y77" s="1033"/>
      <c r="Z77" s="1033"/>
      <c r="AA77" s="1001"/>
      <c r="AB77" s="1002"/>
      <c r="AC77" s="1002"/>
      <c r="AD77" s="1035"/>
      <c r="AE77" s="1035"/>
      <c r="AF77" s="1004"/>
      <c r="AG77" s="979"/>
      <c r="AH77" s="964"/>
      <c r="AI77" s="964"/>
      <c r="AJ77" s="964"/>
      <c r="AK77" s="994"/>
      <c r="AL77" s="1010"/>
      <c r="AM77" s="1009"/>
      <c r="AN77" s="964"/>
      <c r="AO77" s="964"/>
      <c r="AP77" s="964"/>
    </row>
    <row r="78" spans="1:42" s="1012" customFormat="1" ht="14.85" customHeight="1">
      <c r="A78" s="1005"/>
      <c r="B78" s="986" t="s">
        <v>1788</v>
      </c>
      <c r="C78" s="989" t="s">
        <v>1789</v>
      </c>
      <c r="D78" s="988" t="s">
        <v>494</v>
      </c>
      <c r="E78" s="989" t="s">
        <v>1790</v>
      </c>
      <c r="F78" s="990">
        <v>43054</v>
      </c>
      <c r="G78" s="1006">
        <v>10</v>
      </c>
      <c r="H78" s="1006">
        <v>15</v>
      </c>
      <c r="I78" s="1006">
        <v>17</v>
      </c>
      <c r="J78" s="1006">
        <v>11.2</v>
      </c>
      <c r="K78" s="992">
        <f t="shared" si="24"/>
        <v>9694.3829999999998</v>
      </c>
      <c r="L78" s="994">
        <v>4000</v>
      </c>
      <c r="M78" s="994">
        <v>13694.383</v>
      </c>
      <c r="N78" s="992">
        <f t="shared" si="25"/>
        <v>96943.83</v>
      </c>
      <c r="O78" s="994">
        <f t="shared" si="26"/>
        <v>40000</v>
      </c>
      <c r="P78" s="992">
        <f t="shared" si="27"/>
        <v>136943.83000000002</v>
      </c>
      <c r="Q78" s="992"/>
      <c r="R78" s="968">
        <v>1</v>
      </c>
      <c r="S78" s="991">
        <f t="shared" si="28"/>
        <v>11.2</v>
      </c>
      <c r="T78" s="995">
        <f t="shared" si="29"/>
        <v>153377.08959999998</v>
      </c>
      <c r="U78" s="996">
        <f t="shared" si="30"/>
        <v>0.11999999999999966</v>
      </c>
      <c r="V78" s="997" t="s">
        <v>1791</v>
      </c>
      <c r="W78" s="998" t="s">
        <v>1792</v>
      </c>
      <c r="X78" s="999">
        <f t="shared" si="31"/>
        <v>136943.83000000002</v>
      </c>
      <c r="Y78" s="1033"/>
      <c r="Z78" s="1033"/>
      <c r="AA78" s="1001"/>
      <c r="AB78" s="1002"/>
      <c r="AC78" s="1002"/>
      <c r="AD78" s="1035"/>
      <c r="AE78" s="1035"/>
      <c r="AF78" s="1004"/>
      <c r="AG78" s="979"/>
      <c r="AH78" s="964"/>
      <c r="AI78" s="964"/>
      <c r="AJ78" s="964"/>
      <c r="AK78" s="994"/>
      <c r="AL78" s="1010"/>
      <c r="AM78" s="1009"/>
      <c r="AN78" s="964"/>
      <c r="AO78" s="964"/>
      <c r="AP78" s="964"/>
    </row>
    <row r="79" spans="1:42" s="1012" customFormat="1" ht="14.85" customHeight="1">
      <c r="A79" s="1005"/>
      <c r="B79" s="986" t="s">
        <v>1794</v>
      </c>
      <c r="C79" s="989" t="s">
        <v>1795</v>
      </c>
      <c r="D79" s="988" t="s">
        <v>494</v>
      </c>
      <c r="E79" s="989" t="s">
        <v>1796</v>
      </c>
      <c r="F79" s="990">
        <v>43047</v>
      </c>
      <c r="G79" s="1006">
        <v>15</v>
      </c>
      <c r="H79" s="1006">
        <v>14</v>
      </c>
      <c r="I79" s="1006">
        <v>16</v>
      </c>
      <c r="J79" s="1006">
        <v>19.190000000000001</v>
      </c>
      <c r="K79" s="992">
        <f t="shared" si="24"/>
        <v>16743.972000000002</v>
      </c>
      <c r="L79" s="994">
        <v>6667</v>
      </c>
      <c r="M79" s="994">
        <v>23410.972000000002</v>
      </c>
      <c r="N79" s="992">
        <f t="shared" si="25"/>
        <v>251159.58000000002</v>
      </c>
      <c r="O79" s="994">
        <f t="shared" si="26"/>
        <v>100005</v>
      </c>
      <c r="P79" s="992">
        <f t="shared" si="27"/>
        <v>351164.58</v>
      </c>
      <c r="Q79" s="992"/>
      <c r="R79" s="968">
        <v>1</v>
      </c>
      <c r="S79" s="991">
        <f t="shared" si="28"/>
        <v>19.190000000000001</v>
      </c>
      <c r="T79" s="995">
        <f t="shared" si="29"/>
        <v>449256.55268000008</v>
      </c>
      <c r="U79" s="996">
        <f t="shared" si="30"/>
        <v>0.27933333333333343</v>
      </c>
      <c r="V79" s="997" t="s">
        <v>1797</v>
      </c>
      <c r="W79" s="998" t="s">
        <v>1798</v>
      </c>
      <c r="X79" s="999">
        <f t="shared" si="31"/>
        <v>351164.58</v>
      </c>
      <c r="Y79" s="1033"/>
      <c r="Z79" s="1033"/>
      <c r="AA79" s="1001"/>
      <c r="AB79" s="1002"/>
      <c r="AC79" s="1002"/>
      <c r="AD79" s="1035"/>
      <c r="AE79" s="1035"/>
      <c r="AF79" s="1004"/>
      <c r="AG79" s="979"/>
      <c r="AH79" s="964"/>
      <c r="AI79" s="964"/>
      <c r="AJ79" s="964"/>
      <c r="AK79" s="994"/>
      <c r="AL79" s="1010"/>
      <c r="AM79" s="1009"/>
      <c r="AN79" s="964"/>
      <c r="AO79" s="964"/>
      <c r="AP79" s="964"/>
    </row>
    <row r="80" spans="1:42" s="1012" customFormat="1" ht="14.85" customHeight="1">
      <c r="A80" s="1005"/>
      <c r="B80" s="986" t="s">
        <v>1799</v>
      </c>
      <c r="C80" s="989" t="s">
        <v>1800</v>
      </c>
      <c r="D80" s="988" t="s">
        <v>494</v>
      </c>
      <c r="E80" s="989" t="s">
        <v>1801</v>
      </c>
      <c r="F80" s="990">
        <v>43047</v>
      </c>
      <c r="G80" s="1006">
        <v>14</v>
      </c>
      <c r="H80" s="1006">
        <v>13</v>
      </c>
      <c r="I80" s="1006">
        <v>15</v>
      </c>
      <c r="J80" s="1006">
        <v>14.38</v>
      </c>
      <c r="K80" s="992">
        <f t="shared" si="24"/>
        <v>38542.936999999998</v>
      </c>
      <c r="L80" s="994">
        <v>10714</v>
      </c>
      <c r="M80" s="994">
        <v>49256.936999999998</v>
      </c>
      <c r="N80" s="992">
        <f t="shared" si="25"/>
        <v>539601.11800000002</v>
      </c>
      <c r="O80" s="994">
        <f t="shared" si="26"/>
        <v>149996</v>
      </c>
      <c r="P80" s="992">
        <f t="shared" si="27"/>
        <v>689597.11800000002</v>
      </c>
      <c r="Q80" s="992"/>
      <c r="R80" s="968">
        <v>1</v>
      </c>
      <c r="S80" s="991">
        <f t="shared" si="28"/>
        <v>14.38</v>
      </c>
      <c r="T80" s="995">
        <f t="shared" si="29"/>
        <v>708314.75406000006</v>
      </c>
      <c r="U80" s="996">
        <f t="shared" si="30"/>
        <v>2.7142857142857135E-2</v>
      </c>
      <c r="V80" s="997" t="s">
        <v>1802</v>
      </c>
      <c r="W80" s="998" t="s">
        <v>1803</v>
      </c>
      <c r="X80" s="999">
        <f t="shared" si="31"/>
        <v>689597.11800000002</v>
      </c>
      <c r="Y80" s="1033"/>
      <c r="Z80" s="1033"/>
      <c r="AA80" s="1001"/>
      <c r="AB80" s="1002"/>
      <c r="AC80" s="1002"/>
      <c r="AD80" s="1035"/>
      <c r="AE80" s="1035"/>
      <c r="AF80" s="1004"/>
      <c r="AG80" s="979"/>
      <c r="AH80" s="964"/>
      <c r="AI80" s="964"/>
      <c r="AJ80" s="964"/>
      <c r="AK80" s="994"/>
      <c r="AL80" s="1010"/>
      <c r="AM80" s="1009"/>
      <c r="AN80" s="964"/>
      <c r="AO80" s="964"/>
      <c r="AP80" s="964"/>
    </row>
    <row r="81" spans="1:73" s="1012" customFormat="1" ht="14.85" customHeight="1">
      <c r="A81" s="1005"/>
      <c r="B81" s="986" t="s">
        <v>1865</v>
      </c>
      <c r="C81" s="989" t="s">
        <v>1866</v>
      </c>
      <c r="D81" s="988" t="s">
        <v>494</v>
      </c>
      <c r="E81" s="989" t="s">
        <v>1867</v>
      </c>
      <c r="F81" s="990">
        <v>43040</v>
      </c>
      <c r="G81" s="1006">
        <v>14</v>
      </c>
      <c r="H81" s="1006">
        <v>14</v>
      </c>
      <c r="I81" s="1006">
        <v>16</v>
      </c>
      <c r="J81" s="1006">
        <v>14</v>
      </c>
      <c r="K81" s="992">
        <f t="shared" si="24"/>
        <v>15288.515000000003</v>
      </c>
      <c r="L81" s="994">
        <v>5333.3329999999996</v>
      </c>
      <c r="M81" s="994">
        <v>20621.848000000002</v>
      </c>
      <c r="N81" s="992">
        <f t="shared" si="25"/>
        <v>214039.21000000005</v>
      </c>
      <c r="O81" s="994">
        <f t="shared" si="26"/>
        <v>74666.661999999997</v>
      </c>
      <c r="P81" s="992">
        <f t="shared" si="27"/>
        <v>288705.87200000003</v>
      </c>
      <c r="Q81" s="992"/>
      <c r="R81" s="968">
        <v>1</v>
      </c>
      <c r="S81" s="991">
        <f t="shared" si="28"/>
        <v>14</v>
      </c>
      <c r="T81" s="995">
        <f t="shared" si="29"/>
        <v>288705.87200000003</v>
      </c>
      <c r="U81" s="996">
        <f t="shared" si="30"/>
        <v>0</v>
      </c>
      <c r="V81" s="997" t="s">
        <v>1868</v>
      </c>
      <c r="W81" s="998" t="s">
        <v>1869</v>
      </c>
      <c r="X81" s="999">
        <f t="shared" si="31"/>
        <v>288705.87200000003</v>
      </c>
      <c r="Y81" s="1033"/>
      <c r="Z81" s="1033"/>
      <c r="AA81" s="1001"/>
      <c r="AB81" s="1002"/>
      <c r="AC81" s="1002"/>
      <c r="AD81" s="1035"/>
      <c r="AE81" s="1035"/>
      <c r="AF81" s="1004"/>
      <c r="AG81" s="979"/>
      <c r="AH81" s="964"/>
      <c r="AI81" s="964"/>
      <c r="AJ81" s="964"/>
      <c r="AK81" s="994"/>
      <c r="AL81" s="1010"/>
      <c r="AM81" s="1009"/>
      <c r="AN81" s="964"/>
      <c r="AO81" s="964"/>
      <c r="AP81" s="964"/>
    </row>
    <row r="82" spans="1:73" s="1012" customFormat="1" ht="14.85" customHeight="1">
      <c r="A82" s="1005"/>
      <c r="B82" s="986" t="s">
        <v>1817</v>
      </c>
      <c r="C82" s="989" t="s">
        <v>1818</v>
      </c>
      <c r="D82" s="988" t="s">
        <v>494</v>
      </c>
      <c r="E82" s="989" t="s">
        <v>1819</v>
      </c>
      <c r="F82" s="990">
        <v>43012</v>
      </c>
      <c r="G82" s="1006">
        <v>17</v>
      </c>
      <c r="H82" s="1006">
        <v>14</v>
      </c>
      <c r="I82" s="1006">
        <v>16</v>
      </c>
      <c r="J82" s="1006">
        <v>25.89</v>
      </c>
      <c r="K82" s="992">
        <f t="shared" si="24"/>
        <v>20081.484</v>
      </c>
      <c r="L82" s="994">
        <v>7050</v>
      </c>
      <c r="M82" s="994">
        <v>27131.484</v>
      </c>
      <c r="N82" s="992">
        <f t="shared" si="25"/>
        <v>341385.228</v>
      </c>
      <c r="O82" s="994">
        <f t="shared" si="26"/>
        <v>119850</v>
      </c>
      <c r="P82" s="992">
        <f t="shared" si="27"/>
        <v>461235.228</v>
      </c>
      <c r="Q82" s="992"/>
      <c r="R82" s="968">
        <v>1</v>
      </c>
      <c r="S82" s="991">
        <f t="shared" si="28"/>
        <v>25.89</v>
      </c>
      <c r="T82" s="995">
        <f t="shared" si="29"/>
        <v>702434.12076000008</v>
      </c>
      <c r="U82" s="996">
        <f t="shared" si="30"/>
        <v>0.52294117647058846</v>
      </c>
      <c r="V82" s="997" t="s">
        <v>1820</v>
      </c>
      <c r="W82" s="998" t="s">
        <v>1821</v>
      </c>
      <c r="X82" s="999">
        <f t="shared" si="31"/>
        <v>461235.228</v>
      </c>
      <c r="Y82" s="1033"/>
      <c r="Z82" s="1033"/>
      <c r="AA82" s="1001"/>
      <c r="AB82" s="1002"/>
      <c r="AC82" s="1002"/>
      <c r="AD82" s="1035"/>
      <c r="AE82" s="1035"/>
      <c r="AF82" s="1004"/>
      <c r="AG82" s="979"/>
      <c r="AH82" s="964"/>
      <c r="AI82" s="964"/>
      <c r="AJ82" s="964"/>
      <c r="AK82" s="994"/>
      <c r="AL82" s="1010"/>
      <c r="AM82" s="1009"/>
      <c r="AN82" s="964"/>
      <c r="AO82" s="964"/>
      <c r="AP82" s="964"/>
    </row>
    <row r="83" spans="1:73" s="1012" customFormat="1" ht="14.85" customHeight="1">
      <c r="A83" s="1005"/>
      <c r="B83" s="986" t="s">
        <v>1870</v>
      </c>
      <c r="C83" s="989" t="s">
        <v>1871</v>
      </c>
      <c r="D83" s="988" t="s">
        <v>494</v>
      </c>
      <c r="E83" s="989" t="s">
        <v>1872</v>
      </c>
      <c r="F83" s="990">
        <v>42948</v>
      </c>
      <c r="G83" s="1006">
        <v>15</v>
      </c>
      <c r="H83" s="1006">
        <v>13</v>
      </c>
      <c r="I83" s="1006">
        <v>15</v>
      </c>
      <c r="J83" s="1006">
        <v>17</v>
      </c>
      <c r="K83" s="992">
        <f t="shared" si="24"/>
        <v>22526.583999999999</v>
      </c>
      <c r="L83" s="994">
        <v>8000</v>
      </c>
      <c r="M83" s="994">
        <v>30526.583999999999</v>
      </c>
      <c r="N83" s="992">
        <f t="shared" si="25"/>
        <v>337898.76</v>
      </c>
      <c r="O83" s="994">
        <f t="shared" si="26"/>
        <v>120000</v>
      </c>
      <c r="P83" s="992">
        <f t="shared" si="27"/>
        <v>457898.76</v>
      </c>
      <c r="Q83" s="992"/>
      <c r="R83" s="968">
        <v>1</v>
      </c>
      <c r="S83" s="991">
        <f t="shared" si="28"/>
        <v>17</v>
      </c>
      <c r="T83" s="995">
        <f t="shared" si="29"/>
        <v>518951.92799999996</v>
      </c>
      <c r="U83" s="996">
        <f t="shared" si="30"/>
        <v>0.1333333333333333</v>
      </c>
      <c r="V83" s="997" t="s">
        <v>1873</v>
      </c>
      <c r="W83" s="998" t="s">
        <v>1874</v>
      </c>
      <c r="X83" s="999">
        <f t="shared" si="31"/>
        <v>457898.76</v>
      </c>
      <c r="Y83" s="1033"/>
      <c r="Z83" s="1033"/>
      <c r="AA83" s="1001"/>
      <c r="AB83" s="1002"/>
      <c r="AC83" s="1002"/>
      <c r="AD83" s="1035"/>
      <c r="AE83" s="1035"/>
      <c r="AF83" s="1004"/>
      <c r="AG83" s="979"/>
      <c r="AH83" s="964"/>
      <c r="AI83" s="964"/>
      <c r="AJ83" s="964"/>
      <c r="AK83" s="994"/>
      <c r="AL83" s="1010"/>
      <c r="AM83" s="1009"/>
      <c r="AN83" s="964"/>
      <c r="AO83" s="964"/>
      <c r="AP83" s="964"/>
    </row>
    <row r="84" spans="1:73" s="1012" customFormat="1" ht="14.85" customHeight="1">
      <c r="A84" s="1005"/>
      <c r="B84" s="986" t="s">
        <v>1804</v>
      </c>
      <c r="C84" s="989" t="s">
        <v>1805</v>
      </c>
      <c r="D84" s="988" t="s">
        <v>1212</v>
      </c>
      <c r="E84" s="989" t="s">
        <v>1806</v>
      </c>
      <c r="F84" s="990">
        <v>42942</v>
      </c>
      <c r="G84" s="1006">
        <v>15</v>
      </c>
      <c r="H84" s="1006">
        <v>14</v>
      </c>
      <c r="I84" s="1006">
        <v>16</v>
      </c>
      <c r="J84" s="1006">
        <v>24.1</v>
      </c>
      <c r="K84" s="992">
        <f t="shared" si="24"/>
        <v>15555</v>
      </c>
      <c r="L84" s="994">
        <v>4333</v>
      </c>
      <c r="M84" s="994">
        <v>19888</v>
      </c>
      <c r="N84" s="992">
        <f t="shared" si="25"/>
        <v>233325</v>
      </c>
      <c r="O84" s="994">
        <f t="shared" si="26"/>
        <v>64995</v>
      </c>
      <c r="P84" s="992">
        <f t="shared" si="27"/>
        <v>298320</v>
      </c>
      <c r="Q84" s="992"/>
      <c r="R84" s="968">
        <v>1</v>
      </c>
      <c r="S84" s="991">
        <f t="shared" si="28"/>
        <v>24.1</v>
      </c>
      <c r="T84" s="995">
        <f t="shared" si="29"/>
        <v>479300.80000000005</v>
      </c>
      <c r="U84" s="996">
        <f t="shared" si="30"/>
        <v>0.60666666666666691</v>
      </c>
      <c r="V84" s="997" t="s">
        <v>1806</v>
      </c>
      <c r="W84" s="998" t="s">
        <v>1807</v>
      </c>
      <c r="X84" s="999">
        <f t="shared" si="31"/>
        <v>298320</v>
      </c>
      <c r="Y84" s="1033" t="s">
        <v>1793</v>
      </c>
      <c r="Z84" s="1033">
        <v>31719000</v>
      </c>
      <c r="AA84" s="1001">
        <v>-31420676</v>
      </c>
      <c r="AB84" s="1002"/>
      <c r="AC84" s="1002"/>
      <c r="AD84" s="1035"/>
      <c r="AE84" s="1035"/>
      <c r="AF84" s="1004" t="s">
        <v>1793</v>
      </c>
      <c r="AG84" s="979"/>
      <c r="AH84" s="964"/>
      <c r="AI84" s="964"/>
      <c r="AJ84" s="964"/>
      <c r="AK84" s="994"/>
      <c r="AL84" s="1010"/>
      <c r="AM84" s="1009"/>
      <c r="AN84" s="964"/>
      <c r="AO84" s="964"/>
      <c r="AP84" s="964"/>
    </row>
    <row r="85" spans="1:73" s="1012" customFormat="1" ht="14.85" customHeight="1">
      <c r="A85" s="1005"/>
      <c r="B85" s="986" t="s">
        <v>1808</v>
      </c>
      <c r="C85" s="989" t="s">
        <v>1809</v>
      </c>
      <c r="D85" s="988" t="s">
        <v>1307</v>
      </c>
      <c r="E85" s="989" t="s">
        <v>1810</v>
      </c>
      <c r="F85" s="990">
        <v>42914</v>
      </c>
      <c r="G85" s="1006">
        <v>15</v>
      </c>
      <c r="H85" s="1006">
        <v>15</v>
      </c>
      <c r="I85" s="1006">
        <v>17</v>
      </c>
      <c r="J85" s="1006">
        <v>13.19</v>
      </c>
      <c r="K85" s="992">
        <f t="shared" si="24"/>
        <v>10960.208000000001</v>
      </c>
      <c r="L85" s="994">
        <v>3750</v>
      </c>
      <c r="M85" s="994">
        <v>14710.208000000001</v>
      </c>
      <c r="N85" s="992">
        <f t="shared" si="25"/>
        <v>164403.12</v>
      </c>
      <c r="O85" s="994">
        <f t="shared" si="26"/>
        <v>56250</v>
      </c>
      <c r="P85" s="992">
        <f t="shared" si="27"/>
        <v>220653.12</v>
      </c>
      <c r="Q85" s="992"/>
      <c r="R85" s="968">
        <v>1</v>
      </c>
      <c r="S85" s="991">
        <f t="shared" si="28"/>
        <v>13.19</v>
      </c>
      <c r="T85" s="995">
        <f t="shared" si="29"/>
        <v>194027.64352000001</v>
      </c>
      <c r="U85" s="996">
        <f t="shared" si="30"/>
        <v>-0.12066666666666659</v>
      </c>
      <c r="V85" s="997" t="s">
        <v>1875</v>
      </c>
      <c r="W85" s="998" t="s">
        <v>1811</v>
      </c>
      <c r="X85" s="999">
        <f t="shared" si="31"/>
        <v>220653.12</v>
      </c>
      <c r="Y85" s="1033"/>
      <c r="Z85" s="1033"/>
      <c r="AA85" s="1001"/>
      <c r="AB85" s="1002"/>
      <c r="AC85" s="1002"/>
      <c r="AD85" s="1035"/>
      <c r="AE85" s="1035"/>
      <c r="AF85" s="1004"/>
      <c r="AG85" s="979"/>
      <c r="AH85" s="964"/>
      <c r="AI85" s="964"/>
      <c r="AJ85" s="964"/>
      <c r="AK85" s="994"/>
      <c r="AL85" s="1010"/>
      <c r="AM85" s="1009"/>
      <c r="AN85" s="964"/>
      <c r="AO85" s="964"/>
      <c r="AP85" s="964"/>
    </row>
    <row r="86" spans="1:73" s="1012" customFormat="1" ht="14.85" customHeight="1">
      <c r="A86" s="1005"/>
      <c r="B86" s="986" t="s">
        <v>1812</v>
      </c>
      <c r="C86" s="989" t="s">
        <v>1813</v>
      </c>
      <c r="D86" s="988" t="s">
        <v>494</v>
      </c>
      <c r="E86" s="989" t="s">
        <v>1814</v>
      </c>
      <c r="F86" s="990">
        <v>42912</v>
      </c>
      <c r="G86" s="1006">
        <v>6</v>
      </c>
      <c r="H86" s="1006">
        <v>9</v>
      </c>
      <c r="I86" s="1006">
        <v>11</v>
      </c>
      <c r="J86" s="1006">
        <v>6.98</v>
      </c>
      <c r="K86" s="992">
        <f t="shared" si="24"/>
        <v>3341.4680000000008</v>
      </c>
      <c r="L86" s="994">
        <v>5500</v>
      </c>
      <c r="M86" s="994">
        <v>8841.4680000000008</v>
      </c>
      <c r="N86" s="992">
        <f t="shared" si="25"/>
        <v>20048.808000000005</v>
      </c>
      <c r="O86" s="994">
        <f t="shared" si="26"/>
        <v>33000</v>
      </c>
      <c r="P86" s="992">
        <f t="shared" si="27"/>
        <v>53048.808000000005</v>
      </c>
      <c r="Q86" s="992"/>
      <c r="R86" s="968">
        <v>1</v>
      </c>
      <c r="S86" s="991">
        <f t="shared" si="28"/>
        <v>6.98</v>
      </c>
      <c r="T86" s="995">
        <f t="shared" si="29"/>
        <v>61713.446640000009</v>
      </c>
      <c r="U86" s="996">
        <f t="shared" si="30"/>
        <v>0.16333333333333333</v>
      </c>
      <c r="V86" s="997" t="s">
        <v>1815</v>
      </c>
      <c r="W86" s="998" t="s">
        <v>1816</v>
      </c>
      <c r="X86" s="999">
        <f t="shared" si="31"/>
        <v>53048.808000000005</v>
      </c>
      <c r="Y86" s="1033">
        <v>5982</v>
      </c>
      <c r="Z86" s="1033">
        <v>0</v>
      </c>
      <c r="AA86" s="1001">
        <v>59030.808000000005</v>
      </c>
      <c r="AB86" s="1002">
        <v>0</v>
      </c>
      <c r="AC86" s="1002">
        <v>0</v>
      </c>
      <c r="AD86" s="1035" t="s">
        <v>13</v>
      </c>
      <c r="AE86" s="1035" t="s">
        <v>13</v>
      </c>
      <c r="AF86" s="1004">
        <f>+P86-X86</f>
        <v>0</v>
      </c>
      <c r="AG86" s="979"/>
      <c r="AH86" s="964"/>
      <c r="AI86" s="964"/>
      <c r="AJ86" s="964"/>
      <c r="AK86" s="994"/>
      <c r="AL86" s="1010"/>
      <c r="AM86" s="1009"/>
      <c r="AN86" s="964"/>
      <c r="AO86" s="964"/>
      <c r="AP86" s="964"/>
    </row>
    <row r="87" spans="1:73" s="1012" customFormat="1" ht="14.85" customHeight="1">
      <c r="A87" s="1005"/>
      <c r="B87" s="986" t="s">
        <v>1749</v>
      </c>
      <c r="C87" s="989" t="s">
        <v>1750</v>
      </c>
      <c r="D87" s="988" t="s">
        <v>494</v>
      </c>
      <c r="E87" s="989" t="s">
        <v>1751</v>
      </c>
      <c r="F87" s="990">
        <v>42859</v>
      </c>
      <c r="G87" s="1006">
        <v>15</v>
      </c>
      <c r="H87" s="1006">
        <v>15</v>
      </c>
      <c r="I87" s="1006">
        <v>17</v>
      </c>
      <c r="J87" s="1006">
        <v>12.15</v>
      </c>
      <c r="K87" s="992">
        <f t="shared" si="24"/>
        <v>18851.937000000002</v>
      </c>
      <c r="L87" s="994">
        <v>5750</v>
      </c>
      <c r="M87" s="994">
        <v>24601.937000000002</v>
      </c>
      <c r="N87" s="992">
        <f t="shared" si="25"/>
        <v>282779.05500000005</v>
      </c>
      <c r="O87" s="994">
        <f t="shared" si="26"/>
        <v>86250</v>
      </c>
      <c r="P87" s="992">
        <f t="shared" si="27"/>
        <v>369029.05500000005</v>
      </c>
      <c r="Q87" s="992"/>
      <c r="R87" s="968">
        <v>1</v>
      </c>
      <c r="S87" s="991">
        <f t="shared" si="28"/>
        <v>12.15</v>
      </c>
      <c r="T87" s="995">
        <f t="shared" si="29"/>
        <v>298913.53455000004</v>
      </c>
      <c r="U87" s="996">
        <f t="shared" si="30"/>
        <v>-0.19000000000000006</v>
      </c>
      <c r="V87" s="1011" t="s">
        <v>1752</v>
      </c>
      <c r="W87" s="998" t="s">
        <v>1753</v>
      </c>
      <c r="X87" s="999">
        <f t="shared" si="31"/>
        <v>369029.05500000005</v>
      </c>
      <c r="Y87" s="1033" t="e">
        <f ca="1">_xll.ciqfunctions.udf.CIQ(C87, "IQ_TOTAL_DEBT", , F87, , , "USD")*1000</f>
        <v>#NAME?</v>
      </c>
      <c r="Z87" s="1033" t="e">
        <f ca="1">_xll.ciqfunctions.udf.CIQ(C87, "IQ_CASH_EQUIV", , F87, , , "USD")*1000</f>
        <v>#NAME?</v>
      </c>
      <c r="AA87" s="1001" t="e">
        <f ca="1">X87+Y87-Z87</f>
        <v>#NAME?</v>
      </c>
      <c r="AB87" s="1002" t="e">
        <f ca="1">_xll.ciqfunctions.udf.CIQ($C87, "IQ_TOTAL_REV", IQ_LTM, $F$12, $Y$2, $Y$1, $Y$3, $Y$4)*1000</f>
        <v>#NAME?</v>
      </c>
      <c r="AC87" s="1002" t="e">
        <f ca="1">_xll.ciqfunctions.udf.CIQ($C87, "IQ_EBITDA", IQ_LTM, $F$12, $Y$2, $Y$1, $Y$3, $Y$4)*1000</f>
        <v>#NAME?</v>
      </c>
      <c r="AD87" s="1035" t="str">
        <f ca="1">IFERROR(AA87/AB87,"n/a")</f>
        <v>n/a</v>
      </c>
      <c r="AE87" s="1035" t="str">
        <f ca="1">IFERROR(AA87/AC87,"n/a")</f>
        <v>n/a</v>
      </c>
      <c r="AF87" s="1004">
        <f>+P87-X87</f>
        <v>0</v>
      </c>
      <c r="AK87" s="1013"/>
      <c r="AL87" s="1010"/>
      <c r="AM87" s="1009"/>
    </row>
    <row r="88" spans="1:73" s="1012" customFormat="1" ht="14.85" customHeight="1">
      <c r="A88" s="1005"/>
      <c r="B88" s="986" t="s">
        <v>1876</v>
      </c>
      <c r="C88" s="989" t="s">
        <v>1877</v>
      </c>
      <c r="D88" s="988" t="s">
        <v>1307</v>
      </c>
      <c r="E88" s="989" t="s">
        <v>1878</v>
      </c>
      <c r="F88" s="990">
        <v>42858</v>
      </c>
      <c r="G88" s="1006">
        <v>13</v>
      </c>
      <c r="H88" s="1006">
        <v>12</v>
      </c>
      <c r="I88" s="1006">
        <v>14</v>
      </c>
      <c r="J88" s="1006">
        <v>18.64</v>
      </c>
      <c r="K88" s="992">
        <f t="shared" si="24"/>
        <v>7499.17</v>
      </c>
      <c r="L88" s="994">
        <v>4473.3729999999996</v>
      </c>
      <c r="M88" s="994">
        <v>11972.543</v>
      </c>
      <c r="N88" s="992">
        <f t="shared" si="25"/>
        <v>97489.21</v>
      </c>
      <c r="O88" s="994">
        <f t="shared" si="26"/>
        <v>58153.848999999995</v>
      </c>
      <c r="P88" s="992">
        <f t="shared" si="27"/>
        <v>155643.05900000001</v>
      </c>
      <c r="Q88" s="992"/>
      <c r="R88" s="968">
        <v>1</v>
      </c>
      <c r="S88" s="991">
        <f t="shared" si="28"/>
        <v>18.64</v>
      </c>
      <c r="T88" s="995">
        <f t="shared" si="29"/>
        <v>223168.20152</v>
      </c>
      <c r="U88" s="996">
        <f t="shared" si="30"/>
        <v>0.43384615384615377</v>
      </c>
      <c r="V88" s="997" t="s">
        <v>1879</v>
      </c>
      <c r="W88" s="998" t="s">
        <v>1880</v>
      </c>
      <c r="X88" s="999">
        <f t="shared" si="31"/>
        <v>155643.05900000001</v>
      </c>
      <c r="Y88" s="1033"/>
      <c r="Z88" s="1033"/>
      <c r="AA88" s="1001"/>
      <c r="AB88" s="1002"/>
      <c r="AC88" s="1002"/>
      <c r="AD88" s="1035"/>
      <c r="AE88" s="1035"/>
      <c r="AF88" s="1004"/>
      <c r="AG88" s="979"/>
      <c r="AH88" s="964"/>
      <c r="AI88" s="964"/>
      <c r="AJ88" s="964"/>
      <c r="AK88" s="994"/>
      <c r="AL88" s="1010"/>
      <c r="AM88" s="1009"/>
      <c r="AN88" s="964"/>
      <c r="AO88" s="964"/>
      <c r="AP88" s="964"/>
    </row>
    <row r="89" spans="1:73" s="1012" customFormat="1" ht="14.85" customHeight="1">
      <c r="A89" s="1005"/>
      <c r="B89" s="986" t="s">
        <v>1754</v>
      </c>
      <c r="C89" s="989" t="s">
        <v>1755</v>
      </c>
      <c r="D89" s="988" t="s">
        <v>1517</v>
      </c>
      <c r="E89" s="989" t="s">
        <v>1756</v>
      </c>
      <c r="F89" s="990">
        <v>42858</v>
      </c>
      <c r="G89" s="1017">
        <v>17</v>
      </c>
      <c r="H89" s="1006">
        <v>14</v>
      </c>
      <c r="I89" s="1006">
        <v>16</v>
      </c>
      <c r="J89" s="1017">
        <v>21.87</v>
      </c>
      <c r="K89" s="992">
        <f t="shared" si="24"/>
        <v>24330.582999999999</v>
      </c>
      <c r="L89" s="994">
        <v>8333.3330000000005</v>
      </c>
      <c r="M89" s="994">
        <v>32663.916000000001</v>
      </c>
      <c r="N89" s="992">
        <f t="shared" si="25"/>
        <v>413619.91099999996</v>
      </c>
      <c r="O89" s="994">
        <f t="shared" si="26"/>
        <v>141666.66100000002</v>
      </c>
      <c r="P89" s="992">
        <f t="shared" si="27"/>
        <v>555286.57199999993</v>
      </c>
      <c r="Q89" s="992"/>
      <c r="R89" s="968">
        <v>1</v>
      </c>
      <c r="S89" s="991">
        <f t="shared" si="28"/>
        <v>21.87</v>
      </c>
      <c r="T89" s="995">
        <f t="shared" si="29"/>
        <v>714359.84292000008</v>
      </c>
      <c r="U89" s="996">
        <f t="shared" si="30"/>
        <v>0.28647058823529448</v>
      </c>
      <c r="V89" s="1011" t="s">
        <v>1758</v>
      </c>
      <c r="W89" s="998" t="s">
        <v>1757</v>
      </c>
      <c r="X89" s="999">
        <f t="shared" si="31"/>
        <v>555286.57199999993</v>
      </c>
      <c r="Y89" s="1033" t="e">
        <f ca="1">_xll.ciqfunctions.udf.CIQ(C89, "IQ_TOTAL_DEBT", , F89, , , "USD")*1000</f>
        <v>#NAME?</v>
      </c>
      <c r="Z89" s="1033" t="e">
        <f ca="1">_xll.ciqfunctions.udf.CIQ(C89, "IQ_CASH_EQUIV", , F89, , , "USD")*1000</f>
        <v>#NAME?</v>
      </c>
      <c r="AA89" s="1001" t="e">
        <f t="shared" ref="AA89:AA109" ca="1" si="32">X89+Y89-Z89</f>
        <v>#NAME?</v>
      </c>
      <c r="AB89" s="1002" t="e">
        <f ca="1">_xll.ciqfunctions.udf.CIQ($C89, "IQ_TOTAL_REV", IQ_LTM, $F$12, $Y$2, $Y$1, $Y$3, $Y$4)*1000</f>
        <v>#NAME?</v>
      </c>
      <c r="AC89" s="1002" t="e">
        <f ca="1">_xll.ciqfunctions.udf.CIQ($C89, "IQ_EBITDA", IQ_LTM, $F$12, $Y$2, $Y$1, $Y$3, $Y$4)*1000</f>
        <v>#NAME?</v>
      </c>
      <c r="AD89" s="1035" t="str">
        <f t="shared" ref="AD89:AD109" ca="1" si="33">IFERROR(AA89/AB89,"n/a")</f>
        <v>n/a</v>
      </c>
      <c r="AE89" s="1035" t="str">
        <f t="shared" ref="AE89:AE109" ca="1" si="34">IFERROR(AA89/AC89,"n/a")</f>
        <v>n/a</v>
      </c>
      <c r="AF89" s="1004">
        <f t="shared" ref="AF89:AF109" si="35">+P89-X89</f>
        <v>0</v>
      </c>
      <c r="AK89" s="1013"/>
      <c r="AL89" s="1010"/>
      <c r="AM89" s="1009"/>
    </row>
    <row r="90" spans="1:73" s="1012" customFormat="1" ht="14.85" customHeight="1">
      <c r="A90" s="1005"/>
      <c r="B90" s="986" t="s">
        <v>1515</v>
      </c>
      <c r="C90" s="989" t="s">
        <v>1516</v>
      </c>
      <c r="D90" s="988" t="s">
        <v>1517</v>
      </c>
      <c r="E90" s="989" t="s">
        <v>1518</v>
      </c>
      <c r="F90" s="990">
        <v>42837</v>
      </c>
      <c r="G90" s="1006">
        <v>10</v>
      </c>
      <c r="H90" s="1006">
        <v>10</v>
      </c>
      <c r="I90" s="1006">
        <v>12</v>
      </c>
      <c r="J90" s="1006">
        <v>16.690000000000001</v>
      </c>
      <c r="K90" s="992">
        <f t="shared" si="24"/>
        <v>9897.3070000000007</v>
      </c>
      <c r="L90" s="993">
        <v>7250</v>
      </c>
      <c r="M90" s="993">
        <v>17147.307000000001</v>
      </c>
      <c r="N90" s="992">
        <f t="shared" si="25"/>
        <v>98973.07</v>
      </c>
      <c r="O90" s="994">
        <f t="shared" si="26"/>
        <v>72500</v>
      </c>
      <c r="P90" s="992">
        <f t="shared" si="27"/>
        <v>171473.07</v>
      </c>
      <c r="Q90" s="992"/>
      <c r="R90" s="968">
        <v>1</v>
      </c>
      <c r="S90" s="991">
        <f t="shared" si="28"/>
        <v>16.690000000000001</v>
      </c>
      <c r="T90" s="995">
        <f t="shared" si="29"/>
        <v>286188.55383000005</v>
      </c>
      <c r="U90" s="996">
        <f t="shared" si="30"/>
        <v>0.66900000000000026</v>
      </c>
      <c r="V90" s="1011" t="s">
        <v>1519</v>
      </c>
      <c r="W90" s="998" t="s">
        <v>1520</v>
      </c>
      <c r="X90" s="999">
        <f t="shared" si="31"/>
        <v>171473.07</v>
      </c>
      <c r="Y90" s="999">
        <v>20839000</v>
      </c>
      <c r="Z90" s="999">
        <v>5510</v>
      </c>
      <c r="AA90" s="1001">
        <f t="shared" si="32"/>
        <v>21004963.07</v>
      </c>
      <c r="AB90" s="1002">
        <v>54</v>
      </c>
      <c r="AC90" s="1008">
        <v>-25990</v>
      </c>
      <c r="AD90" s="1003">
        <f t="shared" si="33"/>
        <v>388980.7975925926</v>
      </c>
      <c r="AE90" s="1003">
        <f t="shared" si="34"/>
        <v>-808.19403886110047</v>
      </c>
      <c r="AF90" s="1004">
        <f t="shared" si="35"/>
        <v>0</v>
      </c>
      <c r="AK90" s="1013"/>
      <c r="AL90" s="1010"/>
      <c r="AM90" s="1009"/>
    </row>
    <row r="91" spans="1:73" s="1012" customFormat="1" ht="14.85" customHeight="1">
      <c r="A91" s="1005"/>
      <c r="B91" s="986" t="s">
        <v>1521</v>
      </c>
      <c r="C91" s="989" t="s">
        <v>1522</v>
      </c>
      <c r="D91" s="988" t="s">
        <v>1212</v>
      </c>
      <c r="E91" s="989" t="s">
        <v>1523</v>
      </c>
      <c r="F91" s="990">
        <v>42760</v>
      </c>
      <c r="G91" s="991">
        <v>15</v>
      </c>
      <c r="H91" s="991">
        <v>14</v>
      </c>
      <c r="I91" s="991">
        <v>16</v>
      </c>
      <c r="J91" s="991">
        <v>13.99</v>
      </c>
      <c r="K91" s="992">
        <f t="shared" si="24"/>
        <v>23181.261999999999</v>
      </c>
      <c r="L91" s="993">
        <f>6450000/1000</f>
        <v>6450</v>
      </c>
      <c r="M91" s="993">
        <f>29631262/1000</f>
        <v>29631.261999999999</v>
      </c>
      <c r="N91" s="992">
        <f t="shared" si="25"/>
        <v>347718.93</v>
      </c>
      <c r="O91" s="994">
        <f t="shared" si="26"/>
        <v>96750</v>
      </c>
      <c r="P91" s="992">
        <f t="shared" si="27"/>
        <v>444468.93</v>
      </c>
      <c r="Q91" s="992"/>
      <c r="R91" s="968">
        <v>1</v>
      </c>
      <c r="S91" s="991">
        <f t="shared" si="28"/>
        <v>13.99</v>
      </c>
      <c r="T91" s="995">
        <f t="shared" si="29"/>
        <v>414541.35537999996</v>
      </c>
      <c r="U91" s="996">
        <f t="shared" si="30"/>
        <v>-6.7333333333333356E-2</v>
      </c>
      <c r="V91" s="1007" t="s">
        <v>1523</v>
      </c>
      <c r="W91" s="998" t="s">
        <v>1524</v>
      </c>
      <c r="X91" s="999">
        <f t="shared" si="31"/>
        <v>444468.93</v>
      </c>
      <c r="Y91" s="999">
        <v>0</v>
      </c>
      <c r="Z91" s="999">
        <v>38910</v>
      </c>
      <c r="AA91" s="1001">
        <f t="shared" si="32"/>
        <v>405558.93</v>
      </c>
      <c r="AB91" s="1002">
        <v>0</v>
      </c>
      <c r="AC91" s="1008">
        <v>-20977</v>
      </c>
      <c r="AD91" s="1003" t="str">
        <f t="shared" si="33"/>
        <v>n/a</v>
      </c>
      <c r="AE91" s="1003">
        <f t="shared" si="34"/>
        <v>-19.333504790961531</v>
      </c>
      <c r="AF91" s="1004">
        <f t="shared" si="35"/>
        <v>0</v>
      </c>
      <c r="AG91" s="1009"/>
      <c r="AH91" s="979"/>
      <c r="AI91" s="979"/>
      <c r="AJ91" s="979"/>
      <c r="AK91" s="979"/>
      <c r="AL91" s="979"/>
      <c r="AM91" s="979" t="s">
        <v>1525</v>
      </c>
      <c r="AN91" s="979" t="s">
        <v>1526</v>
      </c>
      <c r="AO91" s="979" t="s">
        <v>1527</v>
      </c>
      <c r="AP91" s="979"/>
      <c r="AQ91" s="979">
        <v>6450000</v>
      </c>
      <c r="AR91" s="979">
        <v>6450000</v>
      </c>
      <c r="AS91" s="979">
        <v>29631262</v>
      </c>
      <c r="AT91" s="979"/>
      <c r="AU91" s="979">
        <f>AQ91-AW91</f>
        <v>0</v>
      </c>
      <c r="AV91" s="979">
        <f>AS91-AY91</f>
        <v>0</v>
      </c>
      <c r="AW91" s="979">
        <v>6450000</v>
      </c>
      <c r="AX91" s="979">
        <f>AW91+BA91</f>
        <v>7417500</v>
      </c>
      <c r="AY91" s="979">
        <v>29631262</v>
      </c>
      <c r="AZ91" s="979">
        <f>AY91+BA91</f>
        <v>30598762</v>
      </c>
      <c r="BA91" s="979">
        <v>967500</v>
      </c>
      <c r="BB91" s="979">
        <f>BC91*J91</f>
        <v>414541327.40000004</v>
      </c>
      <c r="BC91" s="979">
        <v>29631260</v>
      </c>
      <c r="BD91" s="979">
        <f>+J91*M91</f>
        <v>414541.35537999996</v>
      </c>
      <c r="BE91" s="979">
        <v>42761</v>
      </c>
      <c r="BF91" s="979">
        <f>+BE91+30</f>
        <v>42791</v>
      </c>
      <c r="BG91" s="979">
        <f>BE91+90</f>
        <v>42851</v>
      </c>
      <c r="BH91" s="979">
        <v>29631260</v>
      </c>
      <c r="BI91" s="979">
        <v>13.62</v>
      </c>
      <c r="BJ91" s="979">
        <f>BI91*BH91</f>
        <v>403577761.19999999</v>
      </c>
      <c r="BK91" s="979" t="s">
        <v>1528</v>
      </c>
      <c r="BL91" s="979">
        <v>38910000</v>
      </c>
      <c r="BM91" s="979">
        <v>0</v>
      </c>
      <c r="BN91" s="979" t="e">
        <f ca="1">_xll.ciqfunctions.udf.CIQ(C91, "IQ_MARKETCAP", $BN$1)*1000000</f>
        <v>#NAME?</v>
      </c>
      <c r="BO91" s="979">
        <v>123139750</v>
      </c>
      <c r="BP91" s="979" t="e">
        <f ca="1">(BN91-BO91)/BN91</f>
        <v>#NAME?</v>
      </c>
      <c r="BQ91" s="979"/>
      <c r="BR91" s="979" t="s">
        <v>1529</v>
      </c>
      <c r="BS91" s="979"/>
      <c r="BT91" s="979"/>
      <c r="BU91" s="979" t="b">
        <f>IF(ABS(O91-P91)&lt;100,TRUE,FALSE)</f>
        <v>0</v>
      </c>
    </row>
    <row r="92" spans="1:73" s="979" customFormat="1" ht="14.85" customHeight="1">
      <c r="A92" s="1005"/>
      <c r="B92" s="986" t="s">
        <v>1062</v>
      </c>
      <c r="C92" s="989" t="s">
        <v>1063</v>
      </c>
      <c r="D92" s="988" t="s">
        <v>494</v>
      </c>
      <c r="E92" s="989" t="s">
        <v>1064</v>
      </c>
      <c r="F92" s="990">
        <v>42586</v>
      </c>
      <c r="G92" s="991">
        <v>10</v>
      </c>
      <c r="H92" s="991">
        <v>11</v>
      </c>
      <c r="I92" s="991">
        <v>13</v>
      </c>
      <c r="J92" s="991">
        <v>13.23</v>
      </c>
      <c r="K92" s="992">
        <f t="shared" si="24"/>
        <v>5431.6149999999998</v>
      </c>
      <c r="L92" s="993">
        <v>3000</v>
      </c>
      <c r="M92" s="993">
        <v>8431.6149999999998</v>
      </c>
      <c r="N92" s="992">
        <f t="shared" si="25"/>
        <v>54316.149999999994</v>
      </c>
      <c r="O92" s="994">
        <f t="shared" si="26"/>
        <v>30000</v>
      </c>
      <c r="P92" s="992">
        <f t="shared" si="27"/>
        <v>84316.15</v>
      </c>
      <c r="Q92" s="992"/>
      <c r="R92" s="968">
        <v>1</v>
      </c>
      <c r="S92" s="991">
        <f t="shared" si="28"/>
        <v>13.23</v>
      </c>
      <c r="T92" s="995">
        <f t="shared" si="29"/>
        <v>111550.26645</v>
      </c>
      <c r="U92" s="996">
        <f t="shared" si="30"/>
        <v>0.32299999999999995</v>
      </c>
      <c r="V92" s="1007" t="s">
        <v>1065</v>
      </c>
      <c r="W92" s="998" t="s">
        <v>1066</v>
      </c>
      <c r="X92" s="999">
        <f t="shared" si="31"/>
        <v>84316.15</v>
      </c>
      <c r="Y92" s="999">
        <v>6461000</v>
      </c>
      <c r="Z92" s="999">
        <v>1629</v>
      </c>
      <c r="AA92" s="1001">
        <f t="shared" si="32"/>
        <v>6543687.1500000004</v>
      </c>
      <c r="AB92" s="1002">
        <v>0</v>
      </c>
      <c r="AC92" s="1008">
        <v>0</v>
      </c>
      <c r="AD92" s="1003" t="str">
        <f t="shared" si="33"/>
        <v>n/a</v>
      </c>
      <c r="AE92" s="1003" t="str">
        <f t="shared" si="34"/>
        <v>n/a</v>
      </c>
      <c r="AF92" s="1004">
        <f t="shared" si="35"/>
        <v>0</v>
      </c>
      <c r="AG92" s="1009"/>
    </row>
    <row r="93" spans="1:73" s="979" customFormat="1" ht="14.85" customHeight="1">
      <c r="A93" s="1005"/>
      <c r="B93" s="986" t="s">
        <v>1067</v>
      </c>
      <c r="C93" s="989" t="s">
        <v>1068</v>
      </c>
      <c r="D93" s="988" t="s">
        <v>494</v>
      </c>
      <c r="E93" s="989" t="s">
        <v>1069</v>
      </c>
      <c r="F93" s="990">
        <v>42577</v>
      </c>
      <c r="G93" s="1006">
        <v>12</v>
      </c>
      <c r="H93" s="1006">
        <v>0</v>
      </c>
      <c r="I93" s="1006">
        <v>0</v>
      </c>
      <c r="J93" s="1006">
        <v>10.06</v>
      </c>
      <c r="K93" s="992">
        <f t="shared" si="24"/>
        <v>38620.332000000002</v>
      </c>
      <c r="L93" s="993">
        <v>6250</v>
      </c>
      <c r="M93" s="993">
        <v>44870.332000000002</v>
      </c>
      <c r="N93" s="992">
        <f t="shared" si="25"/>
        <v>463443.98400000005</v>
      </c>
      <c r="O93" s="994">
        <f t="shared" si="26"/>
        <v>75000</v>
      </c>
      <c r="P93" s="992">
        <f t="shared" si="27"/>
        <v>538443.98400000005</v>
      </c>
      <c r="Q93" s="992"/>
      <c r="R93" s="968">
        <v>1</v>
      </c>
      <c r="S93" s="991">
        <f t="shared" si="28"/>
        <v>10.06</v>
      </c>
      <c r="T93" s="995">
        <f t="shared" si="29"/>
        <v>451395.53992000007</v>
      </c>
      <c r="U93" s="996">
        <f t="shared" si="30"/>
        <v>-0.16166666666666663</v>
      </c>
      <c r="V93" s="1007" t="s">
        <v>1070</v>
      </c>
      <c r="W93" s="998" t="s">
        <v>1071</v>
      </c>
      <c r="X93" s="999">
        <f t="shared" si="31"/>
        <v>538443.98400000005</v>
      </c>
      <c r="Y93" s="999">
        <v>221589000</v>
      </c>
      <c r="Z93" s="999">
        <v>8601</v>
      </c>
      <c r="AA93" s="1001">
        <f t="shared" si="32"/>
        <v>222118842.984</v>
      </c>
      <c r="AB93" s="1002">
        <v>35305</v>
      </c>
      <c r="AC93" s="1008">
        <v>-74119</v>
      </c>
      <c r="AD93" s="1003">
        <f t="shared" si="33"/>
        <v>6291.4273611103245</v>
      </c>
      <c r="AE93" s="1003">
        <f t="shared" si="34"/>
        <v>-2996.7868290721676</v>
      </c>
      <c r="AF93" s="1004">
        <f t="shared" si="35"/>
        <v>0</v>
      </c>
      <c r="AG93" s="1009"/>
    </row>
    <row r="94" spans="1:73" s="979" customFormat="1" ht="14.85" customHeight="1">
      <c r="A94" s="1005"/>
      <c r="B94" s="1048" t="s">
        <v>1101</v>
      </c>
      <c r="C94" s="989" t="s">
        <v>1102</v>
      </c>
      <c r="D94" s="988" t="s">
        <v>494</v>
      </c>
      <c r="E94" s="989" t="s">
        <v>1103</v>
      </c>
      <c r="F94" s="990">
        <v>42495</v>
      </c>
      <c r="G94" s="1006">
        <v>12</v>
      </c>
      <c r="H94" s="1006">
        <v>13</v>
      </c>
      <c r="I94" s="1006">
        <v>15</v>
      </c>
      <c r="J94" s="1006">
        <v>11.2</v>
      </c>
      <c r="K94" s="992">
        <f t="shared" si="24"/>
        <v>6171.0910000000003</v>
      </c>
      <c r="L94" s="993">
        <v>920</v>
      </c>
      <c r="M94" s="993">
        <v>7091.0910000000003</v>
      </c>
      <c r="N94" s="992">
        <f t="shared" si="25"/>
        <v>74053.092000000004</v>
      </c>
      <c r="O94" s="994">
        <f t="shared" si="26"/>
        <v>11040</v>
      </c>
      <c r="P94" s="992">
        <f t="shared" si="27"/>
        <v>85093.092000000004</v>
      </c>
      <c r="Q94" s="992"/>
      <c r="R94" s="968">
        <v>1</v>
      </c>
      <c r="S94" s="991">
        <f t="shared" si="28"/>
        <v>11.2</v>
      </c>
      <c r="T94" s="995">
        <f t="shared" si="29"/>
        <v>79420.219199999992</v>
      </c>
      <c r="U94" s="996">
        <f t="shared" si="30"/>
        <v>-6.6666666666666763E-2</v>
      </c>
      <c r="V94" s="997" t="s">
        <v>1104</v>
      </c>
      <c r="W94" s="998" t="s">
        <v>1530</v>
      </c>
      <c r="X94" s="999">
        <f t="shared" si="31"/>
        <v>85093.092000000004</v>
      </c>
      <c r="Y94" s="999">
        <v>0</v>
      </c>
      <c r="Z94" s="999">
        <v>4347</v>
      </c>
      <c r="AA94" s="1001">
        <f t="shared" si="32"/>
        <v>80746.092000000004</v>
      </c>
      <c r="AB94" s="1002">
        <v>717</v>
      </c>
      <c r="AC94" s="1008">
        <v>-18116</v>
      </c>
      <c r="AD94" s="1003">
        <f t="shared" si="33"/>
        <v>112.61658577405858</v>
      </c>
      <c r="AE94" s="1003">
        <f t="shared" si="34"/>
        <v>-4.4571700154559508</v>
      </c>
      <c r="AF94" s="1004">
        <f t="shared" si="35"/>
        <v>0</v>
      </c>
      <c r="AK94" s="994"/>
      <c r="AL94" s="1010"/>
      <c r="AM94" s="1009"/>
    </row>
    <row r="95" spans="1:73" s="979" customFormat="1" ht="14.85" customHeight="1">
      <c r="A95" s="1005"/>
      <c r="B95" s="986" t="s">
        <v>1150</v>
      </c>
      <c r="C95" s="989" t="s">
        <v>1151</v>
      </c>
      <c r="D95" s="988" t="s">
        <v>494</v>
      </c>
      <c r="E95" s="989" t="s">
        <v>1152</v>
      </c>
      <c r="F95" s="990">
        <v>42291</v>
      </c>
      <c r="G95" s="1006">
        <v>6.5</v>
      </c>
      <c r="H95" s="1006">
        <v>6</v>
      </c>
      <c r="I95" s="1006">
        <v>7</v>
      </c>
      <c r="J95" s="1006">
        <v>3.13</v>
      </c>
      <c r="K95" s="992">
        <f t="shared" si="24"/>
        <v>4630.143</v>
      </c>
      <c r="L95" s="993">
        <v>4000</v>
      </c>
      <c r="M95" s="993">
        <v>8630.143</v>
      </c>
      <c r="N95" s="992">
        <f t="shared" si="25"/>
        <v>30095.929499999998</v>
      </c>
      <c r="O95" s="994">
        <f t="shared" si="26"/>
        <v>26000</v>
      </c>
      <c r="P95" s="992">
        <f t="shared" si="27"/>
        <v>56095.929499999998</v>
      </c>
      <c r="Q95" s="992"/>
      <c r="R95" s="968">
        <v>1</v>
      </c>
      <c r="S95" s="991">
        <f t="shared" si="28"/>
        <v>3.13</v>
      </c>
      <c r="T95" s="995">
        <f t="shared" si="29"/>
        <v>27012.347589999998</v>
      </c>
      <c r="U95" s="996">
        <f t="shared" si="30"/>
        <v>-0.51846153846153853</v>
      </c>
      <c r="V95" s="997" t="s">
        <v>1153</v>
      </c>
      <c r="W95" s="998" t="s">
        <v>1154</v>
      </c>
      <c r="X95" s="999">
        <f t="shared" si="31"/>
        <v>56095.929499999998</v>
      </c>
      <c r="Y95" s="999">
        <v>7052960</v>
      </c>
      <c r="Z95" s="999">
        <v>6142.86</v>
      </c>
      <c r="AA95" s="1001">
        <f t="shared" si="32"/>
        <v>7102913.0694999993</v>
      </c>
      <c r="AB95" s="1002">
        <v>650.49</v>
      </c>
      <c r="AC95" s="1008">
        <v>-13304.04</v>
      </c>
      <c r="AD95" s="1003">
        <f t="shared" si="33"/>
        <v>10919.3270757429</v>
      </c>
      <c r="AE95" s="1003">
        <f t="shared" si="34"/>
        <v>-533.891439705533</v>
      </c>
      <c r="AF95" s="1004">
        <f t="shared" si="35"/>
        <v>0</v>
      </c>
      <c r="AH95" s="964"/>
      <c r="AI95" s="964"/>
      <c r="AJ95" s="964"/>
      <c r="AK95" s="994"/>
      <c r="AL95" s="1010"/>
      <c r="AM95" s="1009"/>
      <c r="AN95" s="964"/>
      <c r="AO95" s="964"/>
      <c r="AP95" s="964"/>
      <c r="AQ95" s="964"/>
      <c r="AR95" s="964"/>
      <c r="AS95" s="964"/>
      <c r="AT95" s="964"/>
      <c r="AU95" s="964"/>
      <c r="AV95" s="964"/>
      <c r="AW95" s="964"/>
      <c r="AX95" s="964"/>
      <c r="AY95" s="964"/>
      <c r="AZ95" s="964"/>
      <c r="BA95" s="964"/>
      <c r="BB95" s="964"/>
      <c r="BC95" s="964"/>
      <c r="BD95" s="964"/>
      <c r="BE95" s="964"/>
      <c r="BF95" s="964"/>
      <c r="BG95" s="964"/>
      <c r="BH95" s="964"/>
      <c r="BI95" s="964"/>
      <c r="BJ95" s="964"/>
      <c r="BK95" s="964"/>
      <c r="BL95" s="964"/>
      <c r="BM95" s="964"/>
      <c r="BN95" s="964"/>
      <c r="BO95" s="964"/>
      <c r="BP95" s="964"/>
      <c r="BQ95" s="964"/>
      <c r="BR95" s="964"/>
      <c r="BS95" s="964"/>
      <c r="BT95" s="964"/>
      <c r="BU95" s="964"/>
    </row>
    <row r="96" spans="1:73" s="964" customFormat="1" ht="14.85" customHeight="1">
      <c r="A96" s="1005"/>
      <c r="B96" s="986" t="s">
        <v>1160</v>
      </c>
      <c r="C96" s="989" t="s">
        <v>1161</v>
      </c>
      <c r="D96" s="988" t="s">
        <v>494</v>
      </c>
      <c r="E96" s="989" t="s">
        <v>1162</v>
      </c>
      <c r="F96" s="990">
        <v>42283</v>
      </c>
      <c r="G96" s="1006">
        <v>11</v>
      </c>
      <c r="H96" s="1006">
        <v>14</v>
      </c>
      <c r="I96" s="1006">
        <v>16</v>
      </c>
      <c r="J96" s="1006">
        <v>14.67</v>
      </c>
      <c r="K96" s="992">
        <f t="shared" si="24"/>
        <v>14407.503000000001</v>
      </c>
      <c r="L96" s="993">
        <v>5000</v>
      </c>
      <c r="M96" s="993">
        <v>19407.503000000001</v>
      </c>
      <c r="N96" s="992">
        <f t="shared" si="25"/>
        <v>158482.533</v>
      </c>
      <c r="O96" s="994">
        <f t="shared" si="26"/>
        <v>55000</v>
      </c>
      <c r="P96" s="992">
        <f t="shared" si="27"/>
        <v>213482.533</v>
      </c>
      <c r="Q96" s="992"/>
      <c r="R96" s="968">
        <v>1</v>
      </c>
      <c r="S96" s="991">
        <f t="shared" si="28"/>
        <v>14.67</v>
      </c>
      <c r="T96" s="995">
        <f t="shared" si="29"/>
        <v>284708.06901000004</v>
      </c>
      <c r="U96" s="996">
        <f t="shared" si="30"/>
        <v>0.33363636363636373</v>
      </c>
      <c r="V96" s="997" t="s">
        <v>1163</v>
      </c>
      <c r="W96" s="998" t="s">
        <v>1164</v>
      </c>
      <c r="X96" s="999">
        <f t="shared" si="31"/>
        <v>213482.533</v>
      </c>
      <c r="Y96" s="999">
        <v>0</v>
      </c>
      <c r="Z96" s="999">
        <v>9853</v>
      </c>
      <c r="AA96" s="1001">
        <f t="shared" si="32"/>
        <v>203629.533</v>
      </c>
      <c r="AB96" s="1002">
        <v>0</v>
      </c>
      <c r="AC96" s="1008">
        <v>-37068</v>
      </c>
      <c r="AD96" s="1003" t="str">
        <f t="shared" si="33"/>
        <v>n/a</v>
      </c>
      <c r="AE96" s="1003">
        <f t="shared" si="34"/>
        <v>-5.4934049044998376</v>
      </c>
      <c r="AF96" s="1004">
        <f t="shared" si="35"/>
        <v>0</v>
      </c>
      <c r="AG96" s="979"/>
      <c r="AK96" s="994"/>
      <c r="AL96" s="1010"/>
      <c r="AM96" s="1009"/>
    </row>
    <row r="97" spans="1:73" s="964" customFormat="1" ht="14.85" customHeight="1">
      <c r="A97" s="1005"/>
      <c r="B97" s="986" t="s">
        <v>1169</v>
      </c>
      <c r="C97" s="989" t="s">
        <v>1170</v>
      </c>
      <c r="D97" s="988" t="s">
        <v>494</v>
      </c>
      <c r="E97" s="989" t="s">
        <v>1171</v>
      </c>
      <c r="F97" s="990">
        <v>42277</v>
      </c>
      <c r="G97" s="1006">
        <v>11</v>
      </c>
      <c r="H97" s="1006">
        <v>14</v>
      </c>
      <c r="I97" s="1006">
        <v>16</v>
      </c>
      <c r="J97" s="1006">
        <v>17.88</v>
      </c>
      <c r="K97" s="992">
        <f t="shared" si="24"/>
        <v>20181.25</v>
      </c>
      <c r="L97" s="993">
        <v>7315.1509999999998</v>
      </c>
      <c r="M97" s="993">
        <v>27496.401000000002</v>
      </c>
      <c r="N97" s="992">
        <f t="shared" si="25"/>
        <v>221993.75</v>
      </c>
      <c r="O97" s="994">
        <f t="shared" si="26"/>
        <v>80466.660999999993</v>
      </c>
      <c r="P97" s="992">
        <f t="shared" si="27"/>
        <v>302460.41099999996</v>
      </c>
      <c r="Q97" s="992"/>
      <c r="R97" s="968">
        <v>1</v>
      </c>
      <c r="S97" s="991">
        <f t="shared" si="28"/>
        <v>17.88</v>
      </c>
      <c r="T97" s="995">
        <f t="shared" si="29"/>
        <v>491635.64987999998</v>
      </c>
      <c r="U97" s="996">
        <f t="shared" si="30"/>
        <v>0.62545454545454549</v>
      </c>
      <c r="V97" s="997" t="s">
        <v>1172</v>
      </c>
      <c r="W97" s="998" t="s">
        <v>1173</v>
      </c>
      <c r="X97" s="999">
        <f t="shared" si="31"/>
        <v>302460.41099999996</v>
      </c>
      <c r="Y97" s="999">
        <v>5864400</v>
      </c>
      <c r="Z97" s="999">
        <v>58465.08</v>
      </c>
      <c r="AA97" s="1001">
        <f t="shared" si="32"/>
        <v>6108395.3310000002</v>
      </c>
      <c r="AB97" s="1002">
        <v>0</v>
      </c>
      <c r="AC97" s="1008">
        <v>-35591.700000000004</v>
      </c>
      <c r="AD97" s="1003" t="str">
        <f t="shared" si="33"/>
        <v>n/a</v>
      </c>
      <c r="AE97" s="1003">
        <f t="shared" si="34"/>
        <v>-171.62415200735001</v>
      </c>
      <c r="AF97" s="1004">
        <f t="shared" si="35"/>
        <v>0</v>
      </c>
      <c r="AG97" s="979"/>
      <c r="AK97" s="994"/>
      <c r="AL97" s="1010"/>
      <c r="AM97" s="1009"/>
    </row>
    <row r="98" spans="1:73" s="964" customFormat="1" ht="14.85" customHeight="1">
      <c r="A98" s="1005"/>
      <c r="B98" s="1046" t="s">
        <v>1175</v>
      </c>
      <c r="C98" s="989" t="s">
        <v>1176</v>
      </c>
      <c r="D98" s="988" t="s">
        <v>494</v>
      </c>
      <c r="E98" s="989" t="s">
        <v>1177</v>
      </c>
      <c r="F98" s="990">
        <v>42227</v>
      </c>
      <c r="G98" s="1006">
        <v>20</v>
      </c>
      <c r="H98" s="1006">
        <v>16</v>
      </c>
      <c r="I98" s="1006">
        <v>18</v>
      </c>
      <c r="J98" s="1006">
        <v>52.72</v>
      </c>
      <c r="K98" s="992">
        <f t="shared" si="24"/>
        <v>21808.456999999999</v>
      </c>
      <c r="L98" s="993">
        <v>6000</v>
      </c>
      <c r="M98" s="993">
        <v>27808.456999999999</v>
      </c>
      <c r="N98" s="992">
        <f t="shared" si="25"/>
        <v>436169.13999999996</v>
      </c>
      <c r="O98" s="994">
        <f t="shared" si="26"/>
        <v>120000</v>
      </c>
      <c r="P98" s="992">
        <f t="shared" si="27"/>
        <v>556169.1399999999</v>
      </c>
      <c r="Q98" s="992"/>
      <c r="R98" s="968">
        <v>1</v>
      </c>
      <c r="S98" s="991">
        <f t="shared" si="28"/>
        <v>52.72</v>
      </c>
      <c r="T98" s="995">
        <f t="shared" si="29"/>
        <v>1466061.85304</v>
      </c>
      <c r="U98" s="996">
        <f t="shared" si="30"/>
        <v>1.6360000000000006</v>
      </c>
      <c r="V98" s="1011" t="s">
        <v>1178</v>
      </c>
      <c r="W98" s="998" t="s">
        <v>1179</v>
      </c>
      <c r="X98" s="999">
        <f t="shared" si="31"/>
        <v>556169.1399999999</v>
      </c>
      <c r="Y98" s="999">
        <v>0</v>
      </c>
      <c r="Z98" s="999">
        <v>45800</v>
      </c>
      <c r="AA98" s="1001">
        <f t="shared" si="32"/>
        <v>510369.1399999999</v>
      </c>
      <c r="AB98" s="1002">
        <v>0</v>
      </c>
      <c r="AC98" s="1008">
        <v>-63892</v>
      </c>
      <c r="AD98" s="1003" t="str">
        <f t="shared" si="33"/>
        <v>n/a</v>
      </c>
      <c r="AE98" s="1003">
        <f t="shared" si="34"/>
        <v>-7.9879975583797647</v>
      </c>
      <c r="AF98" s="1004">
        <f t="shared" si="35"/>
        <v>0</v>
      </c>
      <c r="AG98" s="1014"/>
      <c r="AH98" s="1013"/>
      <c r="AI98" s="1014"/>
      <c r="AJ98" s="1014"/>
      <c r="AK98" s="1013"/>
      <c r="AL98" s="1010"/>
      <c r="AM98" s="1009"/>
      <c r="AN98" s="1011"/>
      <c r="AO98" s="1016"/>
      <c r="AP98" s="1016"/>
    </row>
    <row r="99" spans="1:73" s="964" customFormat="1" ht="14.85" customHeight="1">
      <c r="A99" s="1005"/>
      <c r="B99" s="986" t="s">
        <v>1180</v>
      </c>
      <c r="C99" s="989" t="s">
        <v>1181</v>
      </c>
      <c r="D99" s="988" t="s">
        <v>494</v>
      </c>
      <c r="E99" s="989" t="s">
        <v>1182</v>
      </c>
      <c r="F99" s="990">
        <v>42221</v>
      </c>
      <c r="G99" s="1006">
        <v>16</v>
      </c>
      <c r="H99" s="1006">
        <v>14</v>
      </c>
      <c r="I99" s="1006">
        <v>16</v>
      </c>
      <c r="J99" s="1006">
        <v>22.59</v>
      </c>
      <c r="K99" s="992">
        <f t="shared" si="24"/>
        <v>30679.538</v>
      </c>
      <c r="L99" s="993">
        <v>10000</v>
      </c>
      <c r="M99" s="993">
        <v>40679.538</v>
      </c>
      <c r="N99" s="992">
        <f t="shared" si="25"/>
        <v>490872.60800000001</v>
      </c>
      <c r="O99" s="994">
        <f t="shared" si="26"/>
        <v>160000</v>
      </c>
      <c r="P99" s="992">
        <f t="shared" si="27"/>
        <v>650872.60800000001</v>
      </c>
      <c r="Q99" s="992"/>
      <c r="R99" s="968">
        <v>1</v>
      </c>
      <c r="S99" s="991">
        <f t="shared" si="28"/>
        <v>22.59</v>
      </c>
      <c r="T99" s="995">
        <f t="shared" si="29"/>
        <v>918950.76341999997</v>
      </c>
      <c r="U99" s="996">
        <f t="shared" si="30"/>
        <v>0.41187499999999999</v>
      </c>
      <c r="V99" s="997" t="s">
        <v>1183</v>
      </c>
      <c r="W99" s="998" t="s">
        <v>1184</v>
      </c>
      <c r="X99" s="999">
        <f t="shared" si="31"/>
        <v>650872.60800000001</v>
      </c>
      <c r="Y99" s="999">
        <v>0</v>
      </c>
      <c r="Z99" s="999">
        <v>65313</v>
      </c>
      <c r="AA99" s="1001">
        <f t="shared" si="32"/>
        <v>585559.60800000001</v>
      </c>
      <c r="AB99" s="1002">
        <v>0</v>
      </c>
      <c r="AC99" s="1008">
        <v>-58822</v>
      </c>
      <c r="AD99" s="1003" t="str">
        <f t="shared" si="33"/>
        <v>n/a</v>
      </c>
      <c r="AE99" s="1003">
        <f t="shared" si="34"/>
        <v>-9.9547721600761623</v>
      </c>
      <c r="AF99" s="1004">
        <f t="shared" si="35"/>
        <v>0</v>
      </c>
      <c r="AG99" s="979"/>
      <c r="AK99" s="994"/>
      <c r="AL99" s="1010"/>
      <c r="AM99" s="1009"/>
    </row>
    <row r="100" spans="1:73" s="964" customFormat="1" ht="14.85" customHeight="1">
      <c r="A100" s="1047"/>
      <c r="B100" s="986" t="s">
        <v>755</v>
      </c>
      <c r="C100" s="989" t="s">
        <v>753</v>
      </c>
      <c r="D100" s="988" t="s">
        <v>494</v>
      </c>
      <c r="E100" s="989" t="s">
        <v>1190</v>
      </c>
      <c r="F100" s="990">
        <v>42213</v>
      </c>
      <c r="G100" s="1006">
        <v>25</v>
      </c>
      <c r="H100" s="1006">
        <v>20</v>
      </c>
      <c r="I100" s="1006">
        <v>23</v>
      </c>
      <c r="J100" s="1006">
        <v>19.510000000000002</v>
      </c>
      <c r="K100" s="992">
        <f t="shared" si="24"/>
        <v>70643.631999999998</v>
      </c>
      <c r="L100" s="993">
        <v>8288</v>
      </c>
      <c r="M100" s="993">
        <v>78931.631999999998</v>
      </c>
      <c r="N100" s="992">
        <f t="shared" si="25"/>
        <v>1766090.8</v>
      </c>
      <c r="O100" s="994">
        <f t="shared" si="26"/>
        <v>207200</v>
      </c>
      <c r="P100" s="992">
        <f t="shared" si="27"/>
        <v>1973290.8</v>
      </c>
      <c r="Q100" s="992"/>
      <c r="R100" s="968">
        <v>1</v>
      </c>
      <c r="S100" s="991">
        <f t="shared" si="28"/>
        <v>19.510000000000002</v>
      </c>
      <c r="T100" s="995">
        <f t="shared" si="29"/>
        <v>1539956.14032</v>
      </c>
      <c r="U100" s="996">
        <f t="shared" si="30"/>
        <v>-0.21960000000000002</v>
      </c>
      <c r="V100" s="997" t="s">
        <v>754</v>
      </c>
      <c r="W100" s="998" t="s">
        <v>756</v>
      </c>
      <c r="X100" s="999">
        <f t="shared" si="31"/>
        <v>1973290.8</v>
      </c>
      <c r="Y100" s="999">
        <v>0</v>
      </c>
      <c r="Z100" s="999">
        <v>49854</v>
      </c>
      <c r="AA100" s="1001">
        <f t="shared" si="32"/>
        <v>1923436.8</v>
      </c>
      <c r="AB100" s="1002">
        <v>43</v>
      </c>
      <c r="AC100" s="1008">
        <v>-141477</v>
      </c>
      <c r="AD100" s="1003">
        <f t="shared" si="33"/>
        <v>44731.088372093021</v>
      </c>
      <c r="AE100" s="1003">
        <f t="shared" si="34"/>
        <v>-13.595402786318624</v>
      </c>
      <c r="AF100" s="1004">
        <f t="shared" si="35"/>
        <v>0</v>
      </c>
      <c r="AG100" s="979"/>
      <c r="AK100" s="994"/>
      <c r="AL100" s="1010"/>
      <c r="AM100" s="1009"/>
    </row>
    <row r="101" spans="1:73" s="964" customFormat="1" ht="14.85" customHeight="1">
      <c r="A101" s="1005"/>
      <c r="B101" s="986" t="s">
        <v>1201</v>
      </c>
      <c r="C101" s="989" t="s">
        <v>1202</v>
      </c>
      <c r="D101" s="988" t="s">
        <v>494</v>
      </c>
      <c r="E101" s="989" t="s">
        <v>1203</v>
      </c>
      <c r="F101" s="990">
        <v>42180</v>
      </c>
      <c r="G101" s="1006">
        <v>18</v>
      </c>
      <c r="H101" s="1006">
        <v>15</v>
      </c>
      <c r="I101" s="1006">
        <v>17</v>
      </c>
      <c r="J101" s="1006">
        <v>38.200000000000003</v>
      </c>
      <c r="K101" s="992">
        <f t="shared" si="24"/>
        <v>30403.502</v>
      </c>
      <c r="L101" s="993">
        <v>7430.5550000000003</v>
      </c>
      <c r="M101" s="993">
        <v>37834.057000000001</v>
      </c>
      <c r="N101" s="992">
        <f t="shared" si="25"/>
        <v>547263.03599999996</v>
      </c>
      <c r="O101" s="994">
        <f t="shared" si="26"/>
        <v>133749.99</v>
      </c>
      <c r="P101" s="992">
        <f t="shared" si="27"/>
        <v>681013.02599999995</v>
      </c>
      <c r="Q101" s="992"/>
      <c r="R101" s="968">
        <v>1</v>
      </c>
      <c r="S101" s="991">
        <f t="shared" si="28"/>
        <v>38.200000000000003</v>
      </c>
      <c r="T101" s="995">
        <f t="shared" si="29"/>
        <v>1445260.9774000002</v>
      </c>
      <c r="U101" s="996">
        <f t="shared" si="30"/>
        <v>1.1222222222222227</v>
      </c>
      <c r="V101" s="1011" t="s">
        <v>1204</v>
      </c>
      <c r="W101" s="998" t="s">
        <v>1205</v>
      </c>
      <c r="X101" s="999">
        <f t="shared" si="31"/>
        <v>681013.02599999995</v>
      </c>
      <c r="Y101" s="999">
        <v>2216000</v>
      </c>
      <c r="Z101" s="999">
        <v>45045</v>
      </c>
      <c r="AA101" s="1001">
        <f t="shared" si="32"/>
        <v>2851968.0260000001</v>
      </c>
      <c r="AB101" s="1002">
        <v>5714</v>
      </c>
      <c r="AC101" s="1008">
        <v>-80629</v>
      </c>
      <c r="AD101" s="1003">
        <f t="shared" si="33"/>
        <v>499.11936051802593</v>
      </c>
      <c r="AE101" s="1003">
        <f t="shared" si="34"/>
        <v>-35.371491969390668</v>
      </c>
      <c r="AF101" s="1004">
        <f t="shared" si="35"/>
        <v>0</v>
      </c>
      <c r="AG101" s="1014"/>
      <c r="AH101" s="1013"/>
      <c r="AI101" s="1014"/>
      <c r="AJ101" s="1015"/>
      <c r="AK101" s="1013"/>
      <c r="AL101" s="1010"/>
      <c r="AM101" s="1009"/>
      <c r="AN101" s="1011"/>
      <c r="AO101" s="1016"/>
      <c r="AP101" s="1016"/>
    </row>
    <row r="102" spans="1:73" s="964" customFormat="1" ht="14.85" customHeight="1">
      <c r="A102" s="1005"/>
      <c r="B102" s="986" t="s">
        <v>1210</v>
      </c>
      <c r="C102" s="989" t="s">
        <v>1211</v>
      </c>
      <c r="D102" s="988" t="s">
        <v>1307</v>
      </c>
      <c r="E102" s="989" t="s">
        <v>1213</v>
      </c>
      <c r="F102" s="990">
        <v>42179</v>
      </c>
      <c r="G102" s="1006">
        <v>5</v>
      </c>
      <c r="H102" s="1006">
        <v>0</v>
      </c>
      <c r="I102" s="1006">
        <v>0</v>
      </c>
      <c r="J102" s="1006">
        <v>4.1599000000000004</v>
      </c>
      <c r="K102" s="992">
        <f t="shared" si="24"/>
        <v>3788.0600000000004</v>
      </c>
      <c r="L102" s="993">
        <v>4000</v>
      </c>
      <c r="M102" s="993">
        <v>7788.06</v>
      </c>
      <c r="N102" s="992">
        <f t="shared" si="25"/>
        <v>18940.300000000003</v>
      </c>
      <c r="O102" s="994">
        <f t="shared" si="26"/>
        <v>20000</v>
      </c>
      <c r="P102" s="992">
        <f t="shared" si="27"/>
        <v>38940.300000000003</v>
      </c>
      <c r="Q102" s="992"/>
      <c r="R102" s="968">
        <v>1</v>
      </c>
      <c r="S102" s="991">
        <f t="shared" si="28"/>
        <v>4.1599000000000004</v>
      </c>
      <c r="T102" s="995">
        <f t="shared" si="29"/>
        <v>32397.550794000006</v>
      </c>
      <c r="U102" s="996">
        <f t="shared" si="30"/>
        <v>-0.16801999999999995</v>
      </c>
      <c r="V102" s="997" t="s">
        <v>1214</v>
      </c>
      <c r="W102" s="998" t="s">
        <v>1215</v>
      </c>
      <c r="X102" s="999">
        <f t="shared" si="31"/>
        <v>38940.300000000003</v>
      </c>
      <c r="Y102" s="999">
        <v>0</v>
      </c>
      <c r="Z102" s="999">
        <v>1975.31</v>
      </c>
      <c r="AA102" s="1001">
        <f t="shared" si="32"/>
        <v>36964.990000000005</v>
      </c>
      <c r="AB102" s="1002">
        <v>0</v>
      </c>
      <c r="AC102" s="1008">
        <v>-12714.72</v>
      </c>
      <c r="AD102" s="1003" t="str">
        <f t="shared" si="33"/>
        <v>n/a</v>
      </c>
      <c r="AE102" s="1003">
        <f t="shared" si="34"/>
        <v>-2.9072594599015948</v>
      </c>
      <c r="AF102" s="1004">
        <f t="shared" si="35"/>
        <v>0</v>
      </c>
      <c r="AG102" s="979"/>
      <c r="AK102" s="994"/>
      <c r="AL102" s="1010"/>
      <c r="AM102" s="1009"/>
    </row>
    <row r="103" spans="1:73" s="964" customFormat="1" ht="14.85" customHeight="1">
      <c r="A103" s="1005"/>
      <c r="B103" s="986" t="s">
        <v>1249</v>
      </c>
      <c r="C103" s="989" t="s">
        <v>1250</v>
      </c>
      <c r="D103" s="988" t="s">
        <v>494</v>
      </c>
      <c r="E103" s="989" t="s">
        <v>1251</v>
      </c>
      <c r="F103" s="990">
        <v>42109</v>
      </c>
      <c r="G103" s="1006">
        <v>11</v>
      </c>
      <c r="H103" s="1006">
        <v>12</v>
      </c>
      <c r="I103" s="1006">
        <v>14</v>
      </c>
      <c r="J103" s="1006">
        <v>12.5</v>
      </c>
      <c r="K103" s="992">
        <f t="shared" si="24"/>
        <v>8371.7650000000012</v>
      </c>
      <c r="L103" s="993">
        <v>5090.9089999999997</v>
      </c>
      <c r="M103" s="993">
        <v>13462.674000000001</v>
      </c>
      <c r="N103" s="992">
        <f t="shared" si="25"/>
        <v>92089.415000000008</v>
      </c>
      <c r="O103" s="994">
        <f t="shared" si="26"/>
        <v>55999.998999999996</v>
      </c>
      <c r="P103" s="992">
        <f t="shared" si="27"/>
        <v>148089.41399999999</v>
      </c>
      <c r="Q103" s="992"/>
      <c r="R103" s="968">
        <v>1</v>
      </c>
      <c r="S103" s="991">
        <f t="shared" si="28"/>
        <v>12.5</v>
      </c>
      <c r="T103" s="995">
        <f t="shared" si="29"/>
        <v>168283.42500000002</v>
      </c>
      <c r="U103" s="996">
        <f t="shared" si="30"/>
        <v>0.13636363636363646</v>
      </c>
      <c r="V103" s="1011" t="s">
        <v>1252</v>
      </c>
      <c r="W103" s="998" t="s">
        <v>1253</v>
      </c>
      <c r="X103" s="999">
        <f t="shared" si="31"/>
        <v>148089.41399999999</v>
      </c>
      <c r="Y103" s="999">
        <v>18146520</v>
      </c>
      <c r="Z103" s="999">
        <v>10255.02</v>
      </c>
      <c r="AA103" s="1001">
        <f t="shared" si="32"/>
        <v>18284354.394000001</v>
      </c>
      <c r="AB103" s="1002">
        <v>0</v>
      </c>
      <c r="AC103" s="1008">
        <v>-29908</v>
      </c>
      <c r="AD103" s="1003" t="str">
        <f t="shared" si="33"/>
        <v>n/a</v>
      </c>
      <c r="AE103" s="1003">
        <f t="shared" si="34"/>
        <v>-611.35329657616694</v>
      </c>
      <c r="AF103" s="1004">
        <f t="shared" si="35"/>
        <v>0</v>
      </c>
      <c r="AG103" s="1012"/>
      <c r="AH103" s="1012"/>
      <c r="AI103" s="1012"/>
      <c r="AJ103" s="1012"/>
      <c r="AK103" s="1013"/>
      <c r="AL103" s="1010"/>
      <c r="AM103" s="1009"/>
      <c r="AN103" s="1012"/>
      <c r="AO103" s="1012"/>
      <c r="AP103" s="1012"/>
      <c r="AQ103" s="1012"/>
      <c r="AR103" s="1012"/>
      <c r="AS103" s="1012"/>
      <c r="AT103" s="1012"/>
      <c r="AU103" s="1012"/>
      <c r="AV103" s="1012"/>
      <c r="AW103" s="1012"/>
      <c r="AX103" s="1012"/>
      <c r="AY103" s="1012"/>
      <c r="AZ103" s="1012"/>
      <c r="BA103" s="1012"/>
      <c r="BB103" s="1012"/>
      <c r="BC103" s="1012"/>
      <c r="BD103" s="1012"/>
      <c r="BE103" s="1012"/>
      <c r="BF103" s="1012"/>
      <c r="BG103" s="1012"/>
      <c r="BH103" s="1012"/>
      <c r="BI103" s="1012"/>
      <c r="BJ103" s="1012"/>
      <c r="BK103" s="1012"/>
      <c r="BL103" s="1012"/>
      <c r="BM103" s="1012"/>
      <c r="BN103" s="1012"/>
      <c r="BO103" s="1012"/>
      <c r="BP103" s="1012"/>
      <c r="BQ103" s="1012"/>
      <c r="BR103" s="1012"/>
      <c r="BS103" s="1012"/>
      <c r="BT103" s="1012"/>
      <c r="BU103" s="1012"/>
    </row>
    <row r="104" spans="1:73" s="1012" customFormat="1" ht="14.85" customHeight="1">
      <c r="A104" s="1005"/>
      <c r="B104" s="986" t="s">
        <v>1259</v>
      </c>
      <c r="C104" s="989" t="s">
        <v>1260</v>
      </c>
      <c r="D104" s="988" t="s">
        <v>1212</v>
      </c>
      <c r="E104" s="989" t="s">
        <v>1261</v>
      </c>
      <c r="F104" s="990">
        <v>42108</v>
      </c>
      <c r="G104" s="1006">
        <v>17</v>
      </c>
      <c r="H104" s="1006">
        <v>14</v>
      </c>
      <c r="I104" s="1006">
        <v>16</v>
      </c>
      <c r="J104" s="1006">
        <v>31.47</v>
      </c>
      <c r="K104" s="992">
        <f t="shared" si="24"/>
        <v>51950.504000000001</v>
      </c>
      <c r="L104" s="993">
        <v>7000</v>
      </c>
      <c r="M104" s="993">
        <v>58950.504000000001</v>
      </c>
      <c r="N104" s="992">
        <f t="shared" si="25"/>
        <v>883158.56799999997</v>
      </c>
      <c r="O104" s="994">
        <f t="shared" si="26"/>
        <v>119000</v>
      </c>
      <c r="P104" s="992">
        <f t="shared" si="27"/>
        <v>1002158.568</v>
      </c>
      <c r="Q104" s="992"/>
      <c r="R104" s="968">
        <v>1</v>
      </c>
      <c r="S104" s="991">
        <f t="shared" si="28"/>
        <v>31.47</v>
      </c>
      <c r="T104" s="995">
        <f t="shared" si="29"/>
        <v>1855172.3608800001</v>
      </c>
      <c r="U104" s="996">
        <f t="shared" si="30"/>
        <v>0.85117647058823542</v>
      </c>
      <c r="V104" s="998" t="s">
        <v>1262</v>
      </c>
      <c r="W104" s="998" t="s">
        <v>1531</v>
      </c>
      <c r="X104" s="999">
        <f t="shared" si="31"/>
        <v>1002158.568</v>
      </c>
      <c r="Y104" s="999">
        <v>0</v>
      </c>
      <c r="Z104" s="999">
        <v>119456</v>
      </c>
      <c r="AA104" s="1001">
        <f t="shared" si="32"/>
        <v>882702.56799999997</v>
      </c>
      <c r="AB104" s="1002">
        <v>96531</v>
      </c>
      <c r="AC104" s="1008">
        <v>-17434</v>
      </c>
      <c r="AD104" s="1003">
        <f t="shared" si="33"/>
        <v>9.1442393428017947</v>
      </c>
      <c r="AE104" s="1003">
        <f t="shared" si="34"/>
        <v>-50.63109831364001</v>
      </c>
      <c r="AF104" s="1004">
        <f t="shared" si="35"/>
        <v>0</v>
      </c>
      <c r="AG104" s="964"/>
      <c r="AH104" s="964"/>
      <c r="AI104" s="1049"/>
      <c r="AJ104" s="994"/>
      <c r="AK104" s="1010"/>
      <c r="AL104" s="1009"/>
      <c r="AM104" s="964"/>
      <c r="AN104" s="964"/>
      <c r="AO104" s="964"/>
    </row>
    <row r="105" spans="1:73" s="1012" customFormat="1" ht="14.85" customHeight="1">
      <c r="A105" s="1005"/>
      <c r="B105" s="986" t="s">
        <v>1268</v>
      </c>
      <c r="C105" s="989" t="s">
        <v>1269</v>
      </c>
      <c r="D105" s="988" t="s">
        <v>494</v>
      </c>
      <c r="E105" s="989" t="s">
        <v>1270</v>
      </c>
      <c r="F105" s="990">
        <v>42053</v>
      </c>
      <c r="G105" s="1006">
        <v>6</v>
      </c>
      <c r="H105" s="1006">
        <v>13</v>
      </c>
      <c r="I105" s="1006">
        <v>15</v>
      </c>
      <c r="J105" s="1006">
        <v>5.75</v>
      </c>
      <c r="K105" s="992">
        <f t="shared" si="24"/>
        <v>9210.49</v>
      </c>
      <c r="L105" s="993">
        <v>6667</v>
      </c>
      <c r="M105" s="993">
        <v>15877.49</v>
      </c>
      <c r="N105" s="992">
        <f t="shared" si="25"/>
        <v>55262.94</v>
      </c>
      <c r="O105" s="994">
        <f t="shared" si="26"/>
        <v>40002</v>
      </c>
      <c r="P105" s="992">
        <f t="shared" si="27"/>
        <v>95264.94</v>
      </c>
      <c r="Q105" s="992"/>
      <c r="R105" s="968">
        <v>1</v>
      </c>
      <c r="S105" s="991">
        <f t="shared" si="28"/>
        <v>5.75</v>
      </c>
      <c r="T105" s="995">
        <f t="shared" si="29"/>
        <v>91295.567500000005</v>
      </c>
      <c r="U105" s="996">
        <f t="shared" si="30"/>
        <v>-4.166666666666663E-2</v>
      </c>
      <c r="V105" s="998" t="s">
        <v>1271</v>
      </c>
      <c r="W105" s="998" t="s">
        <v>1272</v>
      </c>
      <c r="X105" s="999">
        <f t="shared" si="31"/>
        <v>95264.94</v>
      </c>
      <c r="Y105" s="999">
        <v>6274000</v>
      </c>
      <c r="Z105" s="999">
        <v>5357</v>
      </c>
      <c r="AA105" s="1001">
        <f t="shared" si="32"/>
        <v>6363907.9400000004</v>
      </c>
      <c r="AB105" s="1002">
        <v>0</v>
      </c>
      <c r="AC105" s="1008">
        <v>-32466</v>
      </c>
      <c r="AD105" s="1003" t="str">
        <f t="shared" si="33"/>
        <v>n/a</v>
      </c>
      <c r="AE105" s="1003">
        <f t="shared" si="34"/>
        <v>-196.01761658350276</v>
      </c>
      <c r="AF105" s="1004">
        <f t="shared" si="35"/>
        <v>0</v>
      </c>
      <c r="AG105" s="964"/>
      <c r="AH105" s="964"/>
      <c r="AI105" s="1049"/>
      <c r="AJ105" s="994"/>
      <c r="AK105" s="1010"/>
      <c r="AL105" s="1009"/>
      <c r="AM105" s="964"/>
      <c r="AN105" s="964"/>
      <c r="AO105" s="964"/>
    </row>
    <row r="106" spans="1:73" s="1012" customFormat="1" ht="14.85" customHeight="1">
      <c r="A106" s="1005"/>
      <c r="B106" s="986" t="s">
        <v>1273</v>
      </c>
      <c r="C106" s="989" t="s">
        <v>1274</v>
      </c>
      <c r="D106" s="988" t="s">
        <v>494</v>
      </c>
      <c r="E106" s="989" t="s">
        <v>1275</v>
      </c>
      <c r="F106" s="990">
        <v>42048</v>
      </c>
      <c r="G106" s="1006">
        <v>12</v>
      </c>
      <c r="H106" s="1006">
        <v>14</v>
      </c>
      <c r="I106" s="1006">
        <v>16</v>
      </c>
      <c r="J106" s="1006">
        <v>9.75</v>
      </c>
      <c r="K106" s="992">
        <f t="shared" si="24"/>
        <v>7905.3259999999991</v>
      </c>
      <c r="L106" s="993">
        <v>5000</v>
      </c>
      <c r="M106" s="993">
        <v>12905.325999999999</v>
      </c>
      <c r="N106" s="992">
        <f t="shared" si="25"/>
        <v>94863.911999999982</v>
      </c>
      <c r="O106" s="994">
        <f t="shared" si="26"/>
        <v>60000</v>
      </c>
      <c r="P106" s="992">
        <f t="shared" si="27"/>
        <v>154863.91199999998</v>
      </c>
      <c r="Q106" s="992"/>
      <c r="R106" s="968">
        <v>1</v>
      </c>
      <c r="S106" s="991">
        <f t="shared" si="28"/>
        <v>9.75</v>
      </c>
      <c r="T106" s="995">
        <f t="shared" si="29"/>
        <v>125826.92849999999</v>
      </c>
      <c r="U106" s="996">
        <f t="shared" si="30"/>
        <v>-0.18749999999999989</v>
      </c>
      <c r="V106" s="998" t="s">
        <v>1276</v>
      </c>
      <c r="W106" s="998" t="s">
        <v>1277</v>
      </c>
      <c r="X106" s="999">
        <f t="shared" si="31"/>
        <v>154863.91199999998</v>
      </c>
      <c r="Y106" s="999">
        <v>0</v>
      </c>
      <c r="Z106" s="999">
        <v>30605</v>
      </c>
      <c r="AA106" s="1001">
        <f t="shared" si="32"/>
        <v>124258.91199999998</v>
      </c>
      <c r="AB106" s="1002">
        <v>0</v>
      </c>
      <c r="AC106" s="1008">
        <v>-32861</v>
      </c>
      <c r="AD106" s="1003" t="str">
        <f t="shared" si="33"/>
        <v>n/a</v>
      </c>
      <c r="AE106" s="1003">
        <f t="shared" si="34"/>
        <v>-3.7813490764127682</v>
      </c>
      <c r="AF106" s="1004">
        <f t="shared" si="35"/>
        <v>0</v>
      </c>
      <c r="AG106" s="964"/>
      <c r="AH106" s="964"/>
      <c r="AI106" s="1049"/>
      <c r="AJ106" s="994"/>
      <c r="AK106" s="1010"/>
      <c r="AL106" s="1009"/>
      <c r="AM106" s="964"/>
      <c r="AN106" s="964"/>
      <c r="AO106" s="964"/>
    </row>
    <row r="107" spans="1:73" s="1012" customFormat="1" ht="14.85" customHeight="1">
      <c r="A107" s="1005"/>
      <c r="B107" s="986" t="s">
        <v>805</v>
      </c>
      <c r="C107" s="989" t="s">
        <v>1284</v>
      </c>
      <c r="D107" s="988" t="s">
        <v>494</v>
      </c>
      <c r="E107" s="989" t="s">
        <v>1285</v>
      </c>
      <c r="F107" s="990">
        <v>42033</v>
      </c>
      <c r="G107" s="1006">
        <v>10</v>
      </c>
      <c r="H107" s="1006">
        <v>12</v>
      </c>
      <c r="I107" s="1006">
        <v>14</v>
      </c>
      <c r="J107" s="1006">
        <v>13.43</v>
      </c>
      <c r="K107" s="992">
        <f t="shared" si="24"/>
        <v>8492.8060000000005</v>
      </c>
      <c r="L107" s="993">
        <v>3600</v>
      </c>
      <c r="M107" s="993">
        <v>12092.806</v>
      </c>
      <c r="N107" s="992">
        <f t="shared" si="25"/>
        <v>84928.06</v>
      </c>
      <c r="O107" s="994">
        <f t="shared" si="26"/>
        <v>36000</v>
      </c>
      <c r="P107" s="992">
        <f t="shared" si="27"/>
        <v>120928.06</v>
      </c>
      <c r="Q107" s="992"/>
      <c r="R107" s="968">
        <v>1</v>
      </c>
      <c r="S107" s="991">
        <f t="shared" si="28"/>
        <v>13.43</v>
      </c>
      <c r="T107" s="995">
        <f t="shared" si="29"/>
        <v>162406.38458000001</v>
      </c>
      <c r="U107" s="996">
        <f t="shared" si="30"/>
        <v>0.34300000000000019</v>
      </c>
      <c r="V107" s="998" t="s">
        <v>1286</v>
      </c>
      <c r="W107" s="998" t="s">
        <v>1287</v>
      </c>
      <c r="X107" s="999">
        <f t="shared" si="31"/>
        <v>120928.06</v>
      </c>
      <c r="Y107" s="999">
        <v>9464000</v>
      </c>
      <c r="Z107" s="999">
        <v>39207</v>
      </c>
      <c r="AA107" s="1001">
        <f t="shared" si="32"/>
        <v>9545721.0600000005</v>
      </c>
      <c r="AB107" s="1002">
        <v>4592</v>
      </c>
      <c r="AC107" s="1008">
        <v>-31294</v>
      </c>
      <c r="AD107" s="1003">
        <f t="shared" si="33"/>
        <v>2078.7720078397215</v>
      </c>
      <c r="AE107" s="1003">
        <f t="shared" si="34"/>
        <v>-305.03358663002496</v>
      </c>
      <c r="AF107" s="1004">
        <f t="shared" si="35"/>
        <v>0</v>
      </c>
      <c r="AI107" s="1050"/>
      <c r="AJ107" s="1013"/>
      <c r="AK107" s="1010"/>
      <c r="AL107" s="1009"/>
    </row>
    <row r="108" spans="1:73" s="1012" customFormat="1" ht="14.85" customHeight="1">
      <c r="A108" s="1005"/>
      <c r="B108" s="986" t="s">
        <v>1292</v>
      </c>
      <c r="C108" s="989" t="s">
        <v>1293</v>
      </c>
      <c r="D108" s="988" t="s">
        <v>494</v>
      </c>
      <c r="E108" s="989" t="s">
        <v>1294</v>
      </c>
      <c r="F108" s="990">
        <v>42030</v>
      </c>
      <c r="G108" s="1006">
        <v>11</v>
      </c>
      <c r="H108" s="1006">
        <v>10</v>
      </c>
      <c r="I108" s="1006">
        <v>12</v>
      </c>
      <c r="J108" s="1006">
        <v>11.04</v>
      </c>
      <c r="K108" s="992">
        <f t="shared" si="24"/>
        <v>7316.1119999999992</v>
      </c>
      <c r="L108" s="993">
        <v>4500</v>
      </c>
      <c r="M108" s="993">
        <v>11816.111999999999</v>
      </c>
      <c r="N108" s="992">
        <f t="shared" si="25"/>
        <v>80477.231999999989</v>
      </c>
      <c r="O108" s="994">
        <f t="shared" si="26"/>
        <v>49500</v>
      </c>
      <c r="P108" s="992">
        <f t="shared" si="27"/>
        <v>129977.23199999999</v>
      </c>
      <c r="Q108" s="992"/>
      <c r="R108" s="968">
        <v>1</v>
      </c>
      <c r="S108" s="991">
        <f t="shared" si="28"/>
        <v>11.04</v>
      </c>
      <c r="T108" s="995">
        <f t="shared" si="29"/>
        <v>130449.87647999998</v>
      </c>
      <c r="U108" s="996">
        <f t="shared" si="30"/>
        <v>3.6363636363634377E-3</v>
      </c>
      <c r="V108" s="998" t="s">
        <v>1295</v>
      </c>
      <c r="W108" s="998" t="s">
        <v>1296</v>
      </c>
      <c r="X108" s="999">
        <f t="shared" si="31"/>
        <v>129977.23199999999</v>
      </c>
      <c r="Y108" s="999">
        <v>20263000</v>
      </c>
      <c r="Z108" s="999">
        <v>2303</v>
      </c>
      <c r="AA108" s="1001">
        <f t="shared" si="32"/>
        <v>20390674.232000001</v>
      </c>
      <c r="AB108" s="1002">
        <v>0</v>
      </c>
      <c r="AC108" s="1008">
        <v>-26747</v>
      </c>
      <c r="AD108" s="1003" t="str">
        <f t="shared" si="33"/>
        <v>n/a</v>
      </c>
      <c r="AE108" s="1003">
        <f t="shared" si="34"/>
        <v>-762.35369319923734</v>
      </c>
      <c r="AF108" s="1004">
        <f t="shared" si="35"/>
        <v>0</v>
      </c>
      <c r="AG108" s="964"/>
      <c r="AH108" s="964"/>
      <c r="AI108" s="964"/>
      <c r="AJ108" s="994"/>
      <c r="AK108" s="1010"/>
      <c r="AL108" s="1009"/>
      <c r="AM108" s="964"/>
      <c r="AN108" s="964"/>
      <c r="AO108" s="964"/>
    </row>
    <row r="109" spans="1:73" s="1012" customFormat="1" ht="14.85" customHeight="1">
      <c r="A109" s="1047"/>
      <c r="B109" s="986" t="s">
        <v>1297</v>
      </c>
      <c r="C109" s="989" t="s">
        <v>1298</v>
      </c>
      <c r="D109" s="988" t="s">
        <v>494</v>
      </c>
      <c r="E109" s="989" t="s">
        <v>1299</v>
      </c>
      <c r="F109" s="990">
        <v>41991</v>
      </c>
      <c r="G109" s="1006">
        <v>19</v>
      </c>
      <c r="H109" s="1006">
        <v>15</v>
      </c>
      <c r="I109" s="1006">
        <v>17</v>
      </c>
      <c r="J109" s="1006">
        <v>29.13</v>
      </c>
      <c r="K109" s="992">
        <f t="shared" si="24"/>
        <v>18499.571</v>
      </c>
      <c r="L109" s="993">
        <v>8452.5</v>
      </c>
      <c r="M109" s="993">
        <v>26952.071</v>
      </c>
      <c r="N109" s="992">
        <f t="shared" si="25"/>
        <v>351491.84899999999</v>
      </c>
      <c r="O109" s="994">
        <f t="shared" si="26"/>
        <v>160597.5</v>
      </c>
      <c r="P109" s="992">
        <f t="shared" si="27"/>
        <v>512089.34899999999</v>
      </c>
      <c r="Q109" s="992"/>
      <c r="R109" s="968">
        <v>1</v>
      </c>
      <c r="S109" s="991">
        <f t="shared" si="28"/>
        <v>29.13</v>
      </c>
      <c r="T109" s="995">
        <f t="shared" si="29"/>
        <v>785113.82822999998</v>
      </c>
      <c r="U109" s="996">
        <f t="shared" si="30"/>
        <v>0.53315789473684205</v>
      </c>
      <c r="V109" s="998" t="s">
        <v>1300</v>
      </c>
      <c r="W109" s="998" t="s">
        <v>1301</v>
      </c>
      <c r="X109" s="999">
        <f t="shared" si="31"/>
        <v>512089.34899999999</v>
      </c>
      <c r="Y109" s="999">
        <v>35663310</v>
      </c>
      <c r="Z109" s="999">
        <v>213469</v>
      </c>
      <c r="AA109" s="1001">
        <f t="shared" si="32"/>
        <v>35961930.348999999</v>
      </c>
      <c r="AB109" s="1002">
        <v>284</v>
      </c>
      <c r="AC109" s="1008">
        <v>-60286</v>
      </c>
      <c r="AD109" s="1003">
        <f t="shared" si="33"/>
        <v>126626.51531338028</v>
      </c>
      <c r="AE109" s="1003">
        <f t="shared" si="34"/>
        <v>-596.52208388348868</v>
      </c>
      <c r="AF109" s="1004">
        <f t="shared" si="35"/>
        <v>0</v>
      </c>
      <c r="AG109" s="964"/>
      <c r="AH109" s="964"/>
      <c r="AI109" s="964"/>
      <c r="AJ109" s="994"/>
      <c r="AK109" s="1010"/>
      <c r="AL109" s="1009"/>
      <c r="AM109" s="964"/>
      <c r="AN109" s="964"/>
      <c r="AO109" s="964"/>
    </row>
    <row r="110" spans="1:73" s="1012" customFormat="1" ht="14.85" customHeight="1">
      <c r="A110" s="1047"/>
      <c r="B110" s="986" t="s">
        <v>1343</v>
      </c>
      <c r="C110" s="989" t="s">
        <v>1344</v>
      </c>
      <c r="D110" s="988" t="s">
        <v>494</v>
      </c>
      <c r="E110" s="989" t="s">
        <v>1345</v>
      </c>
      <c r="F110" s="990">
        <v>41810</v>
      </c>
      <c r="G110" s="1006">
        <v>17</v>
      </c>
      <c r="H110" s="1006">
        <v>12</v>
      </c>
      <c r="I110" s="1006">
        <v>14</v>
      </c>
      <c r="J110" s="1006">
        <v>22.84</v>
      </c>
      <c r="K110" s="992">
        <f>+M110-L110</f>
        <v>29366.629000000001</v>
      </c>
      <c r="L110" s="993">
        <v>8625</v>
      </c>
      <c r="M110" s="993">
        <v>37991.629000000001</v>
      </c>
      <c r="N110" s="992">
        <f>+G110*K110</f>
        <v>499232.69300000003</v>
      </c>
      <c r="O110" s="994">
        <f>+G110*L110</f>
        <v>146625</v>
      </c>
      <c r="P110" s="992">
        <f>+N110+O110</f>
        <v>645857.69299999997</v>
      </c>
      <c r="Q110" s="992"/>
      <c r="R110" s="968">
        <v>1</v>
      </c>
      <c r="S110" s="991">
        <f>J110</f>
        <v>22.84</v>
      </c>
      <c r="T110" s="995">
        <f>S110*M110</f>
        <v>867728.80636000005</v>
      </c>
      <c r="U110" s="996">
        <f>T110/P110-1</f>
        <v>0.34352941176470608</v>
      </c>
      <c r="V110" s="998" t="s">
        <v>1346</v>
      </c>
      <c r="W110" s="998" t="s">
        <v>1347</v>
      </c>
      <c r="X110" s="999">
        <f>+N110+O110</f>
        <v>645857.69299999997</v>
      </c>
      <c r="Y110" s="999">
        <v>0</v>
      </c>
      <c r="Z110" s="999">
        <v>18628.759999999998</v>
      </c>
      <c r="AA110" s="1001">
        <f>X110+Y110-Z110</f>
        <v>627228.93299999996</v>
      </c>
      <c r="AB110" s="1002">
        <v>19896</v>
      </c>
      <c r="AC110" s="1008">
        <v>-170008</v>
      </c>
      <c r="AD110" s="1003">
        <f>IFERROR(AA110/AB110,"n/a")</f>
        <v>31.52537861881785</v>
      </c>
      <c r="AE110" s="1003">
        <f>IFERROR(AA110/AC110,"n/a")</f>
        <v>-3.6894083396075477</v>
      </c>
      <c r="AF110" s="1004">
        <f>+P110-X110</f>
        <v>0</v>
      </c>
      <c r="AG110" s="964"/>
      <c r="AH110" s="964"/>
      <c r="AI110" s="964"/>
      <c r="AJ110" s="994"/>
      <c r="AK110" s="1010"/>
      <c r="AL110" s="1009"/>
      <c r="AM110" s="964"/>
      <c r="AN110" s="964"/>
      <c r="AO110" s="964"/>
    </row>
    <row r="111" spans="1:73" s="1012" customFormat="1" ht="14.85" customHeight="1">
      <c r="A111" s="1005"/>
      <c r="B111" s="986" t="s">
        <v>1881</v>
      </c>
      <c r="C111" s="989" t="s">
        <v>1882</v>
      </c>
      <c r="D111" s="988" t="s">
        <v>494</v>
      </c>
      <c r="E111" s="989" t="s">
        <v>1883</v>
      </c>
      <c r="F111" s="990">
        <v>41535</v>
      </c>
      <c r="G111" s="1006">
        <v>15</v>
      </c>
      <c r="H111" s="1006">
        <v>13</v>
      </c>
      <c r="I111" s="1006">
        <v>15</v>
      </c>
      <c r="J111" s="1006">
        <v>22.8</v>
      </c>
      <c r="K111" s="992">
        <f t="shared" si="24"/>
        <v>20964.187999999998</v>
      </c>
      <c r="L111" s="994">
        <v>5580</v>
      </c>
      <c r="M111" s="994">
        <v>26544.187999999998</v>
      </c>
      <c r="N111" s="992">
        <f t="shared" si="25"/>
        <v>314462.81999999995</v>
      </c>
      <c r="O111" s="994">
        <f t="shared" si="26"/>
        <v>83700</v>
      </c>
      <c r="P111" s="992">
        <f t="shared" si="27"/>
        <v>398162.81999999995</v>
      </c>
      <c r="Q111" s="992"/>
      <c r="R111" s="968">
        <v>1</v>
      </c>
      <c r="S111" s="991">
        <f t="shared" si="28"/>
        <v>22.8</v>
      </c>
      <c r="T111" s="995">
        <f t="shared" si="29"/>
        <v>605207.48639999994</v>
      </c>
      <c r="U111" s="996">
        <f t="shared" si="30"/>
        <v>0.52</v>
      </c>
      <c r="V111" s="997" t="s">
        <v>1884</v>
      </c>
      <c r="W111" s="998" t="s">
        <v>1885</v>
      </c>
      <c r="X111" s="999">
        <f t="shared" si="31"/>
        <v>398162.81999999995</v>
      </c>
      <c r="Y111" s="1033"/>
      <c r="Z111" s="1033"/>
      <c r="AA111" s="1001"/>
      <c r="AB111" s="1002"/>
      <c r="AC111" s="1002"/>
      <c r="AD111" s="1035"/>
      <c r="AE111" s="1035"/>
      <c r="AF111" s="1004"/>
      <c r="AG111" s="979"/>
      <c r="AH111" s="964"/>
      <c r="AI111" s="964"/>
      <c r="AJ111" s="964"/>
      <c r="AK111" s="994"/>
      <c r="AL111" s="1010"/>
      <c r="AM111" s="1009"/>
      <c r="AN111" s="964"/>
      <c r="AO111" s="964"/>
      <c r="AP111" s="964"/>
    </row>
    <row r="112" spans="1:73" s="1012" customFormat="1" ht="14.85" customHeight="1">
      <c r="A112" s="1047"/>
      <c r="B112" s="986" t="s">
        <v>678</v>
      </c>
      <c r="C112" s="989" t="s">
        <v>1532</v>
      </c>
      <c r="D112" s="988" t="s">
        <v>1517</v>
      </c>
      <c r="E112" s="989" t="s">
        <v>1533</v>
      </c>
      <c r="F112" s="990">
        <v>41443</v>
      </c>
      <c r="G112" s="1006">
        <v>17</v>
      </c>
      <c r="H112" s="1006">
        <v>14</v>
      </c>
      <c r="I112" s="1006">
        <v>16</v>
      </c>
      <c r="J112" s="1006">
        <v>33.99</v>
      </c>
      <c r="K112" s="992">
        <f t="shared" si="24"/>
        <v>16869.488000000001</v>
      </c>
      <c r="L112" s="993">
        <v>5000</v>
      </c>
      <c r="M112" s="993">
        <v>21869.488000000001</v>
      </c>
      <c r="N112" s="992">
        <f t="shared" si="25"/>
        <v>286781.29600000003</v>
      </c>
      <c r="O112" s="994">
        <f t="shared" si="26"/>
        <v>85000</v>
      </c>
      <c r="P112" s="992">
        <f t="shared" si="27"/>
        <v>371781.29600000003</v>
      </c>
      <c r="Q112" s="992"/>
      <c r="R112" s="968">
        <v>1</v>
      </c>
      <c r="S112" s="991">
        <f t="shared" si="28"/>
        <v>33.99</v>
      </c>
      <c r="T112" s="995">
        <f t="shared" si="29"/>
        <v>743343.8971200001</v>
      </c>
      <c r="U112" s="996">
        <f t="shared" si="30"/>
        <v>0.99941176470588244</v>
      </c>
      <c r="V112" s="998" t="s">
        <v>1534</v>
      </c>
      <c r="W112" s="998" t="s">
        <v>1535</v>
      </c>
      <c r="X112" s="999">
        <f t="shared" si="31"/>
        <v>371781.29600000003</v>
      </c>
      <c r="Y112" s="999">
        <v>0</v>
      </c>
      <c r="Z112" s="999">
        <v>131836</v>
      </c>
      <c r="AA112" s="1001">
        <f>X112+Y112-Z112</f>
        <v>239945.29600000003</v>
      </c>
      <c r="AB112" s="1002">
        <v>5846</v>
      </c>
      <c r="AC112" s="1008">
        <v>-185088</v>
      </c>
      <c r="AD112" s="1003">
        <f>IFERROR(AA112/AB112,"n/a")</f>
        <v>41.044354430379755</v>
      </c>
      <c r="AE112" s="1003">
        <f>IFERROR(AA112/AC112,"n/a")</f>
        <v>-1.2963849412171509</v>
      </c>
      <c r="AF112" s="1004">
        <f>+P112-X112</f>
        <v>0</v>
      </c>
      <c r="AG112" s="964"/>
      <c r="AH112" s="964"/>
      <c r="AI112" s="964"/>
      <c r="AJ112" s="994"/>
      <c r="AK112" s="1010"/>
      <c r="AL112" s="1009"/>
      <c r="AM112" s="964"/>
      <c r="AN112" s="964"/>
      <c r="AO112" s="964"/>
    </row>
    <row r="113" spans="1:73" s="1046" customFormat="1" ht="14.85" customHeight="1">
      <c r="A113" s="1005"/>
      <c r="B113" s="986"/>
      <c r="C113" s="989"/>
      <c r="D113" s="988"/>
      <c r="E113" s="989"/>
      <c r="F113" s="990"/>
      <c r="G113" s="1017"/>
      <c r="H113" s="1006"/>
      <c r="I113" s="1006"/>
      <c r="J113" s="1017"/>
      <c r="K113" s="1018"/>
      <c r="L113" s="994"/>
      <c r="M113" s="994"/>
      <c r="N113" s="992"/>
      <c r="O113" s="994"/>
      <c r="P113" s="992"/>
      <c r="Q113" s="992"/>
      <c r="R113" s="992"/>
      <c r="S113" s="991"/>
      <c r="T113" s="1051"/>
      <c r="U113" s="1052"/>
      <c r="V113" s="1053"/>
      <c r="W113" s="1053"/>
      <c r="X113" s="994"/>
      <c r="Y113" s="999"/>
      <c r="Z113" s="999"/>
      <c r="AA113" s="1001"/>
      <c r="AB113" s="1002"/>
      <c r="AC113" s="1008"/>
      <c r="AD113" s="1003"/>
      <c r="AE113" s="1003"/>
      <c r="AF113" s="1005"/>
      <c r="AJ113" s="994"/>
      <c r="AK113" s="989"/>
      <c r="AL113" s="1005"/>
    </row>
    <row r="114" spans="1:73" s="1012" customFormat="1" ht="14.85" customHeight="1">
      <c r="A114" s="1005"/>
      <c r="B114" s="1019" t="s">
        <v>111</v>
      </c>
      <c r="C114" s="1020"/>
      <c r="D114" s="1020"/>
      <c r="E114" s="1020"/>
      <c r="F114" s="1020"/>
      <c r="G114" s="1020"/>
      <c r="H114" s="1020"/>
      <c r="I114" s="1020"/>
      <c r="J114" s="1020"/>
      <c r="K114" s="1020"/>
      <c r="L114" s="1020"/>
      <c r="M114" s="1020"/>
      <c r="N114" s="1021">
        <f>MAX(N77:N112)</f>
        <v>1766090.8</v>
      </c>
      <c r="O114" s="1021"/>
      <c r="P114" s="1022">
        <f>MAX(P77:P112)</f>
        <v>1973290.8</v>
      </c>
      <c r="Q114" s="992"/>
      <c r="R114" s="992"/>
      <c r="S114" s="1023">
        <f>MAX(S77:S112)</f>
        <v>52.72</v>
      </c>
      <c r="T114" s="995"/>
      <c r="U114" s="996"/>
      <c r="V114" s="1011"/>
      <c r="W114" s="998"/>
      <c r="X114" s="999"/>
      <c r="Y114" s="999"/>
      <c r="Z114" s="999"/>
      <c r="AA114" s="1001"/>
      <c r="AB114" s="1002"/>
      <c r="AC114" s="1008"/>
      <c r="AD114" s="1003"/>
      <c r="AE114" s="1003"/>
      <c r="AF114" s="1004"/>
      <c r="AK114" s="1013"/>
      <c r="AL114" s="1010"/>
      <c r="AM114" s="1009"/>
    </row>
    <row r="115" spans="1:73" s="1012" customFormat="1" ht="14.85" customHeight="1">
      <c r="A115" s="1005"/>
      <c r="B115" s="1024" t="s">
        <v>115</v>
      </c>
      <c r="C115" s="1025"/>
      <c r="D115" s="1025"/>
      <c r="E115" s="1025"/>
      <c r="F115" s="1025"/>
      <c r="G115" s="1025"/>
      <c r="H115" s="1025"/>
      <c r="I115" s="1025"/>
      <c r="J115" s="1025"/>
      <c r="K115" s="1025"/>
      <c r="L115" s="1025"/>
      <c r="M115" s="1025"/>
      <c r="N115" s="940">
        <f>_xlfn.QUARTILE.INC(N77:N112,3)</f>
        <v>419257.21824999998</v>
      </c>
      <c r="O115" s="940"/>
      <c r="P115" s="1026">
        <f>_xlfn.QUARTILE.INC(P77:P112,3)</f>
        <v>542654.63100000005</v>
      </c>
      <c r="Q115" s="992"/>
      <c r="R115" s="992"/>
      <c r="S115" s="1027">
        <f>_xlfn.QUARTILE.INC(S77:S112,3)</f>
        <v>22.74</v>
      </c>
      <c r="T115" s="995"/>
      <c r="U115" s="996"/>
      <c r="V115" s="1011"/>
      <c r="W115" s="998"/>
      <c r="X115" s="999"/>
      <c r="Y115" s="999"/>
      <c r="Z115" s="999"/>
      <c r="AA115" s="1001"/>
      <c r="AB115" s="1002"/>
      <c r="AC115" s="1008"/>
      <c r="AD115" s="1003"/>
      <c r="AE115" s="1003"/>
      <c r="AF115" s="1004"/>
      <c r="AK115" s="1013"/>
      <c r="AL115" s="1010"/>
      <c r="AM115" s="1009"/>
    </row>
    <row r="116" spans="1:73" s="1012" customFormat="1" ht="14.85" customHeight="1">
      <c r="A116" s="1005"/>
      <c r="B116" s="1024" t="s">
        <v>43</v>
      </c>
      <c r="C116" s="1025"/>
      <c r="D116" s="1025"/>
      <c r="E116" s="1025"/>
      <c r="F116" s="1025"/>
      <c r="G116" s="1025"/>
      <c r="H116" s="1025"/>
      <c r="I116" s="1025"/>
      <c r="J116" s="1025"/>
      <c r="K116" s="1025"/>
      <c r="L116" s="1025"/>
      <c r="M116" s="1025"/>
      <c r="N116" s="940">
        <f>AVERAGE(N77:N112)</f>
        <v>303867.31893055554</v>
      </c>
      <c r="O116" s="940"/>
      <c r="P116" s="1026">
        <f>AVERAGE(P77:P112)</f>
        <v>390505.21676388901</v>
      </c>
      <c r="Q116" s="992"/>
      <c r="R116" s="992"/>
      <c r="S116" s="1027">
        <f>AVERAGE(S77:S112)</f>
        <v>18.112219444444442</v>
      </c>
      <c r="T116" s="995"/>
      <c r="U116" s="996"/>
      <c r="V116" s="1011"/>
      <c r="W116" s="998"/>
      <c r="X116" s="999"/>
      <c r="Y116" s="999"/>
      <c r="Z116" s="999"/>
      <c r="AA116" s="1001"/>
      <c r="AB116" s="1002"/>
      <c r="AC116" s="1008"/>
      <c r="AD116" s="1003"/>
      <c r="AE116" s="1003"/>
      <c r="AF116" s="1004"/>
      <c r="AK116" s="1013"/>
      <c r="AL116" s="1010"/>
      <c r="AM116" s="1009"/>
    </row>
    <row r="117" spans="1:73" s="1012" customFormat="1" ht="14.85" customHeight="1">
      <c r="A117" s="1005"/>
      <c r="B117" s="1024" t="s">
        <v>44</v>
      </c>
      <c r="C117" s="1025"/>
      <c r="D117" s="1025"/>
      <c r="E117" s="1025"/>
      <c r="F117" s="1025"/>
      <c r="G117" s="1025"/>
      <c r="H117" s="1025"/>
      <c r="I117" s="1025"/>
      <c r="J117" s="1025"/>
      <c r="K117" s="1025"/>
      <c r="L117" s="1025"/>
      <c r="M117" s="1025"/>
      <c r="N117" s="940">
        <f>MEDIAN(N77:N112)</f>
        <v>242242.29</v>
      </c>
      <c r="O117" s="940"/>
      <c r="P117" s="1026">
        <f>MEDIAN(P77:P112)</f>
        <v>326812.49549999996</v>
      </c>
      <c r="Q117" s="992"/>
      <c r="R117" s="992"/>
      <c r="S117" s="1027">
        <f>MEDIAN(S77:S112)</f>
        <v>15.68</v>
      </c>
      <c r="T117" s="995"/>
      <c r="U117" s="996"/>
      <c r="V117" s="1011"/>
      <c r="W117" s="998"/>
      <c r="X117" s="999"/>
      <c r="Y117" s="999"/>
      <c r="Z117" s="999"/>
      <c r="AA117" s="1001"/>
      <c r="AB117" s="1002"/>
      <c r="AC117" s="1008"/>
      <c r="AD117" s="1003"/>
      <c r="AE117" s="1003"/>
      <c r="AF117" s="1004"/>
      <c r="AK117" s="1013"/>
      <c r="AL117" s="1010"/>
      <c r="AM117" s="1009"/>
    </row>
    <row r="118" spans="1:73" s="1012" customFormat="1" ht="14.85" customHeight="1">
      <c r="A118" s="1005"/>
      <c r="B118" s="1024" t="s">
        <v>114</v>
      </c>
      <c r="C118" s="1025"/>
      <c r="D118" s="1025"/>
      <c r="E118" s="1025"/>
      <c r="F118" s="1025"/>
      <c r="G118" s="1025"/>
      <c r="H118" s="1025"/>
      <c r="I118" s="1025"/>
      <c r="J118" s="1025"/>
      <c r="K118" s="1025"/>
      <c r="L118" s="1025"/>
      <c r="M118" s="1025"/>
      <c r="N118" s="940">
        <f>_xlfn.QUARTILE.INC(N77:N112,1)</f>
        <v>94170.287749999989</v>
      </c>
      <c r="O118" s="940"/>
      <c r="P118" s="1026">
        <f>_xlfn.QUARTILE.INC(P77:P112,1)</f>
        <v>145303.01799999998</v>
      </c>
      <c r="Q118" s="992"/>
      <c r="R118" s="992"/>
      <c r="S118" s="1027">
        <f>_xlfn.QUARTILE.INC(S77:S112,1)</f>
        <v>11.9125</v>
      </c>
      <c r="T118" s="995"/>
      <c r="U118" s="996"/>
      <c r="V118" s="1011"/>
      <c r="W118" s="998"/>
      <c r="X118" s="999"/>
      <c r="Y118" s="999"/>
      <c r="Z118" s="999"/>
      <c r="AA118" s="1001"/>
      <c r="AB118" s="1002"/>
      <c r="AC118" s="1008"/>
      <c r="AD118" s="1003"/>
      <c r="AE118" s="1003"/>
      <c r="AF118" s="1004"/>
      <c r="AK118" s="1013"/>
      <c r="AL118" s="1010"/>
      <c r="AM118" s="1009"/>
    </row>
    <row r="119" spans="1:73" s="1012" customFormat="1" ht="14.85" customHeight="1">
      <c r="A119" s="1005"/>
      <c r="B119" s="1028" t="s">
        <v>112</v>
      </c>
      <c r="C119" s="1029"/>
      <c r="D119" s="1029"/>
      <c r="E119" s="1029"/>
      <c r="F119" s="1029"/>
      <c r="G119" s="1029"/>
      <c r="H119" s="1029"/>
      <c r="I119" s="1029"/>
      <c r="J119" s="1029"/>
      <c r="K119" s="1029"/>
      <c r="L119" s="1029"/>
      <c r="M119" s="1029"/>
      <c r="N119" s="942">
        <f>MIN(N77:N112)</f>
        <v>18940.300000000003</v>
      </c>
      <c r="O119" s="942"/>
      <c r="P119" s="1030">
        <f>MIN(P77:P112)</f>
        <v>38940.300000000003</v>
      </c>
      <c r="Q119" s="992"/>
      <c r="R119" s="992"/>
      <c r="S119" s="1031">
        <f>MIN(S77:S112)</f>
        <v>3.13</v>
      </c>
      <c r="T119" s="995"/>
      <c r="U119" s="996"/>
      <c r="V119" s="1011"/>
      <c r="W119" s="998"/>
      <c r="X119" s="999"/>
      <c r="Y119" s="999"/>
      <c r="Z119" s="999"/>
      <c r="AA119" s="1001"/>
      <c r="AB119" s="1002"/>
      <c r="AC119" s="1008"/>
      <c r="AD119" s="1003"/>
      <c r="AE119" s="1003"/>
      <c r="AF119" s="1004"/>
      <c r="AK119" s="1013"/>
      <c r="AL119" s="1010"/>
      <c r="AM119" s="1009"/>
    </row>
    <row r="120" spans="1:73" s="1012" customFormat="1" ht="14.85" customHeight="1">
      <c r="A120" s="1005"/>
      <c r="B120" s="986"/>
      <c r="C120" s="989"/>
      <c r="D120" s="988"/>
      <c r="E120" s="989"/>
      <c r="F120" s="990"/>
      <c r="G120" s="1017"/>
      <c r="H120" s="1006"/>
      <c r="I120" s="1006"/>
      <c r="J120" s="1017"/>
      <c r="K120" s="1018"/>
      <c r="L120" s="994"/>
      <c r="M120" s="994"/>
      <c r="N120" s="992"/>
      <c r="O120" s="994"/>
      <c r="P120" s="992"/>
      <c r="Q120" s="992"/>
      <c r="R120" s="992"/>
      <c r="S120" s="991"/>
      <c r="T120" s="995"/>
      <c r="U120" s="996"/>
      <c r="V120" s="1011"/>
      <c r="W120" s="998"/>
      <c r="X120" s="999"/>
      <c r="Y120" s="999"/>
      <c r="Z120" s="999"/>
      <c r="AA120" s="1001"/>
      <c r="AB120" s="1002"/>
      <c r="AC120" s="1008"/>
      <c r="AD120" s="1003"/>
      <c r="AE120" s="1003"/>
      <c r="AF120" s="1004"/>
      <c r="AK120" s="1013"/>
      <c r="AL120" s="1010"/>
      <c r="AM120" s="1009"/>
    </row>
    <row r="121" spans="1:73" s="1012" customFormat="1" ht="14.85" customHeight="1">
      <c r="A121" s="1005"/>
      <c r="B121" s="1032" t="s">
        <v>1886</v>
      </c>
      <c r="C121" s="989"/>
      <c r="D121" s="988"/>
      <c r="E121" s="989"/>
      <c r="F121" s="990"/>
      <c r="G121" s="1017"/>
      <c r="H121" s="1006"/>
      <c r="I121" s="1006"/>
      <c r="J121" s="1017"/>
      <c r="K121" s="1018"/>
      <c r="L121" s="994"/>
      <c r="M121" s="994"/>
      <c r="N121" s="992"/>
      <c r="O121" s="994"/>
      <c r="P121" s="992"/>
      <c r="Q121" s="992"/>
      <c r="R121" s="992"/>
      <c r="S121" s="991"/>
      <c r="T121" s="995"/>
      <c r="U121" s="996"/>
      <c r="V121" s="998"/>
      <c r="W121" s="998"/>
      <c r="X121" s="1004"/>
      <c r="Y121" s="999"/>
      <c r="Z121" s="999"/>
      <c r="AA121" s="1001"/>
      <c r="AB121" s="1002"/>
      <c r="AC121" s="1008"/>
      <c r="AD121" s="1003"/>
      <c r="AE121" s="1003"/>
      <c r="AF121" s="979"/>
      <c r="AG121" s="964"/>
      <c r="AH121" s="964"/>
      <c r="AI121" s="964"/>
      <c r="AJ121" s="994"/>
      <c r="AK121" s="1010"/>
      <c r="AL121" s="1009"/>
      <c r="AM121" s="964"/>
      <c r="AN121" s="964"/>
      <c r="AO121" s="964"/>
    </row>
    <row r="122" spans="1:73" s="1012" customFormat="1" ht="14.85" customHeight="1">
      <c r="A122" s="1005"/>
      <c r="B122" s="986" t="s">
        <v>1887</v>
      </c>
      <c r="C122" s="989" t="s">
        <v>1888</v>
      </c>
      <c r="D122" s="988" t="s">
        <v>999</v>
      </c>
      <c r="E122" s="989" t="s">
        <v>1889</v>
      </c>
      <c r="F122" s="990">
        <v>43055</v>
      </c>
      <c r="G122" s="1006">
        <v>14</v>
      </c>
      <c r="H122" s="1006">
        <v>14</v>
      </c>
      <c r="I122" s="1006">
        <v>16</v>
      </c>
      <c r="J122" s="1006">
        <v>13.5</v>
      </c>
      <c r="K122" s="992">
        <f t="shared" ref="K122:K140" si="36">+M122-L122</f>
        <v>11210.151000000002</v>
      </c>
      <c r="L122" s="994">
        <v>6400</v>
      </c>
      <c r="M122" s="994">
        <v>17610.151000000002</v>
      </c>
      <c r="N122" s="992">
        <f t="shared" ref="N122:N140" si="37">+G122*K122</f>
        <v>156942.11400000003</v>
      </c>
      <c r="O122" s="994">
        <f t="shared" ref="O122:O140" si="38">+G122*L122</f>
        <v>89600</v>
      </c>
      <c r="P122" s="992">
        <f t="shared" ref="P122:P140" si="39">+N122+O122</f>
        <v>246542.11400000003</v>
      </c>
      <c r="Q122" s="992"/>
      <c r="R122" s="968">
        <v>1</v>
      </c>
      <c r="S122" s="991">
        <f t="shared" ref="S122:S140" si="40">J122</f>
        <v>13.5</v>
      </c>
      <c r="T122" s="995">
        <f t="shared" ref="T122:T140" si="41">S122*M122</f>
        <v>237737.03850000002</v>
      </c>
      <c r="U122" s="996">
        <f t="shared" ref="U122:U128" si="42">T122/P122-1</f>
        <v>-3.5714285714285698E-2</v>
      </c>
      <c r="V122" s="997" t="s">
        <v>1890</v>
      </c>
      <c r="W122" s="998" t="s">
        <v>1891</v>
      </c>
      <c r="X122" s="999"/>
      <c r="Y122" s="1033"/>
      <c r="Z122" s="1033"/>
      <c r="AA122" s="1001"/>
      <c r="AB122" s="1002"/>
      <c r="AC122" s="1002"/>
      <c r="AD122" s="1035"/>
      <c r="AE122" s="1035"/>
      <c r="AF122" s="1004" t="s">
        <v>1793</v>
      </c>
      <c r="AG122" s="979"/>
      <c r="AH122" s="964"/>
      <c r="AI122" s="964"/>
      <c r="AJ122" s="964"/>
      <c r="AK122" s="994"/>
      <c r="AL122" s="1010"/>
      <c r="AM122" s="1009"/>
      <c r="AN122" s="964"/>
      <c r="AO122" s="964"/>
      <c r="AP122" s="964"/>
    </row>
    <row r="123" spans="1:73" s="1012" customFormat="1" ht="14.85" customHeight="1">
      <c r="A123" s="1005"/>
      <c r="B123" s="986" t="s">
        <v>1892</v>
      </c>
      <c r="C123" s="989" t="s">
        <v>1893</v>
      </c>
      <c r="D123" s="988" t="s">
        <v>502</v>
      </c>
      <c r="E123" s="989" t="s">
        <v>1894</v>
      </c>
      <c r="F123" s="990">
        <v>43005</v>
      </c>
      <c r="G123" s="1006">
        <v>15</v>
      </c>
      <c r="H123" s="1006">
        <v>14</v>
      </c>
      <c r="I123" s="1006">
        <v>16</v>
      </c>
      <c r="J123" s="1006">
        <v>12.5</v>
      </c>
      <c r="K123" s="992">
        <f t="shared" si="36"/>
        <v>24214.641</v>
      </c>
      <c r="L123" s="994">
        <v>6667</v>
      </c>
      <c r="M123" s="994">
        <v>30881.641</v>
      </c>
      <c r="N123" s="992">
        <f t="shared" si="37"/>
        <v>363219.61499999999</v>
      </c>
      <c r="O123" s="994">
        <f t="shared" si="38"/>
        <v>100005</v>
      </c>
      <c r="P123" s="992">
        <f t="shared" si="39"/>
        <v>463224.61499999999</v>
      </c>
      <c r="Q123" s="992"/>
      <c r="R123" s="968">
        <v>1</v>
      </c>
      <c r="S123" s="991">
        <f t="shared" si="40"/>
        <v>12.5</v>
      </c>
      <c r="T123" s="995">
        <f t="shared" si="41"/>
        <v>386020.51250000001</v>
      </c>
      <c r="U123" s="996">
        <f t="shared" si="42"/>
        <v>-0.16666666666666663</v>
      </c>
      <c r="V123" s="997" t="s">
        <v>1895</v>
      </c>
      <c r="W123" s="998" t="s">
        <v>1896</v>
      </c>
      <c r="X123" s="999"/>
      <c r="Y123" s="1033"/>
      <c r="Z123" s="1033"/>
      <c r="AA123" s="1001"/>
      <c r="AB123" s="1002"/>
      <c r="AC123" s="1002"/>
      <c r="AD123" s="1035"/>
      <c r="AE123" s="1035"/>
      <c r="AF123" s="1004" t="s">
        <v>1793</v>
      </c>
      <c r="AG123" s="979"/>
      <c r="AH123" s="964"/>
      <c r="AI123" s="964"/>
      <c r="AJ123" s="964"/>
      <c r="AK123" s="994"/>
      <c r="AL123" s="1010"/>
      <c r="AM123" s="1009"/>
      <c r="AN123" s="964"/>
      <c r="AO123" s="964"/>
      <c r="AP123" s="964"/>
    </row>
    <row r="124" spans="1:73" s="1012" customFormat="1" ht="14.85" customHeight="1">
      <c r="A124" s="1005"/>
      <c r="B124" s="986" t="s">
        <v>1897</v>
      </c>
      <c r="C124" s="989" t="s">
        <v>1898</v>
      </c>
      <c r="D124" s="988" t="s">
        <v>989</v>
      </c>
      <c r="E124" s="989" t="s">
        <v>1899</v>
      </c>
      <c r="F124" s="990">
        <v>42998</v>
      </c>
      <c r="G124" s="1006">
        <v>18</v>
      </c>
      <c r="H124" s="1006">
        <v>16</v>
      </c>
      <c r="I124" s="1006">
        <v>18</v>
      </c>
      <c r="J124" s="1006">
        <v>28.64</v>
      </c>
      <c r="K124" s="992">
        <f t="shared" si="36"/>
        <v>40972.57</v>
      </c>
      <c r="L124" s="994">
        <v>8333.3330000000005</v>
      </c>
      <c r="M124" s="994">
        <v>49305.902999999998</v>
      </c>
      <c r="N124" s="992">
        <f t="shared" si="37"/>
        <v>737506.26</v>
      </c>
      <c r="O124" s="994">
        <f t="shared" si="38"/>
        <v>149999.99400000001</v>
      </c>
      <c r="P124" s="992">
        <f t="shared" si="39"/>
        <v>887506.25399999996</v>
      </c>
      <c r="Q124" s="992"/>
      <c r="R124" s="968">
        <v>1</v>
      </c>
      <c r="S124" s="991">
        <f t="shared" si="40"/>
        <v>28.64</v>
      </c>
      <c r="T124" s="995">
        <f t="shared" si="41"/>
        <v>1412121.06192</v>
      </c>
      <c r="U124" s="996">
        <f t="shared" si="42"/>
        <v>0.59111111111111114</v>
      </c>
      <c r="V124" s="997" t="s">
        <v>1900</v>
      </c>
      <c r="W124" s="998" t="s">
        <v>1901</v>
      </c>
      <c r="X124" s="999"/>
      <c r="Y124" s="1033"/>
      <c r="Z124" s="1033"/>
      <c r="AA124" s="1001"/>
      <c r="AB124" s="1002"/>
      <c r="AC124" s="1002"/>
      <c r="AD124" s="1035"/>
      <c r="AE124" s="1035"/>
      <c r="AF124" s="1004" t="s">
        <v>1793</v>
      </c>
      <c r="AG124" s="979"/>
      <c r="AH124" s="964"/>
      <c r="AI124" s="964"/>
      <c r="AJ124" s="964"/>
      <c r="AK124" s="994"/>
      <c r="AL124" s="1010"/>
      <c r="AM124" s="1009"/>
      <c r="AN124" s="964"/>
      <c r="AO124" s="964"/>
      <c r="AP124" s="964"/>
    </row>
    <row r="125" spans="1:73" s="1012" customFormat="1" ht="14.85" customHeight="1">
      <c r="A125" s="1005"/>
      <c r="B125" s="986" t="s">
        <v>1822</v>
      </c>
      <c r="C125" s="989" t="s">
        <v>1823</v>
      </c>
      <c r="D125" s="988" t="s">
        <v>502</v>
      </c>
      <c r="E125" s="989" t="s">
        <v>1824</v>
      </c>
      <c r="F125" s="990">
        <v>42935</v>
      </c>
      <c r="G125" s="1006">
        <v>15</v>
      </c>
      <c r="H125" s="1006">
        <v>14</v>
      </c>
      <c r="I125" s="1006">
        <v>16</v>
      </c>
      <c r="J125" s="1006">
        <v>21.36</v>
      </c>
      <c r="K125" s="992">
        <f t="shared" si="36"/>
        <v>17283</v>
      </c>
      <c r="L125" s="994">
        <v>6000</v>
      </c>
      <c r="M125" s="994">
        <v>23283</v>
      </c>
      <c r="N125" s="992">
        <f t="shared" si="37"/>
        <v>259245</v>
      </c>
      <c r="O125" s="994">
        <f t="shared" si="38"/>
        <v>90000</v>
      </c>
      <c r="P125" s="992">
        <f t="shared" si="39"/>
        <v>349245</v>
      </c>
      <c r="Q125" s="992"/>
      <c r="R125" s="968">
        <v>1</v>
      </c>
      <c r="S125" s="991">
        <f t="shared" si="40"/>
        <v>21.36</v>
      </c>
      <c r="T125" s="995">
        <f t="shared" si="41"/>
        <v>497324.88</v>
      </c>
      <c r="U125" s="996">
        <f t="shared" si="42"/>
        <v>0.42399999999999993</v>
      </c>
      <c r="V125" s="997" t="s">
        <v>1824</v>
      </c>
      <c r="W125" s="998" t="s">
        <v>1825</v>
      </c>
      <c r="X125" s="999">
        <f>+N125+O125</f>
        <v>349245</v>
      </c>
      <c r="Y125" s="1033">
        <v>9710000</v>
      </c>
      <c r="Z125" s="1033">
        <v>26350000</v>
      </c>
      <c r="AA125" s="1001">
        <v>-16290749</v>
      </c>
      <c r="AB125" s="1002"/>
      <c r="AC125" s="1002"/>
      <c r="AD125" s="1035"/>
      <c r="AE125" s="1035"/>
      <c r="AF125" s="1004" t="s">
        <v>1793</v>
      </c>
      <c r="AG125" s="979"/>
      <c r="AH125" s="964"/>
      <c r="AI125" s="964"/>
      <c r="AJ125" s="964"/>
      <c r="AK125" s="994"/>
      <c r="AL125" s="1010"/>
      <c r="AM125" s="1009"/>
      <c r="AN125" s="964"/>
      <c r="AO125" s="964"/>
      <c r="AP125" s="964"/>
    </row>
    <row r="126" spans="1:73" s="1012" customFormat="1" ht="14.85" customHeight="1">
      <c r="A126" s="1005"/>
      <c r="B126" s="986" t="s">
        <v>1902</v>
      </c>
      <c r="C126" s="989" t="s">
        <v>1903</v>
      </c>
      <c r="D126" s="988" t="s">
        <v>502</v>
      </c>
      <c r="E126" s="989" t="s">
        <v>1904</v>
      </c>
      <c r="F126" s="990">
        <v>42929</v>
      </c>
      <c r="G126" s="1006">
        <v>8</v>
      </c>
      <c r="H126" s="1006">
        <v>12</v>
      </c>
      <c r="I126" s="1006">
        <v>14</v>
      </c>
      <c r="J126" s="1006">
        <v>14.21</v>
      </c>
      <c r="K126" s="992">
        <f t="shared" si="36"/>
        <v>48572.879000000001</v>
      </c>
      <c r="L126" s="994">
        <v>15625</v>
      </c>
      <c r="M126" s="994">
        <v>64197.879000000001</v>
      </c>
      <c r="N126" s="992">
        <f t="shared" si="37"/>
        <v>388583.03200000001</v>
      </c>
      <c r="O126" s="994">
        <f t="shared" si="38"/>
        <v>125000</v>
      </c>
      <c r="P126" s="992">
        <f t="shared" si="39"/>
        <v>513583.03200000001</v>
      </c>
      <c r="Q126" s="992"/>
      <c r="R126" s="968">
        <v>1</v>
      </c>
      <c r="S126" s="991">
        <f t="shared" si="40"/>
        <v>14.21</v>
      </c>
      <c r="T126" s="995">
        <f t="shared" si="41"/>
        <v>912251.86059000005</v>
      </c>
      <c r="U126" s="996">
        <f t="shared" si="42"/>
        <v>0.77625000000000011</v>
      </c>
      <c r="V126" s="997" t="s">
        <v>1905</v>
      </c>
      <c r="W126" s="998" t="s">
        <v>1906</v>
      </c>
      <c r="X126" s="999"/>
      <c r="Y126" s="1033"/>
      <c r="Z126" s="1033"/>
      <c r="AA126" s="1001"/>
      <c r="AB126" s="1002"/>
      <c r="AC126" s="1002"/>
      <c r="AD126" s="1035"/>
      <c r="AE126" s="1035"/>
      <c r="AF126" s="1004" t="s">
        <v>1793</v>
      </c>
      <c r="AG126" s="979"/>
      <c r="AH126" s="964"/>
      <c r="AI126" s="964"/>
      <c r="AJ126" s="964"/>
      <c r="AK126" s="994"/>
      <c r="AL126" s="1010"/>
      <c r="AM126" s="1009"/>
      <c r="AN126" s="964"/>
      <c r="AO126" s="964"/>
      <c r="AP126" s="964"/>
    </row>
    <row r="127" spans="1:73" s="979" customFormat="1" ht="14.85" customHeight="1">
      <c r="A127" s="1005"/>
      <c r="B127" s="986" t="s">
        <v>1826</v>
      </c>
      <c r="C127" s="989" t="s">
        <v>1827</v>
      </c>
      <c r="D127" s="988" t="s">
        <v>502</v>
      </c>
      <c r="E127" s="989" t="s">
        <v>1828</v>
      </c>
      <c r="F127" s="990">
        <v>42914</v>
      </c>
      <c r="G127" s="1006">
        <v>17</v>
      </c>
      <c r="H127" s="1006">
        <v>15</v>
      </c>
      <c r="I127" s="1006">
        <v>17</v>
      </c>
      <c r="J127" s="1006">
        <v>19.5</v>
      </c>
      <c r="K127" s="992">
        <f t="shared" si="36"/>
        <v>20575.206999999999</v>
      </c>
      <c r="L127" s="992">
        <v>4415</v>
      </c>
      <c r="M127" s="992">
        <v>24990.206999999999</v>
      </c>
      <c r="N127" s="992">
        <f t="shared" si="37"/>
        <v>349778.51899999997</v>
      </c>
      <c r="O127" s="994">
        <f t="shared" si="38"/>
        <v>75055</v>
      </c>
      <c r="P127" s="992">
        <f t="shared" si="39"/>
        <v>424833.51899999997</v>
      </c>
      <c r="Q127" s="992"/>
      <c r="R127" s="968">
        <v>1</v>
      </c>
      <c r="S127" s="991">
        <f t="shared" si="40"/>
        <v>19.5</v>
      </c>
      <c r="T127" s="995">
        <f t="shared" si="41"/>
        <v>487309.03649999999</v>
      </c>
      <c r="U127" s="996">
        <f t="shared" si="42"/>
        <v>0.14705882352941191</v>
      </c>
      <c r="V127" s="997" t="s">
        <v>1829</v>
      </c>
      <c r="W127" s="998" t="s">
        <v>1830</v>
      </c>
      <c r="X127" s="999">
        <f t="shared" ref="X127:X140" si="43">+N127+O127</f>
        <v>424833.51899999997</v>
      </c>
      <c r="Y127" s="1033">
        <v>13640</v>
      </c>
      <c r="Z127" s="1033">
        <v>28709</v>
      </c>
      <c r="AA127" s="1001">
        <v>409764.51899999997</v>
      </c>
      <c r="AB127" s="1002">
        <v>0</v>
      </c>
      <c r="AC127" s="1002">
        <v>0</v>
      </c>
      <c r="AD127" s="1035" t="s">
        <v>13</v>
      </c>
      <c r="AE127" s="1035" t="s">
        <v>13</v>
      </c>
      <c r="AF127" s="1004">
        <f>+P127-X127</f>
        <v>0</v>
      </c>
      <c r="AH127" s="964"/>
      <c r="AI127" s="964"/>
      <c r="AJ127" s="964"/>
      <c r="AK127" s="994"/>
      <c r="AL127" s="1010"/>
      <c r="AM127" s="1009"/>
      <c r="AN127" s="964"/>
      <c r="AO127" s="964"/>
      <c r="AP127" s="964"/>
      <c r="AQ127" s="1012"/>
      <c r="AR127" s="1012"/>
      <c r="AS127" s="1012"/>
      <c r="AT127" s="1012"/>
      <c r="AU127" s="1012"/>
      <c r="AV127" s="1012"/>
      <c r="AW127" s="1012"/>
      <c r="AX127" s="1012"/>
      <c r="AY127" s="1012"/>
      <c r="AZ127" s="1012"/>
      <c r="BA127" s="1012"/>
      <c r="BB127" s="1012"/>
      <c r="BC127" s="1012"/>
      <c r="BD127" s="1012"/>
      <c r="BE127" s="1012"/>
      <c r="BF127" s="1012"/>
      <c r="BG127" s="1012"/>
      <c r="BH127" s="1012"/>
      <c r="BI127" s="1012"/>
      <c r="BJ127" s="1012"/>
      <c r="BK127" s="1012"/>
      <c r="BL127" s="1012"/>
      <c r="BM127" s="1012"/>
      <c r="BN127" s="1012"/>
      <c r="BO127" s="1012"/>
      <c r="BP127" s="1012"/>
      <c r="BQ127" s="1012"/>
      <c r="BR127" s="1012"/>
      <c r="BS127" s="1012"/>
      <c r="BT127" s="1012"/>
      <c r="BU127" s="1012"/>
    </row>
    <row r="128" spans="1:73" s="1012" customFormat="1" ht="14.85" customHeight="1">
      <c r="A128" s="1005"/>
      <c r="B128" s="986" t="s">
        <v>1831</v>
      </c>
      <c r="C128" s="989" t="s">
        <v>1832</v>
      </c>
      <c r="D128" s="988" t="s">
        <v>502</v>
      </c>
      <c r="E128" s="989" t="s">
        <v>1833</v>
      </c>
      <c r="F128" s="990">
        <v>42900</v>
      </c>
      <c r="G128" s="1006">
        <v>11</v>
      </c>
      <c r="H128" s="1006">
        <v>11</v>
      </c>
      <c r="I128" s="1006">
        <v>13</v>
      </c>
      <c r="J128" s="1006">
        <v>18.82</v>
      </c>
      <c r="K128" s="992">
        <f t="shared" si="36"/>
        <v>49248.567999999999</v>
      </c>
      <c r="L128" s="992">
        <v>6000</v>
      </c>
      <c r="M128" s="992">
        <v>55248.567999999999</v>
      </c>
      <c r="N128" s="992">
        <f t="shared" si="37"/>
        <v>541734.24800000002</v>
      </c>
      <c r="O128" s="994">
        <f t="shared" si="38"/>
        <v>66000</v>
      </c>
      <c r="P128" s="992">
        <f t="shared" si="39"/>
        <v>607734.24800000002</v>
      </c>
      <c r="Q128" s="992"/>
      <c r="R128" s="968">
        <v>1</v>
      </c>
      <c r="S128" s="991">
        <f t="shared" si="40"/>
        <v>18.82</v>
      </c>
      <c r="T128" s="995">
        <f t="shared" si="41"/>
        <v>1039778.04976</v>
      </c>
      <c r="U128" s="996">
        <f t="shared" si="42"/>
        <v>0.71090909090909071</v>
      </c>
      <c r="V128" s="997" t="s">
        <v>1834</v>
      </c>
      <c r="W128" s="998" t="s">
        <v>1835</v>
      </c>
      <c r="X128" s="999">
        <f t="shared" si="43"/>
        <v>607734.24800000002</v>
      </c>
      <c r="Y128" s="1033">
        <v>45816</v>
      </c>
      <c r="Z128" s="1033">
        <v>26034</v>
      </c>
      <c r="AA128" s="1001">
        <v>627516.24800000002</v>
      </c>
      <c r="AB128" s="1002">
        <v>0</v>
      </c>
      <c r="AC128" s="1002">
        <v>0</v>
      </c>
      <c r="AD128" s="1035" t="s">
        <v>13</v>
      </c>
      <c r="AE128" s="1035" t="s">
        <v>13</v>
      </c>
      <c r="AF128" s="1004">
        <f>+P128-X128</f>
        <v>0</v>
      </c>
      <c r="AG128" s="979"/>
      <c r="AH128" s="964"/>
      <c r="AI128" s="964"/>
      <c r="AJ128" s="964"/>
      <c r="AK128" s="994"/>
      <c r="AL128" s="1010"/>
      <c r="AM128" s="1009"/>
      <c r="AN128" s="964"/>
      <c r="AO128" s="964"/>
      <c r="AP128" s="964"/>
    </row>
    <row r="129" spans="1:73" s="1012" customFormat="1" ht="14.85" customHeight="1">
      <c r="A129" s="1005"/>
      <c r="B129" s="986" t="s">
        <v>1537</v>
      </c>
      <c r="C129" s="987" t="s">
        <v>1538</v>
      </c>
      <c r="D129" s="988" t="s">
        <v>502</v>
      </c>
      <c r="E129" s="989" t="s">
        <v>1539</v>
      </c>
      <c r="F129" s="990">
        <v>42802</v>
      </c>
      <c r="G129" s="991">
        <v>20</v>
      </c>
      <c r="H129" s="991">
        <v>20</v>
      </c>
      <c r="I129" s="991">
        <v>22</v>
      </c>
      <c r="J129" s="991">
        <v>20.100000000000001</v>
      </c>
      <c r="K129" s="992">
        <f t="shared" si="36"/>
        <v>21381.206999999999</v>
      </c>
      <c r="L129" s="993">
        <v>174.286</v>
      </c>
      <c r="M129" s="993">
        <v>21555.492999999999</v>
      </c>
      <c r="N129" s="992">
        <f t="shared" si="37"/>
        <v>427624.13999999996</v>
      </c>
      <c r="O129" s="994">
        <f t="shared" si="38"/>
        <v>3485.7200000000003</v>
      </c>
      <c r="P129" s="992">
        <f t="shared" si="39"/>
        <v>431109.85999999993</v>
      </c>
      <c r="Q129" s="992"/>
      <c r="R129" s="968">
        <v>1</v>
      </c>
      <c r="S129" s="991">
        <f t="shared" si="40"/>
        <v>20.100000000000001</v>
      </c>
      <c r="T129" s="995">
        <f t="shared" si="41"/>
        <v>433265.4093</v>
      </c>
      <c r="U129" s="996">
        <f>IFERROR(T129/P129-1,"n/a")</f>
        <v>5.0000000000001155E-3</v>
      </c>
      <c r="V129" s="997" t="s">
        <v>1540</v>
      </c>
      <c r="W129" s="998" t="s">
        <v>1541</v>
      </c>
      <c r="X129" s="999">
        <f t="shared" si="43"/>
        <v>431109.85999999993</v>
      </c>
      <c r="Y129" s="999">
        <v>0</v>
      </c>
      <c r="Z129" s="999">
        <v>17329</v>
      </c>
      <c r="AA129" s="1001">
        <f t="shared" ref="AA129:AA136" si="44">X129+Y129-Z129</f>
        <v>413780.85999999993</v>
      </c>
      <c r="AB129" s="1002">
        <v>0</v>
      </c>
      <c r="AC129" s="1008">
        <v>-9209</v>
      </c>
      <c r="AD129" s="1003" t="str">
        <f t="shared" ref="AD129:AD140" si="45">IFERROR(AA129/AB129,"n/a")</f>
        <v>n/a</v>
      </c>
      <c r="AE129" s="1003">
        <f t="shared" ref="AE129:AE140" si="46">IFERROR(AA129/AC129,"n/a")</f>
        <v>-44.932224997285253</v>
      </c>
      <c r="AF129" s="1004">
        <f>+P129-X129</f>
        <v>0</v>
      </c>
      <c r="AG129" s="979"/>
      <c r="AH129" s="1054" t="s">
        <v>1542</v>
      </c>
      <c r="AI129" s="979"/>
      <c r="AJ129" s="979"/>
      <c r="AK129" s="979"/>
      <c r="AL129" s="979"/>
      <c r="AM129" s="979"/>
      <c r="AN129" s="979"/>
      <c r="AO129" s="979"/>
      <c r="AP129" s="979"/>
      <c r="AQ129" s="979"/>
      <c r="AR129" s="979"/>
      <c r="AS129" s="979"/>
      <c r="AT129" s="979"/>
      <c r="AU129" s="979"/>
      <c r="AV129" s="979"/>
      <c r="AW129" s="979"/>
      <c r="AX129" s="979"/>
      <c r="AY129" s="979"/>
      <c r="AZ129" s="979"/>
      <c r="BA129" s="979"/>
      <c r="BB129" s="979"/>
      <c r="BC129" s="979"/>
      <c r="BD129" s="979"/>
      <c r="BE129" s="979"/>
      <c r="BF129" s="979"/>
      <c r="BG129" s="979"/>
      <c r="BH129" s="979"/>
      <c r="BI129" s="979"/>
      <c r="BJ129" s="979"/>
      <c r="BK129" s="979"/>
      <c r="BL129" s="979"/>
      <c r="BM129" s="979"/>
      <c r="BN129" s="979"/>
      <c r="BO129" s="979"/>
      <c r="BP129" s="979"/>
      <c r="BQ129" s="979"/>
      <c r="BR129" s="979"/>
      <c r="BS129" s="979"/>
      <c r="BT129" s="979"/>
      <c r="BU129" s="979"/>
    </row>
    <row r="130" spans="1:73" s="979" customFormat="1" ht="14.85" customHeight="1">
      <c r="A130" s="1005"/>
      <c r="B130" s="986" t="s">
        <v>1052</v>
      </c>
      <c r="C130" s="987" t="s">
        <v>1053</v>
      </c>
      <c r="D130" s="988" t="s">
        <v>502</v>
      </c>
      <c r="E130" s="989" t="s">
        <v>1054</v>
      </c>
      <c r="F130" s="990">
        <v>42633</v>
      </c>
      <c r="G130" s="991">
        <v>11</v>
      </c>
      <c r="H130" s="991">
        <v>11</v>
      </c>
      <c r="I130" s="991">
        <v>13</v>
      </c>
      <c r="J130" s="991">
        <v>20.59</v>
      </c>
      <c r="K130" s="992">
        <f t="shared" si="36"/>
        <v>11223.659</v>
      </c>
      <c r="L130" s="993">
        <v>4100</v>
      </c>
      <c r="M130" s="993">
        <v>15323.659</v>
      </c>
      <c r="N130" s="992">
        <f t="shared" si="37"/>
        <v>123460.249</v>
      </c>
      <c r="O130" s="994">
        <f t="shared" si="38"/>
        <v>45100</v>
      </c>
      <c r="P130" s="992">
        <f t="shared" si="39"/>
        <v>168560.24900000001</v>
      </c>
      <c r="Q130" s="992"/>
      <c r="R130" s="968">
        <v>1</v>
      </c>
      <c r="S130" s="991">
        <f t="shared" si="40"/>
        <v>20.59</v>
      </c>
      <c r="T130" s="995">
        <f t="shared" si="41"/>
        <v>315514.13880999997</v>
      </c>
      <c r="U130" s="996">
        <f>T130/P130-1</f>
        <v>0.8718181818181816</v>
      </c>
      <c r="V130" s="997" t="s">
        <v>1055</v>
      </c>
      <c r="W130" s="998" t="s">
        <v>1056</v>
      </c>
      <c r="X130" s="999">
        <f t="shared" si="43"/>
        <v>168560.24900000001</v>
      </c>
      <c r="Y130" s="999">
        <v>5146000</v>
      </c>
      <c r="Z130" s="999">
        <v>19602</v>
      </c>
      <c r="AA130" s="1001">
        <f t="shared" si="44"/>
        <v>5294958.2489999998</v>
      </c>
      <c r="AB130" s="1008">
        <v>0</v>
      </c>
      <c r="AC130" s="1008">
        <v>-44204</v>
      </c>
      <c r="AD130" s="1003" t="str">
        <f t="shared" si="45"/>
        <v>n/a</v>
      </c>
      <c r="AE130" s="1003">
        <f t="shared" si="46"/>
        <v>-119.78459526287213</v>
      </c>
      <c r="AF130" s="1004">
        <f>+P130-X130</f>
        <v>0</v>
      </c>
    </row>
    <row r="131" spans="1:73" s="1005" customFormat="1" ht="14.85" customHeight="1">
      <c r="B131" s="986" t="s">
        <v>1543</v>
      </c>
      <c r="C131" s="989" t="s">
        <v>1544</v>
      </c>
      <c r="D131" s="988" t="s">
        <v>502</v>
      </c>
      <c r="E131" s="989" t="s">
        <v>1545</v>
      </c>
      <c r="F131" s="990">
        <v>42522</v>
      </c>
      <c r="G131" s="991">
        <v>7</v>
      </c>
      <c r="H131" s="991">
        <v>14</v>
      </c>
      <c r="I131" s="991">
        <v>16</v>
      </c>
      <c r="J131" s="991">
        <v>6.78</v>
      </c>
      <c r="K131" s="992">
        <f t="shared" si="36"/>
        <v>12251.079</v>
      </c>
      <c r="L131" s="993">
        <f>4000000/1000</f>
        <v>4000</v>
      </c>
      <c r="M131" s="993">
        <f>16251079/1000</f>
        <v>16251.079</v>
      </c>
      <c r="N131" s="992">
        <f t="shared" si="37"/>
        <v>85757.553</v>
      </c>
      <c r="O131" s="994">
        <f t="shared" si="38"/>
        <v>28000</v>
      </c>
      <c r="P131" s="992">
        <f t="shared" si="39"/>
        <v>113757.553</v>
      </c>
      <c r="Q131" s="992"/>
      <c r="R131" s="968">
        <v>1</v>
      </c>
      <c r="S131" s="991">
        <f t="shared" si="40"/>
        <v>6.78</v>
      </c>
      <c r="T131" s="995">
        <f t="shared" si="41"/>
        <v>110182.31562000001</v>
      </c>
      <c r="U131" s="1052">
        <v>-3.1428571428571361E-2</v>
      </c>
      <c r="V131" s="1055" t="s">
        <v>1545</v>
      </c>
      <c r="W131" s="1053" t="s">
        <v>1546</v>
      </c>
      <c r="X131" s="1056">
        <f t="shared" si="43"/>
        <v>113757.553</v>
      </c>
      <c r="Y131" s="999">
        <v>6035000</v>
      </c>
      <c r="Z131" s="999">
        <v>15887</v>
      </c>
      <c r="AA131" s="1001">
        <f t="shared" si="44"/>
        <v>6132870.5530000003</v>
      </c>
      <c r="AB131" s="1008">
        <v>510</v>
      </c>
      <c r="AC131" s="1008">
        <v>-18864</v>
      </c>
      <c r="AD131" s="1003">
        <f t="shared" si="45"/>
        <v>12025.236378431373</v>
      </c>
      <c r="AE131" s="1003">
        <f t="shared" si="46"/>
        <v>-325.10976213952506</v>
      </c>
      <c r="AF131" s="994"/>
    </row>
    <row r="132" spans="1:73" s="979" customFormat="1" ht="14.85" customHeight="1">
      <c r="A132" s="1005"/>
      <c r="B132" s="986" t="s">
        <v>1084</v>
      </c>
      <c r="C132" s="987" t="s">
        <v>1085</v>
      </c>
      <c r="D132" s="988" t="s">
        <v>502</v>
      </c>
      <c r="E132" s="989" t="s">
        <v>1086</v>
      </c>
      <c r="F132" s="990">
        <v>42515</v>
      </c>
      <c r="G132" s="1006">
        <v>11</v>
      </c>
      <c r="H132" s="1006">
        <v>14</v>
      </c>
      <c r="I132" s="1006">
        <v>16</v>
      </c>
      <c r="J132" s="1006">
        <v>20.14</v>
      </c>
      <c r="K132" s="992">
        <f t="shared" si="36"/>
        <v>15998.106</v>
      </c>
      <c r="L132" s="993">
        <v>5500</v>
      </c>
      <c r="M132" s="993">
        <v>21498.106</v>
      </c>
      <c r="N132" s="992">
        <f t="shared" si="37"/>
        <v>175979.166</v>
      </c>
      <c r="O132" s="994">
        <f t="shared" si="38"/>
        <v>60500</v>
      </c>
      <c r="P132" s="992">
        <f t="shared" si="39"/>
        <v>236479.166</v>
      </c>
      <c r="Q132" s="992"/>
      <c r="R132" s="968">
        <v>1</v>
      </c>
      <c r="S132" s="991">
        <f t="shared" si="40"/>
        <v>20.14</v>
      </c>
      <c r="T132" s="995">
        <f t="shared" si="41"/>
        <v>432971.85483999999</v>
      </c>
      <c r="U132" s="996">
        <f t="shared" ref="U132:U140" si="47">T132/P132-1</f>
        <v>0.83090909090909082</v>
      </c>
      <c r="V132" s="1007" t="s">
        <v>1087</v>
      </c>
      <c r="W132" s="998" t="s">
        <v>1088</v>
      </c>
      <c r="X132" s="999">
        <f t="shared" si="43"/>
        <v>236479.166</v>
      </c>
      <c r="Y132" s="999">
        <v>0</v>
      </c>
      <c r="Z132" s="999">
        <v>41853</v>
      </c>
      <c r="AA132" s="1001">
        <f t="shared" si="44"/>
        <v>194626.166</v>
      </c>
      <c r="AB132" s="1008">
        <v>49731</v>
      </c>
      <c r="AC132" s="1008">
        <v>-641</v>
      </c>
      <c r="AD132" s="1003">
        <f t="shared" si="45"/>
        <v>3.9135783716394199</v>
      </c>
      <c r="AE132" s="1003">
        <f t="shared" si="46"/>
        <v>-303.62896411856474</v>
      </c>
      <c r="AF132" s="1004">
        <f t="shared" ref="AF132:AF140" si="48">+P132-X132</f>
        <v>0</v>
      </c>
      <c r="AG132" s="1009"/>
    </row>
    <row r="133" spans="1:73" s="964" customFormat="1" ht="14.85" customHeight="1">
      <c r="A133" s="1005"/>
      <c r="B133" s="986" t="s">
        <v>1130</v>
      </c>
      <c r="C133" s="987" t="s">
        <v>1742</v>
      </c>
      <c r="D133" s="988" t="s">
        <v>502</v>
      </c>
      <c r="E133" s="989" t="s">
        <v>1132</v>
      </c>
      <c r="F133" s="990">
        <v>42327</v>
      </c>
      <c r="G133" s="1006">
        <v>9</v>
      </c>
      <c r="H133" s="1006">
        <v>11</v>
      </c>
      <c r="I133" s="1006">
        <v>13</v>
      </c>
      <c r="J133" s="1006">
        <v>9.11</v>
      </c>
      <c r="K133" s="992">
        <f t="shared" si="36"/>
        <v>13470.476999999999</v>
      </c>
      <c r="L133" s="993">
        <v>5666.6670000000004</v>
      </c>
      <c r="M133" s="993">
        <v>19137.144</v>
      </c>
      <c r="N133" s="992">
        <f t="shared" si="37"/>
        <v>121234.29299999999</v>
      </c>
      <c r="O133" s="994">
        <f t="shared" si="38"/>
        <v>51000.003000000004</v>
      </c>
      <c r="P133" s="992">
        <f t="shared" si="39"/>
        <v>172234.296</v>
      </c>
      <c r="Q133" s="992"/>
      <c r="R133" s="968">
        <v>1</v>
      </c>
      <c r="S133" s="991">
        <f t="shared" si="40"/>
        <v>9.11</v>
      </c>
      <c r="T133" s="995">
        <f t="shared" si="41"/>
        <v>174339.38183999999</v>
      </c>
      <c r="U133" s="996">
        <f t="shared" si="47"/>
        <v>1.2222222222222134E-2</v>
      </c>
      <c r="V133" s="1011" t="s">
        <v>1133</v>
      </c>
      <c r="W133" s="998" t="s">
        <v>1134</v>
      </c>
      <c r="X133" s="999">
        <f t="shared" si="43"/>
        <v>172234.296</v>
      </c>
      <c r="Y133" s="999">
        <v>15137820</v>
      </c>
      <c r="Z133" s="999">
        <v>4620.87</v>
      </c>
      <c r="AA133" s="1001">
        <f t="shared" si="44"/>
        <v>15305433.426000001</v>
      </c>
      <c r="AB133" s="1008">
        <v>0</v>
      </c>
      <c r="AC133" s="1008">
        <v>-17881.009999999998</v>
      </c>
      <c r="AD133" s="1003" t="str">
        <f t="shared" si="45"/>
        <v>n/a</v>
      </c>
      <c r="AE133" s="1003">
        <f t="shared" si="46"/>
        <v>-855.96022965145721</v>
      </c>
      <c r="AF133" s="1004">
        <f t="shared" si="48"/>
        <v>0</v>
      </c>
      <c r="AG133" s="1012"/>
      <c r="AH133" s="1012"/>
      <c r="AI133" s="1012"/>
      <c r="AJ133" s="1012"/>
      <c r="AK133" s="1013"/>
      <c r="AL133" s="1010"/>
      <c r="AM133" s="1009"/>
      <c r="AN133" s="1012"/>
      <c r="AO133" s="1012"/>
      <c r="AP133" s="1012"/>
    </row>
    <row r="134" spans="1:73" s="964" customFormat="1" ht="14.85" customHeight="1">
      <c r="A134" s="1005"/>
      <c r="B134" s="986" t="s">
        <v>1191</v>
      </c>
      <c r="C134" s="989" t="s">
        <v>1192</v>
      </c>
      <c r="D134" s="988" t="s">
        <v>502</v>
      </c>
      <c r="E134" s="989" t="s">
        <v>1193</v>
      </c>
      <c r="F134" s="990">
        <v>42208</v>
      </c>
      <c r="G134" s="1006">
        <v>15</v>
      </c>
      <c r="H134" s="1006">
        <v>14</v>
      </c>
      <c r="I134" s="1006">
        <v>16</v>
      </c>
      <c r="J134" s="1006">
        <v>24.9</v>
      </c>
      <c r="K134" s="992">
        <f t="shared" si="36"/>
        <v>9688.7160000000003</v>
      </c>
      <c r="L134" s="993">
        <v>4800</v>
      </c>
      <c r="M134" s="993">
        <v>14488.716</v>
      </c>
      <c r="N134" s="992">
        <f t="shared" si="37"/>
        <v>145330.74</v>
      </c>
      <c r="O134" s="994">
        <f t="shared" si="38"/>
        <v>72000</v>
      </c>
      <c r="P134" s="992">
        <f t="shared" si="39"/>
        <v>217330.74</v>
      </c>
      <c r="Q134" s="992"/>
      <c r="R134" s="968">
        <v>1</v>
      </c>
      <c r="S134" s="991">
        <f t="shared" si="40"/>
        <v>24.9</v>
      </c>
      <c r="T134" s="995">
        <f t="shared" si="41"/>
        <v>360769.02840000001</v>
      </c>
      <c r="U134" s="996">
        <f t="shared" si="47"/>
        <v>0.66000000000000014</v>
      </c>
      <c r="V134" s="997" t="s">
        <v>1194</v>
      </c>
      <c r="W134" s="998" t="s">
        <v>1195</v>
      </c>
      <c r="X134" s="999">
        <f t="shared" si="43"/>
        <v>217330.74</v>
      </c>
      <c r="Y134" s="999">
        <v>29619000</v>
      </c>
      <c r="Z134" s="999">
        <v>26169</v>
      </c>
      <c r="AA134" s="1001">
        <f t="shared" si="44"/>
        <v>29810161.739999998</v>
      </c>
      <c r="AB134" s="1008">
        <v>5948</v>
      </c>
      <c r="AC134" s="1008">
        <v>-48634</v>
      </c>
      <c r="AD134" s="1003">
        <f t="shared" si="45"/>
        <v>5011.7958540685941</v>
      </c>
      <c r="AE134" s="1003">
        <f t="shared" si="46"/>
        <v>-612.94900152156924</v>
      </c>
      <c r="AF134" s="1004">
        <f t="shared" si="48"/>
        <v>0</v>
      </c>
      <c r="AG134" s="979"/>
      <c r="AK134" s="994"/>
      <c r="AL134" s="1010"/>
      <c r="AM134" s="1009"/>
    </row>
    <row r="135" spans="1:73" s="1012" customFormat="1" ht="14.85" customHeight="1">
      <c r="A135" s="1005"/>
      <c r="B135" s="986" t="s">
        <v>1196</v>
      </c>
      <c r="C135" s="989" t="s">
        <v>1197</v>
      </c>
      <c r="D135" s="988" t="s">
        <v>1547</v>
      </c>
      <c r="E135" s="989" t="s">
        <v>1198</v>
      </c>
      <c r="F135" s="990">
        <v>42200</v>
      </c>
      <c r="G135" s="1006">
        <v>16</v>
      </c>
      <c r="H135" s="1006">
        <v>13</v>
      </c>
      <c r="I135" s="1006">
        <v>15</v>
      </c>
      <c r="J135" s="1006">
        <v>28.27</v>
      </c>
      <c r="K135" s="992">
        <f t="shared" si="36"/>
        <v>16609.642</v>
      </c>
      <c r="L135" s="993">
        <v>6365</v>
      </c>
      <c r="M135" s="993">
        <v>22974.642</v>
      </c>
      <c r="N135" s="992">
        <f t="shared" si="37"/>
        <v>265754.272</v>
      </c>
      <c r="O135" s="994">
        <f t="shared" si="38"/>
        <v>101840</v>
      </c>
      <c r="P135" s="992">
        <f t="shared" si="39"/>
        <v>367594.272</v>
      </c>
      <c r="Q135" s="992"/>
      <c r="R135" s="968">
        <v>1</v>
      </c>
      <c r="S135" s="991">
        <f t="shared" si="40"/>
        <v>28.27</v>
      </c>
      <c r="T135" s="995">
        <f t="shared" si="41"/>
        <v>649493.12933999998</v>
      </c>
      <c r="U135" s="996">
        <f t="shared" si="47"/>
        <v>0.76687499999999997</v>
      </c>
      <c r="V135" s="1011" t="s">
        <v>1199</v>
      </c>
      <c r="W135" s="998" t="s">
        <v>1200</v>
      </c>
      <c r="X135" s="999">
        <f t="shared" si="43"/>
        <v>367594.272</v>
      </c>
      <c r="Y135" s="999">
        <v>0</v>
      </c>
      <c r="Z135" s="999">
        <v>70871.77</v>
      </c>
      <c r="AA135" s="1001">
        <f t="shared" si="44"/>
        <v>296722.50199999998</v>
      </c>
      <c r="AB135" s="1008">
        <v>0</v>
      </c>
      <c r="AC135" s="1008">
        <v>-60684</v>
      </c>
      <c r="AD135" s="1003" t="str">
        <f t="shared" si="45"/>
        <v>n/a</v>
      </c>
      <c r="AE135" s="1003">
        <f t="shared" si="46"/>
        <v>-4.8896332146859134</v>
      </c>
      <c r="AF135" s="1004">
        <f t="shared" si="48"/>
        <v>0</v>
      </c>
      <c r="AG135" s="1014"/>
      <c r="AH135" s="1013"/>
      <c r="AI135" s="1014"/>
      <c r="AJ135" s="1015"/>
      <c r="AK135" s="1013"/>
      <c r="AL135" s="1010"/>
      <c r="AM135" s="1009"/>
      <c r="AN135" s="1011"/>
      <c r="AO135" s="1016"/>
      <c r="AP135" s="1016"/>
      <c r="AQ135" s="964"/>
      <c r="AR135" s="964"/>
      <c r="AS135" s="964"/>
      <c r="AT135" s="964"/>
      <c r="AU135" s="964"/>
      <c r="AV135" s="964"/>
      <c r="AW135" s="964"/>
      <c r="AX135" s="964"/>
      <c r="AY135" s="964"/>
      <c r="AZ135" s="964"/>
      <c r="BA135" s="964"/>
      <c r="BB135" s="964"/>
      <c r="BC135" s="964"/>
      <c r="BD135" s="964"/>
      <c r="BE135" s="964"/>
      <c r="BF135" s="964"/>
      <c r="BG135" s="964"/>
      <c r="BH135" s="964"/>
      <c r="BI135" s="964"/>
      <c r="BJ135" s="964"/>
      <c r="BK135" s="964"/>
      <c r="BL135" s="964"/>
      <c r="BM135" s="964"/>
      <c r="BN135" s="964"/>
      <c r="BO135" s="964"/>
      <c r="BP135" s="964"/>
      <c r="BQ135" s="964"/>
      <c r="BR135" s="964"/>
      <c r="BS135" s="964"/>
      <c r="BT135" s="964"/>
      <c r="BU135" s="964"/>
    </row>
    <row r="136" spans="1:73" s="1012" customFormat="1" ht="14.85" customHeight="1">
      <c r="A136" s="1005"/>
      <c r="B136" s="986" t="s">
        <v>1226</v>
      </c>
      <c r="C136" s="989" t="s">
        <v>1227</v>
      </c>
      <c r="D136" s="988" t="s">
        <v>1547</v>
      </c>
      <c r="E136" s="989" t="s">
        <v>1228</v>
      </c>
      <c r="F136" s="990">
        <v>42130</v>
      </c>
      <c r="G136" s="1006">
        <v>12</v>
      </c>
      <c r="H136" s="1006">
        <v>12</v>
      </c>
      <c r="I136" s="1006">
        <v>14</v>
      </c>
      <c r="J136" s="1006">
        <v>19.079999999999998</v>
      </c>
      <c r="K136" s="992">
        <f t="shared" si="36"/>
        <v>13907.935000000001</v>
      </c>
      <c r="L136" s="993">
        <v>5800</v>
      </c>
      <c r="M136" s="993">
        <v>19707.935000000001</v>
      </c>
      <c r="N136" s="992">
        <f t="shared" si="37"/>
        <v>166895.22000000003</v>
      </c>
      <c r="O136" s="994">
        <f t="shared" si="38"/>
        <v>69600</v>
      </c>
      <c r="P136" s="992">
        <f t="shared" si="39"/>
        <v>236495.22000000003</v>
      </c>
      <c r="Q136" s="992"/>
      <c r="R136" s="968">
        <v>1</v>
      </c>
      <c r="S136" s="991">
        <f t="shared" si="40"/>
        <v>19.079999999999998</v>
      </c>
      <c r="T136" s="995">
        <f t="shared" si="41"/>
        <v>376027.39980000001</v>
      </c>
      <c r="U136" s="996">
        <f t="shared" si="47"/>
        <v>0.58999999999999986</v>
      </c>
      <c r="V136" s="997" t="s">
        <v>1229</v>
      </c>
      <c r="W136" s="998" t="s">
        <v>1230</v>
      </c>
      <c r="X136" s="999">
        <f t="shared" si="43"/>
        <v>236495.22000000003</v>
      </c>
      <c r="Y136" s="999">
        <v>13007000</v>
      </c>
      <c r="Z136" s="999">
        <v>1634</v>
      </c>
      <c r="AA136" s="1001">
        <f t="shared" si="44"/>
        <v>13241861.220000001</v>
      </c>
      <c r="AB136" s="1008">
        <v>0</v>
      </c>
      <c r="AC136" s="1008">
        <v>-58596</v>
      </c>
      <c r="AD136" s="1003" t="str">
        <f t="shared" si="45"/>
        <v>n/a</v>
      </c>
      <c r="AE136" s="1003">
        <f t="shared" si="46"/>
        <v>-225.98575363506043</v>
      </c>
      <c r="AF136" s="1004">
        <f t="shared" si="48"/>
        <v>0</v>
      </c>
      <c r="AG136" s="979"/>
      <c r="AH136" s="964"/>
      <c r="AI136" s="964"/>
      <c r="AJ136" s="964"/>
      <c r="AK136" s="994"/>
      <c r="AL136" s="1010"/>
      <c r="AM136" s="1009"/>
      <c r="AN136" s="964"/>
      <c r="AO136" s="964"/>
      <c r="AP136" s="964"/>
    </row>
    <row r="137" spans="1:73" s="1012" customFormat="1" ht="14.85" customHeight="1">
      <c r="A137" s="1005"/>
      <c r="B137" s="986" t="s">
        <v>1231</v>
      </c>
      <c r="C137" s="989" t="s">
        <v>1232</v>
      </c>
      <c r="D137" s="988" t="s">
        <v>502</v>
      </c>
      <c r="E137" s="989" t="s">
        <v>1233</v>
      </c>
      <c r="F137" s="990">
        <v>42129</v>
      </c>
      <c r="G137" s="1006">
        <v>10</v>
      </c>
      <c r="H137" s="1006">
        <v>13</v>
      </c>
      <c r="I137" s="1006">
        <v>15</v>
      </c>
      <c r="J137" s="1006">
        <v>8.4499999999999993</v>
      </c>
      <c r="K137" s="992">
        <f t="shared" si="36"/>
        <v>9638.9889999999996</v>
      </c>
      <c r="L137" s="993">
        <v>5500</v>
      </c>
      <c r="M137" s="993">
        <v>15138.989</v>
      </c>
      <c r="N137" s="992">
        <f t="shared" si="37"/>
        <v>96389.89</v>
      </c>
      <c r="O137" s="994">
        <f t="shared" si="38"/>
        <v>55000</v>
      </c>
      <c r="P137" s="992">
        <f t="shared" si="39"/>
        <v>151389.89000000001</v>
      </c>
      <c r="Q137" s="992"/>
      <c r="R137" s="968">
        <v>1</v>
      </c>
      <c r="S137" s="991">
        <f t="shared" si="40"/>
        <v>8.4499999999999993</v>
      </c>
      <c r="T137" s="995">
        <f t="shared" si="41"/>
        <v>127924.45704999998</v>
      </c>
      <c r="U137" s="996">
        <f t="shared" si="47"/>
        <v>-0.15500000000000014</v>
      </c>
      <c r="V137" s="1011" t="s">
        <v>1234</v>
      </c>
      <c r="W137" s="998" t="s">
        <v>1235</v>
      </c>
      <c r="X137" s="999">
        <f t="shared" si="43"/>
        <v>151389.89000000001</v>
      </c>
      <c r="Y137" s="999" t="s">
        <v>13</v>
      </c>
      <c r="Z137" s="999" t="s">
        <v>13</v>
      </c>
      <c r="AA137" s="999" t="s">
        <v>13</v>
      </c>
      <c r="AB137" s="999" t="s">
        <v>13</v>
      </c>
      <c r="AC137" s="999" t="s">
        <v>13</v>
      </c>
      <c r="AD137" s="1003" t="str">
        <f t="shared" si="45"/>
        <v>n/a</v>
      </c>
      <c r="AE137" s="1003" t="str">
        <f t="shared" si="46"/>
        <v>n/a</v>
      </c>
      <c r="AF137" s="1004">
        <f t="shared" si="48"/>
        <v>0</v>
      </c>
      <c r="AK137" s="1057"/>
      <c r="AL137" s="1010"/>
      <c r="AM137" s="1009"/>
    </row>
    <row r="138" spans="1:73" s="1012" customFormat="1" ht="14.85" customHeight="1">
      <c r="A138" s="1005"/>
      <c r="B138" s="986" t="s">
        <v>1263</v>
      </c>
      <c r="C138" s="989" t="s">
        <v>1264</v>
      </c>
      <c r="D138" s="988" t="s">
        <v>502</v>
      </c>
      <c r="E138" s="989" t="s">
        <v>1265</v>
      </c>
      <c r="F138" s="990">
        <v>42108</v>
      </c>
      <c r="G138" s="1006">
        <v>19</v>
      </c>
      <c r="H138" s="1006">
        <v>18</v>
      </c>
      <c r="I138" s="1006">
        <v>20</v>
      </c>
      <c r="J138" s="1006">
        <v>19.93</v>
      </c>
      <c r="K138" s="992">
        <f t="shared" si="36"/>
        <v>27716.631000000001</v>
      </c>
      <c r="L138" s="993">
        <v>4000</v>
      </c>
      <c r="M138" s="993">
        <v>31716.631000000001</v>
      </c>
      <c r="N138" s="992">
        <f t="shared" si="37"/>
        <v>526615.98900000006</v>
      </c>
      <c r="O138" s="994">
        <f t="shared" si="38"/>
        <v>76000</v>
      </c>
      <c r="P138" s="992">
        <f t="shared" si="39"/>
        <v>602615.98900000006</v>
      </c>
      <c r="Q138" s="992"/>
      <c r="R138" s="968">
        <v>1</v>
      </c>
      <c r="S138" s="991">
        <f t="shared" si="40"/>
        <v>19.93</v>
      </c>
      <c r="T138" s="995">
        <f t="shared" si="41"/>
        <v>632112.45582999999</v>
      </c>
      <c r="U138" s="996">
        <f t="shared" si="47"/>
        <v>4.8947368421052406E-2</v>
      </c>
      <c r="V138" s="998" t="s">
        <v>1266</v>
      </c>
      <c r="W138" s="998" t="s">
        <v>1267</v>
      </c>
      <c r="X138" s="999">
        <f t="shared" si="43"/>
        <v>602615.98900000006</v>
      </c>
      <c r="Y138" s="999">
        <v>0</v>
      </c>
      <c r="Z138" s="999">
        <v>57329</v>
      </c>
      <c r="AA138" s="1001">
        <f>X138+Y138-Z138</f>
        <v>545286.98900000006</v>
      </c>
      <c r="AB138" s="1008">
        <v>0</v>
      </c>
      <c r="AC138" s="1008">
        <v>-46039</v>
      </c>
      <c r="AD138" s="1003" t="str">
        <f t="shared" si="45"/>
        <v>n/a</v>
      </c>
      <c r="AE138" s="1003">
        <f t="shared" si="46"/>
        <v>-11.844023306327246</v>
      </c>
      <c r="AF138" s="1004">
        <f t="shared" si="48"/>
        <v>0</v>
      </c>
      <c r="AG138" s="964"/>
      <c r="AH138" s="964"/>
      <c r="AI138" s="1049"/>
      <c r="AJ138" s="994"/>
      <c r="AK138" s="1010"/>
      <c r="AL138" s="1009"/>
      <c r="AM138" s="964"/>
      <c r="AN138" s="964"/>
      <c r="AO138" s="964"/>
    </row>
    <row r="139" spans="1:73" s="964" customFormat="1" ht="14.85" customHeight="1">
      <c r="A139" s="1005"/>
      <c r="B139" s="986" t="s">
        <v>1278</v>
      </c>
      <c r="C139" s="989" t="s">
        <v>1279</v>
      </c>
      <c r="D139" s="988" t="s">
        <v>502</v>
      </c>
      <c r="E139" s="989" t="s">
        <v>1280</v>
      </c>
      <c r="F139" s="990">
        <v>42047</v>
      </c>
      <c r="G139" s="1006">
        <v>6</v>
      </c>
      <c r="H139" s="1006">
        <v>12</v>
      </c>
      <c r="I139" s="1006">
        <v>14</v>
      </c>
      <c r="J139" s="1006">
        <v>3.1</v>
      </c>
      <c r="K139" s="992">
        <f t="shared" si="36"/>
        <v>5645.3540000000003</v>
      </c>
      <c r="L139" s="993">
        <v>683.25</v>
      </c>
      <c r="M139" s="993">
        <v>6328.6040000000003</v>
      </c>
      <c r="N139" s="992">
        <f t="shared" si="37"/>
        <v>33872.124000000003</v>
      </c>
      <c r="O139" s="994">
        <f t="shared" si="38"/>
        <v>4099.5</v>
      </c>
      <c r="P139" s="992">
        <f t="shared" si="39"/>
        <v>37971.624000000003</v>
      </c>
      <c r="Q139" s="992"/>
      <c r="R139" s="968">
        <v>1</v>
      </c>
      <c r="S139" s="991">
        <f t="shared" si="40"/>
        <v>3.1</v>
      </c>
      <c r="T139" s="995">
        <f t="shared" si="41"/>
        <v>19618.672400000003</v>
      </c>
      <c r="U139" s="996">
        <f t="shared" si="47"/>
        <v>-0.48333333333333328</v>
      </c>
      <c r="V139" s="998" t="s">
        <v>1281</v>
      </c>
      <c r="W139" s="998" t="s">
        <v>1282</v>
      </c>
      <c r="X139" s="999">
        <f t="shared" si="43"/>
        <v>37971.624000000003</v>
      </c>
      <c r="Y139" s="999">
        <v>2842130</v>
      </c>
      <c r="Z139" s="999">
        <v>311.09999999999997</v>
      </c>
      <c r="AA139" s="1001">
        <f>X139+Y139-Z139</f>
        <v>2879790.5239999997</v>
      </c>
      <c r="AB139" s="1008">
        <v>234.6</v>
      </c>
      <c r="AC139" s="1008">
        <v>-10063.75</v>
      </c>
      <c r="AD139" s="1003">
        <f t="shared" si="45"/>
        <v>12275.321926683717</v>
      </c>
      <c r="AE139" s="1003">
        <f t="shared" si="46"/>
        <v>-286.15481545149669</v>
      </c>
      <c r="AF139" s="1004">
        <f t="shared" si="48"/>
        <v>0</v>
      </c>
      <c r="AG139" s="1012"/>
      <c r="AH139" s="1012"/>
      <c r="AI139" s="1012"/>
      <c r="AJ139" s="1013"/>
      <c r="AK139" s="1010"/>
      <c r="AL139" s="1009"/>
      <c r="AM139" s="1012"/>
      <c r="AN139" s="1012"/>
      <c r="AO139" s="1012"/>
      <c r="AP139" s="1012"/>
      <c r="AQ139" s="1012"/>
      <c r="AR139" s="1012"/>
      <c r="AS139" s="1012"/>
      <c r="AT139" s="1012"/>
      <c r="AU139" s="1012"/>
      <c r="AV139" s="1012"/>
      <c r="AW139" s="1012"/>
      <c r="AX139" s="1012"/>
      <c r="AY139" s="1012"/>
      <c r="AZ139" s="1012"/>
      <c r="BA139" s="1012"/>
      <c r="BB139" s="1012"/>
      <c r="BC139" s="1012"/>
      <c r="BD139" s="1012"/>
      <c r="BE139" s="1012"/>
      <c r="BF139" s="1012"/>
      <c r="BG139" s="1012"/>
      <c r="BH139" s="1012"/>
      <c r="BI139" s="1012"/>
      <c r="BJ139" s="1012"/>
      <c r="BK139" s="1012"/>
      <c r="BL139" s="1012"/>
      <c r="BM139" s="1012"/>
      <c r="BN139" s="1012"/>
      <c r="BO139" s="1012"/>
      <c r="BP139" s="1012"/>
      <c r="BQ139" s="1012"/>
      <c r="BR139" s="1012"/>
      <c r="BS139" s="1012"/>
      <c r="BT139" s="1012"/>
      <c r="BU139" s="1012"/>
    </row>
    <row r="140" spans="1:73" s="1012" customFormat="1" ht="14.85" customHeight="1">
      <c r="A140" s="1005"/>
      <c r="B140" s="986" t="s">
        <v>735</v>
      </c>
      <c r="C140" s="989" t="s">
        <v>733</v>
      </c>
      <c r="D140" s="988" t="s">
        <v>502</v>
      </c>
      <c r="E140" s="989" t="s">
        <v>1283</v>
      </c>
      <c r="F140" s="990">
        <v>42033</v>
      </c>
      <c r="G140" s="1006">
        <v>23</v>
      </c>
      <c r="H140" s="1006">
        <v>15</v>
      </c>
      <c r="I140" s="1006">
        <v>17</v>
      </c>
      <c r="J140" s="1006">
        <v>57.59</v>
      </c>
      <c r="K140" s="992">
        <f t="shared" si="36"/>
        <v>16490.366999999998</v>
      </c>
      <c r="L140" s="993">
        <v>7000</v>
      </c>
      <c r="M140" s="993">
        <v>23490.366999999998</v>
      </c>
      <c r="N140" s="992">
        <f t="shared" si="37"/>
        <v>379278.44099999999</v>
      </c>
      <c r="O140" s="994">
        <f t="shared" si="38"/>
        <v>161000</v>
      </c>
      <c r="P140" s="992">
        <f t="shared" si="39"/>
        <v>540278.44099999999</v>
      </c>
      <c r="Q140" s="992"/>
      <c r="R140" s="968">
        <v>1</v>
      </c>
      <c r="S140" s="991">
        <f t="shared" si="40"/>
        <v>57.59</v>
      </c>
      <c r="T140" s="995">
        <f t="shared" si="41"/>
        <v>1352810.2355299999</v>
      </c>
      <c r="U140" s="996">
        <f t="shared" si="47"/>
        <v>1.5039130434782608</v>
      </c>
      <c r="V140" s="998" t="s">
        <v>734</v>
      </c>
      <c r="W140" s="998" t="s">
        <v>736</v>
      </c>
      <c r="X140" s="999">
        <f t="shared" si="43"/>
        <v>540278.44099999999</v>
      </c>
      <c r="Y140" s="999">
        <v>0</v>
      </c>
      <c r="Z140" s="999">
        <v>67272.599999999991</v>
      </c>
      <c r="AA140" s="1001">
        <f>X140+Y140-Z140</f>
        <v>473005.84100000001</v>
      </c>
      <c r="AB140" s="1008">
        <v>21077.84</v>
      </c>
      <c r="AC140" s="1008">
        <v>-75140.02</v>
      </c>
      <c r="AD140" s="1003">
        <f t="shared" si="45"/>
        <v>22.440906705810463</v>
      </c>
      <c r="AE140" s="1003">
        <f t="shared" si="46"/>
        <v>-6.2949922158657925</v>
      </c>
      <c r="AF140" s="1004">
        <f t="shared" si="48"/>
        <v>0</v>
      </c>
      <c r="AG140" s="964"/>
      <c r="AH140" s="964"/>
      <c r="AI140" s="964"/>
      <c r="AJ140" s="994"/>
      <c r="AK140" s="1010"/>
      <c r="AL140" s="1009"/>
      <c r="AM140" s="964"/>
      <c r="AN140" s="964"/>
      <c r="AO140" s="964"/>
    </row>
    <row r="141" spans="1:73" s="964" customFormat="1" ht="14.85" customHeight="1">
      <c r="A141" s="1046"/>
      <c r="B141" s="986"/>
      <c r="C141" s="986"/>
      <c r="D141" s="986"/>
      <c r="E141" s="986"/>
      <c r="F141" s="1058"/>
      <c r="G141" s="1058"/>
      <c r="H141" s="1058"/>
      <c r="I141" s="1058"/>
      <c r="J141" s="1058"/>
      <c r="K141" s="1058"/>
      <c r="L141" s="1058"/>
      <c r="M141" s="1058"/>
      <c r="N141" s="1058"/>
      <c r="O141" s="1058"/>
      <c r="P141" s="1058"/>
      <c r="Q141" s="992"/>
      <c r="R141" s="992"/>
      <c r="S141" s="1059"/>
    </row>
    <row r="142" spans="1:73" s="964" customFormat="1" ht="14.85" customHeight="1">
      <c r="B142" s="1019" t="s">
        <v>111</v>
      </c>
      <c r="C142" s="1020"/>
      <c r="D142" s="1020"/>
      <c r="E142" s="1020"/>
      <c r="F142" s="1020"/>
      <c r="G142" s="1020"/>
      <c r="H142" s="1020"/>
      <c r="I142" s="1020"/>
      <c r="J142" s="1020"/>
      <c r="K142" s="1020"/>
      <c r="L142" s="1020"/>
      <c r="M142" s="1020"/>
      <c r="N142" s="1021">
        <f>MAX(N122:N140)</f>
        <v>737506.26</v>
      </c>
      <c r="O142" s="1021"/>
      <c r="P142" s="1022">
        <f>MAX(P122:P140)</f>
        <v>887506.25399999996</v>
      </c>
      <c r="Q142" s="968"/>
      <c r="R142" s="968"/>
      <c r="S142" s="1060">
        <f>MAX(S122:S140)</f>
        <v>57.59</v>
      </c>
    </row>
    <row r="143" spans="1:73" s="964" customFormat="1" ht="14.85" customHeight="1">
      <c r="B143" s="1024" t="s">
        <v>115</v>
      </c>
      <c r="C143" s="1025"/>
      <c r="D143" s="1025"/>
      <c r="E143" s="1025"/>
      <c r="F143" s="1025"/>
      <c r="G143" s="1025"/>
      <c r="H143" s="1025"/>
      <c r="I143" s="1025"/>
      <c r="J143" s="1025"/>
      <c r="K143" s="1025"/>
      <c r="L143" s="1025"/>
      <c r="M143" s="1025"/>
      <c r="N143" s="940">
        <f>QUARTILE(N122:N140,3)</f>
        <v>383930.7365</v>
      </c>
      <c r="O143" s="940"/>
      <c r="P143" s="1026">
        <f>QUARTILE(P122:P140,3)</f>
        <v>488403.8235</v>
      </c>
      <c r="Q143" s="968"/>
      <c r="R143" s="968"/>
      <c r="S143" s="1061">
        <f>QUARTILE(S122:S140,3)</f>
        <v>20.975000000000001</v>
      </c>
    </row>
    <row r="144" spans="1:73" s="964" customFormat="1" ht="14.85" customHeight="1">
      <c r="B144" s="1024" t="s">
        <v>43</v>
      </c>
      <c r="C144" s="1025"/>
      <c r="D144" s="1025"/>
      <c r="E144" s="1025"/>
      <c r="F144" s="1025"/>
      <c r="G144" s="1025"/>
      <c r="H144" s="1025"/>
      <c r="I144" s="1025"/>
      <c r="J144" s="1025"/>
      <c r="K144" s="1025"/>
      <c r="L144" s="1025"/>
      <c r="M144" s="1025"/>
      <c r="N144" s="940">
        <f>AVERAGE(N122:N140)</f>
        <v>281326.36131578946</v>
      </c>
      <c r="O144" s="940"/>
      <c r="P144" s="1026">
        <f>AVERAGE(P122:P140)</f>
        <v>356236.10957894736</v>
      </c>
      <c r="Q144" s="968"/>
      <c r="R144" s="968"/>
      <c r="S144" s="1061">
        <f>AVERAGE(S122:S140)</f>
        <v>19.293157894736844</v>
      </c>
    </row>
    <row r="145" spans="2:19" s="964" customFormat="1" ht="14.85" customHeight="1">
      <c r="B145" s="1024" t="s">
        <v>44</v>
      </c>
      <c r="C145" s="1025"/>
      <c r="D145" s="1025"/>
      <c r="E145" s="1025"/>
      <c r="F145" s="1025"/>
      <c r="G145" s="1025"/>
      <c r="H145" s="1025"/>
      <c r="I145" s="1025"/>
      <c r="J145" s="1025"/>
      <c r="K145" s="1025"/>
      <c r="L145" s="1025"/>
      <c r="M145" s="1025"/>
      <c r="N145" s="940">
        <f>MEDIAN(N122:N140)</f>
        <v>259245</v>
      </c>
      <c r="O145" s="940"/>
      <c r="P145" s="1026">
        <f>MEDIAN(P122:P140)</f>
        <v>349245</v>
      </c>
      <c r="Q145" s="968"/>
      <c r="R145" s="968"/>
      <c r="S145" s="1061">
        <f>MEDIAN(S122:S140)</f>
        <v>19.5</v>
      </c>
    </row>
    <row r="146" spans="2:19" s="964" customFormat="1" ht="14.85" customHeight="1">
      <c r="B146" s="1024" t="s">
        <v>114</v>
      </c>
      <c r="C146" s="1025"/>
      <c r="D146" s="1025"/>
      <c r="E146" s="1025"/>
      <c r="F146" s="1025"/>
      <c r="G146" s="1025"/>
      <c r="H146" s="1025"/>
      <c r="I146" s="1025"/>
      <c r="J146" s="1025"/>
      <c r="K146" s="1025"/>
      <c r="L146" s="1025"/>
      <c r="M146" s="1025"/>
      <c r="N146" s="940">
        <f>QUARTILE(N122:N140,1)</f>
        <v>134395.4945</v>
      </c>
      <c r="O146" s="940"/>
      <c r="P146" s="1026">
        <f>QUARTILE(P122:P140,1)</f>
        <v>194782.51799999998</v>
      </c>
      <c r="Q146" s="968"/>
      <c r="R146" s="968"/>
      <c r="S146" s="1061">
        <f>QUARTILE(S122:S140,1)</f>
        <v>13</v>
      </c>
    </row>
    <row r="147" spans="2:19" s="964" customFormat="1" ht="14.85" customHeight="1">
      <c r="B147" s="1028" t="s">
        <v>112</v>
      </c>
      <c r="C147" s="1029"/>
      <c r="D147" s="1029"/>
      <c r="E147" s="1029"/>
      <c r="F147" s="1029"/>
      <c r="G147" s="1029"/>
      <c r="H147" s="1029"/>
      <c r="I147" s="1029"/>
      <c r="J147" s="1029"/>
      <c r="K147" s="1029"/>
      <c r="L147" s="1029"/>
      <c r="M147" s="1029"/>
      <c r="N147" s="942">
        <f>MIN(N122:N140)</f>
        <v>33872.124000000003</v>
      </c>
      <c r="O147" s="942"/>
      <c r="P147" s="1030">
        <f>MIN(P122:P140)</f>
        <v>37971.624000000003</v>
      </c>
      <c r="Q147" s="968"/>
      <c r="R147" s="968"/>
      <c r="S147" s="1062">
        <f>MIN(S122:S140)</f>
        <v>3.1</v>
      </c>
    </row>
    <row r="148" spans="2:19" s="964" customFormat="1" ht="14.85" customHeight="1">
      <c r="B148" s="1049"/>
      <c r="C148" s="1049"/>
      <c r="D148" s="1049"/>
      <c r="E148" s="1049"/>
      <c r="F148" s="1059"/>
      <c r="G148" s="1059"/>
      <c r="H148" s="1059"/>
      <c r="I148" s="1059"/>
      <c r="J148" s="1059"/>
      <c r="K148" s="1059"/>
      <c r="L148" s="1059"/>
      <c r="M148" s="1059"/>
      <c r="N148" s="1059"/>
      <c r="O148" s="1059"/>
      <c r="P148" s="1059"/>
      <c r="Q148" s="968"/>
      <c r="R148" s="968"/>
      <c r="S148" s="1059"/>
    </row>
    <row r="149" spans="2:19" s="964" customFormat="1" ht="14.85" customHeight="1">
      <c r="B149" s="1063" t="s">
        <v>1548</v>
      </c>
      <c r="C149" s="1049"/>
      <c r="D149" s="1049"/>
      <c r="E149" s="1049"/>
      <c r="F149" s="1059"/>
      <c r="G149" s="1059"/>
      <c r="H149" s="1059"/>
      <c r="I149" s="1059"/>
      <c r="J149" s="1059"/>
      <c r="K149" s="1059"/>
      <c r="L149" s="1059"/>
      <c r="M149" s="1059"/>
      <c r="N149" s="1059"/>
      <c r="O149" s="1059"/>
      <c r="P149" s="1059"/>
      <c r="Q149" s="968"/>
      <c r="R149" s="968"/>
      <c r="S149" s="1059"/>
    </row>
    <row r="150" spans="2:19" s="964" customFormat="1" ht="14.85" customHeight="1">
      <c r="B150" s="1019" t="s">
        <v>111</v>
      </c>
      <c r="C150" s="1020"/>
      <c r="D150" s="1020"/>
      <c r="E150" s="1020"/>
      <c r="F150" s="1020"/>
      <c r="G150" s="1020"/>
      <c r="H150" s="1020"/>
      <c r="I150" s="1020"/>
      <c r="J150" s="1020"/>
      <c r="K150" s="1020"/>
      <c r="L150" s="1020"/>
      <c r="M150" s="1020"/>
      <c r="N150" s="1021">
        <f t="array" ref="N150">MAX(IF($R$12:$R$140=1,N$12:N$140,""))</f>
        <v>1766090.8</v>
      </c>
      <c r="O150" s="1021"/>
      <c r="P150" s="1022">
        <f t="array" ref="P150">MAX(IF($R$12:$R$140=1,P$12:P$140,""))</f>
        <v>1973290.8</v>
      </c>
      <c r="Q150" s="968"/>
      <c r="R150" s="968"/>
      <c r="S150" s="1059"/>
    </row>
    <row r="151" spans="2:19" s="964" customFormat="1" ht="14.85" customHeight="1">
      <c r="B151" s="1024" t="s">
        <v>115</v>
      </c>
      <c r="C151" s="1025"/>
      <c r="D151" s="1025"/>
      <c r="E151" s="1025"/>
      <c r="F151" s="1025"/>
      <c r="G151" s="1025"/>
      <c r="H151" s="1025"/>
      <c r="I151" s="1025"/>
      <c r="J151" s="1025"/>
      <c r="K151" s="1025"/>
      <c r="L151" s="1025"/>
      <c r="M151" s="1025"/>
      <c r="N151" s="940">
        <f t="array" ref="N151">QUARTILE(IF($R$12:$R$140=1,N$12:N$140,""),3)</f>
        <v>362007.06746106001</v>
      </c>
      <c r="O151" s="940"/>
      <c r="P151" s="1026">
        <f t="array" ref="P151">QUARTILE(IF($R$12:$R$140=1,P$12:P$140,""),3)</f>
        <v>464537.68125000002</v>
      </c>
      <c r="Q151" s="968"/>
      <c r="R151" s="968"/>
      <c r="S151" s="1059"/>
    </row>
    <row r="152" spans="2:19" s="964" customFormat="1" ht="14.85" customHeight="1">
      <c r="B152" s="1024" t="s">
        <v>43</v>
      </c>
      <c r="C152" s="1025"/>
      <c r="D152" s="1025"/>
      <c r="E152" s="1025"/>
      <c r="F152" s="1025"/>
      <c r="G152" s="1025"/>
      <c r="H152" s="1025"/>
      <c r="I152" s="1025"/>
      <c r="J152" s="1025"/>
      <c r="K152" s="1025"/>
      <c r="L152" s="1025"/>
      <c r="M152" s="1025"/>
      <c r="N152" s="940">
        <f t="array" ref="N152">AVERAGE(IF($R$12:$R$140=1,N$12:N$140,""))</f>
        <v>291737.12692330958</v>
      </c>
      <c r="O152" s="940"/>
      <c r="P152" s="1026">
        <f t="array" ref="P152">AVERAGE(IF($R$12:$R$140=1,P$12:P$140,""))</f>
        <v>373228.01189027465</v>
      </c>
      <c r="Q152" s="968"/>
      <c r="R152" s="968"/>
      <c r="S152" s="1059"/>
    </row>
    <row r="153" spans="2:19" s="964" customFormat="1" ht="14.85" customHeight="1">
      <c r="B153" s="1024" t="s">
        <v>44</v>
      </c>
      <c r="C153" s="1025"/>
      <c r="D153" s="1025"/>
      <c r="E153" s="1025"/>
      <c r="F153" s="1025"/>
      <c r="G153" s="1025"/>
      <c r="H153" s="1025"/>
      <c r="I153" s="1025"/>
      <c r="J153" s="1025"/>
      <c r="K153" s="1025"/>
      <c r="L153" s="1025"/>
      <c r="M153" s="1025"/>
      <c r="N153" s="940">
        <f t="array" ref="N153">MEDIAN(IF($R$12:$R$140=1,N$12:N$140,""))</f>
        <v>233913.50625000001</v>
      </c>
      <c r="O153" s="940"/>
      <c r="P153" s="1026">
        <f t="array" ref="P153">MEDIAN(IF($R$12:$R$140=1,P$12:P$140,""))</f>
        <v>304277.87549999997</v>
      </c>
      <c r="Q153" s="968"/>
      <c r="R153" s="968"/>
      <c r="S153" s="1059"/>
    </row>
    <row r="154" spans="2:19" s="964" customFormat="1" ht="14.85" customHeight="1">
      <c r="B154" s="1024" t="s">
        <v>114</v>
      </c>
      <c r="C154" s="1025"/>
      <c r="D154" s="1025"/>
      <c r="E154" s="1025"/>
      <c r="F154" s="1025"/>
      <c r="G154" s="1025"/>
      <c r="H154" s="1025"/>
      <c r="I154" s="1025"/>
      <c r="J154" s="1025"/>
      <c r="K154" s="1025"/>
      <c r="L154" s="1025"/>
      <c r="M154" s="1025"/>
      <c r="N154" s="940">
        <f t="array" ref="N154">QUARTILE(IF($R$12:$R$140=1,N$12:N$140,""),1)</f>
        <v>99683.968500000003</v>
      </c>
      <c r="O154" s="940"/>
      <c r="P154" s="1026">
        <f t="array" ref="P154">QUARTILE(IF($R$12:$R$140=1,P$12:P$140,""),1)</f>
        <v>155058.69874999998</v>
      </c>
      <c r="Q154" s="968"/>
      <c r="R154" s="968"/>
      <c r="S154" s="1059"/>
    </row>
    <row r="155" spans="2:19" s="964" customFormat="1" ht="14.85" customHeight="1">
      <c r="B155" s="1028" t="s">
        <v>112</v>
      </c>
      <c r="C155" s="1029"/>
      <c r="D155" s="1029"/>
      <c r="E155" s="1029"/>
      <c r="F155" s="1029"/>
      <c r="G155" s="1029"/>
      <c r="H155" s="1029"/>
      <c r="I155" s="1029"/>
      <c r="J155" s="1029"/>
      <c r="K155" s="1029"/>
      <c r="L155" s="1029"/>
      <c r="M155" s="1029"/>
      <c r="N155" s="942">
        <f t="array" ref="N155">MIN(IF($R$12:$R$140=1,N$12:N$140,""))</f>
        <v>18940.300000000003</v>
      </c>
      <c r="O155" s="942"/>
      <c r="P155" s="1030">
        <f t="array" ref="P155">MIN(IF($R$12:$R$140=1,P$12:P$140,""))</f>
        <v>37971.624000000003</v>
      </c>
      <c r="Q155" s="968"/>
      <c r="R155" s="968"/>
      <c r="S155" s="1059"/>
    </row>
    <row r="156" spans="2:19" s="964" customFormat="1" ht="14.85" customHeight="1">
      <c r="F156" s="1064"/>
      <c r="G156" s="1064"/>
      <c r="H156" s="1064"/>
      <c r="I156" s="1064"/>
      <c r="J156" s="1064"/>
      <c r="K156" s="1064"/>
      <c r="L156" s="1064"/>
      <c r="M156" s="1064"/>
      <c r="N156" s="1064"/>
      <c r="O156" s="1064"/>
      <c r="P156" s="1064"/>
      <c r="Q156" s="1064"/>
      <c r="R156" s="1064"/>
      <c r="S156" s="1064"/>
    </row>
    <row r="157" spans="2:19" s="964" customFormat="1" ht="14.85" customHeight="1">
      <c r="B157" s="295" t="s">
        <v>116</v>
      </c>
      <c r="C157" s="1065"/>
      <c r="D157" s="1065"/>
      <c r="E157" s="1065"/>
      <c r="F157" s="1065"/>
      <c r="G157" s="1065"/>
      <c r="H157" s="1065"/>
      <c r="I157" s="1065"/>
      <c r="J157" s="1065"/>
      <c r="K157" s="1065"/>
      <c r="L157" s="1065"/>
      <c r="M157" s="1065"/>
      <c r="N157" s="1065"/>
      <c r="O157" s="1065"/>
      <c r="P157" s="1065"/>
      <c r="Q157" s="1064"/>
      <c r="R157" s="1064"/>
      <c r="S157" s="1064"/>
    </row>
    <row r="158" spans="2:19" ht="14.85" customHeight="1">
      <c r="C158" s="944" t="s">
        <v>1320</v>
      </c>
      <c r="S158" s="946"/>
    </row>
    <row r="159" spans="2:19" ht="14.85" customHeight="1">
      <c r="C159" s="944" t="s">
        <v>1321</v>
      </c>
      <c r="S159" s="946"/>
    </row>
    <row r="160" spans="2:19" ht="14.85" customHeight="1">
      <c r="C160" s="944" t="s">
        <v>1322</v>
      </c>
      <c r="S160" s="946"/>
    </row>
    <row r="161" spans="3:19" ht="14.85" customHeight="1">
      <c r="C161" s="944" t="s">
        <v>1367</v>
      </c>
      <c r="S161" s="946"/>
    </row>
    <row r="162" spans="3:19" ht="14.85" customHeight="1">
      <c r="C162" s="944" t="s">
        <v>1368</v>
      </c>
      <c r="S162" s="946"/>
    </row>
    <row r="163" spans="3:19" ht="14.85" customHeight="1">
      <c r="C163" s="944" t="s">
        <v>1323</v>
      </c>
      <c r="S163" s="946"/>
    </row>
    <row r="164" spans="3:19" ht="14.85" customHeight="1">
      <c r="C164" s="944" t="s">
        <v>769</v>
      </c>
      <c r="S164" s="946"/>
    </row>
    <row r="165" spans="3:19" ht="14.85" customHeight="1">
      <c r="C165" s="944" t="s">
        <v>1324</v>
      </c>
      <c r="S165" s="946"/>
    </row>
    <row r="166" spans="3:19" ht="14.85" customHeight="1">
      <c r="C166" s="944" t="s">
        <v>1325</v>
      </c>
      <c r="S166" s="946"/>
    </row>
    <row r="167" spans="3:19" ht="14.85" customHeight="1">
      <c r="C167" s="944" t="s">
        <v>1327</v>
      </c>
      <c r="S167" s="946"/>
    </row>
    <row r="168" spans="3:19" ht="14.85" customHeight="1">
      <c r="C168" s="944" t="s">
        <v>1330</v>
      </c>
      <c r="S168" s="946"/>
    </row>
    <row r="169" spans="3:19" ht="14.85" customHeight="1">
      <c r="C169" s="944" t="s">
        <v>1332</v>
      </c>
      <c r="S169" s="946"/>
    </row>
    <row r="170" spans="3:19" ht="14.85" customHeight="1">
      <c r="C170" s="944" t="s">
        <v>1336</v>
      </c>
      <c r="S170" s="946"/>
    </row>
    <row r="171" spans="3:19" ht="14.85" customHeight="1">
      <c r="C171" s="944" t="s">
        <v>1340</v>
      </c>
      <c r="S171" s="946"/>
    </row>
    <row r="172" spans="3:19" ht="14.85" customHeight="1">
      <c r="C172" s="944" t="s">
        <v>1341</v>
      </c>
      <c r="S172" s="946"/>
    </row>
    <row r="173" spans="3:19" ht="14.85" customHeight="1">
      <c r="C173" s="944" t="s">
        <v>1342</v>
      </c>
      <c r="S173" s="946"/>
    </row>
    <row r="174" spans="3:19" ht="14.85" customHeight="1">
      <c r="C174" s="944" t="s">
        <v>1344</v>
      </c>
      <c r="S174" s="946"/>
    </row>
    <row r="175" spans="3:19" ht="14.85" customHeight="1">
      <c r="S175" s="946"/>
    </row>
    <row r="176" spans="3:19" ht="14.85" customHeight="1">
      <c r="S176" s="946"/>
    </row>
    <row r="177" spans="19:19" ht="14.85" customHeight="1">
      <c r="S177" s="946"/>
    </row>
    <row r="178" spans="19:19" ht="14.85" customHeight="1">
      <c r="S178" s="946"/>
    </row>
    <row r="179" spans="19:19" ht="14.85" customHeight="1">
      <c r="S179" s="946"/>
    </row>
    <row r="180" spans="19:19" ht="14.85" customHeight="1">
      <c r="S180" s="946"/>
    </row>
    <row r="181" spans="19:19" ht="14.85" customHeight="1">
      <c r="S181" s="946"/>
    </row>
    <row r="182" spans="19:19" ht="14.85" customHeight="1">
      <c r="S182" s="946"/>
    </row>
    <row r="183" spans="19:19" ht="14.85" customHeight="1">
      <c r="S183" s="946"/>
    </row>
    <row r="184" spans="19:19" ht="14.85" customHeight="1">
      <c r="S184" s="946"/>
    </row>
    <row r="185" spans="19:19" ht="14.85" customHeight="1">
      <c r="S185" s="946"/>
    </row>
    <row r="186" spans="19:19" ht="14.85" customHeight="1">
      <c r="S186" s="946"/>
    </row>
    <row r="187" spans="19:19" ht="14.85" customHeight="1">
      <c r="S187" s="946"/>
    </row>
    <row r="188" spans="19:19" ht="14.85" customHeight="1">
      <c r="S188" s="946"/>
    </row>
    <row r="189" spans="19:19" ht="14.85" customHeight="1"/>
    <row r="190" spans="19:19" ht="14.85" customHeight="1"/>
    <row r="191" spans="19:19" ht="14.85" customHeight="1"/>
    <row r="192" spans="19:19"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mergeCells count="21">
    <mergeCell ref="S8:S9"/>
    <mergeCell ref="D8:D9"/>
    <mergeCell ref="F8:F9"/>
    <mergeCell ref="G8:G9"/>
    <mergeCell ref="H8:I8"/>
    <mergeCell ref="J8:J9"/>
    <mergeCell ref="K8:K9"/>
    <mergeCell ref="L8:L9"/>
    <mergeCell ref="M8:M9"/>
    <mergeCell ref="N8:N9"/>
    <mergeCell ref="O8:O9"/>
    <mergeCell ref="P8:P9"/>
    <mergeCell ref="AC8:AC9"/>
    <mergeCell ref="AD8:AD9"/>
    <mergeCell ref="AE8:AE9"/>
    <mergeCell ref="T8:T9"/>
    <mergeCell ref="U8:U9"/>
    <mergeCell ref="V8:V9"/>
    <mergeCell ref="X8:X9"/>
    <mergeCell ref="AA8:AA9"/>
    <mergeCell ref="AB8:AB9"/>
  </mergeCells>
  <conditionalFormatting sqref="C4:E4">
    <cfRule type="cellIs" dxfId="89" priority="8" stopIfTrue="1" operator="equal">
      <formula>"input"</formula>
    </cfRule>
  </conditionalFormatting>
  <conditionalFormatting sqref="F4:G4">
    <cfRule type="cellIs" dxfId="88" priority="7" stopIfTrue="1" operator="equal">
      <formula>"input"</formula>
    </cfRule>
  </conditionalFormatting>
  <conditionalFormatting sqref="H4:I4">
    <cfRule type="cellIs" dxfId="87" priority="6" stopIfTrue="1" operator="equal">
      <formula>"input"</formula>
    </cfRule>
  </conditionalFormatting>
  <conditionalFormatting sqref="J4:K4">
    <cfRule type="cellIs" dxfId="86" priority="5" stopIfTrue="1" operator="equal">
      <formula>"input"</formula>
    </cfRule>
  </conditionalFormatting>
  <conditionalFormatting sqref="L4:M4">
    <cfRule type="cellIs" dxfId="85" priority="4" stopIfTrue="1" operator="equal">
      <formula>"input"</formula>
    </cfRule>
  </conditionalFormatting>
  <conditionalFormatting sqref="N4:O4">
    <cfRule type="cellIs" dxfId="84" priority="3" stopIfTrue="1" operator="equal">
      <formula>"input"</formula>
    </cfRule>
  </conditionalFormatting>
  <conditionalFormatting sqref="P4">
    <cfRule type="cellIs" dxfId="83" priority="2" stopIfTrue="1" operator="equal">
      <formula>"input"</formula>
    </cfRule>
  </conditionalFormatting>
  <conditionalFormatting sqref="B4">
    <cfRule type="cellIs" dxfId="82" priority="1" stopIfTrue="1" operator="equal">
      <formula>"input"</formula>
    </cfRule>
  </conditionalFormatting>
  <pageMargins left="0.5" right="0.5" top="0.5" bottom="0.5" header="0.5" footer="0.5"/>
  <pageSetup scale="78" fitToWidth="0" fitToHeight="0" orientation="landscape" r:id="rId1"/>
  <rowBreaks count="3" manualBreakCount="3">
    <brk id="35" max="16" man="1"/>
    <brk id="68" max="16" man="1"/>
    <brk id="99" max="16" man="1"/>
  </rowBreaks>
  <legacyDrawing r:id="rId2"/>
  <legacyDrawingHF r:id="rId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47"/>
  <dimension ref="B2:E47"/>
  <sheetViews>
    <sheetView workbookViewId="0"/>
  </sheetViews>
  <sheetFormatPr defaultRowHeight="12.75"/>
  <cols>
    <col min="1" max="1" width="2.83203125" style="37" customWidth="1"/>
    <col min="2" max="2" width="18.1640625" style="37" bestFit="1" customWidth="1"/>
    <col min="3" max="3" width="23.1640625" style="37" bestFit="1" customWidth="1"/>
    <col min="4" max="4" width="18.33203125" style="37" bestFit="1" customWidth="1"/>
    <col min="5" max="5" width="20.5" style="37" bestFit="1" customWidth="1"/>
    <col min="6" max="16384" width="9.33203125" style="37"/>
  </cols>
  <sheetData>
    <row r="2" spans="2:5">
      <c r="B2" s="1" t="s">
        <v>434</v>
      </c>
      <c r="C2" s="1" t="s">
        <v>319</v>
      </c>
      <c r="D2" s="1" t="s">
        <v>450</v>
      </c>
      <c r="E2" s="1" t="s">
        <v>451</v>
      </c>
    </row>
    <row r="3" spans="2:5">
      <c r="B3" s="37" t="s">
        <v>446</v>
      </c>
      <c r="C3" s="37" t="s">
        <v>448</v>
      </c>
      <c r="D3" s="37" t="s">
        <v>452</v>
      </c>
      <c r="E3" s="37" t="s">
        <v>454</v>
      </c>
    </row>
    <row r="4" spans="2:5">
      <c r="B4" s="37" t="s">
        <v>403</v>
      </c>
      <c r="C4" s="37" t="s">
        <v>321</v>
      </c>
      <c r="D4" s="37" t="s">
        <v>453</v>
      </c>
      <c r="E4" s="37" t="s">
        <v>455</v>
      </c>
    </row>
    <row r="5" spans="2:5">
      <c r="B5" s="37" t="s">
        <v>209</v>
      </c>
      <c r="C5" s="37" t="s">
        <v>13</v>
      </c>
      <c r="E5" s="37" t="s">
        <v>456</v>
      </c>
    </row>
    <row r="6" spans="2:5">
      <c r="B6" s="37" t="s">
        <v>404</v>
      </c>
    </row>
    <row r="7" spans="2:5">
      <c r="B7" s="37" t="s">
        <v>405</v>
      </c>
    </row>
    <row r="8" spans="2:5">
      <c r="B8" s="37" t="s">
        <v>407</v>
      </c>
    </row>
    <row r="9" spans="2:5">
      <c r="B9" s="37" t="s">
        <v>406</v>
      </c>
    </row>
    <row r="10" spans="2:5">
      <c r="B10" s="37" t="s">
        <v>435</v>
      </c>
    </row>
    <row r="11" spans="2:5">
      <c r="B11" s="35" t="s">
        <v>442</v>
      </c>
    </row>
    <row r="12" spans="2:5">
      <c r="B12" s="35" t="s">
        <v>443</v>
      </c>
    </row>
    <row r="13" spans="2:5">
      <c r="B13" s="35" t="s">
        <v>444</v>
      </c>
    </row>
    <row r="14" spans="2:5">
      <c r="B14" s="35" t="s">
        <v>445</v>
      </c>
    </row>
    <row r="15" spans="2:5">
      <c r="B15" s="37" t="s">
        <v>561</v>
      </c>
    </row>
    <row r="16" spans="2:5">
      <c r="B16" s="37" t="s">
        <v>408</v>
      </c>
    </row>
    <row r="17" spans="2:2">
      <c r="B17" s="37" t="s">
        <v>409</v>
      </c>
    </row>
    <row r="18" spans="2:2">
      <c r="B18" s="37" t="s">
        <v>410</v>
      </c>
    </row>
    <row r="19" spans="2:2">
      <c r="B19" s="37" t="s">
        <v>411</v>
      </c>
    </row>
    <row r="20" spans="2:2">
      <c r="B20" s="37" t="s">
        <v>412</v>
      </c>
    </row>
    <row r="21" spans="2:2">
      <c r="B21" s="37" t="s">
        <v>413</v>
      </c>
    </row>
    <row r="22" spans="2:2">
      <c r="B22" s="37" t="s">
        <v>414</v>
      </c>
    </row>
    <row r="23" spans="2:2">
      <c r="B23" s="37" t="s">
        <v>415</v>
      </c>
    </row>
    <row r="24" spans="2:2">
      <c r="B24" s="37" t="s">
        <v>416</v>
      </c>
    </row>
    <row r="25" spans="2:2">
      <c r="B25" s="37" t="s">
        <v>417</v>
      </c>
    </row>
    <row r="26" spans="2:2">
      <c r="B26" s="37" t="s">
        <v>418</v>
      </c>
    </row>
    <row r="27" spans="2:2">
      <c r="B27" s="37" t="s">
        <v>419</v>
      </c>
    </row>
    <row r="28" spans="2:2">
      <c r="B28" s="37" t="s">
        <v>420</v>
      </c>
    </row>
    <row r="29" spans="2:2">
      <c r="B29" s="37" t="s">
        <v>421</v>
      </c>
    </row>
    <row r="30" spans="2:2">
      <c r="B30" s="37" t="s">
        <v>422</v>
      </c>
    </row>
    <row r="31" spans="2:2">
      <c r="B31" s="37" t="s">
        <v>423</v>
      </c>
    </row>
    <row r="32" spans="2:2">
      <c r="B32" s="37" t="s">
        <v>424</v>
      </c>
    </row>
    <row r="33" spans="2:2">
      <c r="B33" s="37" t="s">
        <v>425</v>
      </c>
    </row>
    <row r="34" spans="2:2">
      <c r="B34" s="37" t="s">
        <v>426</v>
      </c>
    </row>
    <row r="35" spans="2:2">
      <c r="B35" s="37" t="s">
        <v>431</v>
      </c>
    </row>
    <row r="36" spans="2:2">
      <c r="B36" s="37" t="s">
        <v>432</v>
      </c>
    </row>
    <row r="37" spans="2:2">
      <c r="B37" s="37" t="s">
        <v>436</v>
      </c>
    </row>
    <row r="38" spans="2:2">
      <c r="B38" s="37" t="s">
        <v>427</v>
      </c>
    </row>
    <row r="39" spans="2:2">
      <c r="B39" s="37" t="s">
        <v>437</v>
      </c>
    </row>
    <row r="40" spans="2:2">
      <c r="B40" s="37" t="s">
        <v>438</v>
      </c>
    </row>
    <row r="41" spans="2:2">
      <c r="B41" s="37" t="s">
        <v>439</v>
      </c>
    </row>
    <row r="42" spans="2:2">
      <c r="B42" s="37" t="s">
        <v>428</v>
      </c>
    </row>
    <row r="43" spans="2:2">
      <c r="B43" s="37" t="s">
        <v>433</v>
      </c>
    </row>
    <row r="44" spans="2:2">
      <c r="B44" s="37" t="s">
        <v>440</v>
      </c>
    </row>
    <row r="45" spans="2:2">
      <c r="B45" s="37" t="s">
        <v>441</v>
      </c>
    </row>
    <row r="46" spans="2:2">
      <c r="B46" s="37" t="s">
        <v>429</v>
      </c>
    </row>
    <row r="47" spans="2:2">
      <c r="B47" s="37" t="s">
        <v>430</v>
      </c>
    </row>
  </sheetData>
  <sortState ref="B3:B46">
    <sortCondition ref="B3:B46"/>
  </sortState>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2"/>
  <dimension ref="A5:H24"/>
  <sheetViews>
    <sheetView workbookViewId="0"/>
  </sheetViews>
  <sheetFormatPr defaultRowHeight="12.75"/>
  <cols>
    <col min="1" max="1" width="9.33203125" style="37"/>
    <col min="2" max="2" width="5.33203125" style="37" customWidth="1"/>
    <col min="3" max="3" width="34.5" style="37" bestFit="1" customWidth="1"/>
    <col min="4" max="4" width="9.33203125" style="33"/>
    <col min="5" max="16384" width="9.33203125" style="37"/>
  </cols>
  <sheetData>
    <row r="5" spans="1:5">
      <c r="B5" s="37" t="s">
        <v>467</v>
      </c>
    </row>
    <row r="7" spans="1:5">
      <c r="A7" s="37" t="s">
        <v>152</v>
      </c>
      <c r="B7" s="38">
        <v>1</v>
      </c>
      <c r="C7" s="37" t="s">
        <v>468</v>
      </c>
      <c r="D7" s="33" t="s">
        <v>503</v>
      </c>
    </row>
    <row r="8" spans="1:5">
      <c r="A8" s="37" t="s">
        <v>152</v>
      </c>
      <c r="B8" s="38">
        <f t="shared" ref="B8:B13" si="0">+B7+1</f>
        <v>2</v>
      </c>
      <c r="C8" s="37" t="s">
        <v>469</v>
      </c>
      <c r="D8" s="33" t="s">
        <v>503</v>
      </c>
    </row>
    <row r="9" spans="1:5">
      <c r="A9" s="37" t="s">
        <v>152</v>
      </c>
      <c r="B9" s="38">
        <f t="shared" si="0"/>
        <v>3</v>
      </c>
      <c r="C9" s="37" t="s">
        <v>470</v>
      </c>
      <c r="D9" s="33" t="s">
        <v>503</v>
      </c>
    </row>
    <row r="10" spans="1:5">
      <c r="A10" s="37" t="s">
        <v>152</v>
      </c>
      <c r="B10" s="38">
        <f t="shared" si="0"/>
        <v>4</v>
      </c>
      <c r="C10" s="37" t="s">
        <v>488</v>
      </c>
      <c r="D10" s="33" t="s">
        <v>503</v>
      </c>
    </row>
    <row r="11" spans="1:5">
      <c r="A11" s="37" t="s">
        <v>482</v>
      </c>
      <c r="B11" s="38">
        <f t="shared" si="0"/>
        <v>5</v>
      </c>
      <c r="C11" s="37" t="s">
        <v>483</v>
      </c>
      <c r="D11" s="33" t="s">
        <v>503</v>
      </c>
    </row>
    <row r="12" spans="1:5">
      <c r="A12" s="37" t="s">
        <v>482</v>
      </c>
      <c r="B12" s="38">
        <f t="shared" si="0"/>
        <v>6</v>
      </c>
      <c r="C12" s="37" t="s">
        <v>484</v>
      </c>
      <c r="D12" s="33" t="s">
        <v>503</v>
      </c>
    </row>
    <row r="13" spans="1:5">
      <c r="A13" s="37" t="s">
        <v>485</v>
      </c>
      <c r="B13" s="38">
        <f t="shared" si="0"/>
        <v>7</v>
      </c>
      <c r="C13" s="37" t="s">
        <v>486</v>
      </c>
      <c r="D13" s="33" t="s">
        <v>503</v>
      </c>
      <c r="E13" s="37" t="s">
        <v>507</v>
      </c>
    </row>
    <row r="14" spans="1:5">
      <c r="A14" s="37" t="s">
        <v>487</v>
      </c>
      <c r="B14" s="38">
        <f t="shared" ref="B14:B22" si="1">+B13+1</f>
        <v>8</v>
      </c>
      <c r="C14" s="37" t="s">
        <v>483</v>
      </c>
      <c r="D14" s="33" t="s">
        <v>503</v>
      </c>
    </row>
    <row r="15" spans="1:5">
      <c r="A15" s="37" t="s">
        <v>487</v>
      </c>
      <c r="B15" s="38">
        <f t="shared" si="1"/>
        <v>9</v>
      </c>
      <c r="C15" s="37" t="s">
        <v>484</v>
      </c>
      <c r="D15" s="33" t="s">
        <v>503</v>
      </c>
    </row>
    <row r="16" spans="1:5">
      <c r="A16" s="37" t="s">
        <v>489</v>
      </c>
      <c r="B16" s="38">
        <f t="shared" si="1"/>
        <v>10</v>
      </c>
      <c r="C16" s="37" t="s">
        <v>490</v>
      </c>
    </row>
    <row r="17" spans="1:8">
      <c r="A17" s="37" t="s">
        <v>74</v>
      </c>
      <c r="B17" s="38">
        <f t="shared" si="1"/>
        <v>11</v>
      </c>
      <c r="C17" s="37" t="s">
        <v>491</v>
      </c>
    </row>
    <row r="18" spans="1:8">
      <c r="A18" s="37" t="s">
        <v>487</v>
      </c>
      <c r="B18" s="38">
        <f t="shared" si="1"/>
        <v>12</v>
      </c>
      <c r="C18" s="37" t="s">
        <v>509</v>
      </c>
      <c r="E18" s="37" t="s">
        <v>510</v>
      </c>
    </row>
    <row r="19" spans="1:8">
      <c r="B19" s="38">
        <f t="shared" si="1"/>
        <v>13</v>
      </c>
      <c r="C19" s="37" t="s">
        <v>552</v>
      </c>
      <c r="D19" s="33" t="s">
        <v>554</v>
      </c>
      <c r="G19" s="1" t="s">
        <v>503</v>
      </c>
    </row>
    <row r="20" spans="1:8">
      <c r="B20" s="38">
        <f t="shared" si="1"/>
        <v>14</v>
      </c>
      <c r="C20" s="37" t="s">
        <v>553</v>
      </c>
      <c r="D20" s="33" t="s">
        <v>554</v>
      </c>
      <c r="G20" s="1" t="s">
        <v>503</v>
      </c>
    </row>
    <row r="21" spans="1:8">
      <c r="B21" s="38">
        <f t="shared" si="1"/>
        <v>15</v>
      </c>
      <c r="C21" s="37" t="s">
        <v>555</v>
      </c>
      <c r="D21" s="33" t="s">
        <v>554</v>
      </c>
      <c r="G21" s="1" t="s">
        <v>503</v>
      </c>
      <c r="H21" s="37" t="s">
        <v>558</v>
      </c>
    </row>
    <row r="22" spans="1:8">
      <c r="B22" s="38">
        <f t="shared" si="1"/>
        <v>16</v>
      </c>
      <c r="C22" s="37" t="s">
        <v>556</v>
      </c>
      <c r="D22" s="33" t="s">
        <v>554</v>
      </c>
    </row>
    <row r="23" spans="1:8">
      <c r="C23" s="37" t="s">
        <v>557</v>
      </c>
      <c r="D23" s="33" t="s">
        <v>554</v>
      </c>
      <c r="G23" s="1" t="s">
        <v>503</v>
      </c>
      <c r="H23" s="37" t="s">
        <v>559</v>
      </c>
    </row>
    <row r="24" spans="1:8">
      <c r="C24" s="37" t="s">
        <v>560</v>
      </c>
      <c r="D24" s="33" t="s">
        <v>554</v>
      </c>
      <c r="G24" s="1" t="s">
        <v>503</v>
      </c>
    </row>
  </sheetData>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21">
    <pageSetUpPr fitToPage="1"/>
  </sheetPr>
  <dimension ref="A1:AB764"/>
  <sheetViews>
    <sheetView showGridLines="0" view="pageBreakPreview" topLeftCell="A10" zoomScale="80" zoomScaleNormal="100" zoomScaleSheetLayoutView="80" workbookViewId="0">
      <selection activeCell="J19" sqref="J19"/>
    </sheetView>
  </sheetViews>
  <sheetFormatPr defaultRowHeight="12.75"/>
  <cols>
    <col min="1" max="1" width="4.5" style="208" customWidth="1"/>
    <col min="2" max="2" width="46" style="208" customWidth="1"/>
    <col min="3" max="3" width="2.83203125" style="208" customWidth="1"/>
    <col min="4" max="4" width="25.83203125" style="208" customWidth="1"/>
    <col min="5" max="5" width="2.83203125" style="208" customWidth="1"/>
    <col min="6" max="6" width="25.83203125" style="208" customWidth="1"/>
    <col min="7" max="7" width="2.83203125" style="208" customWidth="1"/>
    <col min="8" max="8" width="25.83203125" style="208" customWidth="1"/>
    <col min="9" max="9" width="2.83203125" style="208" customWidth="1"/>
    <col min="10" max="10" width="15.83203125" style="208" customWidth="1"/>
    <col min="11" max="11" width="4.5" style="208" customWidth="1"/>
    <col min="12" max="12" width="17.83203125" style="208" bestFit="1" customWidth="1"/>
    <col min="13" max="13" width="46" style="208" customWidth="1"/>
    <col min="14" max="14" width="9.33203125" style="208"/>
    <col min="15" max="15" width="12" style="208" customWidth="1"/>
    <col min="16" max="16" width="9.33203125" style="208"/>
    <col min="17" max="17" width="13.83203125" style="208" customWidth="1"/>
    <col min="18" max="20" width="9.33203125" style="208"/>
    <col min="21" max="21" width="17.83203125" style="208" bestFit="1" customWidth="1"/>
    <col min="22" max="22" width="46" style="208" customWidth="1"/>
    <col min="23" max="23" width="9.33203125" style="208"/>
    <col min="24" max="24" width="12" style="208" customWidth="1"/>
    <col min="25" max="25" width="9.33203125" style="208"/>
    <col min="26" max="26" width="13.83203125" style="208" customWidth="1"/>
    <col min="27" max="16384" width="9.33203125" style="208"/>
  </cols>
  <sheetData>
    <row r="1" spans="2:13" ht="10.7" customHeight="1" thickBot="1"/>
    <row r="2" spans="2:13" ht="16.5" customHeight="1" thickTop="1">
      <c r="B2" s="216" t="str">
        <f>'MASTER PubCo Inputs'!$C$5</f>
        <v>Medikine, Inc.</v>
      </c>
      <c r="C2" s="216"/>
      <c r="D2" s="216"/>
      <c r="E2" s="216"/>
      <c r="F2" s="216"/>
      <c r="G2" s="216"/>
      <c r="H2" s="216"/>
      <c r="I2" s="216"/>
      <c r="J2" s="216"/>
    </row>
    <row r="3" spans="2:13" ht="15.75" customHeight="1">
      <c r="B3" s="217" t="e">
        <f>VLOOKUP(B4,Outline!$E$8:$G$79,COLUMNS(Outline!$E$8:$G$8),FALSE)</f>
        <v>#N/A</v>
      </c>
      <c r="C3" s="217"/>
      <c r="D3" s="217"/>
      <c r="E3" s="217"/>
      <c r="F3" s="217"/>
      <c r="G3" s="217"/>
      <c r="H3" s="217"/>
      <c r="I3" s="217"/>
      <c r="J3" s="217"/>
    </row>
    <row r="4" spans="2:13" ht="16.5" customHeight="1" thickBot="1">
      <c r="B4" s="444" t="s">
        <v>280</v>
      </c>
      <c r="C4" s="444"/>
      <c r="D4" s="444"/>
      <c r="E4" s="444"/>
      <c r="F4" s="444"/>
      <c r="G4" s="444"/>
      <c r="H4" s="444"/>
      <c r="I4" s="445"/>
      <c r="J4" s="445"/>
    </row>
    <row r="5" spans="2:13" s="326" customFormat="1" ht="14.85" customHeight="1" thickTop="1">
      <c r="B5" s="208"/>
      <c r="C5" s="208"/>
      <c r="D5" s="208"/>
      <c r="E5" s="208"/>
      <c r="F5" s="208"/>
      <c r="G5" s="208"/>
      <c r="H5" s="208"/>
      <c r="I5" s="208"/>
      <c r="J5" s="208"/>
      <c r="K5" s="208"/>
    </row>
    <row r="6" spans="2:13" ht="14.85" customHeight="1"/>
    <row r="7" spans="2:13" s="229" customFormat="1" ht="14.85" customHeight="1">
      <c r="B7" s="488" t="s">
        <v>244</v>
      </c>
      <c r="C7" s="208"/>
      <c r="D7" s="489" t="s">
        <v>240</v>
      </c>
      <c r="E7" s="490"/>
      <c r="F7" s="490" t="s">
        <v>241</v>
      </c>
      <c r="G7" s="490"/>
      <c r="H7" s="491" t="s">
        <v>242</v>
      </c>
      <c r="I7" s="208"/>
      <c r="J7" s="492" t="s">
        <v>70</v>
      </c>
      <c r="L7" s="493" t="s">
        <v>87</v>
      </c>
      <c r="M7" s="494">
        <f>'MASTER PubCo Inputs'!$C$6</f>
        <v>43496</v>
      </c>
    </row>
    <row r="8" spans="2:13" ht="14.85" customHeight="1">
      <c r="F8" s="355"/>
    </row>
    <row r="9" spans="2:13" ht="14.85" customHeight="1">
      <c r="B9" s="231" t="s">
        <v>95</v>
      </c>
      <c r="D9" s="312">
        <f>H21</f>
        <v>3.6823499999999995E-2</v>
      </c>
      <c r="E9" s="331"/>
      <c r="F9" s="312">
        <f>1-F10</f>
        <v>3.1735956839096247E-4</v>
      </c>
      <c r="G9" s="331"/>
      <c r="H9" s="312">
        <f>F9*D9</f>
        <v>1.1686290066644604E-5</v>
      </c>
      <c r="J9" s="282"/>
    </row>
    <row r="10" spans="2:13" ht="14.85" customHeight="1">
      <c r="B10" s="231" t="s">
        <v>239</v>
      </c>
      <c r="D10" s="312" t="e">
        <f>H34</f>
        <v>#NUM!</v>
      </c>
      <c r="E10" s="331"/>
      <c r="F10" s="495">
        <f>'Beta Calc'!V44</f>
        <v>0.99968264043160904</v>
      </c>
      <c r="G10" s="331"/>
      <c r="H10" s="312" t="e">
        <f>F10*D10</f>
        <v>#NUM!</v>
      </c>
      <c r="J10" s="282" t="s">
        <v>224</v>
      </c>
    </row>
    <row r="11" spans="2:13" ht="14.85" customHeight="1">
      <c r="B11" s="288"/>
      <c r="C11" s="288"/>
      <c r="D11" s="496"/>
      <c r="E11" s="496"/>
      <c r="F11" s="496"/>
      <c r="G11" s="496"/>
      <c r="H11" s="496"/>
    </row>
    <row r="12" spans="2:13" ht="14.85" customHeight="1">
      <c r="B12" s="470" t="s">
        <v>258</v>
      </c>
      <c r="C12" s="470"/>
      <c r="D12" s="497"/>
      <c r="E12" s="497"/>
      <c r="F12" s="497"/>
      <c r="G12" s="497"/>
      <c r="H12" s="498" t="e">
        <f>SUM(H9:H10)</f>
        <v>#NUM!</v>
      </c>
    </row>
    <row r="13" spans="2:13" ht="14.85" customHeight="1"/>
    <row r="14" spans="2:13" ht="14.85" customHeight="1">
      <c r="B14" s="291" t="s">
        <v>259</v>
      </c>
      <c r="C14" s="292"/>
      <c r="D14" s="292"/>
      <c r="E14" s="292"/>
      <c r="F14" s="292"/>
      <c r="G14" s="292"/>
      <c r="H14" s="499" t="e">
        <f>ROUND(H12,2)</f>
        <v>#NUM!</v>
      </c>
      <c r="J14" s="209"/>
    </row>
    <row r="15" spans="2:13" ht="14.85" customHeight="1"/>
    <row r="16" spans="2:13" s="355" customFormat="1" ht="14.85" customHeight="1">
      <c r="B16" s="500" t="s">
        <v>243</v>
      </c>
      <c r="C16" s="501"/>
      <c r="D16" s="501"/>
      <c r="E16" s="501"/>
      <c r="F16" s="501"/>
      <c r="G16" s="501"/>
      <c r="H16" s="502"/>
    </row>
    <row r="17" spans="2:13" ht="14.85" customHeight="1"/>
    <row r="18" spans="2:13" ht="14.85" customHeight="1">
      <c r="B18" s="208" t="s">
        <v>1409</v>
      </c>
      <c r="H18" s="503">
        <f>M18</f>
        <v>5.0099999999999999E-2</v>
      </c>
      <c r="J18" s="504" t="s">
        <v>223</v>
      </c>
      <c r="L18" s="208" t="s">
        <v>260</v>
      </c>
      <c r="M18" s="331">
        <f>'Capital IQ Sheet-GPC'!C71</f>
        <v>5.0099999999999999E-2</v>
      </c>
    </row>
    <row r="19" spans="2:13" ht="14.85" customHeight="1">
      <c r="B19" s="208" t="s">
        <v>245</v>
      </c>
      <c r="H19" s="505">
        <f>'MASTER PubCo Inputs'!C9</f>
        <v>0.26500000000000001</v>
      </c>
      <c r="J19" s="1893">
        <f>'MASTER PubCo Inputs'!$C$9</f>
        <v>0.26500000000000001</v>
      </c>
    </row>
    <row r="20" spans="2:13" ht="14.85" customHeight="1">
      <c r="B20" s="288"/>
      <c r="C20" s="288"/>
      <c r="D20" s="288"/>
      <c r="E20" s="288"/>
      <c r="F20" s="288"/>
      <c r="G20" s="288"/>
      <c r="H20" s="496"/>
    </row>
    <row r="21" spans="2:13" ht="14.85" customHeight="1">
      <c r="B21" s="470" t="s">
        <v>246</v>
      </c>
      <c r="C21" s="471"/>
      <c r="D21" s="471"/>
      <c r="E21" s="471"/>
      <c r="F21" s="471"/>
      <c r="G21" s="471"/>
      <c r="H21" s="498">
        <f>H18*(1-H19)</f>
        <v>3.6823499999999995E-2</v>
      </c>
    </row>
    <row r="22" spans="2:13" ht="14.85" customHeight="1"/>
    <row r="23" spans="2:13" ht="14.85" customHeight="1">
      <c r="B23" s="500" t="s">
        <v>247</v>
      </c>
      <c r="C23" s="501"/>
      <c r="D23" s="501"/>
      <c r="E23" s="501"/>
      <c r="F23" s="501"/>
      <c r="G23" s="501"/>
      <c r="H23" s="502"/>
    </row>
    <row r="24" spans="2:13" ht="14.85" customHeight="1"/>
    <row r="25" spans="2:13" ht="14.85" customHeight="1">
      <c r="B25" s="208" t="s">
        <v>248</v>
      </c>
      <c r="D25" s="355"/>
      <c r="E25" s="355"/>
      <c r="F25" s="355"/>
      <c r="H25" s="506" t="e">
        <f>'Beta Calc'!I44</f>
        <v>#NUM!</v>
      </c>
      <c r="J25" s="209" t="e">
        <f>'Beta Calc'!$B$3</f>
        <v>#N/A</v>
      </c>
      <c r="L25" s="208" t="s">
        <v>261</v>
      </c>
    </row>
    <row r="26" spans="2:13" ht="14.85" customHeight="1">
      <c r="B26" s="208" t="s">
        <v>249</v>
      </c>
      <c r="F26" s="507" t="s">
        <v>251</v>
      </c>
      <c r="H26" s="508" t="e">
        <f>H25*(1+(1-H19)*(F9)/F10)</f>
        <v>#NUM!</v>
      </c>
      <c r="J26" s="504" t="s">
        <v>262</v>
      </c>
    </row>
    <row r="27" spans="2:13" ht="14.85" customHeight="1">
      <c r="B27" s="208" t="s">
        <v>250</v>
      </c>
      <c r="F27" s="507" t="s">
        <v>252</v>
      </c>
      <c r="H27" s="509">
        <f>H67</f>
        <v>6.0400000000000002E-2</v>
      </c>
      <c r="J27" s="504" t="s">
        <v>263</v>
      </c>
    </row>
    <row r="28" spans="2:13" ht="14.85" customHeight="1">
      <c r="F28" s="507"/>
      <c r="H28" s="510"/>
      <c r="J28" s="355"/>
    </row>
    <row r="29" spans="2:13" ht="14.85" customHeight="1">
      <c r="B29" s="208" t="s">
        <v>254</v>
      </c>
      <c r="F29" s="507" t="s">
        <v>253</v>
      </c>
      <c r="H29" s="284" t="e">
        <f>H26*H27</f>
        <v>#NUM!</v>
      </c>
    </row>
    <row r="30" spans="2:13" ht="14.85" customHeight="1">
      <c r="B30" s="208" t="s">
        <v>72</v>
      </c>
      <c r="H30" s="511">
        <f>'Risk-Free Rates'!$E$18</f>
        <v>2.8299999999999999E-2</v>
      </c>
      <c r="J30" s="209" t="str">
        <f>'Risk-Free Rates'!$B$3</f>
        <v>Exhibit G.5</v>
      </c>
    </row>
    <row r="31" spans="2:13" ht="14.85" customHeight="1">
      <c r="B31" s="208" t="s">
        <v>255</v>
      </c>
      <c r="H31" s="509">
        <f>H61</f>
        <v>5.3699999999999998E-2</v>
      </c>
      <c r="J31" s="504" t="s">
        <v>264</v>
      </c>
    </row>
    <row r="32" spans="2:13" ht="14.85" customHeight="1">
      <c r="B32" s="208" t="s">
        <v>256</v>
      </c>
      <c r="H32" s="509">
        <v>0.1</v>
      </c>
      <c r="J32" s="504" t="s">
        <v>281</v>
      </c>
    </row>
    <row r="33" spans="1:28" ht="14.85" customHeight="1">
      <c r="B33" s="288"/>
      <c r="C33" s="288"/>
      <c r="D33" s="288"/>
      <c r="E33" s="288"/>
      <c r="F33" s="288"/>
      <c r="G33" s="288"/>
      <c r="H33" s="288"/>
    </row>
    <row r="34" spans="1:28" ht="14.85" customHeight="1">
      <c r="B34" s="470" t="s">
        <v>257</v>
      </c>
      <c r="C34" s="471"/>
      <c r="D34" s="471"/>
      <c r="E34" s="471"/>
      <c r="F34" s="471"/>
      <c r="G34" s="471"/>
      <c r="H34" s="498" t="e">
        <f>SUM(H29:H32)</f>
        <v>#NUM!</v>
      </c>
    </row>
    <row r="35" spans="1:28" ht="14.85" customHeight="1"/>
    <row r="36" spans="1:28" ht="14.85" customHeight="1">
      <c r="B36" s="295" t="s">
        <v>86</v>
      </c>
    </row>
    <row r="37" spans="1:28" ht="14.85" customHeight="1">
      <c r="A37" s="434" t="s">
        <v>224</v>
      </c>
      <c r="B37" s="512" t="s">
        <v>789</v>
      </c>
    </row>
    <row r="38" spans="1:28" ht="14.85" customHeight="1">
      <c r="A38" s="434" t="s">
        <v>223</v>
      </c>
      <c r="B38" s="512" t="s">
        <v>790</v>
      </c>
    </row>
    <row r="39" spans="1:28" ht="14.85" customHeight="1">
      <c r="A39" s="434" t="s">
        <v>262</v>
      </c>
      <c r="B39" s="512" t="s">
        <v>791</v>
      </c>
    </row>
    <row r="40" spans="1:28" ht="14.85" customHeight="1">
      <c r="A40" s="434" t="s">
        <v>263</v>
      </c>
      <c r="B40" s="513" t="s">
        <v>1920</v>
      </c>
    </row>
    <row r="41" spans="1:28" ht="14.85" customHeight="1">
      <c r="A41" s="434" t="s">
        <v>264</v>
      </c>
      <c r="B41" s="513" t="s">
        <v>1921</v>
      </c>
    </row>
    <row r="42" spans="1:28" ht="14.85" customHeight="1">
      <c r="A42" s="434" t="s">
        <v>281</v>
      </c>
      <c r="B42" s="513" t="s">
        <v>792</v>
      </c>
    </row>
    <row r="43" spans="1:28" ht="14.85" customHeight="1">
      <c r="A43" s="434" t="s">
        <v>282</v>
      </c>
      <c r="B43" s="512" t="s">
        <v>1408</v>
      </c>
    </row>
    <row r="44" spans="1:28" ht="14.85" customHeight="1">
      <c r="A44" s="434"/>
      <c r="B44" s="514"/>
    </row>
    <row r="45" spans="1:28" ht="14.85" customHeight="1">
      <c r="A45" s="323"/>
    </row>
    <row r="46" spans="1:28" ht="14.85" customHeight="1">
      <c r="A46" s="515" t="s">
        <v>1919</v>
      </c>
      <c r="B46" s="516"/>
      <c r="C46" s="517"/>
      <c r="D46" s="518" t="s">
        <v>1459</v>
      </c>
      <c r="E46" s="517"/>
      <c r="F46" s="518" t="s">
        <v>1460</v>
      </c>
      <c r="G46" s="517"/>
      <c r="H46" s="519" t="s">
        <v>687</v>
      </c>
      <c r="L46" s="515" t="s">
        <v>1461</v>
      </c>
      <c r="M46" s="516"/>
      <c r="N46" s="517"/>
      <c r="O46" s="518" t="s">
        <v>1459</v>
      </c>
      <c r="P46" s="517"/>
      <c r="Q46" s="518" t="s">
        <v>1460</v>
      </c>
      <c r="R46" s="517"/>
      <c r="S46" s="519" t="s">
        <v>687</v>
      </c>
      <c r="U46" s="515" t="s">
        <v>719</v>
      </c>
      <c r="V46" s="516"/>
      <c r="W46" s="517"/>
      <c r="X46" s="518" t="s">
        <v>1459</v>
      </c>
      <c r="Y46" s="517"/>
      <c r="Z46" s="518" t="s">
        <v>1460</v>
      </c>
      <c r="AA46" s="517"/>
      <c r="AB46" s="519" t="s">
        <v>687</v>
      </c>
    </row>
    <row r="47" spans="1:28" ht="14.85" customHeight="1">
      <c r="A47" s="520" t="s">
        <v>688</v>
      </c>
      <c r="B47" s="521"/>
      <c r="C47" s="326"/>
      <c r="D47" s="522">
        <v>2763.7190000000001</v>
      </c>
      <c r="E47" s="326"/>
      <c r="F47" s="522">
        <v>11978.971</v>
      </c>
      <c r="G47" s="326"/>
      <c r="H47" s="523">
        <v>9.5999999999999992E-3</v>
      </c>
      <c r="L47" s="520" t="s">
        <v>688</v>
      </c>
      <c r="M47" s="521"/>
      <c r="N47" s="326"/>
      <c r="O47" s="522">
        <v>2392.6889999999999</v>
      </c>
      <c r="P47" s="326"/>
      <c r="Q47" s="522">
        <v>10711.194</v>
      </c>
      <c r="R47" s="326"/>
      <c r="S47" s="523">
        <v>1.0200000000000001E-2</v>
      </c>
      <c r="U47" s="520" t="s">
        <v>688</v>
      </c>
      <c r="V47" s="521"/>
      <c r="W47" s="326"/>
      <c r="X47" s="522">
        <v>2090.5659999999998</v>
      </c>
      <c r="Y47" s="326"/>
      <c r="Z47" s="522">
        <v>9611.1869999999999</v>
      </c>
      <c r="AA47" s="326"/>
      <c r="AB47" s="523">
        <v>0.01</v>
      </c>
    </row>
    <row r="48" spans="1:28" ht="14.85" customHeight="1">
      <c r="A48" s="520" t="s">
        <v>689</v>
      </c>
      <c r="B48" s="521"/>
      <c r="C48" s="326"/>
      <c r="D48" s="522">
        <v>657.70500000000004</v>
      </c>
      <c r="E48" s="326"/>
      <c r="F48" s="522">
        <v>2759.9389999999999</v>
      </c>
      <c r="G48" s="326"/>
      <c r="H48" s="523">
        <v>1.6400000000000001E-2</v>
      </c>
      <c r="L48" s="520" t="s">
        <v>689</v>
      </c>
      <c r="M48" s="521"/>
      <c r="N48" s="326"/>
      <c r="O48" s="522">
        <v>569.279</v>
      </c>
      <c r="P48" s="326"/>
      <c r="Q48" s="522">
        <v>2390.8989999999999</v>
      </c>
      <c r="R48" s="326"/>
      <c r="S48" s="523">
        <v>1.7500000000000002E-2</v>
      </c>
      <c r="U48" s="520" t="s">
        <v>689</v>
      </c>
      <c r="V48" s="521"/>
      <c r="W48" s="326"/>
      <c r="X48" s="522">
        <v>448.50200000000001</v>
      </c>
      <c r="Y48" s="326"/>
      <c r="Z48" s="522">
        <v>2083.6019999999999</v>
      </c>
      <c r="AA48" s="326"/>
      <c r="AB48" s="523">
        <v>1.7000000000000001E-2</v>
      </c>
    </row>
    <row r="49" spans="1:28" ht="14.85" customHeight="1">
      <c r="A49" s="520" t="s">
        <v>690</v>
      </c>
      <c r="B49" s="521"/>
      <c r="C49" s="326"/>
      <c r="D49" s="522">
        <v>2.5310000000000001</v>
      </c>
      <c r="E49" s="326"/>
      <c r="F49" s="522">
        <v>656.84500000000003</v>
      </c>
      <c r="G49" s="326"/>
      <c r="H49" s="523">
        <v>3.4799999999999998E-2</v>
      </c>
      <c r="L49" s="520" t="s">
        <v>690</v>
      </c>
      <c r="M49" s="521"/>
      <c r="N49" s="326"/>
      <c r="O49" s="522">
        <v>2.516</v>
      </c>
      <c r="P49" s="326"/>
      <c r="Q49" s="522">
        <v>567.84299999999996</v>
      </c>
      <c r="R49" s="326"/>
      <c r="S49" s="523">
        <v>3.6700000000000003E-2</v>
      </c>
      <c r="U49" s="520" t="s">
        <v>690</v>
      </c>
      <c r="V49" s="521"/>
      <c r="W49" s="326"/>
      <c r="X49" s="522">
        <v>1.9630000000000001</v>
      </c>
      <c r="Y49" s="326"/>
      <c r="Z49" s="522">
        <v>448.07900000000001</v>
      </c>
      <c r="AA49" s="326"/>
      <c r="AB49" s="523">
        <v>3.5799999999999998E-2</v>
      </c>
    </row>
    <row r="50" spans="1:28" ht="14.85" customHeight="1">
      <c r="A50" s="520"/>
      <c r="B50" s="521"/>
      <c r="C50" s="326"/>
      <c r="D50" s="521"/>
      <c r="E50" s="326"/>
      <c r="F50" s="521"/>
      <c r="G50" s="326"/>
      <c r="H50" s="524"/>
      <c r="L50" s="520"/>
      <c r="M50" s="521"/>
      <c r="N50" s="326"/>
      <c r="O50" s="521"/>
      <c r="P50" s="326"/>
      <c r="Q50" s="521"/>
      <c r="R50" s="326"/>
      <c r="S50" s="524"/>
      <c r="U50" s="520"/>
      <c r="V50" s="521"/>
      <c r="W50" s="326"/>
      <c r="X50" s="521"/>
      <c r="Y50" s="326"/>
      <c r="Z50" s="521"/>
      <c r="AA50" s="326"/>
      <c r="AB50" s="524"/>
    </row>
    <row r="51" spans="1:28" ht="14.85" customHeight="1">
      <c r="A51" s="520" t="s">
        <v>691</v>
      </c>
      <c r="B51" s="521"/>
      <c r="C51" s="326"/>
      <c r="D51" s="521"/>
      <c r="E51" s="326"/>
      <c r="F51" s="521"/>
      <c r="G51" s="326"/>
      <c r="H51" s="524"/>
      <c r="L51" s="520" t="s">
        <v>691</v>
      </c>
      <c r="M51" s="521"/>
      <c r="N51" s="326"/>
      <c r="O51" s="521"/>
      <c r="P51" s="326"/>
      <c r="Q51" s="521"/>
      <c r="R51" s="326"/>
      <c r="S51" s="524"/>
      <c r="U51" s="520" t="s">
        <v>691</v>
      </c>
      <c r="V51" s="521"/>
      <c r="W51" s="326"/>
      <c r="X51" s="521"/>
      <c r="Y51" s="326"/>
      <c r="Z51" s="521"/>
      <c r="AA51" s="326"/>
      <c r="AB51" s="524"/>
    </row>
    <row r="52" spans="1:28" ht="14.85" customHeight="1">
      <c r="A52" s="520" t="s">
        <v>686</v>
      </c>
      <c r="B52" s="521"/>
      <c r="C52" s="326"/>
      <c r="D52" s="522">
        <v>25142.833999999999</v>
      </c>
      <c r="E52" s="326"/>
      <c r="F52" s="522">
        <v>790050.07299999997</v>
      </c>
      <c r="G52" s="326"/>
      <c r="H52" s="523">
        <v>0</v>
      </c>
      <c r="L52" s="520" t="s">
        <v>686</v>
      </c>
      <c r="M52" s="521"/>
      <c r="N52" s="326"/>
      <c r="O52" s="522">
        <v>24361.659</v>
      </c>
      <c r="P52" s="326"/>
      <c r="Q52" s="522">
        <v>609163.49800000002</v>
      </c>
      <c r="R52" s="326"/>
      <c r="S52" s="523">
        <v>-3.5000000000000001E-3</v>
      </c>
      <c r="U52" s="520" t="s">
        <v>686</v>
      </c>
      <c r="V52" s="521"/>
      <c r="W52" s="326"/>
      <c r="X52" s="522">
        <v>22035.312999999998</v>
      </c>
      <c r="Y52" s="326"/>
      <c r="Z52" s="522">
        <v>629010.25399999996</v>
      </c>
      <c r="AA52" s="326"/>
      <c r="AB52" s="523">
        <v>-3.5999999999999999E-3</v>
      </c>
    </row>
    <row r="53" spans="1:28" ht="14.85" customHeight="1">
      <c r="A53" s="520">
        <v>2</v>
      </c>
      <c r="B53" s="521"/>
      <c r="C53" s="326"/>
      <c r="D53" s="522">
        <v>12067.589</v>
      </c>
      <c r="E53" s="326"/>
      <c r="F53" s="522">
        <v>25096.258000000002</v>
      </c>
      <c r="G53" s="326"/>
      <c r="H53" s="523">
        <v>5.5999999999999999E-3</v>
      </c>
      <c r="L53" s="520">
        <v>2</v>
      </c>
      <c r="M53" s="521"/>
      <c r="N53" s="326"/>
      <c r="O53" s="522">
        <v>10784.101000000001</v>
      </c>
      <c r="P53" s="326"/>
      <c r="Q53" s="522">
        <v>24233.746999999999</v>
      </c>
      <c r="R53" s="326"/>
      <c r="S53" s="523">
        <v>6.1000000000000004E-3</v>
      </c>
      <c r="U53" s="520">
        <v>2</v>
      </c>
      <c r="V53" s="521"/>
      <c r="W53" s="326"/>
      <c r="X53" s="522">
        <v>9618.0529999999999</v>
      </c>
      <c r="Y53" s="326"/>
      <c r="Z53" s="522">
        <v>21809.433000000001</v>
      </c>
      <c r="AA53" s="326"/>
      <c r="AB53" s="523">
        <v>5.7000000000000002E-3</v>
      </c>
    </row>
    <row r="54" spans="1:28" ht="14.85" customHeight="1">
      <c r="A54" s="520">
        <v>3</v>
      </c>
      <c r="B54" s="521"/>
      <c r="C54" s="326"/>
      <c r="D54" s="522">
        <v>6557.5190000000002</v>
      </c>
      <c r="F54" s="326">
        <v>11978.971</v>
      </c>
      <c r="G54" s="326"/>
      <c r="H54" s="523">
        <v>8.6999999999999994E-3</v>
      </c>
      <c r="L54" s="520">
        <v>3</v>
      </c>
      <c r="M54" s="521"/>
      <c r="N54" s="326"/>
      <c r="O54" s="522">
        <v>5683.991</v>
      </c>
      <c r="Q54" s="326">
        <v>10711.194</v>
      </c>
      <c r="R54" s="326"/>
      <c r="S54" s="523">
        <v>8.8999999999999999E-3</v>
      </c>
      <c r="U54" s="520">
        <v>3</v>
      </c>
      <c r="V54" s="521"/>
      <c r="W54" s="326"/>
      <c r="X54" s="522">
        <v>5205.8410000000003</v>
      </c>
      <c r="Z54" s="326">
        <v>9611.1869999999999</v>
      </c>
      <c r="AA54" s="326"/>
      <c r="AB54" s="523">
        <v>8.6E-3</v>
      </c>
    </row>
    <row r="55" spans="1:28" ht="14.85" customHeight="1">
      <c r="A55" s="520">
        <v>4</v>
      </c>
      <c r="B55" s="521"/>
      <c r="C55" s="326"/>
      <c r="D55" s="522">
        <v>4097.96</v>
      </c>
      <c r="F55" s="326">
        <v>6545.5479999999998</v>
      </c>
      <c r="G55" s="326"/>
      <c r="H55" s="523">
        <v>8.9999999999999993E-3</v>
      </c>
      <c r="L55" s="520">
        <v>4</v>
      </c>
      <c r="M55" s="521"/>
      <c r="N55" s="326"/>
      <c r="O55" s="522">
        <v>3520.5659999999998</v>
      </c>
      <c r="Q55" s="326">
        <v>5676.7160000000003</v>
      </c>
      <c r="R55" s="326"/>
      <c r="S55" s="523">
        <v>9.7999999999999997E-3</v>
      </c>
      <c r="U55" s="520">
        <v>4</v>
      </c>
      <c r="V55" s="521"/>
      <c r="W55" s="326"/>
      <c r="X55" s="522">
        <v>3195.8180000000002</v>
      </c>
      <c r="Z55" s="326">
        <v>5199.9520000000002</v>
      </c>
      <c r="AA55" s="326"/>
      <c r="AB55" s="523">
        <v>9.9000000000000008E-3</v>
      </c>
    </row>
    <row r="56" spans="1:28" ht="14.85" customHeight="1">
      <c r="A56" s="520">
        <v>5</v>
      </c>
      <c r="B56" s="521"/>
      <c r="C56" s="326"/>
      <c r="D56" s="522">
        <v>2763.7190000000001</v>
      </c>
      <c r="E56" s="326"/>
      <c r="F56" s="522">
        <v>4091.971</v>
      </c>
      <c r="G56" s="326"/>
      <c r="H56" s="523">
        <v>1.38E-2</v>
      </c>
      <c r="L56" s="520">
        <v>5</v>
      </c>
      <c r="M56" s="521"/>
      <c r="N56" s="326"/>
      <c r="O56" s="522">
        <v>2392.6889999999999</v>
      </c>
      <c r="P56" s="326"/>
      <c r="Q56" s="522">
        <v>3512.913</v>
      </c>
      <c r="R56" s="326"/>
      <c r="S56" s="523">
        <v>1.5100000000000001E-2</v>
      </c>
      <c r="U56" s="520">
        <v>5</v>
      </c>
      <c r="V56" s="521"/>
      <c r="W56" s="326"/>
      <c r="X56" s="522">
        <v>2090.5659999999998</v>
      </c>
      <c r="Y56" s="326"/>
      <c r="Z56" s="522">
        <v>3187.48</v>
      </c>
      <c r="AA56" s="326"/>
      <c r="AB56" s="523">
        <v>1.49E-2</v>
      </c>
    </row>
    <row r="57" spans="1:28" ht="14.85" customHeight="1">
      <c r="A57" s="520">
        <v>6</v>
      </c>
      <c r="B57" s="521"/>
      <c r="C57" s="326"/>
      <c r="D57" s="522">
        <v>1815.68</v>
      </c>
      <c r="E57" s="326"/>
      <c r="F57" s="522">
        <v>2759.9389999999999</v>
      </c>
      <c r="G57" s="326"/>
      <c r="H57" s="523">
        <v>1.6E-2</v>
      </c>
      <c r="L57" s="520">
        <v>6</v>
      </c>
      <c r="M57" s="521"/>
      <c r="N57" s="326"/>
      <c r="O57" s="522">
        <v>1571.193</v>
      </c>
      <c r="P57" s="326"/>
      <c r="Q57" s="522">
        <v>2390.8989999999999</v>
      </c>
      <c r="R57" s="326"/>
      <c r="S57" s="523">
        <v>1.66E-2</v>
      </c>
      <c r="U57" s="520">
        <v>6</v>
      </c>
      <c r="V57" s="521"/>
      <c r="W57" s="326"/>
      <c r="X57" s="522">
        <v>1400.931</v>
      </c>
      <c r="Y57" s="326"/>
      <c r="Z57" s="522">
        <v>2083.6419999999998</v>
      </c>
      <c r="AA57" s="326"/>
      <c r="AB57" s="523">
        <v>1.6299999999999999E-2</v>
      </c>
    </row>
    <row r="58" spans="1:28" ht="14.85" customHeight="1">
      <c r="A58" s="520">
        <v>7</v>
      </c>
      <c r="B58" s="521"/>
      <c r="C58" s="326"/>
      <c r="D58" s="522">
        <v>1175.3689999999999</v>
      </c>
      <c r="E58" s="326"/>
      <c r="F58" s="522">
        <v>1814.568</v>
      </c>
      <c r="G58" s="326"/>
      <c r="H58" s="523">
        <v>1.5800000000000002E-2</v>
      </c>
      <c r="L58" s="520">
        <v>7</v>
      </c>
      <c r="M58" s="521"/>
      <c r="N58" s="326"/>
      <c r="O58" s="522">
        <v>1033.3409999999999</v>
      </c>
      <c r="P58" s="326"/>
      <c r="Q58" s="522">
        <v>1569.9839999999999</v>
      </c>
      <c r="R58" s="326"/>
      <c r="S58" s="523">
        <v>1.72E-2</v>
      </c>
      <c r="U58" s="520">
        <v>7</v>
      </c>
      <c r="V58" s="521"/>
      <c r="W58" s="326"/>
      <c r="X58" s="522">
        <v>845.50900000000001</v>
      </c>
      <c r="Y58" s="326"/>
      <c r="Z58" s="522">
        <v>1400.2080000000001</v>
      </c>
      <c r="AA58" s="326"/>
      <c r="AB58" s="523">
        <v>1.6199999999999999E-2</v>
      </c>
    </row>
    <row r="59" spans="1:28" ht="14.85" customHeight="1">
      <c r="A59" s="520">
        <v>8</v>
      </c>
      <c r="B59" s="521"/>
      <c r="C59" s="326"/>
      <c r="D59" s="522">
        <v>657.70500000000004</v>
      </c>
      <c r="E59" s="326"/>
      <c r="F59" s="522">
        <v>1170.0630000000001</v>
      </c>
      <c r="G59" s="326"/>
      <c r="H59" s="523">
        <v>1.8800000000000001E-2</v>
      </c>
      <c r="L59" s="520">
        <v>8</v>
      </c>
      <c r="M59" s="521"/>
      <c r="N59" s="326"/>
      <c r="O59" s="522">
        <v>569.279</v>
      </c>
      <c r="P59" s="326"/>
      <c r="Q59" s="522">
        <v>1030.4259999999999</v>
      </c>
      <c r="R59" s="326"/>
      <c r="S59" s="523">
        <v>2.0799999999999999E-2</v>
      </c>
      <c r="U59" s="520">
        <v>8</v>
      </c>
      <c r="V59" s="521"/>
      <c r="W59" s="326"/>
      <c r="X59" s="522">
        <v>448.50200000000001</v>
      </c>
      <c r="Y59" s="326"/>
      <c r="Z59" s="522">
        <v>844.47500000000002</v>
      </c>
      <c r="AA59" s="326"/>
      <c r="AB59" s="523">
        <v>2.0400000000000001E-2</v>
      </c>
    </row>
    <row r="60" spans="1:28" ht="14.85" customHeight="1">
      <c r="A60" s="520">
        <v>9</v>
      </c>
      <c r="B60" s="521"/>
      <c r="C60" s="326"/>
      <c r="D60" s="522">
        <v>299.39999999999998</v>
      </c>
      <c r="E60" s="326"/>
      <c r="F60" s="522">
        <v>656.84500000000003</v>
      </c>
      <c r="G60" s="326"/>
      <c r="H60" s="523">
        <v>2.5000000000000001E-2</v>
      </c>
      <c r="L60" s="520">
        <v>9</v>
      </c>
      <c r="M60" s="521"/>
      <c r="N60" s="326"/>
      <c r="O60" s="522">
        <v>263.71499999999997</v>
      </c>
      <c r="P60" s="326"/>
      <c r="Q60" s="522">
        <v>567.84299999999996</v>
      </c>
      <c r="R60" s="326"/>
      <c r="S60" s="523">
        <v>2.6800000000000001E-2</v>
      </c>
      <c r="U60" s="520">
        <v>9</v>
      </c>
      <c r="V60" s="521"/>
      <c r="W60" s="326"/>
      <c r="X60" s="522">
        <v>209.88</v>
      </c>
      <c r="Y60" s="326"/>
      <c r="Z60" s="522">
        <v>448.07900000000001</v>
      </c>
      <c r="AA60" s="326"/>
      <c r="AB60" s="523">
        <v>2.5399999999999999E-2</v>
      </c>
    </row>
    <row r="61" spans="1:28" ht="14.85" customHeight="1">
      <c r="A61" s="520" t="s">
        <v>692</v>
      </c>
      <c r="B61" s="521"/>
      <c r="C61" s="326"/>
      <c r="D61" s="522">
        <v>2.5310000000000001</v>
      </c>
      <c r="E61" s="326"/>
      <c r="F61" s="522">
        <v>299.29000000000002</v>
      </c>
      <c r="G61" s="326"/>
      <c r="H61" s="523">
        <v>5.3699999999999998E-2</v>
      </c>
      <c r="L61" s="520" t="s">
        <v>692</v>
      </c>
      <c r="M61" s="521"/>
      <c r="N61" s="326"/>
      <c r="O61" s="522">
        <v>2.516</v>
      </c>
      <c r="P61" s="326"/>
      <c r="Q61" s="522">
        <v>262.89100000000002</v>
      </c>
      <c r="R61" s="326"/>
      <c r="S61" s="523">
        <v>5.5899999999999998E-2</v>
      </c>
      <c r="U61" s="520" t="s">
        <v>692</v>
      </c>
      <c r="V61" s="521"/>
      <c r="W61" s="326"/>
      <c r="X61" s="522">
        <v>1.9630000000000001</v>
      </c>
      <c r="Y61" s="326"/>
      <c r="Z61" s="522">
        <v>209.40600000000001</v>
      </c>
      <c r="AA61" s="326"/>
      <c r="AB61" s="523">
        <v>5.6000000000000001E-2</v>
      </c>
    </row>
    <row r="62" spans="1:28" ht="14.85" customHeight="1">
      <c r="A62" s="520"/>
      <c r="B62" s="521"/>
      <c r="C62" s="326"/>
      <c r="D62" s="522"/>
      <c r="E62" s="326"/>
      <c r="F62" s="522"/>
      <c r="G62" s="326"/>
      <c r="H62" s="523"/>
      <c r="L62" s="520"/>
      <c r="M62" s="521"/>
      <c r="N62" s="326"/>
      <c r="O62" s="522"/>
      <c r="P62" s="326"/>
      <c r="Q62" s="522"/>
      <c r="R62" s="326"/>
      <c r="S62" s="523"/>
      <c r="U62" s="520"/>
      <c r="V62" s="521"/>
      <c r="W62" s="326"/>
      <c r="X62" s="522"/>
      <c r="Y62" s="326"/>
      <c r="Z62" s="522"/>
      <c r="AA62" s="326"/>
      <c r="AB62" s="523"/>
    </row>
    <row r="63" spans="1:28" ht="14.85" customHeight="1">
      <c r="A63" s="520" t="s">
        <v>693</v>
      </c>
      <c r="B63" s="521"/>
      <c r="C63" s="326"/>
      <c r="D63" s="522"/>
      <c r="E63" s="326"/>
      <c r="F63" s="522"/>
      <c r="G63" s="326"/>
      <c r="H63" s="523"/>
      <c r="L63" s="520" t="s">
        <v>693</v>
      </c>
      <c r="M63" s="521"/>
      <c r="N63" s="326"/>
      <c r="O63" s="522"/>
      <c r="P63" s="326"/>
      <c r="Q63" s="522"/>
      <c r="R63" s="326"/>
      <c r="S63" s="523"/>
      <c r="U63" s="520" t="s">
        <v>693</v>
      </c>
      <c r="V63" s="521"/>
      <c r="W63" s="326"/>
      <c r="X63" s="522"/>
      <c r="Y63" s="326"/>
      <c r="Z63" s="522"/>
      <c r="AA63" s="326"/>
      <c r="AB63" s="523"/>
    </row>
    <row r="64" spans="1:28" ht="14.85" customHeight="1">
      <c r="A64" s="520" t="s">
        <v>694</v>
      </c>
      <c r="B64" s="521"/>
      <c r="C64" s="326"/>
      <c r="D64" s="522">
        <v>166.505</v>
      </c>
      <c r="E64" s="326"/>
      <c r="F64" s="522">
        <v>299.29000000000002</v>
      </c>
      <c r="G64" s="326"/>
      <c r="H64" s="523">
        <v>3.8600000000000002E-2</v>
      </c>
      <c r="L64" s="520" t="s">
        <v>694</v>
      </c>
      <c r="M64" s="521"/>
      <c r="N64" s="326"/>
      <c r="O64" s="522">
        <v>127.29600000000001</v>
      </c>
      <c r="P64" s="326"/>
      <c r="Q64" s="522">
        <v>262.89100000000002</v>
      </c>
      <c r="R64" s="326"/>
      <c r="S64" s="523">
        <v>4.0899999999999999E-2</v>
      </c>
      <c r="U64" s="520" t="s">
        <v>694</v>
      </c>
      <c r="V64" s="521"/>
      <c r="W64" s="326"/>
      <c r="X64" s="522">
        <v>108.962</v>
      </c>
      <c r="Y64" s="326"/>
      <c r="Z64" s="522">
        <v>209.40600000000001</v>
      </c>
      <c r="AA64" s="326"/>
      <c r="AB64" s="523">
        <v>4.0399999999999998E-2</v>
      </c>
    </row>
    <row r="65" spans="1:28" ht="14.85" customHeight="1">
      <c r="A65" s="525" t="s">
        <v>695</v>
      </c>
      <c r="B65" s="526"/>
      <c r="C65" s="288"/>
      <c r="D65" s="527">
        <v>2.5310000000000001</v>
      </c>
      <c r="E65" s="288"/>
      <c r="F65" s="527">
        <v>166.34899999999999</v>
      </c>
      <c r="G65" s="288"/>
      <c r="H65" s="528">
        <v>8.4099999999999994E-2</v>
      </c>
      <c r="L65" s="525" t="s">
        <v>695</v>
      </c>
      <c r="M65" s="526"/>
      <c r="N65" s="288"/>
      <c r="O65" s="527">
        <v>2.516</v>
      </c>
      <c r="P65" s="288"/>
      <c r="Q65" s="527">
        <v>127.279</v>
      </c>
      <c r="R65" s="288"/>
      <c r="S65" s="528">
        <v>8.6400000000000005E-2</v>
      </c>
      <c r="U65" s="525" t="s">
        <v>695</v>
      </c>
      <c r="V65" s="526"/>
      <c r="W65" s="288"/>
      <c r="X65" s="527">
        <v>1.9630000000000001</v>
      </c>
      <c r="Y65" s="288"/>
      <c r="Z65" s="527">
        <v>108.598</v>
      </c>
      <c r="AA65" s="288"/>
      <c r="AB65" s="528">
        <v>8.7599999999999997E-2</v>
      </c>
    </row>
    <row r="66" spans="1:28" ht="14.85" customHeight="1">
      <c r="A66" s="529"/>
      <c r="B66" s="436"/>
      <c r="C66" s="436"/>
      <c r="D66" s="436"/>
      <c r="E66" s="436"/>
      <c r="F66" s="436"/>
      <c r="G66" s="436"/>
      <c r="H66" s="437"/>
      <c r="L66" s="529"/>
      <c r="M66" s="436"/>
      <c r="N66" s="436"/>
      <c r="O66" s="436"/>
      <c r="P66" s="436"/>
      <c r="Q66" s="436"/>
      <c r="R66" s="436"/>
      <c r="S66" s="437"/>
      <c r="U66" s="529"/>
      <c r="V66" s="436"/>
      <c r="W66" s="436"/>
      <c r="X66" s="436"/>
      <c r="Y66" s="436"/>
      <c r="Z66" s="436"/>
      <c r="AA66" s="436"/>
      <c r="AB66" s="437"/>
    </row>
    <row r="67" spans="1:28" ht="14.85" customHeight="1">
      <c r="A67" s="339"/>
      <c r="B67" s="530" t="s">
        <v>696</v>
      </c>
      <c r="C67" s="288"/>
      <c r="D67" s="288"/>
      <c r="E67" s="288"/>
      <c r="F67" s="288"/>
      <c r="G67" s="288"/>
      <c r="H67" s="531">
        <v>6.0400000000000002E-2</v>
      </c>
      <c r="L67" s="339"/>
      <c r="M67" s="530" t="s">
        <v>696</v>
      </c>
      <c r="N67" s="288"/>
      <c r="O67" s="288"/>
      <c r="P67" s="288"/>
      <c r="Q67" s="288"/>
      <c r="R67" s="288"/>
      <c r="S67" s="531">
        <v>5.9700000000000003E-2</v>
      </c>
      <c r="U67" s="339"/>
      <c r="V67" s="530" t="s">
        <v>696</v>
      </c>
      <c r="W67" s="288"/>
      <c r="X67" s="288"/>
      <c r="Y67" s="288"/>
      <c r="Z67" s="288"/>
      <c r="AA67" s="288"/>
      <c r="AB67" s="531">
        <v>6.0299999999999999E-2</v>
      </c>
    </row>
    <row r="68" spans="1:28" ht="14.85" customHeight="1"/>
    <row r="69" spans="1:28" ht="14.85" customHeight="1"/>
    <row r="70" spans="1:28" ht="14.85" customHeight="1"/>
    <row r="71" spans="1:28" ht="14.85" customHeight="1"/>
    <row r="72" spans="1:28" ht="14.85" customHeight="1"/>
    <row r="73" spans="1:28" ht="14.85" customHeight="1"/>
    <row r="74" spans="1:28" ht="14.85" customHeight="1"/>
    <row r="75" spans="1:28" ht="14.85" customHeight="1"/>
    <row r="76" spans="1:28" ht="14.85" customHeight="1"/>
    <row r="77" spans="1:28" ht="14.85" customHeight="1"/>
    <row r="78" spans="1:28" ht="14.85" customHeight="1"/>
    <row r="79" spans="1:28" ht="14.85" customHeight="1"/>
    <row r="80" spans="1:28" ht="14.85" customHeight="1">
      <c r="B80" s="331"/>
    </row>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I4">
    <cfRule type="cellIs" dxfId="81" priority="4" stopIfTrue="1" operator="equal">
      <formula>"input"</formula>
    </cfRule>
  </conditionalFormatting>
  <conditionalFormatting sqref="I4">
    <cfRule type="cellIs" dxfId="80" priority="3" stopIfTrue="1" operator="equal">
      <formula>"input"</formula>
    </cfRule>
  </conditionalFormatting>
  <conditionalFormatting sqref="B4:H4">
    <cfRule type="cellIs" dxfId="79" priority="5" stopIfTrue="1" operator="equal">
      <formula>"input"</formula>
    </cfRule>
  </conditionalFormatting>
  <conditionalFormatting sqref="J4">
    <cfRule type="cellIs" dxfId="78" priority="2" stopIfTrue="1" operator="equal">
      <formula>"input"</formula>
    </cfRule>
  </conditionalFormatting>
  <conditionalFormatting sqref="J4">
    <cfRule type="cellIs" dxfId="77" priority="1" stopIfTrue="1" operator="equal">
      <formula>"input"</formula>
    </cfRule>
  </conditionalFormatting>
  <pageMargins left="0.5" right="0.5" top="0.5" bottom="0.5" header="0.5" footer="0.5"/>
  <pageSetup scale="89" orientation="landscape" r:id="rId1"/>
  <legacyDrawing r:id="rId2"/>
  <legacyDrawingHF r:id="rId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20">
    <tabColor theme="3" tint="-0.499984740745262"/>
    <pageSetUpPr fitToPage="1"/>
  </sheetPr>
  <dimension ref="A1:G30"/>
  <sheetViews>
    <sheetView showGridLines="0" view="pageBreakPreview" zoomScale="80" zoomScaleNormal="100" zoomScaleSheetLayoutView="80" workbookViewId="0">
      <selection activeCell="B27" sqref="B27"/>
    </sheetView>
  </sheetViews>
  <sheetFormatPr defaultColWidth="9.33203125" defaultRowHeight="14.25"/>
  <cols>
    <col min="1" max="1" width="4.5" style="185" customWidth="1"/>
    <col min="2" max="2" width="3.83203125" style="185" customWidth="1"/>
    <col min="3" max="3" width="15.83203125" style="185" customWidth="1"/>
    <col min="4" max="4" width="105.33203125" style="202" customWidth="1"/>
    <col min="5" max="5" width="15.83203125" style="185" customWidth="1"/>
    <col min="6" max="6" width="3.83203125" style="185" customWidth="1"/>
    <col min="7" max="7" width="4.5" style="185" customWidth="1"/>
    <col min="8" max="8" width="9.33203125" style="260"/>
    <col min="9" max="9" width="16.33203125" style="260" bestFit="1" customWidth="1"/>
    <col min="10" max="10" width="19" style="260" bestFit="1" customWidth="1"/>
    <col min="11" max="16384" width="9.33203125" style="260"/>
  </cols>
  <sheetData>
    <row r="1" spans="1:7" ht="12.75">
      <c r="A1" s="260"/>
      <c r="B1" s="260"/>
      <c r="C1" s="260"/>
      <c r="D1" s="300"/>
      <c r="E1" s="260"/>
      <c r="F1" s="260"/>
      <c r="G1" s="260"/>
    </row>
    <row r="2" spans="1:7" ht="12.75">
      <c r="A2" s="260"/>
      <c r="B2" s="260"/>
      <c r="C2" s="260"/>
      <c r="D2" s="300"/>
      <c r="E2" s="260"/>
      <c r="F2" s="260"/>
      <c r="G2" s="260"/>
    </row>
    <row r="3" spans="1:7" ht="12.75">
      <c r="A3" s="260"/>
      <c r="B3" s="260"/>
      <c r="C3" s="260"/>
      <c r="D3" s="300"/>
      <c r="E3" s="260"/>
      <c r="F3" s="260"/>
      <c r="G3" s="260"/>
    </row>
    <row r="4" spans="1:7" ht="12.75">
      <c r="A4" s="260"/>
      <c r="B4" s="260"/>
      <c r="C4" s="260"/>
      <c r="D4" s="300"/>
      <c r="E4" s="260"/>
      <c r="F4" s="260"/>
      <c r="G4" s="260"/>
    </row>
    <row r="5" spans="1:7" ht="12.75">
      <c r="A5" s="260"/>
      <c r="B5" s="260"/>
      <c r="C5" s="260"/>
      <c r="D5" s="300"/>
      <c r="E5" s="260"/>
      <c r="F5" s="260"/>
      <c r="G5" s="260"/>
    </row>
    <row r="6" spans="1:7" ht="12.75">
      <c r="A6" s="260"/>
      <c r="B6" s="301"/>
      <c r="C6" s="302"/>
      <c r="D6" s="303"/>
      <c r="E6" s="302"/>
      <c r="F6" s="302"/>
      <c r="G6" s="260"/>
    </row>
    <row r="7" spans="1:7" ht="13.5" thickBot="1">
      <c r="A7" s="260"/>
      <c r="B7" s="301"/>
      <c r="C7" s="302"/>
      <c r="D7" s="303"/>
      <c r="E7" s="302"/>
      <c r="F7" s="302"/>
      <c r="G7" s="260"/>
    </row>
    <row r="8" spans="1:7" ht="15" thickTop="1">
      <c r="A8" s="260"/>
      <c r="B8" s="186"/>
      <c r="C8" s="187"/>
      <c r="D8" s="188"/>
      <c r="E8" s="187"/>
      <c r="F8" s="187"/>
      <c r="G8" s="260"/>
    </row>
    <row r="9" spans="1:7" ht="39.75">
      <c r="A9" s="260"/>
      <c r="B9" s="189"/>
      <c r="C9" s="191"/>
      <c r="D9" s="218" t="s">
        <v>384</v>
      </c>
      <c r="E9" s="191"/>
      <c r="F9" s="191"/>
      <c r="G9" s="192"/>
    </row>
    <row r="10" spans="1:7" ht="15" thickBot="1">
      <c r="A10" s="260"/>
      <c r="B10" s="199"/>
      <c r="C10" s="200"/>
      <c r="D10" s="201"/>
      <c r="E10" s="200"/>
      <c r="F10" s="200"/>
      <c r="G10" s="260"/>
    </row>
    <row r="11" spans="1:7" ht="13.5" thickTop="1">
      <c r="A11" s="260"/>
      <c r="B11" s="260"/>
      <c r="C11" s="260"/>
      <c r="D11" s="300"/>
      <c r="E11" s="260"/>
      <c r="F11" s="260"/>
      <c r="G11" s="260"/>
    </row>
    <row r="12" spans="1:7" ht="12.75">
      <c r="A12" s="260"/>
      <c r="B12" s="260"/>
      <c r="C12" s="260"/>
      <c r="D12" s="300"/>
      <c r="E12" s="260"/>
      <c r="F12" s="260"/>
      <c r="G12" s="260"/>
    </row>
    <row r="13" spans="1:7" ht="12.75">
      <c r="A13" s="260"/>
      <c r="B13" s="260"/>
      <c r="C13" s="260"/>
      <c r="D13" s="487"/>
      <c r="E13" s="260"/>
      <c r="F13" s="260"/>
      <c r="G13" s="260"/>
    </row>
    <row r="14" spans="1:7" ht="18">
      <c r="A14" s="260"/>
      <c r="B14" s="260"/>
      <c r="C14" s="260"/>
      <c r="D14" s="204"/>
      <c r="E14" s="260"/>
      <c r="F14" s="260"/>
      <c r="G14" s="260"/>
    </row>
    <row r="15" spans="1:7" ht="12.75">
      <c r="A15" s="260"/>
      <c r="B15" s="260"/>
      <c r="C15" s="260"/>
      <c r="D15" s="300"/>
      <c r="E15" s="260"/>
      <c r="F15" s="260"/>
      <c r="G15" s="260"/>
    </row>
    <row r="16" spans="1:7" ht="12.75">
      <c r="A16" s="260"/>
      <c r="B16" s="260"/>
      <c r="C16" s="260"/>
      <c r="D16" s="300"/>
      <c r="E16" s="260"/>
      <c r="F16" s="260"/>
      <c r="G16" s="260"/>
    </row>
    <row r="17" spans="1:7" ht="12.75">
      <c r="A17" s="260"/>
      <c r="B17" s="260"/>
      <c r="C17" s="260"/>
      <c r="D17" s="300"/>
      <c r="E17" s="260"/>
      <c r="F17" s="260"/>
      <c r="G17" s="260"/>
    </row>
    <row r="18" spans="1:7" ht="12.75">
      <c r="A18" s="260"/>
      <c r="B18" s="260"/>
      <c r="C18" s="260"/>
      <c r="D18" s="300"/>
      <c r="E18" s="260"/>
      <c r="F18" s="260"/>
      <c r="G18" s="260"/>
    </row>
    <row r="19" spans="1:7" ht="12.75">
      <c r="A19" s="260"/>
      <c r="B19" s="260"/>
      <c r="C19" s="260"/>
      <c r="D19" s="300"/>
      <c r="E19" s="260"/>
      <c r="F19" s="260"/>
      <c r="G19" s="260"/>
    </row>
    <row r="20" spans="1:7" ht="12.75">
      <c r="A20" s="260"/>
      <c r="B20" s="260"/>
      <c r="C20" s="260"/>
      <c r="D20" s="300"/>
      <c r="E20" s="260"/>
      <c r="F20" s="260"/>
      <c r="G20" s="260"/>
    </row>
    <row r="21" spans="1:7" ht="12.75">
      <c r="A21" s="260"/>
      <c r="B21" s="260"/>
      <c r="C21" s="260"/>
      <c r="D21" s="300"/>
      <c r="E21" s="260"/>
      <c r="F21" s="260"/>
      <c r="G21" s="260"/>
    </row>
    <row r="22" spans="1:7" ht="12.75">
      <c r="A22" s="260"/>
      <c r="B22" s="260"/>
      <c r="C22" s="260"/>
      <c r="D22" s="300"/>
      <c r="E22" s="260"/>
      <c r="F22" s="260"/>
      <c r="G22" s="260"/>
    </row>
    <row r="23" spans="1:7" ht="12.75">
      <c r="A23" s="260"/>
      <c r="B23" s="260"/>
      <c r="C23" s="260"/>
      <c r="D23" s="300"/>
      <c r="E23" s="260"/>
      <c r="F23" s="260"/>
      <c r="G23" s="260"/>
    </row>
    <row r="24" spans="1:7" ht="12.75">
      <c r="A24" s="260"/>
      <c r="B24" s="260"/>
      <c r="C24" s="260"/>
      <c r="D24" s="300"/>
      <c r="E24" s="260"/>
      <c r="F24" s="260"/>
      <c r="G24" s="260"/>
    </row>
    <row r="25" spans="1:7" ht="12.75">
      <c r="A25" s="260"/>
      <c r="B25" s="260"/>
      <c r="C25" s="260"/>
      <c r="D25" s="300"/>
      <c r="E25" s="260"/>
      <c r="F25" s="260"/>
      <c r="G25" s="260"/>
    </row>
    <row r="26" spans="1:7" ht="12.75">
      <c r="A26" s="260"/>
      <c r="B26" s="260"/>
      <c r="C26" s="260"/>
      <c r="D26" s="300"/>
      <c r="E26" s="260"/>
      <c r="F26" s="260"/>
      <c r="G26" s="260"/>
    </row>
    <row r="27" spans="1:7" ht="23.25">
      <c r="A27" s="260"/>
      <c r="B27" s="260"/>
      <c r="C27" s="260"/>
      <c r="D27" s="205"/>
      <c r="E27" s="260"/>
      <c r="F27" s="260"/>
      <c r="G27" s="260"/>
    </row>
    <row r="28" spans="1:7" ht="12.75">
      <c r="A28" s="260"/>
      <c r="B28" s="260"/>
      <c r="C28" s="260"/>
      <c r="D28" s="300"/>
      <c r="E28" s="260"/>
      <c r="F28" s="260"/>
      <c r="G28" s="260"/>
    </row>
    <row r="29" spans="1:7" ht="18">
      <c r="A29" s="260"/>
      <c r="B29" s="260"/>
      <c r="C29" s="260"/>
      <c r="D29" s="206"/>
      <c r="E29" s="260"/>
      <c r="F29" s="260"/>
      <c r="G29" s="260"/>
    </row>
    <row r="30" spans="1:7" ht="36">
      <c r="A30" s="260"/>
      <c r="B30" s="260"/>
      <c r="C30" s="260"/>
      <c r="D30" s="207" t="s">
        <v>374</v>
      </c>
      <c r="E30" s="260"/>
      <c r="F30" s="260"/>
      <c r="G30" s="260"/>
    </row>
  </sheetData>
  <pageMargins left="0.5" right="0.5" top="0.5" bottom="0.5" header="0.5" footer="0.5"/>
  <pageSetup scale="98" orientation="landscape"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50"/>
  <dimension ref="B1:AI764"/>
  <sheetViews>
    <sheetView showGridLines="0" view="pageBreakPreview" zoomScale="80" zoomScaleNormal="100" zoomScaleSheetLayoutView="80" workbookViewId="0">
      <selection activeCell="AA4" sqref="AA4"/>
    </sheetView>
  </sheetViews>
  <sheetFormatPr defaultRowHeight="12.75" outlineLevelCol="1"/>
  <cols>
    <col min="1" max="1" width="4.5" style="208" customWidth="1"/>
    <col min="2" max="2" width="51.33203125" style="208" customWidth="1"/>
    <col min="3" max="3" width="11.83203125" style="208" customWidth="1"/>
    <col min="4" max="4" width="2.83203125" style="208" customWidth="1"/>
    <col min="5" max="6" width="15.1640625" style="208" hidden="1" customWidth="1" outlineLevel="1"/>
    <col min="7" max="7" width="11.83203125" style="208" customWidth="1" collapsed="1"/>
    <col min="8" max="8" width="2.83203125" style="208" customWidth="1"/>
    <col min="9" max="10" width="15.1640625" style="208" hidden="1" customWidth="1" outlineLevel="1"/>
    <col min="11" max="11" width="15.1640625" style="208" customWidth="1" collapsed="1"/>
    <col min="12" max="13" width="15.1640625" style="208" customWidth="1"/>
    <col min="14" max="14" width="2.83203125" style="208" customWidth="1"/>
    <col min="15" max="16" width="14.83203125" style="208" hidden="1" customWidth="1" outlineLevel="1"/>
    <col min="17" max="17" width="11.83203125" style="208" customWidth="1" collapsed="1"/>
    <col min="18" max="18" width="2.83203125" style="208" customWidth="1"/>
    <col min="19" max="20" width="14.83203125" style="208" hidden="1" customWidth="1" outlineLevel="1"/>
    <col min="21" max="21" width="9.83203125" style="208" customWidth="1" collapsed="1"/>
    <col min="22" max="23" width="9.83203125" style="208" customWidth="1"/>
    <col min="24" max="24" width="4.5" style="208" customWidth="1"/>
    <col min="25" max="32" width="12.83203125" style="208" customWidth="1"/>
    <col min="33" max="33" width="1.83203125" style="208" customWidth="1"/>
    <col min="34" max="34" width="15.33203125" style="208" bestFit="1" customWidth="1"/>
    <col min="35" max="35" width="14.33203125" style="208" bestFit="1" customWidth="1"/>
    <col min="36" max="36" width="1.83203125" style="208" customWidth="1"/>
    <col min="37" max="16384" width="9.33203125" style="208"/>
  </cols>
  <sheetData>
    <row r="1" spans="2:35" ht="10.7" customHeight="1" thickBot="1">
      <c r="Y1" s="596"/>
      <c r="Z1" s="597" t="s">
        <v>726</v>
      </c>
      <c r="AA1" s="597" t="s">
        <v>727</v>
      </c>
      <c r="AB1" s="598" t="s">
        <v>110</v>
      </c>
    </row>
    <row r="2" spans="2:35" ht="16.5" customHeight="1" thickTop="1">
      <c r="B2" s="216" t="str">
        <f>'MASTER PubCo Inputs'!$C$5</f>
        <v>Medikine, Inc.</v>
      </c>
      <c r="C2" s="216"/>
      <c r="D2" s="216"/>
      <c r="E2" s="216"/>
      <c r="F2" s="216"/>
      <c r="G2" s="216"/>
      <c r="H2" s="216"/>
      <c r="I2" s="216"/>
      <c r="J2" s="216"/>
      <c r="K2" s="216"/>
      <c r="L2" s="216"/>
      <c r="M2" s="216"/>
      <c r="N2" s="216"/>
      <c r="O2" s="216"/>
      <c r="P2" s="216"/>
      <c r="Q2" s="216"/>
      <c r="R2" s="216"/>
      <c r="S2" s="216"/>
      <c r="T2" s="216"/>
      <c r="U2" s="216"/>
      <c r="V2" s="216"/>
      <c r="W2" s="216"/>
      <c r="Y2" s="599" t="str">
        <f>+C8</f>
        <v>Enterprise Value</v>
      </c>
      <c r="Z2" s="600" t="e">
        <f ca="1">SUM('GPC Linked'!H13:H42)</f>
        <v>#NAME?</v>
      </c>
      <c r="AA2" s="600">
        <f>+SUM('Capital IQ Sheet-GPC'!H13:H42)</f>
        <v>8672.6785499999987</v>
      </c>
      <c r="AB2" s="327" t="e">
        <f ca="1">Z2=AA2</f>
        <v>#NAME?</v>
      </c>
      <c r="AH2" s="532" t="s">
        <v>87</v>
      </c>
      <c r="AI2" s="533">
        <f>'MASTER PubCo Inputs'!$C$6</f>
        <v>43496</v>
      </c>
    </row>
    <row r="3" spans="2:35" ht="15.75" customHeight="1">
      <c r="B3" s="217" t="str">
        <f>VLOOKUP(B4,Outline!$E$8:$G$79,COLUMNS(Outline!$E$8:$G$8),FALSE)</f>
        <v>Exhibit D.2</v>
      </c>
      <c r="C3" s="217"/>
      <c r="D3" s="217"/>
      <c r="E3" s="217"/>
      <c r="F3" s="217"/>
      <c r="G3" s="217"/>
      <c r="H3" s="217"/>
      <c r="I3" s="217"/>
      <c r="J3" s="217"/>
      <c r="K3" s="217"/>
      <c r="L3" s="217"/>
      <c r="M3" s="217"/>
      <c r="N3" s="217"/>
      <c r="O3" s="217"/>
      <c r="P3" s="217"/>
      <c r="Q3" s="217"/>
      <c r="R3" s="217"/>
      <c r="S3" s="217"/>
      <c r="T3" s="217"/>
      <c r="U3" s="217"/>
      <c r="V3" s="217"/>
      <c r="W3" s="217"/>
      <c r="Y3" s="599" t="str">
        <f>+G8</f>
        <v>LTM</v>
      </c>
      <c r="Z3" s="600" t="e">
        <f ca="1">+SUM('GPC Linked'!Z13:Z42)</f>
        <v>#NAME?</v>
      </c>
      <c r="AA3" s="600">
        <f>+SUM('Capital IQ Sheet-GPC'!Z13:Z42)</f>
        <v>50.590949999999893</v>
      </c>
      <c r="AB3" s="327" t="e">
        <f ca="1">Z3=AA3</f>
        <v>#NAME?</v>
      </c>
      <c r="AH3" s="534" t="s">
        <v>378</v>
      </c>
      <c r="AI3" s="601" t="s">
        <v>380</v>
      </c>
    </row>
    <row r="4" spans="2:35" ht="16.5" customHeight="1" thickBot="1">
      <c r="B4" s="444" t="s">
        <v>601</v>
      </c>
      <c r="C4" s="444"/>
      <c r="D4" s="1239"/>
      <c r="E4" s="444"/>
      <c r="F4" s="444"/>
      <c r="G4" s="444"/>
      <c r="H4" s="444"/>
      <c r="I4" s="444"/>
      <c r="J4" s="445"/>
      <c r="K4" s="445"/>
      <c r="L4" s="445"/>
      <c r="M4" s="445"/>
      <c r="N4" s="445"/>
      <c r="O4" s="445"/>
      <c r="P4" s="445"/>
      <c r="Q4" s="445"/>
      <c r="R4" s="445"/>
      <c r="S4" s="445"/>
      <c r="T4" s="445"/>
      <c r="U4" s="445"/>
      <c r="V4" s="445"/>
      <c r="W4" s="445" t="str">
        <f>+'MASTER PubCo Inputs'!$C$24</f>
        <v>(in millions of USD)</v>
      </c>
      <c r="Y4" s="602">
        <f>+K8</f>
        <v>2019</v>
      </c>
      <c r="Z4" s="603" t="e">
        <f ca="1">+SUM('GPC Linked'!AC13:AC42)</f>
        <v>#NAME?</v>
      </c>
      <c r="AA4" s="603">
        <f>+SUM('Capital IQ Sheet-GPC'!AC13:AC42)</f>
        <v>137.30876000000012</v>
      </c>
      <c r="AB4" s="440" t="e">
        <f ca="1">Z4=AA4</f>
        <v>#NAME?</v>
      </c>
      <c r="AH4" s="534" t="s">
        <v>379</v>
      </c>
      <c r="AI4" s="601" t="s">
        <v>381</v>
      </c>
    </row>
    <row r="5" spans="2:35" ht="14.85" customHeight="1" thickTop="1">
      <c r="B5" s="577"/>
      <c r="C5" s="577"/>
      <c r="AH5" s="339" t="s">
        <v>89</v>
      </c>
      <c r="AI5" s="604" t="s">
        <v>90</v>
      </c>
    </row>
    <row r="6" spans="2:35" ht="14.85" customHeight="1">
      <c r="H6" s="326"/>
      <c r="I6" s="605" t="s">
        <v>286</v>
      </c>
      <c r="J6" s="607"/>
      <c r="K6" s="605" t="s">
        <v>286</v>
      </c>
      <c r="L6" s="606"/>
      <c r="M6" s="607"/>
      <c r="N6" s="326"/>
      <c r="O6" s="326"/>
      <c r="P6" s="326"/>
      <c r="Q6" s="326"/>
      <c r="R6" s="347"/>
      <c r="S6" s="605" t="s">
        <v>286</v>
      </c>
      <c r="T6" s="607"/>
      <c r="U6" s="605" t="s">
        <v>286</v>
      </c>
      <c r="V6" s="606"/>
      <c r="W6" s="607"/>
      <c r="Y6" s="612" t="s">
        <v>784</v>
      </c>
      <c r="Z6" s="613">
        <v>50</v>
      </c>
      <c r="AA6" s="612" t="s">
        <v>785</v>
      </c>
      <c r="AB6" s="613">
        <v>0</v>
      </c>
    </row>
    <row r="7" spans="2:35" ht="14.85" customHeight="1">
      <c r="E7" s="614" t="s">
        <v>592</v>
      </c>
      <c r="F7" s="450"/>
      <c r="G7" s="615" t="s">
        <v>591</v>
      </c>
      <c r="H7" s="452"/>
      <c r="I7" s="614" t="s">
        <v>590</v>
      </c>
      <c r="J7" s="450"/>
      <c r="K7" s="614" t="s">
        <v>590</v>
      </c>
      <c r="L7" s="449"/>
      <c r="M7" s="450"/>
      <c r="O7" s="645" t="s">
        <v>287</v>
      </c>
      <c r="P7" s="645"/>
      <c r="Q7" s="615" t="s">
        <v>287</v>
      </c>
      <c r="R7" s="452"/>
      <c r="S7" s="646"/>
      <c r="T7" s="647"/>
      <c r="U7" s="614" t="s">
        <v>287</v>
      </c>
      <c r="V7" s="449"/>
      <c r="W7" s="450"/>
      <c r="Y7" s="587" t="s">
        <v>91</v>
      </c>
      <c r="Z7" s="588"/>
      <c r="AA7" s="588"/>
      <c r="AB7" s="588"/>
      <c r="AC7" s="588"/>
      <c r="AD7" s="588"/>
      <c r="AE7" s="588"/>
      <c r="AF7" s="589"/>
    </row>
    <row r="8" spans="2:35" s="229" customFormat="1" ht="14.85" customHeight="1">
      <c r="B8" s="617" t="s">
        <v>597</v>
      </c>
      <c r="C8" s="546" t="s">
        <v>146</v>
      </c>
      <c r="D8" s="289"/>
      <c r="E8" s="620" t="s">
        <v>297</v>
      </c>
      <c r="F8" s="648" t="s">
        <v>284</v>
      </c>
      <c r="G8" s="592" t="s">
        <v>285</v>
      </c>
      <c r="H8" s="623"/>
      <c r="I8" s="626">
        <f>J8-1</f>
        <v>2017</v>
      </c>
      <c r="J8" s="628">
        <f>K8-1</f>
        <v>2018</v>
      </c>
      <c r="K8" s="626">
        <f>YEAR($AI$2)</f>
        <v>2019</v>
      </c>
      <c r="L8" s="627">
        <f>K8+1</f>
        <v>2020</v>
      </c>
      <c r="M8" s="628">
        <f>L8+1</f>
        <v>2021</v>
      </c>
      <c r="N8" s="289"/>
      <c r="O8" s="623" t="str">
        <f>E8</f>
        <v>LTM-2</v>
      </c>
      <c r="P8" s="623" t="str">
        <f>F8</f>
        <v>LTM-1</v>
      </c>
      <c r="Q8" s="592" t="str">
        <f>G8</f>
        <v>LTM</v>
      </c>
      <c r="R8" s="623"/>
      <c r="S8" s="624">
        <f>I8</f>
        <v>2017</v>
      </c>
      <c r="T8" s="649">
        <f>J8</f>
        <v>2018</v>
      </c>
      <c r="U8" s="626">
        <f>K8</f>
        <v>2019</v>
      </c>
      <c r="V8" s="627">
        <f>L8</f>
        <v>2020</v>
      </c>
      <c r="W8" s="628">
        <f>M8</f>
        <v>2021</v>
      </c>
      <c r="Y8" s="629" t="s">
        <v>94</v>
      </c>
      <c r="Z8" s="630" t="s">
        <v>95</v>
      </c>
      <c r="AA8" s="630" t="s">
        <v>96</v>
      </c>
      <c r="AB8" s="630" t="s">
        <v>97</v>
      </c>
      <c r="AC8" s="630" t="s">
        <v>98</v>
      </c>
      <c r="AD8" s="630" t="s">
        <v>99</v>
      </c>
      <c r="AE8" s="630" t="s">
        <v>100</v>
      </c>
      <c r="AF8" s="632" t="s">
        <v>101</v>
      </c>
      <c r="AH8" s="550" t="s">
        <v>108</v>
      </c>
    </row>
    <row r="9" spans="2:35" ht="14.85" customHeight="1">
      <c r="H9" s="347"/>
      <c r="R9" s="347"/>
    </row>
    <row r="10" spans="2:35" ht="14.85" customHeight="1">
      <c r="B10" s="633" t="s">
        <v>383</v>
      </c>
      <c r="C10" s="595"/>
      <c r="D10" s="338"/>
      <c r="E10" s="595"/>
      <c r="F10" s="595"/>
      <c r="G10" s="595"/>
      <c r="H10" s="595"/>
      <c r="I10" s="595"/>
      <c r="J10" s="595"/>
      <c r="K10" s="595"/>
      <c r="L10" s="595"/>
      <c r="M10" s="595"/>
      <c r="N10" s="337"/>
      <c r="O10" s="338"/>
      <c r="P10" s="338"/>
      <c r="Q10" s="338"/>
      <c r="R10" s="338"/>
      <c r="S10" s="338"/>
      <c r="T10" s="338"/>
      <c r="U10" s="338"/>
      <c r="V10" s="338"/>
      <c r="W10" s="338"/>
      <c r="AH10" s="559"/>
    </row>
    <row r="11" spans="2:35" s="560" customFormat="1" ht="14.85" customHeight="1">
      <c r="B11" s="354"/>
      <c r="C11" s="650"/>
      <c r="D11" s="354"/>
      <c r="E11" s="650"/>
      <c r="F11" s="650"/>
      <c r="G11" s="650"/>
      <c r="H11" s="650"/>
      <c r="I11" s="650"/>
      <c r="J11" s="650"/>
      <c r="K11" s="650"/>
      <c r="L11" s="650"/>
      <c r="M11" s="650"/>
      <c r="O11" s="354"/>
      <c r="P11" s="354"/>
      <c r="Q11" s="354"/>
      <c r="R11" s="354"/>
      <c r="S11" s="354"/>
      <c r="T11" s="354"/>
      <c r="U11" s="354"/>
      <c r="V11" s="354"/>
      <c r="W11" s="354"/>
      <c r="Y11" s="208"/>
      <c r="Z11" s="208"/>
      <c r="AA11" s="208"/>
      <c r="AB11" s="208"/>
      <c r="AC11" s="208"/>
      <c r="AD11" s="208"/>
      <c r="AE11" s="208"/>
      <c r="AF11" s="208"/>
    </row>
    <row r="12" spans="2:35" ht="14.85" customHeight="1">
      <c r="B12" s="208" t="str">
        <f>'Comp.1'!B12</f>
        <v>Nektar Therapeutics</v>
      </c>
      <c r="C12" s="378">
        <f>'Comp.1'!C12</f>
        <v>6154.5</v>
      </c>
      <c r="E12" s="378">
        <f>'Capital IQ Sheet-GPC'!X13</f>
        <v>-91.8</v>
      </c>
      <c r="F12" s="378">
        <f>'Capital IQ Sheet-GPC'!Y13</f>
        <v>-51.8</v>
      </c>
      <c r="G12" s="378">
        <f>'Capital IQ Sheet-GPC'!Z13</f>
        <v>795.33299999999997</v>
      </c>
      <c r="H12" s="283"/>
      <c r="I12" s="378">
        <f>'Capital IQ Sheet-GPC'!AA13</f>
        <v>-24.2</v>
      </c>
      <c r="J12" s="378" t="str">
        <f>'Capital IQ Sheet-GPC'!AB13</f>
        <v xml:space="preserve"> n/a </v>
      </c>
      <c r="K12" s="378">
        <f>'Capital IQ Sheet-GPC'!AC13</f>
        <v>626.79100000000005</v>
      </c>
      <c r="L12" s="378">
        <f>'Capital IQ Sheet-GPC'!AD13</f>
        <v>-226.1</v>
      </c>
      <c r="M12" s="378">
        <f>'Capital IQ Sheet-GPC'!AE13</f>
        <v>-120.3</v>
      </c>
      <c r="O12" s="554">
        <f>IF(ISERROR($C12/E12), "n/a", $C12/E12)</f>
        <v>-67.042483660130728</v>
      </c>
      <c r="P12" s="554">
        <f>IF(ISERROR($C12/F12), "n/a", $C12/F12)</f>
        <v>-118.81274131274132</v>
      </c>
      <c r="Q12" s="554">
        <f>IFERROR(IF(($C12/G12)&gt;$Z$6, "NM", IF(($C12/G12)&lt;$AB$6, "NM", $C12/G12)),"n/a")</f>
        <v>7.7382681216547038</v>
      </c>
      <c r="S12" s="554">
        <f>IF(ISERROR($C12/I12), "n/a", $C12/I12)</f>
        <v>-254.31818181818181</v>
      </c>
      <c r="T12" s="554" t="str">
        <f>IF(ISERROR($C12/J12), "n/a", $C12/J12)</f>
        <v>n/a</v>
      </c>
      <c r="U12" s="554">
        <f>IFERROR(IF(($C12/K12)&gt;$Z$6, "NM", IF(($C12/K12)&lt;$AB$6, "NM", $C12/K12)),"n/a")</f>
        <v>9.8190624945157143</v>
      </c>
      <c r="V12" s="554" t="str">
        <f>IFERROR(IF(($C12/L12)&gt;$Z$6, "NM", IF(($C12/L12)&lt;$AB$6, "NM", $C12/L12)),"n/a")</f>
        <v>NM</v>
      </c>
      <c r="W12" s="554" t="str">
        <f>IFERROR(IF(($C12/M12)&gt;$Z$6, "NM", IF(($C12/M12)&lt;$AB$6, "NM", $C12/M12)),"n/a")</f>
        <v>NM</v>
      </c>
      <c r="Y12" s="283">
        <f>'Comp.1'!AB12</f>
        <v>7328.4</v>
      </c>
      <c r="Z12" s="283">
        <f>'Comp.1'!AC12</f>
        <v>246.5</v>
      </c>
      <c r="AA12" s="283" t="str">
        <f>'Comp.1'!AD12</f>
        <v xml:space="preserve"> n/a </v>
      </c>
      <c r="AB12" s="283" t="str">
        <f>'Comp.1'!AE12</f>
        <v xml:space="preserve"> n/a </v>
      </c>
      <c r="AC12" s="283">
        <f>SUM(Z12:AB12)</f>
        <v>246.5</v>
      </c>
      <c r="AD12" s="283">
        <f>SUM(Y12:AB12)</f>
        <v>7574.9</v>
      </c>
      <c r="AE12" s="283">
        <f>'Comp.1'!AH12</f>
        <v>1420.4</v>
      </c>
      <c r="AF12" s="378">
        <f>IF(ISERROR(AD12-AE12), "n/a", AD12-AE12)</f>
        <v>6154.5</v>
      </c>
      <c r="AH12" s="557" t="str">
        <f>IF('MASTER PubCo Inputs'!C28="","",'MASTER PubCo Inputs'!C28)</f>
        <v>IQ29929</v>
      </c>
      <c r="AI12" s="208" t="str">
        <f>'Comp.1'!AL12</f>
        <v>Nektar Therapeutics, a research-based biopharmaceutical company, discovers and develops drug candidates for cancer, auto-immune disease, and chronic pain in the United States. The company offers ONZEALD, a topoisomerase I inhibitor that is in Phase III clinical trial for advanced metastatic breast cancer in patients with brain metastases; NKTR-181, an orally-available mu-opioid analgesic molecule, which is in Phase III clinical trial for moderate to severe chronic pain; NKTR-214, a cytokine immunostimulatory therapy that is in Phase I/II to treat cancer; NKTR-358, which is in Phase I to treat autoimmune diseases; and NKTR-262 for solid tumors, as well as NKTR-255 that is under research/preclinical stage for immuno-oncology. It is also developing MOVANTIK for opioid-induced constipation in adult patients with chronic non-cancer pain, and who have an inadequate response to laxatives; ADYNOVATE for hemophilia A; Somavert to treat acromegaly; and Neulasta for treating neutropenia. In addition, the company develops PEG-INTRON for the treatment of hepatitis-C; Macugen for age-related macular degeneration; CIMZIA to treat rheumatoid arthritis, Crohn’s disease, and psoriasis/ankylosing spondylitis; and MIRCERA for anemia related to chronic kidney disease in patients on and not on dialysis. Further, it is developing SEMPRANA to treat migraine; dapirolizumab pegol for systemic lupus erythematosus; PEGPH20 for ancreatic, non-small cell lung cancer, and other tumor types; and longer-acting blood clotting proteins for hemophilia. The company has collaboration agreement with AstraZeneca AB, Shire plc, Pfizer Inc., Amgen Inc., Merck &amp; Co., Inc., Valeant Pharmaceuticals International, Inc., UCB Pharma S.A., F. Hoffmann-La Roche Ltd, Allergan, Inc., Halozyme Therapeutics, Inc., Baxalta Incorporated, Bristol-Myers Squibb Company, and Takeda Pharmaceutical Company Limited. The company was founded in 1990 and is headquartered in San Francisco, California.</v>
      </c>
    </row>
    <row r="13" spans="2:35" ht="14.85" customHeight="1">
      <c r="B13" s="208" t="str">
        <f>'Comp.1'!B13</f>
        <v>Fate Therapeutics, Inc.</v>
      </c>
      <c r="C13" s="378">
        <f>'Comp.1'!C13</f>
        <v>781.8</v>
      </c>
      <c r="E13" s="378">
        <f>'Capital IQ Sheet-GPC'!X14</f>
        <v>-30.3</v>
      </c>
      <c r="F13" s="378">
        <f>'Capital IQ Sheet-GPC'!Y14</f>
        <v>-36.700000000000003</v>
      </c>
      <c r="G13" s="378">
        <f>'Capital IQ Sheet-GPC'!Z14</f>
        <v>-61.427999999999997</v>
      </c>
      <c r="H13" s="283"/>
      <c r="I13" s="378">
        <f>'Capital IQ Sheet-GPC'!AA14</f>
        <v>-41.2</v>
      </c>
      <c r="J13" s="378" t="str">
        <f>'Capital IQ Sheet-GPC'!AB14</f>
        <v xml:space="preserve"> n/a </v>
      </c>
      <c r="K13" s="378" t="str">
        <f>'Capital IQ Sheet-GPC'!AC14</f>
        <v>n/a</v>
      </c>
      <c r="L13" s="378" t="str">
        <f>'Capital IQ Sheet-GPC'!AD14</f>
        <v xml:space="preserve"> n/a </v>
      </c>
      <c r="M13" s="378" t="str">
        <f>'Capital IQ Sheet-GPC'!AE14</f>
        <v xml:space="preserve"> n/a </v>
      </c>
      <c r="O13" s="554">
        <f t="shared" ref="O13:O41" si="0">IF(ISERROR($C13/E13), "n/a", $C13/E13)</f>
        <v>-25.801980198019798</v>
      </c>
      <c r="P13" s="554">
        <f t="shared" ref="P13:P41" si="1">IF(ISERROR($C13/F13), "n/a", $C13/F13)</f>
        <v>-21.302452316076291</v>
      </c>
      <c r="Q13" s="554" t="str">
        <f t="shared" ref="Q13:Q41" si="2">IFERROR(IF(($C13/G13)&gt;$Z$6, "NM", IF(($C13/G13)&lt;$AB$6, "NM", $C13/G13)),"n/a")</f>
        <v>NM</v>
      </c>
      <c r="S13" s="554">
        <f t="shared" ref="S13:S41" si="3">IF(ISERROR($C13/I13), "n/a", $C13/I13)</f>
        <v>-18.975728155339805</v>
      </c>
      <c r="T13" s="554" t="str">
        <f t="shared" ref="T13:T41" si="4">IF(ISERROR($C13/J13), "n/a", $C13/J13)</f>
        <v>n/a</v>
      </c>
      <c r="U13" s="554" t="str">
        <f t="shared" ref="U13:U41" si="5">IFERROR(IF(($C13/K13)&gt;$Z$6, "NM", IF(($C13/K13)&lt;$AB$6, "NM", $C13/K13)),"n/a")</f>
        <v>n/a</v>
      </c>
      <c r="V13" s="554" t="str">
        <f t="shared" ref="V13:V41" si="6">IFERROR(IF(($C13/L13)&gt;$Z$6, "NM", IF(($C13/L13)&lt;$AB$6, "NM", $C13/L13)),"n/a")</f>
        <v>n/a</v>
      </c>
      <c r="W13" s="554" t="str">
        <f t="shared" ref="W13:W41" si="7">IFERROR(IF(($C13/M13)&gt;$Z$6, "NM", IF(($C13/M13)&lt;$AB$6, "NM", $C13/M13)),"n/a")</f>
        <v>n/a</v>
      </c>
      <c r="Y13" s="283">
        <f>'Comp.1'!AB13</f>
        <v>978.1</v>
      </c>
      <c r="Z13" s="283">
        <f>'Comp.1'!AC13</f>
        <v>14.9</v>
      </c>
      <c r="AA13" s="283">
        <f>'Comp.1'!AD13</f>
        <v>0</v>
      </c>
      <c r="AB13" s="283" t="str">
        <f>'Comp.1'!AE13</f>
        <v xml:space="preserve"> n/a </v>
      </c>
      <c r="AC13" s="283">
        <f t="shared" ref="AC13:AC41" si="8">SUM(Z13:AB13)</f>
        <v>14.9</v>
      </c>
      <c r="AD13" s="283">
        <f t="shared" ref="AD13:AD41" si="9">SUM(Y13:AB13)</f>
        <v>993</v>
      </c>
      <c r="AE13" s="283">
        <f>'Comp.1'!AH13</f>
        <v>211.2</v>
      </c>
      <c r="AF13" s="378">
        <f t="shared" ref="AF13:AF41" si="10">IF(ISERROR(AD13-AE13), "n/a", AD13-AE13)</f>
        <v>781.8</v>
      </c>
      <c r="AH13" s="557" t="str">
        <f>IF('MASTER PubCo Inputs'!C29="","",'MASTER PubCo Inputs'!C29)</f>
        <v>IQ39268712</v>
      </c>
      <c r="AI13" s="208" t="str">
        <f>'Comp.1'!AL13</f>
        <v>Fate Therapeutics, Inc., a clinical-stage biopharmaceutical company, develops programmed cellular immunotherapies for cancer and immune disorders worldwide. Its immuno-oncology product candidates include FATE-NK100, a natural killer (NK) cell cancer immunotherapy that consists of adaptive memory NK cells; FT500 induced pluripotent stem cells (iPSC)-derived NK cell product candidate for the treatment of advanced solid tumors; FT516 engineered iPSC-derived NK cell product candidate for the treatment of hematologic/solid tumors; and FT819 engineered chimeric antigen receptor 19 iPSC-derived T-cell product candidate for hematologic/solid tumors. The company’s immuno-regulation product candidates comprise ProTmune, an investigational programmed cellular immunotherapy for use as a next-generation allogeneic hematopoietic cell transplantation cell graft; ToleraCyte for the treatment of autoimmune and inflammatory diseases; and FT300 iPSC-derived myeloid derived suppressor cell product candidate for the treatment of autoimmune diseases. Fate Therapeutics, Inc. has a research collaboration and license agreement with Memorial Sloan Kettering Cancer Center to develop off-the-shelf engineered T-cell product candidates; a research collaboration partnership with the University of California San Diego to develop off-the-shelf chimeric antigen receptor-targeted natural killer cell cancer immunotherapies. It also has a strategic research collaboration and license agreement with Juno Therapeutics, Inc. to identify small molecule modulators that enhance the function of T cells; and a collaboration agreement with ONO Pharmaceutical Co., Ltd. for the development and commercialization of two off-the-shelf CAR-T cell product candidates. Fate Therapeutics, Inc. was founded in 2007 and is headquartered in San Diego, California.</v>
      </c>
    </row>
    <row r="14" spans="2:35" ht="14.85" customHeight="1">
      <c r="B14" s="208" t="str">
        <f>'Comp.1'!B14</f>
        <v>Synthorx, Inc.</v>
      </c>
      <c r="C14" s="378">
        <f>'Comp.1'!C14</f>
        <v>458.79999999999995</v>
      </c>
      <c r="E14" s="378" t="str">
        <f>'Capital IQ Sheet-GPC'!X15</f>
        <v xml:space="preserve"> n/a </v>
      </c>
      <c r="F14" s="378">
        <f>'Capital IQ Sheet-GPC'!Y15</f>
        <v>-3.1</v>
      </c>
      <c r="G14" s="378">
        <f>'Capital IQ Sheet-GPC'!Z15</f>
        <v>-14.103999999999999</v>
      </c>
      <c r="H14" s="283"/>
      <c r="I14" s="378">
        <f>'Capital IQ Sheet-GPC'!AA15</f>
        <v>-5.7</v>
      </c>
      <c r="J14" s="378" t="str">
        <f>'Capital IQ Sheet-GPC'!AB15</f>
        <v xml:space="preserve"> n/a </v>
      </c>
      <c r="K14" s="378">
        <f>'Capital IQ Sheet-GPC'!AC15</f>
        <v>-39.799999999999997</v>
      </c>
      <c r="L14" s="378">
        <f>'Capital IQ Sheet-GPC'!AD15</f>
        <v>-56.3</v>
      </c>
      <c r="M14" s="378">
        <f>'Capital IQ Sheet-GPC'!AE15</f>
        <v>-80.400000000000006</v>
      </c>
      <c r="O14" s="554" t="str">
        <f t="shared" si="0"/>
        <v>n/a</v>
      </c>
      <c r="P14" s="554">
        <f t="shared" si="1"/>
        <v>-147.99999999999997</v>
      </c>
      <c r="Q14" s="554" t="str">
        <f t="shared" si="2"/>
        <v>NM</v>
      </c>
      <c r="S14" s="554">
        <f t="shared" si="3"/>
        <v>-80.491228070175424</v>
      </c>
      <c r="T14" s="554" t="str">
        <f t="shared" si="4"/>
        <v>n/a</v>
      </c>
      <c r="U14" s="554" t="str">
        <f t="shared" si="5"/>
        <v>NM</v>
      </c>
      <c r="V14" s="554" t="str">
        <f t="shared" si="6"/>
        <v>NM</v>
      </c>
      <c r="W14" s="554" t="str">
        <f t="shared" si="7"/>
        <v>NM</v>
      </c>
      <c r="Y14" s="283">
        <f>'Comp.1'!AB14</f>
        <v>441.9</v>
      </c>
      <c r="Z14" s="283" t="str">
        <f>'Comp.1'!AC14</f>
        <v xml:space="preserve"> -   </v>
      </c>
      <c r="AA14" s="283">
        <f>'Comp.1'!AD14</f>
        <v>37.5</v>
      </c>
      <c r="AB14" s="283" t="str">
        <f>'Comp.1'!AE14</f>
        <v xml:space="preserve"> n/a </v>
      </c>
      <c r="AC14" s="283">
        <f t="shared" si="8"/>
        <v>37.5</v>
      </c>
      <c r="AD14" s="283">
        <f t="shared" si="9"/>
        <v>479.4</v>
      </c>
      <c r="AE14" s="283">
        <f>'Comp.1'!AH14</f>
        <v>20.6</v>
      </c>
      <c r="AF14" s="378">
        <f t="shared" si="10"/>
        <v>458.79999999999995</v>
      </c>
      <c r="AH14" s="557" t="str">
        <f>IF('MASTER PubCo Inputs'!C30="","",'MASTER PubCo Inputs'!C30)</f>
        <v>IQ263675832</v>
      </c>
      <c r="AI14" s="208" t="str">
        <f>'Comp.1'!AL14</f>
        <v>Synthorx, Inc., a biotechnology company, discovers and develops protein therapeutics. The company’s lead product candidate is THOR-707, a variant of IL-2 that is in development in various tumor types as a single agent and in combination with an immune checkpoint inhibitor. The company was founded in 2014 and is headquartered in La Jolla, California.</v>
      </c>
    </row>
    <row r="15" spans="2:35" ht="14.85" customHeight="1">
      <c r="B15" s="208" t="str">
        <f>'Comp.1'!B15</f>
        <v>ZIOPHARM Oncology, Inc.</v>
      </c>
      <c r="C15" s="378">
        <f>'Comp.1'!C15</f>
        <v>445.00000000000006</v>
      </c>
      <c r="E15" s="378">
        <f>'Capital IQ Sheet-GPC'!X16</f>
        <v>-240.7</v>
      </c>
      <c r="F15" s="378">
        <f>'Capital IQ Sheet-GPC'!Y16</f>
        <v>-50.8</v>
      </c>
      <c r="G15" s="378">
        <f>'Capital IQ Sheet-GPC'!Z16</f>
        <v>-54.058</v>
      </c>
      <c r="H15" s="283"/>
      <c r="I15" s="378">
        <f>'Capital IQ Sheet-GPC'!AA16</f>
        <v>-53.1</v>
      </c>
      <c r="J15" s="378" t="str">
        <f>'Capital IQ Sheet-GPC'!AB16</f>
        <v xml:space="preserve"> n/a </v>
      </c>
      <c r="K15" s="378" t="str">
        <f>'Capital IQ Sheet-GPC'!AC16</f>
        <v>n/a</v>
      </c>
      <c r="L15" s="378" t="str">
        <f>'Capital IQ Sheet-GPC'!AD16</f>
        <v xml:space="preserve"> n/a </v>
      </c>
      <c r="M15" s="378" t="str">
        <f>'Capital IQ Sheet-GPC'!AE16</f>
        <v xml:space="preserve"> n/a </v>
      </c>
      <c r="O15" s="554">
        <f t="shared" si="0"/>
        <v>-1.8487744079767348</v>
      </c>
      <c r="P15" s="554">
        <f t="shared" si="1"/>
        <v>-8.7598425196850407</v>
      </c>
      <c r="Q15" s="554" t="str">
        <f t="shared" si="2"/>
        <v>NM</v>
      </c>
      <c r="S15" s="554">
        <f t="shared" si="3"/>
        <v>-8.3804143126177024</v>
      </c>
      <c r="T15" s="554" t="str">
        <f t="shared" si="4"/>
        <v>n/a</v>
      </c>
      <c r="U15" s="554" t="str">
        <f t="shared" si="5"/>
        <v>n/a</v>
      </c>
      <c r="V15" s="554" t="str">
        <f t="shared" si="6"/>
        <v>n/a</v>
      </c>
      <c r="W15" s="554" t="str">
        <f t="shared" si="7"/>
        <v>n/a</v>
      </c>
      <c r="Y15" s="283">
        <f>'Comp.1'!AB15</f>
        <v>316.3</v>
      </c>
      <c r="Z15" s="283" t="str">
        <f>'Comp.1'!AC15</f>
        <v xml:space="preserve"> -   </v>
      </c>
      <c r="AA15" s="283">
        <f>'Comp.1'!AD15</f>
        <v>160.4</v>
      </c>
      <c r="AB15" s="283" t="str">
        <f>'Comp.1'!AE15</f>
        <v xml:space="preserve"> n/a </v>
      </c>
      <c r="AC15" s="283">
        <f t="shared" si="8"/>
        <v>160.4</v>
      </c>
      <c r="AD15" s="283">
        <f t="shared" si="9"/>
        <v>476.70000000000005</v>
      </c>
      <c r="AE15" s="283">
        <f>'Comp.1'!AH15</f>
        <v>31.7</v>
      </c>
      <c r="AF15" s="378">
        <f t="shared" si="10"/>
        <v>445.00000000000006</v>
      </c>
      <c r="AH15" s="557" t="str">
        <f>IF('MASTER PubCo Inputs'!C31="","",'MASTER PubCo Inputs'!C31)</f>
        <v>IQ11686323</v>
      </c>
      <c r="AI15" s="208" t="str">
        <f>'Comp.1'!AL15</f>
        <v>ZIOPHARM Oncology, Inc., a biotechnology company, focuses on acquiring, developing, and commercializing a portfolio of immuno-oncology therapies for treating heterogenous solid tumors and unknown antigens. The company develops two immuno-oncology platform technologies, including Controlled IL-12, which delivers interleukin 12 or IL-12, a master regular of the immune system, in a controlled and safe manner to focus the patient’s immune system to cancer; and Sleeping Beauty (SB), which is based on the genetic engineering of T-cells using the (SB) system to rapidly reprogram T-cells outside of the body for infusion. Its lead gene therapy product candidate is Ad-RTS-hIL-12 plus veledimex, which is in Phase I clinical trial, a gene therapy product candidate to treat patients with recurrent glioblastoma. The company is also developing chimeric antigen receptor (CAR) T-cell and T-cell receptor T-cell therapies. ZIOPHARM Oncology, Inc. has collaboration agreements with Precigen, Inc., MD Anderson Cancer Center, the National Cancer Institute, and Ares Trading S.A. The company is headquartered in Boston, Massachusetts.</v>
      </c>
    </row>
    <row r="16" spans="2:35" ht="14.85" customHeight="1">
      <c r="B16" s="208" t="str">
        <f>'Comp.1'!B16</f>
        <v>Stemline Therapeutics, Inc.</v>
      </c>
      <c r="C16" s="378">
        <f>'Comp.1'!C16</f>
        <v>355.6</v>
      </c>
      <c r="E16" s="378">
        <f>'Capital IQ Sheet-GPC'!X17</f>
        <v>-38.9</v>
      </c>
      <c r="F16" s="378">
        <f>'Capital IQ Sheet-GPC'!Y17</f>
        <v>-56.7</v>
      </c>
      <c r="G16" s="378">
        <f>'Capital IQ Sheet-GPC'!Z17</f>
        <v>-81.247010000000003</v>
      </c>
      <c r="H16" s="283"/>
      <c r="I16" s="378">
        <f>'Capital IQ Sheet-GPC'!AA17</f>
        <v>-68.5</v>
      </c>
      <c r="J16" s="378" t="str">
        <f>'Capital IQ Sheet-GPC'!AB17</f>
        <v xml:space="preserve"> n/a </v>
      </c>
      <c r="K16" s="378">
        <f>'Capital IQ Sheet-GPC'!AC17</f>
        <v>-84.855239999999995</v>
      </c>
      <c r="L16" s="378" t="str">
        <f>'Capital IQ Sheet-GPC'!AD17</f>
        <v xml:space="preserve"> n/a </v>
      </c>
      <c r="M16" s="378" t="str">
        <f>'Capital IQ Sheet-GPC'!AE17</f>
        <v xml:space="preserve"> n/a </v>
      </c>
      <c r="O16" s="554">
        <f t="shared" si="0"/>
        <v>-9.141388174807199</v>
      </c>
      <c r="P16" s="554">
        <f t="shared" si="1"/>
        <v>-6.2716049382716053</v>
      </c>
      <c r="Q16" s="554" t="str">
        <f t="shared" si="2"/>
        <v>NM</v>
      </c>
      <c r="S16" s="554">
        <f t="shared" si="3"/>
        <v>-5.1912408759124089</v>
      </c>
      <c r="T16" s="554" t="str">
        <f t="shared" si="4"/>
        <v>n/a</v>
      </c>
      <c r="U16" s="554" t="str">
        <f t="shared" si="5"/>
        <v>NM</v>
      </c>
      <c r="V16" s="554" t="str">
        <f t="shared" si="6"/>
        <v>n/a</v>
      </c>
      <c r="W16" s="554" t="str">
        <f t="shared" si="7"/>
        <v>n/a</v>
      </c>
      <c r="Y16" s="283">
        <f>'Comp.1'!AB16</f>
        <v>434.2</v>
      </c>
      <c r="Z16" s="283" t="str">
        <f>'Comp.1'!AC16</f>
        <v xml:space="preserve"> -   </v>
      </c>
      <c r="AA16" s="283" t="str">
        <f>'Comp.1'!AD16</f>
        <v xml:space="preserve"> n/a </v>
      </c>
      <c r="AB16" s="283" t="str">
        <f>'Comp.1'!AE16</f>
        <v xml:space="preserve"> n/a </v>
      </c>
      <c r="AC16" s="283">
        <f t="shared" si="8"/>
        <v>0</v>
      </c>
      <c r="AD16" s="283">
        <f t="shared" si="9"/>
        <v>434.2</v>
      </c>
      <c r="AE16" s="283">
        <f>'Comp.1'!AH16</f>
        <v>78.599999999999994</v>
      </c>
      <c r="AF16" s="378">
        <f t="shared" si="10"/>
        <v>355.6</v>
      </c>
      <c r="AH16" s="557" t="str">
        <f>IF('MASTER PubCo Inputs'!C32="","",'MASTER PubCo Inputs'!C32)</f>
        <v>IQ10332207</v>
      </c>
      <c r="AI16" s="208" t="str">
        <f>'Comp.1'!AL16</f>
        <v>Stemline Therapeutics, Inc., a clinical stage biopharmaceutical company, focuses on the discovery, acquisition, development, and commercialization of proprietary oncology therapeutics in the United States and internationally. The company develops SL-401, a targeted therapy directed to the interleukin-3 receptor (IL-3R), which has completed Phase II clinical trial for patients with blastic plasmacytoid dendritic cell neoplasm; is in Phase I/II clinical trials for patients with myeloproliferative neoplasms, chronic myelomonocytic leukemia, myelofibrosis, and acute myeloid leukemia; and is in Phase I clinical trial in combination with other agents for patients with relapsed/refractory multiple myeloma. It also develops SL-801, a novel oral small molecule reversible inhibitor of nuclear transport protein, which is in Phase I clinical trial for the treatment of solid and hematologic cancers; and SL-701, an immunotherapy that has completed Phase II clinical trial to attack brain cancer. The company's preclinical pipeline products include SL-501, a next generation IL-3R-targeted therapy; SL-101, a single chain monoclonal antibody fragment for the treatment of hematologic cancers; and SL-901, a small molecule kinase inhibitor. Stemline Therapeutics, Inc. was founded in 2003 and is based in New York, New York.</v>
      </c>
    </row>
    <row r="17" spans="2:35" ht="14.85" customHeight="1">
      <c r="B17" s="208" t="str">
        <f>'Comp.1'!B17</f>
        <v>TG Therapeutics, Inc.</v>
      </c>
      <c r="C17" s="378">
        <f>'Comp.1'!C17</f>
        <v>217.40000000000003</v>
      </c>
      <c r="E17" s="378">
        <f>'Capital IQ Sheet-GPC'!X18</f>
        <v>-72.5</v>
      </c>
      <c r="F17" s="378">
        <f>'Capital IQ Sheet-GPC'!Y18</f>
        <v>-111.6</v>
      </c>
      <c r="G17" s="378">
        <f>'Capital IQ Sheet-GPC'!Z18</f>
        <v>-151.2004</v>
      </c>
      <c r="H17" s="283"/>
      <c r="I17" s="378">
        <f>'Capital IQ Sheet-GPC'!AA18</f>
        <v>-118.6</v>
      </c>
      <c r="J17" s="378" t="str">
        <f>'Capital IQ Sheet-GPC'!AB18</f>
        <v xml:space="preserve"> n/a </v>
      </c>
      <c r="K17" s="378" t="str">
        <f>'Capital IQ Sheet-GPC'!AC18</f>
        <v>n/a</v>
      </c>
      <c r="L17" s="378" t="str">
        <f>'Capital IQ Sheet-GPC'!AD18</f>
        <v xml:space="preserve"> n/a </v>
      </c>
      <c r="M17" s="378" t="str">
        <f>'Capital IQ Sheet-GPC'!AE18</f>
        <v xml:space="preserve"> n/a </v>
      </c>
      <c r="O17" s="554">
        <f t="shared" si="0"/>
        <v>-2.9986206896551728</v>
      </c>
      <c r="P17" s="554">
        <f t="shared" si="1"/>
        <v>-1.9480286738351258</v>
      </c>
      <c r="Q17" s="554" t="str">
        <f t="shared" si="2"/>
        <v>NM</v>
      </c>
      <c r="S17" s="554">
        <f t="shared" si="3"/>
        <v>-1.8330522765598656</v>
      </c>
      <c r="T17" s="554" t="str">
        <f t="shared" si="4"/>
        <v>n/a</v>
      </c>
      <c r="U17" s="554" t="str">
        <f t="shared" si="5"/>
        <v>n/a</v>
      </c>
      <c r="V17" s="554" t="str">
        <f t="shared" si="6"/>
        <v>n/a</v>
      </c>
      <c r="W17" s="554" t="str">
        <f t="shared" si="7"/>
        <v>n/a</v>
      </c>
      <c r="Y17" s="283">
        <f>'Comp.1'!AB17</f>
        <v>315</v>
      </c>
      <c r="Z17" s="283">
        <f>'Comp.1'!AC17</f>
        <v>0.1</v>
      </c>
      <c r="AA17" s="283" t="str">
        <f>'Comp.1'!AD17</f>
        <v xml:space="preserve"> n/a </v>
      </c>
      <c r="AB17" s="283" t="str">
        <f>'Comp.1'!AE17</f>
        <v xml:space="preserve"> n/a </v>
      </c>
      <c r="AC17" s="283">
        <f t="shared" si="8"/>
        <v>0.1</v>
      </c>
      <c r="AD17" s="283">
        <f t="shared" si="9"/>
        <v>315.10000000000002</v>
      </c>
      <c r="AE17" s="283">
        <f>'Comp.1'!AH17</f>
        <v>97.7</v>
      </c>
      <c r="AF17" s="378">
        <f t="shared" si="10"/>
        <v>217.40000000000003</v>
      </c>
      <c r="AH17" s="557" t="str">
        <f>IF('MASTER PubCo Inputs'!C33="","",'MASTER PubCo Inputs'!C33)</f>
        <v>IQ143627354</v>
      </c>
      <c r="AI17" s="208" t="str">
        <f>'Comp.1'!AL17</f>
        <v>TG Therapeutics, Inc., a biopharmaceutical company, focuses on the acquisition, development, and commercialization of novel treatments for B-cell malignancies and autoimmune diseases in the United States. It develops TG-1101 (ublituximab), a chimeric, glycoengineered monoclonal antibody that targets an epitope on the CD20 antigen found on the surface of B-lymphocytes developed to aid in the depletion of circulating B-cells; and TG-1101 in combination with TGR-1202 for relapsed/refractory chronic lymphocytic leukemia. The company also develops TGR-1202, an orally available phosphoinositide-3-kinase delta inhibitor with nanomolar potency to the delta isoform and high selectivity over the alpha, beta, and gamma isoforms, as well as for hematologic malignancies. In addition, it develops a pre-clinical program to develop interleukin-1 receptor-associated kinase 4 (IRAK4) inhibitors; bromodomain and extra terminal (BET) inhibitor program for cancer treatment; and anti-PD-L1 and anti-GITR antibody research programs that are in pre-clinical development stage in the field of hematological malignancies. The company has license agreements with LFB Biotechnologies S.A.S, GTC Biotherapeutics, LFB/GTC LLC, and Ildong Pharmaceutical Co. Ltd. for the development and commercialization of TG-1101 (ublituximab); Rhizen Pharmaceuticals, SA for the development and commercialization of TGR-1202; Ligand Pharmaceuticals Incorporated for the development and commercialization of IRAK4 inhibitor technology; Checkpoint Therapeutics, Inc. for the development and commercialization of anti-PD-L1 and anti-GITR antibody research programs; and Jubilant Biosys for the development and commercialization of BET inhibitor program. TG Therapeutics, Inc. was incorporated in 1993 and is headquartered in New York, New York.</v>
      </c>
    </row>
    <row r="18" spans="2:35" ht="14.85" customHeight="1">
      <c r="B18" s="208" t="str">
        <f>'Comp.1'!B18</f>
        <v>XOMA Corporation</v>
      </c>
      <c r="C18" s="378">
        <f>'Comp.1'!C18</f>
        <v>98.4</v>
      </c>
      <c r="E18" s="378">
        <f>'Capital IQ Sheet-GPC'!X19</f>
        <v>-14.9</v>
      </c>
      <c r="F18" s="378">
        <f>'Capital IQ Sheet-GPC'!Y19</f>
        <v>10</v>
      </c>
      <c r="G18" s="378">
        <f>'Capital IQ Sheet-GPC'!Z19</f>
        <v>-14.044</v>
      </c>
      <c r="H18" s="283"/>
      <c r="I18" s="378">
        <f>'Capital IQ Sheet-GPC'!AA19</f>
        <v>20.8</v>
      </c>
      <c r="J18" s="378" t="str">
        <f>'Capital IQ Sheet-GPC'!AB19</f>
        <v xml:space="preserve"> n/a </v>
      </c>
      <c r="K18" s="378">
        <f>'Capital IQ Sheet-GPC'!AC19</f>
        <v>-7.1</v>
      </c>
      <c r="L18" s="378">
        <f>'Capital IQ Sheet-GPC'!AD19</f>
        <v>-1.1000000000000001</v>
      </c>
      <c r="M18" s="378">
        <f>'Capital IQ Sheet-GPC'!AE19</f>
        <v>32.700000000000003</v>
      </c>
      <c r="O18" s="554">
        <f t="shared" si="0"/>
        <v>-6.6040268456375841</v>
      </c>
      <c r="P18" s="554">
        <f t="shared" si="1"/>
        <v>9.84</v>
      </c>
      <c r="Q18" s="554" t="str">
        <f t="shared" si="2"/>
        <v>NM</v>
      </c>
      <c r="S18" s="554">
        <f t="shared" si="3"/>
        <v>4.7307692307692308</v>
      </c>
      <c r="T18" s="554" t="str">
        <f t="shared" si="4"/>
        <v>n/a</v>
      </c>
      <c r="U18" s="554" t="str">
        <f t="shared" si="5"/>
        <v>NM</v>
      </c>
      <c r="V18" s="554" t="str">
        <f t="shared" si="6"/>
        <v>NM</v>
      </c>
      <c r="W18" s="554">
        <f t="shared" si="7"/>
        <v>3.0091743119266052</v>
      </c>
      <c r="Y18" s="283">
        <f>'Comp.1'!AB18</f>
        <v>104.8</v>
      </c>
      <c r="Z18" s="283">
        <f>'Comp.1'!AC18</f>
        <v>22</v>
      </c>
      <c r="AA18" s="283" t="str">
        <f>'Comp.1'!AD18</f>
        <v xml:space="preserve"> n/a </v>
      </c>
      <c r="AB18" s="283" t="str">
        <f>'Comp.1'!AE18</f>
        <v xml:space="preserve"> n/a </v>
      </c>
      <c r="AC18" s="283">
        <f t="shared" si="8"/>
        <v>22</v>
      </c>
      <c r="AD18" s="283">
        <f t="shared" si="9"/>
        <v>126.8</v>
      </c>
      <c r="AE18" s="283">
        <f>'Comp.1'!AH18</f>
        <v>28.4</v>
      </c>
      <c r="AF18" s="378">
        <f t="shared" si="10"/>
        <v>98.4</v>
      </c>
      <c r="AH18" s="557" t="str">
        <f>IF('MASTER PubCo Inputs'!C34="","",'MASTER PubCo Inputs'!C34)</f>
        <v>IQ36769</v>
      </c>
      <c r="AI18" s="208" t="str">
        <f>'Comp.1'!AL18</f>
        <v>XOMA Corporation engages in the discovery, development, and licensing of therapeutic antibodies in the United States, Europe, and the Asia Pacific. The company has a portfolio of monoclonal antibodies and technologies to license to pharmaceutical and biotechnology companies to further their clinical development. Its proprietary product candidates include X213, an allosteric inhibitor of prolactin action; XMetA, an insulin receptor-activating antibody designed to provide long-acting reduction of hyperglycemia in Type 2 diabetic patients; and other preclinical product candidates, such as interleukin 2, a therapy for metastatic melanoma and renal cell carcinoma, as well as anti-parathyroid receptor to address unmet medical needs. The company also licenses antibody discovery, optimization, and development technologies. It has research and development collaboration and licensing agreements with Novartis AG; Takeda Pharmaceutical Company Limited; and Pfizer Inc. XOMA Corporation was founded in 1981 and is headquartered in Emeryville, California.</v>
      </c>
    </row>
    <row r="19" spans="2:35" ht="14.85" customHeight="1">
      <c r="B19" s="208" t="str">
        <f>'Comp.1'!B19</f>
        <v>Five Prime Therapeutics, Inc.</v>
      </c>
      <c r="C19" s="378">
        <f>'Comp.1'!C19</f>
        <v>77.399999999999977</v>
      </c>
      <c r="E19" s="378">
        <f>'Capital IQ Sheet-GPC'!X20</f>
        <v>267.60000000000002</v>
      </c>
      <c r="F19" s="378">
        <f>'Capital IQ Sheet-GPC'!Y20</f>
        <v>-150.6</v>
      </c>
      <c r="G19" s="378">
        <f>'Capital IQ Sheet-GPC'!Z20</f>
        <v>-131.29499999999999</v>
      </c>
      <c r="H19" s="283"/>
      <c r="I19" s="378">
        <f>'Capital IQ Sheet-GPC'!AA20</f>
        <v>-148.9</v>
      </c>
      <c r="J19" s="378" t="str">
        <f>'Capital IQ Sheet-GPC'!AB20</f>
        <v xml:space="preserve"> n/a </v>
      </c>
      <c r="K19" s="378">
        <f>'Capital IQ Sheet-GPC'!AC20</f>
        <v>-202.77099999999999</v>
      </c>
      <c r="L19" s="378">
        <f>'Capital IQ Sheet-GPC'!AD20</f>
        <v>-338.5</v>
      </c>
      <c r="M19" s="378" t="str">
        <f>'Capital IQ Sheet-GPC'!AE20</f>
        <v xml:space="preserve"> n/a </v>
      </c>
      <c r="O19" s="554">
        <f t="shared" si="0"/>
        <v>0.28923766816143487</v>
      </c>
      <c r="P19" s="554">
        <f t="shared" si="1"/>
        <v>-0.5139442231075696</v>
      </c>
      <c r="Q19" s="554" t="str">
        <f t="shared" si="2"/>
        <v>NM</v>
      </c>
      <c r="S19" s="554">
        <f t="shared" si="3"/>
        <v>-0.51981195433176608</v>
      </c>
      <c r="T19" s="554" t="str">
        <f t="shared" si="4"/>
        <v>n/a</v>
      </c>
      <c r="U19" s="554" t="str">
        <f t="shared" si="5"/>
        <v>NM</v>
      </c>
      <c r="V19" s="554" t="str">
        <f t="shared" si="6"/>
        <v>NM</v>
      </c>
      <c r="W19" s="554" t="str">
        <f t="shared" si="7"/>
        <v>n/a</v>
      </c>
      <c r="Y19" s="283">
        <f>'Comp.1'!AB19</f>
        <v>399</v>
      </c>
      <c r="Z19" s="283" t="str">
        <f>'Comp.1'!AC19</f>
        <v xml:space="preserve"> -   </v>
      </c>
      <c r="AA19" s="283" t="str">
        <f>'Comp.1'!AD19</f>
        <v xml:space="preserve"> n/a </v>
      </c>
      <c r="AB19" s="283" t="str">
        <f>'Comp.1'!AE19</f>
        <v xml:space="preserve"> n/a </v>
      </c>
      <c r="AC19" s="283">
        <f t="shared" si="8"/>
        <v>0</v>
      </c>
      <c r="AD19" s="283">
        <f t="shared" si="9"/>
        <v>399</v>
      </c>
      <c r="AE19" s="283">
        <f>'Comp.1'!AH19</f>
        <v>321.60000000000002</v>
      </c>
      <c r="AF19" s="378">
        <f t="shared" si="10"/>
        <v>77.399999999999977</v>
      </c>
      <c r="AH19" s="557" t="str">
        <f>IF('MASTER PubCo Inputs'!C35="","",'MASTER PubCo Inputs'!C35)</f>
        <v>IQ3366199</v>
      </c>
      <c r="AI19" s="208" t="str">
        <f>'Comp.1'!AL19</f>
        <v>Five Prime Therapeutics, Inc., a clinical-stage biotechnology company, focuses on the discovery and development of immuno-oncology protein therapeutics. The company’s product candidates include Cabiralizumab, an antibody that inhibits colony stimulating factor-1 receptor that is in Phase Ia/Ib clinical trials for the treatment of various cancers in combination with nivolumab; and is in Phase I/II clinical trials for the treatment of pigmented villonodular synovitis tumor. Its product candidates also comprise Bemarituzumab, an antibody that inhibits fibroblast growth factor receptor IIb, which is in Phase I clinical trials to treat patients with gastric or gastroesophageal junction and bladder cancer; and FPA150, a CD8 T cell checkpoint inhibitor antibody that targets B7-H4 as a monotherapy in various cancers. The company’s FP-1039 is in Phase Ib clinical trials to treat patients with malignant pleural mesothelioma. Its preclinical product candidates include FPA150, a CD8 T cell checkpoint inhibitor antibody; FPA154, a tetravalent agonistic antibody that activates glucocorticoid-induced tumor necrosis factor receptor; and FPT155, a CD80-Fc fusion protein, which modulates signaling pathways. The company has license and collaboration agreements with Bristol-Myers Squibb Company, GlaxoSmithKline LLC, INBRX 110 LP, UCB Pharma S.A., and Zai Lab (Shanghai) Co., Ltd.; collaboration agreement with Roche; and license agreements with bluebird bio, Inc., Galaxy Biotech, LLC, BioWa, Inc. and Lonza Sales AG. Five Prime Therapeutics, Inc. was founded in 2001 and is headquartered in South San Francisco, California.</v>
      </c>
    </row>
    <row r="20" spans="2:35" ht="14.85" customHeight="1">
      <c r="B20" s="208" t="str">
        <f>'Comp.1'!B20</f>
        <v>Cue Biopharma, Inc.</v>
      </c>
      <c r="C20" s="378">
        <f>'Comp.1'!C20</f>
        <v>66.599999999999994</v>
      </c>
      <c r="E20" s="378">
        <f>'Capital IQ Sheet-GPC'!X21</f>
        <v>-1.9</v>
      </c>
      <c r="F20" s="378">
        <f>'Capital IQ Sheet-GPC'!Y21</f>
        <v>-15.3</v>
      </c>
      <c r="G20" s="378">
        <f>'Capital IQ Sheet-GPC'!Z21</f>
        <v>-37.4863</v>
      </c>
      <c r="H20" s="283"/>
      <c r="I20" s="378">
        <f>'Capital IQ Sheet-GPC'!AA21</f>
        <v>-22.8</v>
      </c>
      <c r="J20" s="378" t="str">
        <f>'Capital IQ Sheet-GPC'!AB21</f>
        <v xml:space="preserve"> n/a </v>
      </c>
      <c r="K20" s="378" t="str">
        <f>'Capital IQ Sheet-GPC'!AC21</f>
        <v>n/a</v>
      </c>
      <c r="L20" s="378" t="str">
        <f>'Capital IQ Sheet-GPC'!AD21</f>
        <v xml:space="preserve"> n/a </v>
      </c>
      <c r="M20" s="378" t="str">
        <f>'Capital IQ Sheet-GPC'!AE21</f>
        <v xml:space="preserve"> n/a </v>
      </c>
      <c r="O20" s="554">
        <f t="shared" si="0"/>
        <v>-35.05263157894737</v>
      </c>
      <c r="P20" s="554">
        <f t="shared" si="1"/>
        <v>-4.3529411764705879</v>
      </c>
      <c r="Q20" s="554" t="str">
        <f t="shared" si="2"/>
        <v>NM</v>
      </c>
      <c r="S20" s="554">
        <f t="shared" si="3"/>
        <v>-2.9210526315789469</v>
      </c>
      <c r="T20" s="554" t="str">
        <f t="shared" si="4"/>
        <v>n/a</v>
      </c>
      <c r="U20" s="554" t="str">
        <f t="shared" si="5"/>
        <v>n/a</v>
      </c>
      <c r="V20" s="554" t="str">
        <f t="shared" si="6"/>
        <v>n/a</v>
      </c>
      <c r="W20" s="554" t="str">
        <f t="shared" si="7"/>
        <v>n/a</v>
      </c>
      <c r="Y20" s="283">
        <f>'Comp.1'!AB20</f>
        <v>105.8</v>
      </c>
      <c r="Z20" s="283" t="str">
        <f>'Comp.1'!AC20</f>
        <v xml:space="preserve"> -   </v>
      </c>
      <c r="AA20" s="283" t="str">
        <f>'Comp.1'!AD20</f>
        <v xml:space="preserve"> n/a </v>
      </c>
      <c r="AB20" s="283" t="str">
        <f>'Comp.1'!AE20</f>
        <v xml:space="preserve"> n/a </v>
      </c>
      <c r="AC20" s="283">
        <f t="shared" si="8"/>
        <v>0</v>
      </c>
      <c r="AD20" s="283">
        <f t="shared" si="9"/>
        <v>105.8</v>
      </c>
      <c r="AE20" s="283">
        <f>'Comp.1'!AH20</f>
        <v>39.200000000000003</v>
      </c>
      <c r="AF20" s="378">
        <f t="shared" si="10"/>
        <v>66.599999999999994</v>
      </c>
      <c r="AH20" s="557" t="str">
        <f>IF('MASTER PubCo Inputs'!C36="","",'MASTER PubCo Inputs'!C36)</f>
        <v>IQ417883814</v>
      </c>
      <c r="AI20" s="208" t="str">
        <f>'Comp.1'!AL20</f>
        <v>Cue Biopharma, Inc., a biopharmaceutical company, develops biologic drugs for the selective modulation of the human immune system to treat a range of cancers and autoimmune disorders. The company’s lead drug candidate includes CUE-101, a variant form of the cytokine Interleukin-2 and a T cell antigen to target and activate T cells specific to human papilloma virus related cancers. Its biologics drug candidates also comprise CUE-100 series to improve various tumor specific T cells; and CUE-200 series to reinvigorate exhausted T cells. The company also offers MOD costimulatory optimization and discovery platform and viraTope T cell epitope discovery platform to develop novel biologics for addressing new indications in oncology and autoimmune disorders. Cue Biopharma, Inc. has collaboration agreements with Merck &amp; Co. for the research and development of its proprietary biologics that target autoimmune disease indications; and Albert Einstein College of Medicine to develop Immuno-STAT biologics for chronic infectious diseases. It also has a strategic collaboration with LG Chem Life Sciences for Immuno- STATs biologics in oncology. The company was formerly known as Imagen Biopharma, Inc. and changed its name to Cue Biopharma, Inc. in October 2016. Cue Biopharma, Inc. was incorporated in 2014 and is based in Cambridge, Massachusetts.</v>
      </c>
    </row>
    <row r="21" spans="2:35" ht="14.85" customHeight="1">
      <c r="B21" s="208" t="str">
        <f>'Comp.1'!B21</f>
        <v>OncoSec Medical Incorporated</v>
      </c>
      <c r="C21" s="378">
        <f>'Comp.1'!C21</f>
        <v>28.299999999999997</v>
      </c>
      <c r="E21" s="378">
        <f>'Capital IQ Sheet-GPC'!X22</f>
        <v>-25.1</v>
      </c>
      <c r="F21" s="378">
        <f>'Capital IQ Sheet-GPC'!Y22</f>
        <v>-21.5</v>
      </c>
      <c r="G21" s="378">
        <f>'Capital IQ Sheet-GPC'!Z22</f>
        <v>-37.382339999999999</v>
      </c>
      <c r="H21" s="283"/>
      <c r="I21" s="378">
        <f>'Capital IQ Sheet-GPC'!AA22</f>
        <v>-24.2</v>
      </c>
      <c r="J21" s="378" t="str">
        <f>'Capital IQ Sheet-GPC'!AB22</f>
        <v xml:space="preserve"> n/a </v>
      </c>
      <c r="K21" s="378" t="str">
        <f>'Capital IQ Sheet-GPC'!AC22</f>
        <v>n/a</v>
      </c>
      <c r="L21" s="378" t="str">
        <f>'Capital IQ Sheet-GPC'!AD22</f>
        <v xml:space="preserve"> n/a </v>
      </c>
      <c r="M21" s="378" t="str">
        <f>'Capital IQ Sheet-GPC'!AE22</f>
        <v xml:space="preserve"> n/a </v>
      </c>
      <c r="O21" s="554">
        <f t="shared" si="0"/>
        <v>-1.1274900398406373</v>
      </c>
      <c r="P21" s="554">
        <f t="shared" si="1"/>
        <v>-1.3162790697674418</v>
      </c>
      <c r="Q21" s="554" t="str">
        <f t="shared" si="2"/>
        <v>NM</v>
      </c>
      <c r="S21" s="554">
        <f t="shared" si="3"/>
        <v>-1.1694214876033058</v>
      </c>
      <c r="T21" s="554" t="str">
        <f t="shared" si="4"/>
        <v>n/a</v>
      </c>
      <c r="U21" s="554" t="str">
        <f t="shared" si="5"/>
        <v>n/a</v>
      </c>
      <c r="V21" s="554" t="str">
        <f t="shared" si="6"/>
        <v>n/a</v>
      </c>
      <c r="W21" s="554" t="str">
        <f t="shared" si="7"/>
        <v>n/a</v>
      </c>
      <c r="Y21" s="283">
        <f>'Comp.1'!AB21</f>
        <v>56.8</v>
      </c>
      <c r="Z21" s="283" t="str">
        <f>'Comp.1'!AC21</f>
        <v xml:space="preserve"> -   </v>
      </c>
      <c r="AA21" s="283" t="str">
        <f>'Comp.1'!AD21</f>
        <v xml:space="preserve"> n/a </v>
      </c>
      <c r="AB21" s="283" t="str">
        <f>'Comp.1'!AE21</f>
        <v xml:space="preserve"> n/a </v>
      </c>
      <c r="AC21" s="283">
        <f t="shared" si="8"/>
        <v>0</v>
      </c>
      <c r="AD21" s="283">
        <f t="shared" si="9"/>
        <v>56.8</v>
      </c>
      <c r="AE21" s="283">
        <f>'Comp.1'!AH21</f>
        <v>28.5</v>
      </c>
      <c r="AF21" s="378">
        <f t="shared" si="10"/>
        <v>28.299999999999997</v>
      </c>
      <c r="AH21" s="557" t="str">
        <f>IF('MASTER PubCo Inputs'!C37="","",'MASTER PubCo Inputs'!C37)</f>
        <v>IQ47899619</v>
      </c>
      <c r="AI21" s="208" t="str">
        <f>'Comp.1'!AL21</f>
        <v>OncoSec Medical Incorporated, a biotechnology company, focuses on the development of cytokine-based intratumoral immunotherapies to stimulate the body’s immune system to target and attack cancer. Its lead product candidate is ImmunoPulse IL-12 that uses electroporation device to deliver a DNA-encoded interleukin-12 for reversing the immunosuppressive microenvironment in the treated tumor. The company is also developing ImmunoPulse IL-12 with KEYTRUDA in patients with advanced melanoma that is in the Phase IIb clinical trials (PISCES/KEYNOTE-695) and advanced or metastatic triple negative breast cancer (TNBC), which is in the Phase II clinical trials (OMS-141/KEYNOTE-890); ImmunoPulse IL-12 and KEYTRUDA in patients with advanced or metastatic melanoma that has completed Phase II clinical trials; and ImmunoPulse IL-12 monotherapy in patients with metastatic melanoma, which has completed the Phase II clinical trials. In addition, it undertakes the phase II monotherapy biomarker study in patients with advanced or metastatic TNBC. Further, the company has completed Phase I neoadjuvant clinical trial of ImmunoPulse IL-12 in combination with an anti-PD-1 in surgically resectable melanoma. Additionally, it is developing new DNA-encoded therapeutic candidates and tumor indications. OncoSec Medical Incorporated has clinical trial collaborations with Merck &amp; Co., Inc. and its subsidiary in connection with the PISCES/KEYNOTE-695 and OMS-141/KEYNOTE-890 studies; and a collaboration with the GOG Foundation, Inc. to conduct a registration-enabled study of tavokinogene telseplasmid in women with recurrent/persistent cervical cancer. The company was formerly known as NetVentory Solutions Inc. and changed its name to OncoSec Medical Incorporated in March 2011. OncoSec Medical Incorporated was incorporated in 2008 and is headquartered in Pennington, New Jersey.</v>
      </c>
    </row>
    <row r="22" spans="2:35" ht="14.85" customHeight="1">
      <c r="B22" s="208" t="str">
        <f>'Comp.1'!B22</f>
        <v>NantKwest, Inc.</v>
      </c>
      <c r="C22" s="378">
        <f>'Comp.1'!C22</f>
        <v>8.9999999999999858</v>
      </c>
      <c r="E22" s="378">
        <f>'Capital IQ Sheet-GPC'!X23</f>
        <v>-149.69999999999999</v>
      </c>
      <c r="F22" s="378">
        <f>'Capital IQ Sheet-GPC'!Y23</f>
        <v>-93</v>
      </c>
      <c r="G22" s="378">
        <f>'Capital IQ Sheet-GPC'!Z23</f>
        <v>-96.527000000000001</v>
      </c>
      <c r="H22" s="283"/>
      <c r="I22" s="378">
        <f>'Capital IQ Sheet-GPC'!AA23</f>
        <v>-93.6</v>
      </c>
      <c r="J22" s="378" t="str">
        <f>'Capital IQ Sheet-GPC'!AB23</f>
        <v xml:space="preserve"> n/a </v>
      </c>
      <c r="K22" s="378" t="str">
        <f>'Capital IQ Sheet-GPC'!AC23</f>
        <v>n/a</v>
      </c>
      <c r="L22" s="378" t="str">
        <f>'Capital IQ Sheet-GPC'!AD23</f>
        <v xml:space="preserve"> n/a </v>
      </c>
      <c r="M22" s="378" t="str">
        <f>'Capital IQ Sheet-GPC'!AE23</f>
        <v xml:space="preserve"> n/a </v>
      </c>
      <c r="O22" s="554">
        <f t="shared" si="0"/>
        <v>-6.0120240480961831E-2</v>
      </c>
      <c r="P22" s="554">
        <f t="shared" si="1"/>
        <v>-9.6774193548386941E-2</v>
      </c>
      <c r="Q22" s="554" t="str">
        <f t="shared" si="2"/>
        <v>NM</v>
      </c>
      <c r="S22" s="554">
        <f t="shared" si="3"/>
        <v>-9.6153846153846007E-2</v>
      </c>
      <c r="T22" s="554" t="str">
        <f t="shared" si="4"/>
        <v>n/a</v>
      </c>
      <c r="U22" s="554" t="str">
        <f t="shared" si="5"/>
        <v>n/a</v>
      </c>
      <c r="V22" s="554" t="str">
        <f t="shared" si="6"/>
        <v>n/a</v>
      </c>
      <c r="W22" s="554" t="str">
        <f t="shared" si="7"/>
        <v>n/a</v>
      </c>
      <c r="Y22" s="283">
        <f>'Comp.1'!AB22</f>
        <v>85.6</v>
      </c>
      <c r="Z22" s="283">
        <f>'Comp.1'!AC22</f>
        <v>7.3</v>
      </c>
      <c r="AA22" s="283" t="str">
        <f>'Comp.1'!AD22</f>
        <v xml:space="preserve"> n/a </v>
      </c>
      <c r="AB22" s="283" t="str">
        <f>'Comp.1'!AE22</f>
        <v xml:space="preserve"> n/a </v>
      </c>
      <c r="AC22" s="283">
        <f t="shared" si="8"/>
        <v>7.3</v>
      </c>
      <c r="AD22" s="283">
        <f t="shared" si="9"/>
        <v>92.899999999999991</v>
      </c>
      <c r="AE22" s="283">
        <f>'Comp.1'!AH22</f>
        <v>83.9</v>
      </c>
      <c r="AF22" s="378">
        <f t="shared" si="10"/>
        <v>8.9999999999999858</v>
      </c>
      <c r="AH22" s="557" t="str">
        <f>IF('MASTER PubCo Inputs'!C38="","",'MASTER PubCo Inputs'!C38)</f>
        <v>IQ262241549</v>
      </c>
      <c r="AI22" s="208" t="str">
        <f>'Comp.1'!AL22</f>
        <v>NantKwest, Inc., a clinical-stage immunotherapy biotechnology company, develops immunotherapeutic treatments for cancer, infectious diseases, and inflammatory diseases in the United States. The company develops activated natural killer cell, a natural killer cell-line and genetically modified derivative capable of killing cancer and virally infected cells; and NANT cancer vaccine, a personalized therapy that utilizes its off-the-shelf natural killer cells. It is also developing high-affinity natural killer product candidates primarily for the treatment of various cancers; and target activated natural killer product candidates to treat hematological malignancies and solid tumors. NantKwest, Inc. has a co-development agreement with Altor Bio Science Corporation to collaborate on the development of therapeutic applications combining the company’s proprietary natural killer cells with Altor's ALT-801 and/or ALT-803 products. The company was formerly known as Conkwest, Inc. and changed its name to NantKwest, Inc. in July 2015. NantKwest, Inc. was founded in 2002 and is headquartered in San Diego, California.</v>
      </c>
    </row>
    <row r="23" spans="2:35" ht="14.85" customHeight="1">
      <c r="B23" s="208" t="str">
        <f>'Comp.1'!B23</f>
        <v>Corvus Pharmaceuticals, Inc.</v>
      </c>
      <c r="C23" s="378">
        <f>'Comp.1'!C23</f>
        <v>-5.7999999999999972</v>
      </c>
      <c r="E23" s="378">
        <f>'Capital IQ Sheet-GPC'!X24</f>
        <v>-31.4</v>
      </c>
      <c r="F23" s="378">
        <f>'Capital IQ Sheet-GPC'!Y24</f>
        <v>-54.8</v>
      </c>
      <c r="G23" s="378">
        <f>'Capital IQ Sheet-GPC'!Z24</f>
        <v>-49.353999999999999</v>
      </c>
      <c r="H23" s="283"/>
      <c r="I23" s="378">
        <f>'Capital IQ Sheet-GPC'!AA24</f>
        <v>-55.7</v>
      </c>
      <c r="J23" s="378" t="str">
        <f>'Capital IQ Sheet-GPC'!AB24</f>
        <v xml:space="preserve"> n/a </v>
      </c>
      <c r="K23" s="378">
        <f>'Capital IQ Sheet-GPC'!AC24</f>
        <v>-77</v>
      </c>
      <c r="L23" s="378">
        <f>'Capital IQ Sheet-GPC'!AD24</f>
        <v>-99</v>
      </c>
      <c r="M23" s="378">
        <f>'Capital IQ Sheet-GPC'!AE24</f>
        <v>-63.2</v>
      </c>
      <c r="O23" s="554">
        <f t="shared" si="0"/>
        <v>0.18471337579617828</v>
      </c>
      <c r="P23" s="554">
        <f t="shared" si="1"/>
        <v>0.10583941605839411</v>
      </c>
      <c r="Q23" s="554">
        <f t="shared" si="2"/>
        <v>0.1175183369129148</v>
      </c>
      <c r="S23" s="554">
        <f t="shared" si="3"/>
        <v>0.104129263913824</v>
      </c>
      <c r="T23" s="554" t="str">
        <f t="shared" si="4"/>
        <v>n/a</v>
      </c>
      <c r="U23" s="554">
        <f t="shared" si="5"/>
        <v>7.5324675324675294E-2</v>
      </c>
      <c r="V23" s="554">
        <f t="shared" si="6"/>
        <v>5.8585858585858554E-2</v>
      </c>
      <c r="W23" s="554">
        <f t="shared" si="7"/>
        <v>9.1772151898734125E-2</v>
      </c>
      <c r="Y23" s="283">
        <f>'Comp.1'!AB23</f>
        <v>116.8</v>
      </c>
      <c r="Z23" s="283" t="str">
        <f>'Comp.1'!AC23</f>
        <v xml:space="preserve"> -   </v>
      </c>
      <c r="AA23" s="283" t="str">
        <f>'Comp.1'!AD23</f>
        <v xml:space="preserve"> n/a </v>
      </c>
      <c r="AB23" s="283" t="str">
        <f>'Comp.1'!AE23</f>
        <v xml:space="preserve"> n/a </v>
      </c>
      <c r="AC23" s="283">
        <f t="shared" si="8"/>
        <v>0</v>
      </c>
      <c r="AD23" s="283">
        <f t="shared" si="9"/>
        <v>116.8</v>
      </c>
      <c r="AE23" s="283">
        <f>'Comp.1'!AH23</f>
        <v>122.6</v>
      </c>
      <c r="AF23" s="378">
        <f t="shared" si="10"/>
        <v>-5.7999999999999972</v>
      </c>
      <c r="AH23" s="557" t="str">
        <f>IF('MASTER PubCo Inputs'!C39="","",'MASTER PubCo Inputs'!C39)</f>
        <v>IQ279359732</v>
      </c>
      <c r="AI23" s="208" t="str">
        <f>'Comp.1'!AL23</f>
        <v>Corvus Pharmaceuticals, Inc., a clinical stage biopharmaceutical company, focuses on the development and commercialization of immuno-oncology therapies that are designed to harness the immune system to attack cancer cells. Its lead product candidate is CPI-444, an oral, small molecule antagonist of the A2A receptor that is in Phase I/Ib clinical trial for adenosine, an immune checkpoint. The company is also developing an anti-CD73 monoclonal antibody that inhibits the production of adenosine; an antagonist of the adenosine A2B receptor; and small molecule covalent inhibitors of interleukin-2 inducible kinase. Corvus Pharmaceuticals, Inc. was founded in 2014 and is based in Burlingame, California.</v>
      </c>
    </row>
    <row r="24" spans="2:35" ht="14.85" customHeight="1">
      <c r="B24" s="208" t="str">
        <f>'Comp.1'!B24</f>
        <v>Surface Oncology, Inc.</v>
      </c>
      <c r="C24" s="378">
        <f>'Comp.1'!C24</f>
        <v>-14.200000000000017</v>
      </c>
      <c r="E24" s="378" t="str">
        <f>'Capital IQ Sheet-GPC'!X25</f>
        <v xml:space="preserve"> n/a </v>
      </c>
      <c r="F24" s="378">
        <f>'Capital IQ Sheet-GPC'!Y25</f>
        <v>-35.6</v>
      </c>
      <c r="G24" s="378">
        <f>'Capital IQ Sheet-GPC'!Z25</f>
        <v>-16.616</v>
      </c>
      <c r="H24" s="283"/>
      <c r="I24" s="378">
        <f>'Capital IQ Sheet-GPC'!AA25</f>
        <v>-42.7</v>
      </c>
      <c r="J24" s="378" t="str">
        <f>'Capital IQ Sheet-GPC'!AB25</f>
        <v xml:space="preserve"> n/a </v>
      </c>
      <c r="K24" s="378">
        <f>'Capital IQ Sheet-GPC'!AC25</f>
        <v>-77.956000000000003</v>
      </c>
      <c r="L24" s="378">
        <f>'Capital IQ Sheet-GPC'!AD25</f>
        <v>-97.7</v>
      </c>
      <c r="M24" s="378" t="str">
        <f>'Capital IQ Sheet-GPC'!AE25</f>
        <v xml:space="preserve"> n/a </v>
      </c>
      <c r="O24" s="554" t="str">
        <f t="shared" si="0"/>
        <v>n/a</v>
      </c>
      <c r="P24" s="554">
        <f t="shared" si="1"/>
        <v>0.3988764044943825</v>
      </c>
      <c r="Q24" s="554">
        <f t="shared" si="2"/>
        <v>0.85459797785267322</v>
      </c>
      <c r="S24" s="554">
        <f t="shared" si="3"/>
        <v>0.33255269320843128</v>
      </c>
      <c r="T24" s="554" t="str">
        <f t="shared" si="4"/>
        <v>n/a</v>
      </c>
      <c r="U24" s="554">
        <f t="shared" si="5"/>
        <v>0.1821540356098314</v>
      </c>
      <c r="V24" s="554">
        <f t="shared" si="6"/>
        <v>0.14534288638689885</v>
      </c>
      <c r="W24" s="554" t="str">
        <f t="shared" si="7"/>
        <v>n/a</v>
      </c>
      <c r="Y24" s="283">
        <f>'Comp.1'!AB24</f>
        <v>159.19999999999999</v>
      </c>
      <c r="Z24" s="283" t="str">
        <f>'Comp.1'!AC24</f>
        <v xml:space="preserve"> -   </v>
      </c>
      <c r="AA24" s="283" t="str">
        <f>'Comp.1'!AD24</f>
        <v xml:space="preserve"> n/a </v>
      </c>
      <c r="AB24" s="283" t="str">
        <f>'Comp.1'!AE24</f>
        <v xml:space="preserve"> n/a </v>
      </c>
      <c r="AC24" s="283">
        <f t="shared" si="8"/>
        <v>0</v>
      </c>
      <c r="AD24" s="283">
        <f t="shared" si="9"/>
        <v>159.19999999999999</v>
      </c>
      <c r="AE24" s="283">
        <f>'Comp.1'!AH24</f>
        <v>173.4</v>
      </c>
      <c r="AF24" s="378">
        <f t="shared" si="10"/>
        <v>-14.200000000000017</v>
      </c>
      <c r="AH24" s="557" t="str">
        <f>IF('MASTER PubCo Inputs'!C40="","",'MASTER PubCo Inputs'!C40)</f>
        <v>IQ281487796</v>
      </c>
      <c r="AI24" s="208" t="str">
        <f>'Comp.1'!AL24</f>
        <v>Surface Oncology, Inc., a clinical-stage immuno-oncology company, engages in the development of cancer therapies. The company’s lead product candidate is the SRF231 that is in Phase I clinical trial targeting protein called cluster of differentiation (CD) 47. It is also developing SRF373 inhibiting CD73; SRF617 inhibiting CD39; and SRF388, an antibody targeting interleukin 27. The company has a collaboration agreement with Novartis Institutes for Biomedical Research, Inc. for the development of cancer therapies. Surface Oncology, Inc. was founded in 2014 and is headquartered in Cambridge, Massachusetts.</v>
      </c>
    </row>
    <row r="25" spans="2:35" ht="14.85" customHeight="1">
      <c r="B25" s="208">
        <f>'Comp.1'!B25</f>
        <v>0</v>
      </c>
      <c r="C25" s="378">
        <f>'Comp.1'!C25</f>
        <v>0</v>
      </c>
      <c r="E25" s="378" t="str">
        <f>'Capital IQ Sheet-GPC'!X26</f>
        <v xml:space="preserve"> (Invalid Identifier) </v>
      </c>
      <c r="F25" s="378" t="str">
        <f>'Capital IQ Sheet-GPC'!Y26</f>
        <v xml:space="preserve"> (Invalid Identifier) </v>
      </c>
      <c r="G25" s="378" t="str">
        <f>'Capital IQ Sheet-GPC'!Z26</f>
        <v>(Invalid Identifier)</v>
      </c>
      <c r="H25" s="283"/>
      <c r="I25" s="378" t="str">
        <f>'Capital IQ Sheet-GPC'!AA26</f>
        <v xml:space="preserve"> (Invalid Identifier) </v>
      </c>
      <c r="J25" s="378" t="str">
        <f>'Capital IQ Sheet-GPC'!AB26</f>
        <v xml:space="preserve"> (Invalid Identifier) </v>
      </c>
      <c r="K25" s="378" t="str">
        <f>'Capital IQ Sheet-GPC'!AC26</f>
        <v>(Invalid Identifier)</v>
      </c>
      <c r="L25" s="378" t="str">
        <f>'Capital IQ Sheet-GPC'!AD26</f>
        <v xml:space="preserve"> (Invalid Identifier) </v>
      </c>
      <c r="M25" s="378" t="str">
        <f>'Capital IQ Sheet-GPC'!AE26</f>
        <v xml:space="preserve"> (Invalid Identifier) </v>
      </c>
      <c r="O25" s="554" t="str">
        <f t="shared" si="0"/>
        <v>n/a</v>
      </c>
      <c r="P25" s="554" t="str">
        <f t="shared" si="1"/>
        <v>n/a</v>
      </c>
      <c r="Q25" s="554" t="str">
        <f t="shared" si="2"/>
        <v>n/a</v>
      </c>
      <c r="S25" s="554" t="str">
        <f t="shared" si="3"/>
        <v>n/a</v>
      </c>
      <c r="T25" s="554" t="str">
        <f t="shared" si="4"/>
        <v>n/a</v>
      </c>
      <c r="U25" s="554" t="str">
        <f t="shared" si="5"/>
        <v>n/a</v>
      </c>
      <c r="V25" s="554" t="str">
        <f t="shared" si="6"/>
        <v>n/a</v>
      </c>
      <c r="W25" s="554" t="str">
        <f t="shared" si="7"/>
        <v>n/a</v>
      </c>
      <c r="Y25" s="283">
        <f>'Comp.1'!AB25</f>
        <v>0</v>
      </c>
      <c r="Z25" s="283">
        <f>'Comp.1'!AC25</f>
        <v>0</v>
      </c>
      <c r="AA25" s="283">
        <f>'Comp.1'!AD25</f>
        <v>0</v>
      </c>
      <c r="AB25" s="283">
        <f>'Comp.1'!AE25</f>
        <v>0</v>
      </c>
      <c r="AC25" s="283">
        <f t="shared" si="8"/>
        <v>0</v>
      </c>
      <c r="AD25" s="283">
        <f t="shared" si="9"/>
        <v>0</v>
      </c>
      <c r="AE25" s="283">
        <f>'Comp.1'!AH25</f>
        <v>0</v>
      </c>
      <c r="AF25" s="378">
        <f t="shared" si="10"/>
        <v>0</v>
      </c>
      <c r="AH25" s="557" t="str">
        <f>IF('MASTER PubCo Inputs'!C41="","",'MASTER PubCo Inputs'!C41)</f>
        <v>(Invalid Identifier)</v>
      </c>
      <c r="AI25" s="208">
        <f>'Comp.1'!AL25</f>
        <v>0</v>
      </c>
    </row>
    <row r="26" spans="2:35" ht="14.85" customHeight="1">
      <c r="B26" s="208">
        <f>'Comp.1'!B26</f>
        <v>0</v>
      </c>
      <c r="C26" s="378">
        <f>'Comp.1'!C26</f>
        <v>0</v>
      </c>
      <c r="E26" s="378" t="str">
        <f>'Capital IQ Sheet-GPC'!X27</f>
        <v xml:space="preserve"> (Invalid Identifier) </v>
      </c>
      <c r="F26" s="378" t="str">
        <f>'Capital IQ Sheet-GPC'!Y27</f>
        <v xml:space="preserve"> (Invalid Identifier) </v>
      </c>
      <c r="G26" s="378" t="str">
        <f>'Capital IQ Sheet-GPC'!Z27</f>
        <v>(Invalid Identifier)</v>
      </c>
      <c r="H26" s="283"/>
      <c r="I26" s="378" t="str">
        <f>'Capital IQ Sheet-GPC'!AA27</f>
        <v xml:space="preserve"> (Invalid Identifier) </v>
      </c>
      <c r="J26" s="378" t="str">
        <f>'Capital IQ Sheet-GPC'!AB27</f>
        <v xml:space="preserve"> (Invalid Identifier) </v>
      </c>
      <c r="K26" s="378" t="str">
        <f>'Capital IQ Sheet-GPC'!AC27</f>
        <v>(Invalid Identifier)</v>
      </c>
      <c r="L26" s="378" t="str">
        <f>'Capital IQ Sheet-GPC'!AD27</f>
        <v xml:space="preserve"> (Invalid Identifier) </v>
      </c>
      <c r="M26" s="378" t="str">
        <f>'Capital IQ Sheet-GPC'!AE27</f>
        <v xml:space="preserve"> (Invalid Identifier) </v>
      </c>
      <c r="O26" s="554" t="str">
        <f t="shared" si="0"/>
        <v>n/a</v>
      </c>
      <c r="P26" s="554" t="str">
        <f t="shared" si="1"/>
        <v>n/a</v>
      </c>
      <c r="Q26" s="554" t="str">
        <f t="shared" si="2"/>
        <v>n/a</v>
      </c>
      <c r="S26" s="554" t="str">
        <f t="shared" si="3"/>
        <v>n/a</v>
      </c>
      <c r="T26" s="554" t="str">
        <f t="shared" si="4"/>
        <v>n/a</v>
      </c>
      <c r="U26" s="554" t="str">
        <f t="shared" si="5"/>
        <v>n/a</v>
      </c>
      <c r="V26" s="554" t="str">
        <f t="shared" si="6"/>
        <v>n/a</v>
      </c>
      <c r="W26" s="554" t="str">
        <f t="shared" si="7"/>
        <v>n/a</v>
      </c>
      <c r="Y26" s="283">
        <f>'Comp.1'!AB26</f>
        <v>0</v>
      </c>
      <c r="Z26" s="283">
        <f>'Comp.1'!AC26</f>
        <v>0</v>
      </c>
      <c r="AA26" s="283">
        <f>'Comp.1'!AD26</f>
        <v>0</v>
      </c>
      <c r="AB26" s="283">
        <f>'Comp.1'!AE26</f>
        <v>0</v>
      </c>
      <c r="AC26" s="283">
        <f t="shared" si="8"/>
        <v>0</v>
      </c>
      <c r="AD26" s="283">
        <f t="shared" si="9"/>
        <v>0</v>
      </c>
      <c r="AE26" s="283">
        <f>'Comp.1'!AH26</f>
        <v>0</v>
      </c>
      <c r="AF26" s="378">
        <f t="shared" si="10"/>
        <v>0</v>
      </c>
      <c r="AH26" s="557" t="str">
        <f>IF('MASTER PubCo Inputs'!C42="","",'MASTER PubCo Inputs'!C42)</f>
        <v>(Invalid Identifier)</v>
      </c>
      <c r="AI26" s="208">
        <f>'Comp.1'!AL26</f>
        <v>0</v>
      </c>
    </row>
    <row r="27" spans="2:35" ht="14.85" customHeight="1">
      <c r="B27" s="208">
        <f>'Comp.1'!B27</f>
        <v>0</v>
      </c>
      <c r="C27" s="378">
        <f>'Comp.1'!C27</f>
        <v>0</v>
      </c>
      <c r="E27" s="378" t="str">
        <f>'Capital IQ Sheet-GPC'!X28</f>
        <v xml:space="preserve"> (Invalid Identifier) </v>
      </c>
      <c r="F27" s="378" t="str">
        <f>'Capital IQ Sheet-GPC'!Y28</f>
        <v xml:space="preserve"> (Invalid Identifier) </v>
      </c>
      <c r="G27" s="378" t="str">
        <f>'Capital IQ Sheet-GPC'!Z28</f>
        <v>(Invalid Identifier)</v>
      </c>
      <c r="H27" s="283"/>
      <c r="I27" s="378" t="str">
        <f>'Capital IQ Sheet-GPC'!AA28</f>
        <v xml:space="preserve"> (Invalid Identifier) </v>
      </c>
      <c r="J27" s="378" t="str">
        <f>'Capital IQ Sheet-GPC'!AB28</f>
        <v xml:space="preserve"> (Invalid Identifier) </v>
      </c>
      <c r="K27" s="378" t="str">
        <f>'Capital IQ Sheet-GPC'!AC28</f>
        <v>(Invalid Identifier)</v>
      </c>
      <c r="L27" s="378" t="str">
        <f>'Capital IQ Sheet-GPC'!AD28</f>
        <v xml:space="preserve"> (Invalid Identifier) </v>
      </c>
      <c r="M27" s="378" t="str">
        <f>'Capital IQ Sheet-GPC'!AE28</f>
        <v xml:space="preserve"> (Invalid Identifier) </v>
      </c>
      <c r="O27" s="554" t="str">
        <f t="shared" si="0"/>
        <v>n/a</v>
      </c>
      <c r="P27" s="554" t="str">
        <f t="shared" si="1"/>
        <v>n/a</v>
      </c>
      <c r="Q27" s="554" t="str">
        <f t="shared" si="2"/>
        <v>n/a</v>
      </c>
      <c r="S27" s="554" t="str">
        <f t="shared" si="3"/>
        <v>n/a</v>
      </c>
      <c r="T27" s="554" t="str">
        <f t="shared" si="4"/>
        <v>n/a</v>
      </c>
      <c r="U27" s="554" t="str">
        <f t="shared" si="5"/>
        <v>n/a</v>
      </c>
      <c r="V27" s="554" t="str">
        <f t="shared" si="6"/>
        <v>n/a</v>
      </c>
      <c r="W27" s="554" t="str">
        <f t="shared" si="7"/>
        <v>n/a</v>
      </c>
      <c r="Y27" s="283">
        <f>'Comp.1'!AB27</f>
        <v>0</v>
      </c>
      <c r="Z27" s="283">
        <f>'Comp.1'!AC27</f>
        <v>0</v>
      </c>
      <c r="AA27" s="283">
        <f>'Comp.1'!AD27</f>
        <v>0</v>
      </c>
      <c r="AB27" s="283">
        <f>'Comp.1'!AE27</f>
        <v>0</v>
      </c>
      <c r="AC27" s="283">
        <f t="shared" si="8"/>
        <v>0</v>
      </c>
      <c r="AD27" s="283">
        <f t="shared" si="9"/>
        <v>0</v>
      </c>
      <c r="AE27" s="283">
        <f>'Comp.1'!AH27</f>
        <v>0</v>
      </c>
      <c r="AF27" s="378">
        <f t="shared" si="10"/>
        <v>0</v>
      </c>
      <c r="AH27" s="557" t="str">
        <f>IF('MASTER PubCo Inputs'!C43="","",'MASTER PubCo Inputs'!C43)</f>
        <v>(Invalid Identifier)</v>
      </c>
      <c r="AI27" s="208">
        <f>'Comp.1'!AL27</f>
        <v>0</v>
      </c>
    </row>
    <row r="28" spans="2:35" ht="14.85" customHeight="1">
      <c r="B28" s="208">
        <f>'Comp.1'!B28</f>
        <v>0</v>
      </c>
      <c r="C28" s="378">
        <f>'Comp.1'!C28</f>
        <v>0</v>
      </c>
      <c r="E28" s="378" t="str">
        <f>'Capital IQ Sheet-GPC'!X29</f>
        <v xml:space="preserve"> (Invalid Identifier) </v>
      </c>
      <c r="F28" s="378" t="str">
        <f>'Capital IQ Sheet-GPC'!Y29</f>
        <v xml:space="preserve"> (Invalid Identifier) </v>
      </c>
      <c r="G28" s="378" t="str">
        <f>'Capital IQ Sheet-GPC'!Z29</f>
        <v>(Invalid Identifier)</v>
      </c>
      <c r="H28" s="283"/>
      <c r="I28" s="378" t="str">
        <f>'Capital IQ Sheet-GPC'!AA29</f>
        <v xml:space="preserve"> (Invalid Identifier) </v>
      </c>
      <c r="J28" s="378" t="str">
        <f>'Capital IQ Sheet-GPC'!AB29</f>
        <v xml:space="preserve"> (Invalid Identifier) </v>
      </c>
      <c r="K28" s="378" t="str">
        <f>'Capital IQ Sheet-GPC'!AC29</f>
        <v>(Invalid Identifier)</v>
      </c>
      <c r="L28" s="378" t="str">
        <f>'Capital IQ Sheet-GPC'!AD29</f>
        <v xml:space="preserve"> (Invalid Identifier) </v>
      </c>
      <c r="M28" s="378" t="str">
        <f>'Capital IQ Sheet-GPC'!AE29</f>
        <v xml:space="preserve"> (Invalid Identifier) </v>
      </c>
      <c r="O28" s="554" t="str">
        <f t="shared" si="0"/>
        <v>n/a</v>
      </c>
      <c r="P28" s="554" t="str">
        <f t="shared" si="1"/>
        <v>n/a</v>
      </c>
      <c r="Q28" s="554" t="str">
        <f t="shared" si="2"/>
        <v>n/a</v>
      </c>
      <c r="S28" s="554" t="str">
        <f t="shared" si="3"/>
        <v>n/a</v>
      </c>
      <c r="T28" s="554" t="str">
        <f t="shared" si="4"/>
        <v>n/a</v>
      </c>
      <c r="U28" s="554" t="str">
        <f t="shared" si="5"/>
        <v>n/a</v>
      </c>
      <c r="V28" s="554" t="str">
        <f t="shared" si="6"/>
        <v>n/a</v>
      </c>
      <c r="W28" s="554" t="str">
        <f t="shared" si="7"/>
        <v>n/a</v>
      </c>
      <c r="Y28" s="283">
        <f>'Comp.1'!AB28</f>
        <v>0</v>
      </c>
      <c r="Z28" s="283">
        <f>'Comp.1'!AC28</f>
        <v>0</v>
      </c>
      <c r="AA28" s="283">
        <f>'Comp.1'!AD28</f>
        <v>0</v>
      </c>
      <c r="AB28" s="283">
        <f>'Comp.1'!AE28</f>
        <v>0</v>
      </c>
      <c r="AC28" s="283">
        <f t="shared" si="8"/>
        <v>0</v>
      </c>
      <c r="AD28" s="283">
        <f t="shared" si="9"/>
        <v>0</v>
      </c>
      <c r="AE28" s="283">
        <f>'Comp.1'!AH28</f>
        <v>0</v>
      </c>
      <c r="AF28" s="378">
        <f t="shared" si="10"/>
        <v>0</v>
      </c>
      <c r="AH28" s="557" t="str">
        <f>IF('MASTER PubCo Inputs'!C44="","",'MASTER PubCo Inputs'!C44)</f>
        <v>(Invalid Identifier)</v>
      </c>
      <c r="AI28" s="208">
        <f>'Comp.1'!AL28</f>
        <v>0</v>
      </c>
    </row>
    <row r="29" spans="2:35" ht="14.85" customHeight="1">
      <c r="B29" s="208">
        <f>'Comp.1'!B29</f>
        <v>0</v>
      </c>
      <c r="C29" s="378">
        <f>'Comp.1'!C29</f>
        <v>0</v>
      </c>
      <c r="E29" s="378" t="str">
        <f>'Capital IQ Sheet-GPC'!X30</f>
        <v xml:space="preserve"> (Invalid Identifier) </v>
      </c>
      <c r="F29" s="378" t="str">
        <f>'Capital IQ Sheet-GPC'!Y30</f>
        <v xml:space="preserve"> (Invalid Identifier) </v>
      </c>
      <c r="G29" s="378" t="str">
        <f>'Capital IQ Sheet-GPC'!Z30</f>
        <v>(Invalid Identifier)</v>
      </c>
      <c r="H29" s="283"/>
      <c r="I29" s="378" t="str">
        <f>'Capital IQ Sheet-GPC'!AA30</f>
        <v xml:space="preserve"> (Invalid Identifier) </v>
      </c>
      <c r="J29" s="378" t="str">
        <f>'Capital IQ Sheet-GPC'!AB30</f>
        <v xml:space="preserve"> (Invalid Identifier) </v>
      </c>
      <c r="K29" s="378" t="str">
        <f>'Capital IQ Sheet-GPC'!AC30</f>
        <v>(Invalid Identifier)</v>
      </c>
      <c r="L29" s="378" t="str">
        <f>'Capital IQ Sheet-GPC'!AD30</f>
        <v xml:space="preserve"> (Invalid Identifier) </v>
      </c>
      <c r="M29" s="378" t="str">
        <f>'Capital IQ Sheet-GPC'!AE30</f>
        <v xml:space="preserve"> (Invalid Identifier) </v>
      </c>
      <c r="O29" s="554" t="str">
        <f t="shared" si="0"/>
        <v>n/a</v>
      </c>
      <c r="P29" s="554" t="str">
        <f t="shared" si="1"/>
        <v>n/a</v>
      </c>
      <c r="Q29" s="554" t="str">
        <f t="shared" si="2"/>
        <v>n/a</v>
      </c>
      <c r="S29" s="554" t="str">
        <f t="shared" si="3"/>
        <v>n/a</v>
      </c>
      <c r="T29" s="554" t="str">
        <f t="shared" si="4"/>
        <v>n/a</v>
      </c>
      <c r="U29" s="554" t="str">
        <f t="shared" si="5"/>
        <v>n/a</v>
      </c>
      <c r="V29" s="554" t="str">
        <f t="shared" si="6"/>
        <v>n/a</v>
      </c>
      <c r="W29" s="554" t="str">
        <f t="shared" si="7"/>
        <v>n/a</v>
      </c>
      <c r="Y29" s="283">
        <f>'Comp.1'!AB29</f>
        <v>0</v>
      </c>
      <c r="Z29" s="283">
        <f>'Comp.1'!AC29</f>
        <v>0</v>
      </c>
      <c r="AA29" s="283">
        <f>'Comp.1'!AD29</f>
        <v>0</v>
      </c>
      <c r="AB29" s="283">
        <f>'Comp.1'!AE29</f>
        <v>0</v>
      </c>
      <c r="AC29" s="283">
        <f t="shared" si="8"/>
        <v>0</v>
      </c>
      <c r="AD29" s="283">
        <f t="shared" si="9"/>
        <v>0</v>
      </c>
      <c r="AE29" s="283">
        <f>'Comp.1'!AH29</f>
        <v>0</v>
      </c>
      <c r="AF29" s="378">
        <f t="shared" si="10"/>
        <v>0</v>
      </c>
      <c r="AH29" s="557" t="str">
        <f>IF('MASTER PubCo Inputs'!C45="","",'MASTER PubCo Inputs'!C45)</f>
        <v>(Invalid Identifier)</v>
      </c>
      <c r="AI29" s="208">
        <f>'Comp.1'!AL29</f>
        <v>0</v>
      </c>
    </row>
    <row r="30" spans="2:35" ht="14.85" customHeight="1">
      <c r="B30" s="208">
        <f>'Comp.1'!B30</f>
        <v>0</v>
      </c>
      <c r="C30" s="378">
        <f>'Comp.1'!C30</f>
        <v>0</v>
      </c>
      <c r="E30" s="378" t="str">
        <f>'Capital IQ Sheet-GPC'!X31</f>
        <v xml:space="preserve"> (Invalid Identifier) </v>
      </c>
      <c r="F30" s="378" t="str">
        <f>'Capital IQ Sheet-GPC'!Y31</f>
        <v xml:space="preserve"> (Invalid Identifier) </v>
      </c>
      <c r="G30" s="378" t="str">
        <f>'Capital IQ Sheet-GPC'!Z31</f>
        <v>(Invalid Identifier)</v>
      </c>
      <c r="H30" s="283"/>
      <c r="I30" s="378" t="str">
        <f>'Capital IQ Sheet-GPC'!AA31</f>
        <v xml:space="preserve"> (Invalid Identifier) </v>
      </c>
      <c r="J30" s="378" t="str">
        <f>'Capital IQ Sheet-GPC'!AB31</f>
        <v xml:space="preserve"> (Invalid Identifier) </v>
      </c>
      <c r="K30" s="378" t="str">
        <f>'Capital IQ Sheet-GPC'!AC31</f>
        <v>(Invalid Identifier)</v>
      </c>
      <c r="L30" s="378" t="str">
        <f>'Capital IQ Sheet-GPC'!AD31</f>
        <v xml:space="preserve"> (Invalid Identifier) </v>
      </c>
      <c r="M30" s="378" t="str">
        <f>'Capital IQ Sheet-GPC'!AE31</f>
        <v xml:space="preserve"> (Invalid Identifier) </v>
      </c>
      <c r="O30" s="554" t="str">
        <f t="shared" si="0"/>
        <v>n/a</v>
      </c>
      <c r="P30" s="554" t="str">
        <f t="shared" si="1"/>
        <v>n/a</v>
      </c>
      <c r="Q30" s="554" t="str">
        <f t="shared" si="2"/>
        <v>n/a</v>
      </c>
      <c r="S30" s="554" t="str">
        <f t="shared" si="3"/>
        <v>n/a</v>
      </c>
      <c r="T30" s="554" t="str">
        <f t="shared" si="4"/>
        <v>n/a</v>
      </c>
      <c r="U30" s="554" t="str">
        <f t="shared" si="5"/>
        <v>n/a</v>
      </c>
      <c r="V30" s="554" t="str">
        <f t="shared" si="6"/>
        <v>n/a</v>
      </c>
      <c r="W30" s="554" t="str">
        <f t="shared" si="7"/>
        <v>n/a</v>
      </c>
      <c r="Y30" s="283">
        <f>'Comp.1'!AB30</f>
        <v>0</v>
      </c>
      <c r="Z30" s="283">
        <f>'Comp.1'!AC30</f>
        <v>0</v>
      </c>
      <c r="AA30" s="283">
        <f>'Comp.1'!AD30</f>
        <v>0</v>
      </c>
      <c r="AB30" s="283">
        <f>'Comp.1'!AE30</f>
        <v>0</v>
      </c>
      <c r="AC30" s="283">
        <f t="shared" si="8"/>
        <v>0</v>
      </c>
      <c r="AD30" s="283">
        <f t="shared" si="9"/>
        <v>0</v>
      </c>
      <c r="AE30" s="283">
        <f>'Comp.1'!AH30</f>
        <v>0</v>
      </c>
      <c r="AF30" s="378">
        <f t="shared" si="10"/>
        <v>0</v>
      </c>
      <c r="AH30" s="557" t="str">
        <f>IF('MASTER PubCo Inputs'!C46="","",'MASTER PubCo Inputs'!C46)</f>
        <v>(Invalid Identifier)</v>
      </c>
      <c r="AI30" s="208">
        <f>'Comp.1'!AL30</f>
        <v>0</v>
      </c>
    </row>
    <row r="31" spans="2:35" ht="14.85" customHeight="1">
      <c r="B31" s="208">
        <f>'Comp.1'!B31</f>
        <v>0</v>
      </c>
      <c r="C31" s="378">
        <f>'Comp.1'!C31</f>
        <v>0</v>
      </c>
      <c r="E31" s="378" t="str">
        <f>'Capital IQ Sheet-GPC'!X32</f>
        <v xml:space="preserve"> (Invalid Identifier) </v>
      </c>
      <c r="F31" s="378" t="str">
        <f>'Capital IQ Sheet-GPC'!Y32</f>
        <v xml:space="preserve"> (Invalid Identifier) </v>
      </c>
      <c r="G31" s="378" t="str">
        <f>'Capital IQ Sheet-GPC'!Z32</f>
        <v>(Invalid Identifier)</v>
      </c>
      <c r="H31" s="283"/>
      <c r="I31" s="378" t="str">
        <f>'Capital IQ Sheet-GPC'!AA32</f>
        <v xml:space="preserve"> (Invalid Identifier) </v>
      </c>
      <c r="J31" s="378" t="str">
        <f>'Capital IQ Sheet-GPC'!AB32</f>
        <v xml:space="preserve"> (Invalid Identifier) </v>
      </c>
      <c r="K31" s="378" t="str">
        <f>'Capital IQ Sheet-GPC'!AC32</f>
        <v>(Invalid Identifier)</v>
      </c>
      <c r="L31" s="378" t="str">
        <f>'Capital IQ Sheet-GPC'!AD32</f>
        <v xml:space="preserve"> (Invalid Identifier) </v>
      </c>
      <c r="M31" s="378" t="str">
        <f>'Capital IQ Sheet-GPC'!AE32</f>
        <v xml:space="preserve"> (Invalid Identifier) </v>
      </c>
      <c r="O31" s="554" t="str">
        <f t="shared" si="0"/>
        <v>n/a</v>
      </c>
      <c r="P31" s="554" t="str">
        <f t="shared" si="1"/>
        <v>n/a</v>
      </c>
      <c r="Q31" s="554" t="str">
        <f t="shared" si="2"/>
        <v>n/a</v>
      </c>
      <c r="S31" s="554" t="str">
        <f t="shared" si="3"/>
        <v>n/a</v>
      </c>
      <c r="T31" s="554" t="str">
        <f t="shared" si="4"/>
        <v>n/a</v>
      </c>
      <c r="U31" s="554" t="str">
        <f t="shared" si="5"/>
        <v>n/a</v>
      </c>
      <c r="V31" s="554" t="str">
        <f t="shared" si="6"/>
        <v>n/a</v>
      </c>
      <c r="W31" s="554" t="str">
        <f t="shared" si="7"/>
        <v>n/a</v>
      </c>
      <c r="Y31" s="283">
        <f>'Comp.1'!AB31</f>
        <v>0</v>
      </c>
      <c r="Z31" s="283">
        <f>'Comp.1'!AC31</f>
        <v>0</v>
      </c>
      <c r="AA31" s="283">
        <f>'Comp.1'!AD31</f>
        <v>0</v>
      </c>
      <c r="AB31" s="283">
        <f>'Comp.1'!AE31</f>
        <v>0</v>
      </c>
      <c r="AC31" s="283">
        <f t="shared" si="8"/>
        <v>0</v>
      </c>
      <c r="AD31" s="283">
        <f t="shared" si="9"/>
        <v>0</v>
      </c>
      <c r="AE31" s="283">
        <f>'Comp.1'!AH31</f>
        <v>0</v>
      </c>
      <c r="AF31" s="378">
        <f t="shared" si="10"/>
        <v>0</v>
      </c>
      <c r="AH31" s="557" t="str">
        <f>IF('MASTER PubCo Inputs'!C47="","",'MASTER PubCo Inputs'!C47)</f>
        <v>(Invalid Identifier)</v>
      </c>
      <c r="AI31" s="208">
        <f>'Comp.1'!AL31</f>
        <v>0</v>
      </c>
    </row>
    <row r="32" spans="2:35" ht="14.85" customHeight="1">
      <c r="B32" s="208">
        <f>'Comp.1'!B32</f>
        <v>0</v>
      </c>
      <c r="C32" s="378">
        <f>'Comp.1'!C32</f>
        <v>0</v>
      </c>
      <c r="E32" s="378" t="str">
        <f>'Capital IQ Sheet-GPC'!X33</f>
        <v xml:space="preserve"> (Invalid Identifier) </v>
      </c>
      <c r="F32" s="378" t="str">
        <f>'Capital IQ Sheet-GPC'!Y33</f>
        <v xml:space="preserve"> (Invalid Identifier) </v>
      </c>
      <c r="G32" s="378" t="str">
        <f>'Capital IQ Sheet-GPC'!Z33</f>
        <v>(Invalid Identifier)</v>
      </c>
      <c r="H32" s="283"/>
      <c r="I32" s="378" t="str">
        <f>'Capital IQ Sheet-GPC'!AA33</f>
        <v xml:space="preserve"> (Invalid Identifier) </v>
      </c>
      <c r="J32" s="378" t="str">
        <f>'Capital IQ Sheet-GPC'!AB33</f>
        <v xml:space="preserve"> (Invalid Identifier) </v>
      </c>
      <c r="K32" s="378" t="str">
        <f>'Capital IQ Sheet-GPC'!AC33</f>
        <v>(Invalid Identifier)</v>
      </c>
      <c r="L32" s="378" t="str">
        <f>'Capital IQ Sheet-GPC'!AD33</f>
        <v xml:space="preserve"> (Invalid Identifier) </v>
      </c>
      <c r="M32" s="378" t="str">
        <f>'Capital IQ Sheet-GPC'!AE33</f>
        <v xml:space="preserve"> (Invalid Identifier) </v>
      </c>
      <c r="O32" s="554" t="str">
        <f t="shared" si="0"/>
        <v>n/a</v>
      </c>
      <c r="P32" s="554" t="str">
        <f t="shared" si="1"/>
        <v>n/a</v>
      </c>
      <c r="Q32" s="554" t="str">
        <f t="shared" si="2"/>
        <v>n/a</v>
      </c>
      <c r="S32" s="554" t="str">
        <f t="shared" si="3"/>
        <v>n/a</v>
      </c>
      <c r="T32" s="554" t="str">
        <f t="shared" si="4"/>
        <v>n/a</v>
      </c>
      <c r="U32" s="554" t="str">
        <f t="shared" si="5"/>
        <v>n/a</v>
      </c>
      <c r="V32" s="554" t="str">
        <f t="shared" si="6"/>
        <v>n/a</v>
      </c>
      <c r="W32" s="554" t="str">
        <f t="shared" si="7"/>
        <v>n/a</v>
      </c>
      <c r="Y32" s="283">
        <f>'Comp.1'!AB32</f>
        <v>0</v>
      </c>
      <c r="Z32" s="283">
        <f>'Comp.1'!AC32</f>
        <v>0</v>
      </c>
      <c r="AA32" s="283">
        <f>'Comp.1'!AD32</f>
        <v>0</v>
      </c>
      <c r="AB32" s="283">
        <f>'Comp.1'!AE32</f>
        <v>0</v>
      </c>
      <c r="AC32" s="283">
        <f t="shared" si="8"/>
        <v>0</v>
      </c>
      <c r="AD32" s="283">
        <f t="shared" si="9"/>
        <v>0</v>
      </c>
      <c r="AE32" s="283">
        <f>'Comp.1'!AH32</f>
        <v>0</v>
      </c>
      <c r="AF32" s="378">
        <f t="shared" si="10"/>
        <v>0</v>
      </c>
      <c r="AH32" s="557" t="str">
        <f>IF('MASTER PubCo Inputs'!C48="","",'MASTER PubCo Inputs'!C48)</f>
        <v>(Invalid Identifier)</v>
      </c>
      <c r="AI32" s="208">
        <f>'Comp.1'!AL32</f>
        <v>0</v>
      </c>
    </row>
    <row r="33" spans="2:35" ht="14.85" customHeight="1">
      <c r="B33" s="208">
        <f>'Comp.1'!B33</f>
        <v>0</v>
      </c>
      <c r="C33" s="378">
        <f>'Comp.1'!C33</f>
        <v>0</v>
      </c>
      <c r="E33" s="378" t="str">
        <f>'Capital IQ Sheet-GPC'!X34</f>
        <v xml:space="preserve"> (Invalid Identifier) </v>
      </c>
      <c r="F33" s="378" t="str">
        <f>'Capital IQ Sheet-GPC'!Y34</f>
        <v xml:space="preserve"> (Invalid Identifier) </v>
      </c>
      <c r="G33" s="378" t="str">
        <f>'Capital IQ Sheet-GPC'!Z34</f>
        <v>(Invalid Identifier)</v>
      </c>
      <c r="H33" s="283"/>
      <c r="I33" s="378" t="str">
        <f>'Capital IQ Sheet-GPC'!AA34</f>
        <v xml:space="preserve"> (Invalid Identifier) </v>
      </c>
      <c r="J33" s="378" t="str">
        <f>'Capital IQ Sheet-GPC'!AB34</f>
        <v xml:space="preserve"> (Invalid Identifier) </v>
      </c>
      <c r="K33" s="378" t="str">
        <f>'Capital IQ Sheet-GPC'!AC34</f>
        <v>(Invalid Identifier)</v>
      </c>
      <c r="L33" s="378" t="str">
        <f>'Capital IQ Sheet-GPC'!AD34</f>
        <v xml:space="preserve"> (Invalid Identifier) </v>
      </c>
      <c r="M33" s="378" t="str">
        <f>'Capital IQ Sheet-GPC'!AE34</f>
        <v xml:space="preserve"> (Invalid Identifier) </v>
      </c>
      <c r="O33" s="554" t="str">
        <f t="shared" si="0"/>
        <v>n/a</v>
      </c>
      <c r="P33" s="554" t="str">
        <f t="shared" si="1"/>
        <v>n/a</v>
      </c>
      <c r="Q33" s="554" t="str">
        <f t="shared" si="2"/>
        <v>n/a</v>
      </c>
      <c r="S33" s="554" t="str">
        <f t="shared" si="3"/>
        <v>n/a</v>
      </c>
      <c r="T33" s="554" t="str">
        <f t="shared" si="4"/>
        <v>n/a</v>
      </c>
      <c r="U33" s="554" t="str">
        <f t="shared" si="5"/>
        <v>n/a</v>
      </c>
      <c r="V33" s="554" t="str">
        <f t="shared" si="6"/>
        <v>n/a</v>
      </c>
      <c r="W33" s="554" t="str">
        <f t="shared" si="7"/>
        <v>n/a</v>
      </c>
      <c r="Y33" s="283">
        <f>'Comp.1'!AB33</f>
        <v>0</v>
      </c>
      <c r="Z33" s="283">
        <f>'Comp.1'!AC33</f>
        <v>0</v>
      </c>
      <c r="AA33" s="283">
        <f>'Comp.1'!AD33</f>
        <v>0</v>
      </c>
      <c r="AB33" s="283">
        <f>'Comp.1'!AE33</f>
        <v>0</v>
      </c>
      <c r="AC33" s="283">
        <f t="shared" si="8"/>
        <v>0</v>
      </c>
      <c r="AD33" s="283">
        <f t="shared" si="9"/>
        <v>0</v>
      </c>
      <c r="AE33" s="283">
        <f>'Comp.1'!AH33</f>
        <v>0</v>
      </c>
      <c r="AF33" s="378">
        <f t="shared" si="10"/>
        <v>0</v>
      </c>
      <c r="AH33" s="557" t="str">
        <f>IF('MASTER PubCo Inputs'!C49="","",'MASTER PubCo Inputs'!C49)</f>
        <v>(Invalid Identifier)</v>
      </c>
      <c r="AI33" s="208">
        <f>'Comp.1'!AL33</f>
        <v>0</v>
      </c>
    </row>
    <row r="34" spans="2:35" ht="14.85" customHeight="1">
      <c r="B34" s="208">
        <f>'Comp.1'!B34</f>
        <v>0</v>
      </c>
      <c r="C34" s="378">
        <f>'Comp.1'!C34</f>
        <v>0</v>
      </c>
      <c r="E34" s="378" t="str">
        <f>'Capital IQ Sheet-GPC'!X35</f>
        <v xml:space="preserve"> (Invalid Identifier) </v>
      </c>
      <c r="F34" s="378" t="str">
        <f>'Capital IQ Sheet-GPC'!Y35</f>
        <v xml:space="preserve"> (Invalid Identifier) </v>
      </c>
      <c r="G34" s="378" t="str">
        <f>'Capital IQ Sheet-GPC'!Z35</f>
        <v>(Invalid Identifier)</v>
      </c>
      <c r="H34" s="283"/>
      <c r="I34" s="378" t="str">
        <f>'Capital IQ Sheet-GPC'!AA35</f>
        <v xml:space="preserve"> (Invalid Identifier) </v>
      </c>
      <c r="J34" s="378" t="str">
        <f>'Capital IQ Sheet-GPC'!AB35</f>
        <v xml:space="preserve"> (Invalid Identifier) </v>
      </c>
      <c r="K34" s="378" t="str">
        <f>'Capital IQ Sheet-GPC'!AC35</f>
        <v>(Invalid Identifier)</v>
      </c>
      <c r="L34" s="378" t="str">
        <f>'Capital IQ Sheet-GPC'!AD35</f>
        <v xml:space="preserve"> (Invalid Identifier) </v>
      </c>
      <c r="M34" s="378" t="str">
        <f>'Capital IQ Sheet-GPC'!AE35</f>
        <v xml:space="preserve"> (Invalid Identifier) </v>
      </c>
      <c r="O34" s="554" t="str">
        <f t="shared" si="0"/>
        <v>n/a</v>
      </c>
      <c r="P34" s="554" t="str">
        <f t="shared" si="1"/>
        <v>n/a</v>
      </c>
      <c r="Q34" s="554" t="str">
        <f t="shared" si="2"/>
        <v>n/a</v>
      </c>
      <c r="S34" s="554" t="str">
        <f t="shared" si="3"/>
        <v>n/a</v>
      </c>
      <c r="T34" s="554" t="str">
        <f t="shared" si="4"/>
        <v>n/a</v>
      </c>
      <c r="U34" s="554" t="str">
        <f t="shared" si="5"/>
        <v>n/a</v>
      </c>
      <c r="V34" s="554" t="str">
        <f t="shared" si="6"/>
        <v>n/a</v>
      </c>
      <c r="W34" s="554" t="str">
        <f t="shared" si="7"/>
        <v>n/a</v>
      </c>
      <c r="Y34" s="283">
        <f>'Comp.1'!AB34</f>
        <v>0</v>
      </c>
      <c r="Z34" s="283">
        <f>'Comp.1'!AC34</f>
        <v>0</v>
      </c>
      <c r="AA34" s="283">
        <f>'Comp.1'!AD34</f>
        <v>0</v>
      </c>
      <c r="AB34" s="283">
        <f>'Comp.1'!AE34</f>
        <v>0</v>
      </c>
      <c r="AC34" s="283">
        <f t="shared" si="8"/>
        <v>0</v>
      </c>
      <c r="AD34" s="283">
        <f t="shared" si="9"/>
        <v>0</v>
      </c>
      <c r="AE34" s="283">
        <f>'Comp.1'!AH34</f>
        <v>0</v>
      </c>
      <c r="AF34" s="378">
        <f t="shared" si="10"/>
        <v>0</v>
      </c>
      <c r="AH34" s="557" t="str">
        <f>IF('MASTER PubCo Inputs'!C50="","",'MASTER PubCo Inputs'!C50)</f>
        <v>(Invalid Identifier)</v>
      </c>
      <c r="AI34" s="208">
        <f>'Comp.1'!AL34</f>
        <v>0</v>
      </c>
    </row>
    <row r="35" spans="2:35" ht="14.85" customHeight="1">
      <c r="B35" s="208">
        <f>'Comp.1'!B35</f>
        <v>0</v>
      </c>
      <c r="C35" s="378">
        <f>'Comp.1'!C35</f>
        <v>0</v>
      </c>
      <c r="E35" s="378" t="str">
        <f>'Capital IQ Sheet-GPC'!X36</f>
        <v xml:space="preserve"> (Invalid Identifier) </v>
      </c>
      <c r="F35" s="378" t="str">
        <f>'Capital IQ Sheet-GPC'!Y36</f>
        <v xml:space="preserve"> (Invalid Identifier) </v>
      </c>
      <c r="G35" s="378" t="str">
        <f>'Capital IQ Sheet-GPC'!Z36</f>
        <v>(Invalid Identifier)</v>
      </c>
      <c r="H35" s="283"/>
      <c r="I35" s="378" t="str">
        <f>'Capital IQ Sheet-GPC'!AA36</f>
        <v xml:space="preserve"> (Invalid Identifier) </v>
      </c>
      <c r="J35" s="378" t="str">
        <f>'Capital IQ Sheet-GPC'!AB36</f>
        <v xml:space="preserve"> (Invalid Identifier) </v>
      </c>
      <c r="K35" s="378" t="str">
        <f>'Capital IQ Sheet-GPC'!AC36</f>
        <v>(Invalid Identifier)</v>
      </c>
      <c r="L35" s="378" t="str">
        <f>'Capital IQ Sheet-GPC'!AD36</f>
        <v xml:space="preserve"> (Invalid Identifier) </v>
      </c>
      <c r="M35" s="378" t="str">
        <f>'Capital IQ Sheet-GPC'!AE36</f>
        <v xml:space="preserve"> (Invalid Identifier) </v>
      </c>
      <c r="O35" s="554" t="str">
        <f t="shared" si="0"/>
        <v>n/a</v>
      </c>
      <c r="P35" s="554" t="str">
        <f t="shared" si="1"/>
        <v>n/a</v>
      </c>
      <c r="Q35" s="554" t="str">
        <f t="shared" si="2"/>
        <v>n/a</v>
      </c>
      <c r="S35" s="554" t="str">
        <f t="shared" si="3"/>
        <v>n/a</v>
      </c>
      <c r="T35" s="554" t="str">
        <f t="shared" si="4"/>
        <v>n/a</v>
      </c>
      <c r="U35" s="554" t="str">
        <f t="shared" si="5"/>
        <v>n/a</v>
      </c>
      <c r="V35" s="554" t="str">
        <f t="shared" si="6"/>
        <v>n/a</v>
      </c>
      <c r="W35" s="554" t="str">
        <f t="shared" si="7"/>
        <v>n/a</v>
      </c>
      <c r="Y35" s="283">
        <f>'Comp.1'!AB35</f>
        <v>0</v>
      </c>
      <c r="Z35" s="283">
        <f>'Comp.1'!AC35</f>
        <v>0</v>
      </c>
      <c r="AA35" s="283">
        <f>'Comp.1'!AD35</f>
        <v>0</v>
      </c>
      <c r="AB35" s="283">
        <f>'Comp.1'!AE35</f>
        <v>0</v>
      </c>
      <c r="AC35" s="283">
        <f t="shared" si="8"/>
        <v>0</v>
      </c>
      <c r="AD35" s="283">
        <f t="shared" si="9"/>
        <v>0</v>
      </c>
      <c r="AE35" s="283">
        <f>'Comp.1'!AH35</f>
        <v>0</v>
      </c>
      <c r="AF35" s="378">
        <f t="shared" si="10"/>
        <v>0</v>
      </c>
      <c r="AH35" s="557" t="str">
        <f>IF('MASTER PubCo Inputs'!C51="","",'MASTER PubCo Inputs'!C51)</f>
        <v>(Invalid Identifier)</v>
      </c>
      <c r="AI35" s="208">
        <f>'Comp.1'!AL35</f>
        <v>0</v>
      </c>
    </row>
    <row r="36" spans="2:35" ht="14.85" customHeight="1">
      <c r="B36" s="208">
        <f>'Comp.1'!B36</f>
        <v>0</v>
      </c>
      <c r="C36" s="378">
        <f>'Comp.1'!C36</f>
        <v>0</v>
      </c>
      <c r="E36" s="378" t="str">
        <f>'Capital IQ Sheet-GPC'!X37</f>
        <v xml:space="preserve"> (Invalid Identifier) </v>
      </c>
      <c r="F36" s="378" t="str">
        <f>'Capital IQ Sheet-GPC'!Y37</f>
        <v xml:space="preserve"> (Invalid Identifier) </v>
      </c>
      <c r="G36" s="378" t="str">
        <f>'Capital IQ Sheet-GPC'!Z37</f>
        <v>(Invalid Identifier)</v>
      </c>
      <c r="H36" s="283"/>
      <c r="I36" s="378" t="str">
        <f>'Capital IQ Sheet-GPC'!AA37</f>
        <v xml:space="preserve"> (Invalid Identifier) </v>
      </c>
      <c r="J36" s="378" t="str">
        <f>'Capital IQ Sheet-GPC'!AB37</f>
        <v xml:space="preserve"> (Invalid Identifier) </v>
      </c>
      <c r="K36" s="378" t="str">
        <f>'Capital IQ Sheet-GPC'!AC37</f>
        <v>(Invalid Identifier)</v>
      </c>
      <c r="L36" s="378" t="str">
        <f>'Capital IQ Sheet-GPC'!AD37</f>
        <v xml:space="preserve"> (Invalid Identifier) </v>
      </c>
      <c r="M36" s="378" t="str">
        <f>'Capital IQ Sheet-GPC'!AE37</f>
        <v xml:space="preserve"> (Invalid Identifier) </v>
      </c>
      <c r="O36" s="554" t="str">
        <f t="shared" si="0"/>
        <v>n/a</v>
      </c>
      <c r="P36" s="554" t="str">
        <f t="shared" si="1"/>
        <v>n/a</v>
      </c>
      <c r="Q36" s="554" t="str">
        <f t="shared" si="2"/>
        <v>n/a</v>
      </c>
      <c r="S36" s="554" t="str">
        <f t="shared" si="3"/>
        <v>n/a</v>
      </c>
      <c r="T36" s="554" t="str">
        <f t="shared" si="4"/>
        <v>n/a</v>
      </c>
      <c r="U36" s="554" t="str">
        <f t="shared" si="5"/>
        <v>n/a</v>
      </c>
      <c r="V36" s="554" t="str">
        <f t="shared" si="6"/>
        <v>n/a</v>
      </c>
      <c r="W36" s="554" t="str">
        <f t="shared" si="7"/>
        <v>n/a</v>
      </c>
      <c r="Y36" s="283">
        <f>'Comp.1'!AB36</f>
        <v>0</v>
      </c>
      <c r="Z36" s="283">
        <f>'Comp.1'!AC36</f>
        <v>0</v>
      </c>
      <c r="AA36" s="283">
        <f>'Comp.1'!AD36</f>
        <v>0</v>
      </c>
      <c r="AB36" s="283">
        <f>'Comp.1'!AE36</f>
        <v>0</v>
      </c>
      <c r="AC36" s="283">
        <f t="shared" si="8"/>
        <v>0</v>
      </c>
      <c r="AD36" s="283">
        <f t="shared" si="9"/>
        <v>0</v>
      </c>
      <c r="AE36" s="283">
        <f>'Comp.1'!AH36</f>
        <v>0</v>
      </c>
      <c r="AF36" s="378">
        <f t="shared" si="10"/>
        <v>0</v>
      </c>
      <c r="AH36" s="557" t="str">
        <f>IF('MASTER PubCo Inputs'!C52="","",'MASTER PubCo Inputs'!C52)</f>
        <v>(Invalid Identifier)</v>
      </c>
      <c r="AI36" s="208">
        <f>'Comp.1'!AL36</f>
        <v>0</v>
      </c>
    </row>
    <row r="37" spans="2:35" ht="14.85" customHeight="1">
      <c r="B37" s="208">
        <f>'Comp.1'!B37</f>
        <v>0</v>
      </c>
      <c r="C37" s="378">
        <f>'Comp.1'!C37</f>
        <v>0</v>
      </c>
      <c r="E37" s="378" t="str">
        <f>'Capital IQ Sheet-GPC'!X38</f>
        <v xml:space="preserve"> (Invalid Identifier) </v>
      </c>
      <c r="F37" s="378" t="str">
        <f>'Capital IQ Sheet-GPC'!Y38</f>
        <v xml:space="preserve"> (Invalid Identifier) </v>
      </c>
      <c r="G37" s="378" t="str">
        <f>'Capital IQ Sheet-GPC'!Z38</f>
        <v>(Invalid Identifier)</v>
      </c>
      <c r="H37" s="283"/>
      <c r="I37" s="378" t="str">
        <f>'Capital IQ Sheet-GPC'!AA38</f>
        <v xml:space="preserve"> (Invalid Identifier) </v>
      </c>
      <c r="J37" s="378" t="str">
        <f>'Capital IQ Sheet-GPC'!AB38</f>
        <v xml:space="preserve"> (Invalid Identifier) </v>
      </c>
      <c r="K37" s="378" t="str">
        <f>'Capital IQ Sheet-GPC'!AC38</f>
        <v>(Invalid Identifier)</v>
      </c>
      <c r="L37" s="378" t="str">
        <f>'Capital IQ Sheet-GPC'!AD38</f>
        <v xml:space="preserve"> (Invalid Identifier) </v>
      </c>
      <c r="M37" s="378" t="str">
        <f>'Capital IQ Sheet-GPC'!AE38</f>
        <v xml:space="preserve"> (Invalid Identifier) </v>
      </c>
      <c r="O37" s="554" t="str">
        <f t="shared" si="0"/>
        <v>n/a</v>
      </c>
      <c r="P37" s="554" t="str">
        <f t="shared" si="1"/>
        <v>n/a</v>
      </c>
      <c r="Q37" s="554" t="str">
        <f t="shared" si="2"/>
        <v>n/a</v>
      </c>
      <c r="S37" s="554" t="str">
        <f t="shared" si="3"/>
        <v>n/a</v>
      </c>
      <c r="T37" s="554" t="str">
        <f t="shared" si="4"/>
        <v>n/a</v>
      </c>
      <c r="U37" s="554" t="str">
        <f t="shared" si="5"/>
        <v>n/a</v>
      </c>
      <c r="V37" s="554" t="str">
        <f t="shared" si="6"/>
        <v>n/a</v>
      </c>
      <c r="W37" s="554" t="str">
        <f t="shared" si="7"/>
        <v>n/a</v>
      </c>
      <c r="Y37" s="283">
        <f>'Comp.1'!AB37</f>
        <v>0</v>
      </c>
      <c r="Z37" s="283">
        <f>'Comp.1'!AC37</f>
        <v>0</v>
      </c>
      <c r="AA37" s="283">
        <f>'Comp.1'!AD37</f>
        <v>0</v>
      </c>
      <c r="AB37" s="283">
        <f>'Comp.1'!AE37</f>
        <v>0</v>
      </c>
      <c r="AC37" s="283">
        <f t="shared" si="8"/>
        <v>0</v>
      </c>
      <c r="AD37" s="283">
        <f t="shared" si="9"/>
        <v>0</v>
      </c>
      <c r="AE37" s="283">
        <f>'Comp.1'!AH37</f>
        <v>0</v>
      </c>
      <c r="AF37" s="378">
        <f t="shared" si="10"/>
        <v>0</v>
      </c>
      <c r="AH37" s="557" t="str">
        <f>IF('MASTER PubCo Inputs'!C53="","",'MASTER PubCo Inputs'!C53)</f>
        <v>(Invalid Identifier)</v>
      </c>
      <c r="AI37" s="208">
        <f>'Comp.1'!AL37</f>
        <v>0</v>
      </c>
    </row>
    <row r="38" spans="2:35" ht="14.85" customHeight="1">
      <c r="B38" s="208">
        <f>'Comp.1'!B38</f>
        <v>0</v>
      </c>
      <c r="C38" s="378">
        <f>'Comp.1'!C38</f>
        <v>0</v>
      </c>
      <c r="E38" s="378" t="str">
        <f>'Capital IQ Sheet-GPC'!X39</f>
        <v xml:space="preserve"> (Invalid Identifier) </v>
      </c>
      <c r="F38" s="378" t="str">
        <f>'Capital IQ Sheet-GPC'!Y39</f>
        <v xml:space="preserve"> (Invalid Identifier) </v>
      </c>
      <c r="G38" s="378" t="str">
        <f>'Capital IQ Sheet-GPC'!Z39</f>
        <v>(Invalid Identifier)</v>
      </c>
      <c r="H38" s="283"/>
      <c r="I38" s="378" t="str">
        <f>'Capital IQ Sheet-GPC'!AA39</f>
        <v xml:space="preserve"> (Invalid Identifier) </v>
      </c>
      <c r="J38" s="378" t="str">
        <f>'Capital IQ Sheet-GPC'!AB39</f>
        <v xml:space="preserve"> (Invalid Identifier) </v>
      </c>
      <c r="K38" s="378" t="str">
        <f>'Capital IQ Sheet-GPC'!AC39</f>
        <v>(Invalid Identifier)</v>
      </c>
      <c r="L38" s="378" t="str">
        <f>'Capital IQ Sheet-GPC'!AD39</f>
        <v xml:space="preserve"> (Invalid Identifier) </v>
      </c>
      <c r="M38" s="378" t="str">
        <f>'Capital IQ Sheet-GPC'!AE39</f>
        <v xml:space="preserve"> (Invalid Identifier) </v>
      </c>
      <c r="O38" s="554" t="str">
        <f t="shared" si="0"/>
        <v>n/a</v>
      </c>
      <c r="P38" s="554" t="str">
        <f t="shared" si="1"/>
        <v>n/a</v>
      </c>
      <c r="Q38" s="554" t="str">
        <f t="shared" si="2"/>
        <v>n/a</v>
      </c>
      <c r="S38" s="554" t="str">
        <f t="shared" si="3"/>
        <v>n/a</v>
      </c>
      <c r="T38" s="554" t="str">
        <f t="shared" si="4"/>
        <v>n/a</v>
      </c>
      <c r="U38" s="554" t="str">
        <f t="shared" si="5"/>
        <v>n/a</v>
      </c>
      <c r="V38" s="554" t="str">
        <f t="shared" si="6"/>
        <v>n/a</v>
      </c>
      <c r="W38" s="554" t="str">
        <f t="shared" si="7"/>
        <v>n/a</v>
      </c>
      <c r="Y38" s="283">
        <f>'Comp.1'!AB38</f>
        <v>0</v>
      </c>
      <c r="Z38" s="283">
        <f>'Comp.1'!AC38</f>
        <v>0</v>
      </c>
      <c r="AA38" s="283">
        <f>'Comp.1'!AD38</f>
        <v>0</v>
      </c>
      <c r="AB38" s="283">
        <f>'Comp.1'!AE38</f>
        <v>0</v>
      </c>
      <c r="AC38" s="283">
        <f t="shared" si="8"/>
        <v>0</v>
      </c>
      <c r="AD38" s="283">
        <f t="shared" si="9"/>
        <v>0</v>
      </c>
      <c r="AE38" s="283">
        <f>'Comp.1'!AH38</f>
        <v>0</v>
      </c>
      <c r="AF38" s="378">
        <f t="shared" si="10"/>
        <v>0</v>
      </c>
      <c r="AH38" s="557" t="str">
        <f>IF('MASTER PubCo Inputs'!C54="","",'MASTER PubCo Inputs'!C54)</f>
        <v>(Invalid Identifier)</v>
      </c>
      <c r="AI38" s="208">
        <f>'Comp.1'!AL38</f>
        <v>0</v>
      </c>
    </row>
    <row r="39" spans="2:35" ht="14.85" customHeight="1">
      <c r="B39" s="208">
        <f>'Comp.1'!B39</f>
        <v>0</v>
      </c>
      <c r="C39" s="378">
        <f>'Comp.1'!C39</f>
        <v>0</v>
      </c>
      <c r="E39" s="378" t="str">
        <f>'Capital IQ Sheet-GPC'!X40</f>
        <v xml:space="preserve"> (Invalid Identifier) </v>
      </c>
      <c r="F39" s="378" t="str">
        <f>'Capital IQ Sheet-GPC'!Y40</f>
        <v xml:space="preserve"> (Invalid Identifier) </v>
      </c>
      <c r="G39" s="378" t="str">
        <f>'Capital IQ Sheet-GPC'!Z40</f>
        <v>(Invalid Identifier)</v>
      </c>
      <c r="H39" s="283"/>
      <c r="I39" s="378" t="str">
        <f>'Capital IQ Sheet-GPC'!AA40</f>
        <v xml:space="preserve"> (Invalid Identifier) </v>
      </c>
      <c r="J39" s="378" t="str">
        <f>'Capital IQ Sheet-GPC'!AB40</f>
        <v xml:space="preserve"> (Invalid Identifier) </v>
      </c>
      <c r="K39" s="378" t="str">
        <f>'Capital IQ Sheet-GPC'!AC40</f>
        <v>(Invalid Identifier)</v>
      </c>
      <c r="L39" s="378" t="str">
        <f>'Capital IQ Sheet-GPC'!AD40</f>
        <v xml:space="preserve"> (Invalid Identifier) </v>
      </c>
      <c r="M39" s="378" t="str">
        <f>'Capital IQ Sheet-GPC'!AE40</f>
        <v xml:space="preserve"> (Invalid Identifier) </v>
      </c>
      <c r="O39" s="554" t="str">
        <f t="shared" si="0"/>
        <v>n/a</v>
      </c>
      <c r="P39" s="554" t="str">
        <f t="shared" si="1"/>
        <v>n/a</v>
      </c>
      <c r="Q39" s="554" t="str">
        <f t="shared" si="2"/>
        <v>n/a</v>
      </c>
      <c r="S39" s="554" t="str">
        <f t="shared" si="3"/>
        <v>n/a</v>
      </c>
      <c r="T39" s="554" t="str">
        <f t="shared" si="4"/>
        <v>n/a</v>
      </c>
      <c r="U39" s="554" t="str">
        <f t="shared" si="5"/>
        <v>n/a</v>
      </c>
      <c r="V39" s="554" t="str">
        <f t="shared" si="6"/>
        <v>n/a</v>
      </c>
      <c r="W39" s="554" t="str">
        <f t="shared" si="7"/>
        <v>n/a</v>
      </c>
      <c r="Y39" s="283">
        <f>'Comp.1'!AB39</f>
        <v>0</v>
      </c>
      <c r="Z39" s="283">
        <f>'Comp.1'!AC39</f>
        <v>0</v>
      </c>
      <c r="AA39" s="283">
        <f>'Comp.1'!AD39</f>
        <v>0</v>
      </c>
      <c r="AB39" s="283">
        <f>'Comp.1'!AE39</f>
        <v>0</v>
      </c>
      <c r="AC39" s="283">
        <f t="shared" si="8"/>
        <v>0</v>
      </c>
      <c r="AD39" s="283">
        <f t="shared" si="9"/>
        <v>0</v>
      </c>
      <c r="AE39" s="283">
        <f>'Comp.1'!AH39</f>
        <v>0</v>
      </c>
      <c r="AF39" s="378">
        <f t="shared" si="10"/>
        <v>0</v>
      </c>
      <c r="AH39" s="557" t="str">
        <f>IF('MASTER PubCo Inputs'!C55="","",'MASTER PubCo Inputs'!C55)</f>
        <v>(Invalid Identifier)</v>
      </c>
      <c r="AI39" s="208">
        <f>'Comp.1'!AL39</f>
        <v>0</v>
      </c>
    </row>
    <row r="40" spans="2:35" ht="14.85" customHeight="1">
      <c r="B40" s="208">
        <f>'Comp.1'!B40</f>
        <v>0</v>
      </c>
      <c r="C40" s="378">
        <f>'Comp.1'!C40</f>
        <v>0</v>
      </c>
      <c r="E40" s="378" t="str">
        <f>'Capital IQ Sheet-GPC'!X41</f>
        <v xml:space="preserve"> (Invalid Identifier) </v>
      </c>
      <c r="F40" s="378" t="str">
        <f>'Capital IQ Sheet-GPC'!Y41</f>
        <v xml:space="preserve"> (Invalid Identifier) </v>
      </c>
      <c r="G40" s="378" t="str">
        <f>'Capital IQ Sheet-GPC'!Z41</f>
        <v>(Invalid Identifier)</v>
      </c>
      <c r="H40" s="283"/>
      <c r="I40" s="378" t="str">
        <f>'Capital IQ Sheet-GPC'!AA41</f>
        <v xml:space="preserve"> (Invalid Identifier) </v>
      </c>
      <c r="J40" s="378" t="str">
        <f>'Capital IQ Sheet-GPC'!AB41</f>
        <v xml:space="preserve"> (Invalid Identifier) </v>
      </c>
      <c r="K40" s="378" t="str">
        <f>'Capital IQ Sheet-GPC'!AC41</f>
        <v>(Invalid Identifier)</v>
      </c>
      <c r="L40" s="378" t="str">
        <f>'Capital IQ Sheet-GPC'!AD41</f>
        <v xml:space="preserve"> (Invalid Identifier) </v>
      </c>
      <c r="M40" s="378" t="str">
        <f>'Capital IQ Sheet-GPC'!AE41</f>
        <v xml:space="preserve"> (Invalid Identifier) </v>
      </c>
      <c r="O40" s="554" t="str">
        <f t="shared" si="0"/>
        <v>n/a</v>
      </c>
      <c r="P40" s="554" t="str">
        <f t="shared" si="1"/>
        <v>n/a</v>
      </c>
      <c r="Q40" s="554" t="str">
        <f t="shared" si="2"/>
        <v>n/a</v>
      </c>
      <c r="S40" s="554" t="str">
        <f t="shared" si="3"/>
        <v>n/a</v>
      </c>
      <c r="T40" s="554" t="str">
        <f t="shared" si="4"/>
        <v>n/a</v>
      </c>
      <c r="U40" s="554" t="str">
        <f t="shared" si="5"/>
        <v>n/a</v>
      </c>
      <c r="V40" s="554" t="str">
        <f t="shared" si="6"/>
        <v>n/a</v>
      </c>
      <c r="W40" s="554" t="str">
        <f t="shared" si="7"/>
        <v>n/a</v>
      </c>
      <c r="Y40" s="283">
        <f>'Comp.1'!AB40</f>
        <v>0</v>
      </c>
      <c r="Z40" s="283">
        <f>'Comp.1'!AC40</f>
        <v>0</v>
      </c>
      <c r="AA40" s="283">
        <f>'Comp.1'!AD40</f>
        <v>0</v>
      </c>
      <c r="AB40" s="283">
        <f>'Comp.1'!AE40</f>
        <v>0</v>
      </c>
      <c r="AC40" s="283">
        <f t="shared" si="8"/>
        <v>0</v>
      </c>
      <c r="AD40" s="283">
        <f t="shared" si="9"/>
        <v>0</v>
      </c>
      <c r="AE40" s="283">
        <f>'Comp.1'!AH40</f>
        <v>0</v>
      </c>
      <c r="AF40" s="378">
        <f t="shared" si="10"/>
        <v>0</v>
      </c>
      <c r="AH40" s="557" t="str">
        <f>IF('MASTER PubCo Inputs'!C56="","",'MASTER PubCo Inputs'!C56)</f>
        <v>(Invalid Identifier)</v>
      </c>
      <c r="AI40" s="208">
        <f>'Comp.1'!AL40</f>
        <v>0</v>
      </c>
    </row>
    <row r="41" spans="2:35" ht="14.85" customHeight="1">
      <c r="B41" s="208">
        <f>'Comp.1'!B41</f>
        <v>0</v>
      </c>
      <c r="C41" s="378">
        <f>'Comp.1'!C41</f>
        <v>0</v>
      </c>
      <c r="E41" s="378" t="str">
        <f>'Capital IQ Sheet-GPC'!X42</f>
        <v xml:space="preserve"> (Invalid Identifier) </v>
      </c>
      <c r="F41" s="378" t="str">
        <f>'Capital IQ Sheet-GPC'!Y42</f>
        <v xml:space="preserve"> (Invalid Identifier) </v>
      </c>
      <c r="G41" s="378" t="str">
        <f>'Capital IQ Sheet-GPC'!Z42</f>
        <v>(Invalid Identifier)</v>
      </c>
      <c r="H41" s="283"/>
      <c r="I41" s="378" t="str">
        <f>'Capital IQ Sheet-GPC'!AA42</f>
        <v xml:space="preserve"> (Invalid Identifier) </v>
      </c>
      <c r="J41" s="378" t="str">
        <f>'Capital IQ Sheet-GPC'!AB42</f>
        <v xml:space="preserve"> (Invalid Identifier) </v>
      </c>
      <c r="K41" s="378" t="str">
        <f>'Capital IQ Sheet-GPC'!AC42</f>
        <v>(Invalid Identifier)</v>
      </c>
      <c r="L41" s="378" t="str">
        <f>'Capital IQ Sheet-GPC'!AD42</f>
        <v xml:space="preserve"> (Invalid Identifier) </v>
      </c>
      <c r="M41" s="378" t="str">
        <f>'Capital IQ Sheet-GPC'!AE42</f>
        <v xml:space="preserve"> (Invalid Identifier) </v>
      </c>
      <c r="O41" s="554" t="str">
        <f t="shared" si="0"/>
        <v>n/a</v>
      </c>
      <c r="P41" s="554" t="str">
        <f t="shared" si="1"/>
        <v>n/a</v>
      </c>
      <c r="Q41" s="554" t="str">
        <f t="shared" si="2"/>
        <v>n/a</v>
      </c>
      <c r="S41" s="554" t="str">
        <f t="shared" si="3"/>
        <v>n/a</v>
      </c>
      <c r="T41" s="554" t="str">
        <f t="shared" si="4"/>
        <v>n/a</v>
      </c>
      <c r="U41" s="554" t="str">
        <f t="shared" si="5"/>
        <v>n/a</v>
      </c>
      <c r="V41" s="554" t="str">
        <f t="shared" si="6"/>
        <v>n/a</v>
      </c>
      <c r="W41" s="554" t="str">
        <f t="shared" si="7"/>
        <v>n/a</v>
      </c>
      <c r="Y41" s="283">
        <f>'Comp.1'!AB41</f>
        <v>0</v>
      </c>
      <c r="Z41" s="283">
        <f>'Comp.1'!AC41</f>
        <v>0</v>
      </c>
      <c r="AA41" s="283">
        <f>'Comp.1'!AD41</f>
        <v>0</v>
      </c>
      <c r="AB41" s="283">
        <f>'Comp.1'!AE41</f>
        <v>0</v>
      </c>
      <c r="AC41" s="283">
        <f t="shared" si="8"/>
        <v>0</v>
      </c>
      <c r="AD41" s="283">
        <f t="shared" si="9"/>
        <v>0</v>
      </c>
      <c r="AE41" s="283">
        <f>'Comp.1'!AH41</f>
        <v>0</v>
      </c>
      <c r="AF41" s="378">
        <f t="shared" si="10"/>
        <v>0</v>
      </c>
      <c r="AH41" s="557" t="str">
        <f>IF('MASTER PubCo Inputs'!C57="","",'MASTER PubCo Inputs'!C57)</f>
        <v>(Invalid Identifier)</v>
      </c>
      <c r="AI41" s="208">
        <f>'Comp.1'!AL41</f>
        <v>0</v>
      </c>
    </row>
    <row r="42" spans="2:35" ht="14.85" customHeight="1">
      <c r="C42" s="283"/>
      <c r="E42" s="283"/>
      <c r="F42" s="283"/>
      <c r="G42" s="283"/>
      <c r="H42" s="283"/>
      <c r="I42" s="283"/>
      <c r="J42" s="283"/>
      <c r="K42" s="283"/>
      <c r="L42" s="283"/>
      <c r="M42" s="283"/>
    </row>
    <row r="43" spans="2:35" ht="14.85" customHeight="1">
      <c r="B43" s="428" t="s">
        <v>111</v>
      </c>
      <c r="C43" s="635">
        <f>MAX(C12:C42)</f>
        <v>6154.5</v>
      </c>
      <c r="D43" s="429"/>
      <c r="E43" s="635">
        <f>MAX(E12:E42)</f>
        <v>267.60000000000002</v>
      </c>
      <c r="F43" s="635">
        <f>MAX(F12:F42)</f>
        <v>10</v>
      </c>
      <c r="G43" s="635">
        <f>MAX(G12:G42)</f>
        <v>795.33299999999997</v>
      </c>
      <c r="H43" s="635"/>
      <c r="I43" s="635">
        <f>MAX(I12:I42)</f>
        <v>20.8</v>
      </c>
      <c r="J43" s="635">
        <f>MAX(J12:J42)</f>
        <v>0</v>
      </c>
      <c r="K43" s="635">
        <f>MAX(K12:K42)</f>
        <v>626.79100000000005</v>
      </c>
      <c r="L43" s="635">
        <f>MAX(L12:L42)</f>
        <v>-1.1000000000000001</v>
      </c>
      <c r="M43" s="635">
        <f>MAX(M12:M42)</f>
        <v>32.700000000000003</v>
      </c>
      <c r="N43" s="637"/>
      <c r="O43" s="638">
        <f>MAX(O12:O42)</f>
        <v>0.28923766816143487</v>
      </c>
      <c r="P43" s="638">
        <f>MAX(P12:P42)</f>
        <v>9.84</v>
      </c>
      <c r="Q43" s="638">
        <f>MAX(Q12:Q42)</f>
        <v>7.7382681216547038</v>
      </c>
      <c r="R43" s="637"/>
      <c r="S43" s="638">
        <f>MAX(S12:S42)</f>
        <v>4.7307692307692308</v>
      </c>
      <c r="T43" s="638">
        <f>MAX(T12:T42)</f>
        <v>0</v>
      </c>
      <c r="U43" s="638">
        <f>MAX(U12:U42)</f>
        <v>9.8190624945157143</v>
      </c>
      <c r="V43" s="638">
        <f>MAX(V12:V42)</f>
        <v>0.14534288638689885</v>
      </c>
      <c r="W43" s="639">
        <f>MAX(W12:W42)</f>
        <v>3.0091743119266052</v>
      </c>
      <c r="X43" s="354"/>
      <c r="Y43" s="354"/>
    </row>
    <row r="44" spans="2:35" ht="14.85" customHeight="1">
      <c r="B44" s="640" t="s">
        <v>115</v>
      </c>
      <c r="C44" s="570">
        <f>QUARTILE(C12:C42,3)</f>
        <v>74.699999999999989</v>
      </c>
      <c r="D44" s="568"/>
      <c r="E44" s="570">
        <f>QUARTILE(E12:E42,3)</f>
        <v>-20</v>
      </c>
      <c r="F44" s="570">
        <f>QUARTILE(F12:F42,3)</f>
        <v>-21.5</v>
      </c>
      <c r="G44" s="570">
        <f>QUARTILE(G12:G42,3)</f>
        <v>-16.616</v>
      </c>
      <c r="H44" s="570"/>
      <c r="I44" s="570">
        <f>QUARTILE(I12:I42,3)</f>
        <v>-24.2</v>
      </c>
      <c r="J44" s="570" t="e">
        <f>QUARTILE(J12:J42,3)</f>
        <v>#NUM!</v>
      </c>
      <c r="K44" s="570">
        <f>QUARTILE(K12:K42,3)</f>
        <v>-23.45</v>
      </c>
      <c r="L44" s="570">
        <f>QUARTILE(L12:L42,3)</f>
        <v>-66.650000000000006</v>
      </c>
      <c r="M44" s="570">
        <f>QUARTILE(M12:M42,3)</f>
        <v>-39.225000000000001</v>
      </c>
      <c r="N44" s="641"/>
      <c r="O44" s="569">
        <f>QUARTILE(O12:O42,3)</f>
        <v>-0.59380514016079955</v>
      </c>
      <c r="P44" s="569">
        <f>QUARTILE(P12:P42,3)</f>
        <v>-9.6774193548386941E-2</v>
      </c>
      <c r="Q44" s="569">
        <f>QUARTILE(Q12:Q42,3)</f>
        <v>4.2964330497536887</v>
      </c>
      <c r="R44" s="641"/>
      <c r="S44" s="569">
        <f>QUARTILE(S12:S42,3)</f>
        <v>-9.6153846153846007E-2</v>
      </c>
      <c r="T44" s="569" t="e">
        <f>QUARTILE(T12:T42,3)</f>
        <v>#NUM!</v>
      </c>
      <c r="U44" s="569">
        <f>QUARTILE(U12:U42,3)</f>
        <v>5.0006082650627723</v>
      </c>
      <c r="V44" s="569">
        <f>QUARTILE(V12:V42,3)</f>
        <v>0.12365362943663877</v>
      </c>
      <c r="W44" s="642">
        <f>QUARTILE(W12:W42,3)</f>
        <v>2.2798237719196375</v>
      </c>
      <c r="X44" s="354"/>
      <c r="Y44" s="354"/>
    </row>
    <row r="45" spans="2:35" ht="14.85" customHeight="1">
      <c r="B45" s="640" t="s">
        <v>113</v>
      </c>
      <c r="C45" s="570">
        <f>AVERAGE(C12:C42)</f>
        <v>289.09333333333331</v>
      </c>
      <c r="D45" s="568"/>
      <c r="E45" s="570">
        <f>AVERAGE(E12:E42)</f>
        <v>-39.05454545454544</v>
      </c>
      <c r="F45" s="570">
        <f>AVERAGE(F12:F42)</f>
        <v>-51.653846153846146</v>
      </c>
      <c r="G45" s="570">
        <f>AVERAGE(G12:G42)</f>
        <v>3.8916115384615302</v>
      </c>
      <c r="H45" s="570"/>
      <c r="I45" s="570">
        <f>AVERAGE(I12:I42)</f>
        <v>-52.184615384615391</v>
      </c>
      <c r="J45" s="570" t="e">
        <f>AVERAGE(J12:J42)</f>
        <v>#DIV/0!</v>
      </c>
      <c r="K45" s="570">
        <f>AVERAGE(K12:K42)</f>
        <v>19.615537142857161</v>
      </c>
      <c r="L45" s="570">
        <f>AVERAGE(L12:L42)</f>
        <v>-136.45000000000002</v>
      </c>
      <c r="M45" s="570">
        <f>AVERAGE(M12:M42)</f>
        <v>-57.8</v>
      </c>
      <c r="N45" s="641"/>
      <c r="O45" s="569">
        <f>AVERAGE(O12:O42)</f>
        <v>-13.563960435594417</v>
      </c>
      <c r="P45" s="569">
        <f>AVERAGE(P12:P42)</f>
        <v>-23.156145584842356</v>
      </c>
      <c r="Q45" s="569">
        <f>AVERAGE(Q12:Q42)</f>
        <v>2.9034614788067636</v>
      </c>
      <c r="R45" s="641"/>
      <c r="S45" s="569">
        <f>AVERAGE(S12:S42)</f>
        <v>-28.363756480043342</v>
      </c>
      <c r="T45" s="569" t="e">
        <f>AVERAGE(T12:T42)</f>
        <v>#DIV/0!</v>
      </c>
      <c r="U45" s="569">
        <f>AVERAGE(U12:U42)</f>
        <v>3.3588470684834069</v>
      </c>
      <c r="V45" s="569">
        <f>AVERAGE(V12:V42)</f>
        <v>0.1019643724863787</v>
      </c>
      <c r="W45" s="642">
        <f>AVERAGE(W12:W42)</f>
        <v>1.5504732319126697</v>
      </c>
      <c r="X45" s="354"/>
      <c r="Y45" s="354"/>
    </row>
    <row r="46" spans="2:35" ht="14.85" customHeight="1">
      <c r="B46" s="640" t="s">
        <v>44</v>
      </c>
      <c r="C46" s="570">
        <f>MEDIAN(C12:C42)</f>
        <v>0</v>
      </c>
      <c r="D46" s="568"/>
      <c r="E46" s="570">
        <f>MEDIAN(E12:E42)</f>
        <v>-31.4</v>
      </c>
      <c r="F46" s="570">
        <f>MEDIAN(F12:F42)</f>
        <v>-50.8</v>
      </c>
      <c r="G46" s="570">
        <f>MEDIAN(G12:G42)</f>
        <v>-49.353999999999999</v>
      </c>
      <c r="H46" s="570"/>
      <c r="I46" s="570">
        <f>MEDIAN(I12:I42)</f>
        <v>-42.7</v>
      </c>
      <c r="J46" s="570" t="e">
        <f>MEDIAN(J12:J42)</f>
        <v>#NUM!</v>
      </c>
      <c r="K46" s="570">
        <f>MEDIAN(K12:K42)</f>
        <v>-77</v>
      </c>
      <c r="L46" s="570">
        <f>MEDIAN(L12:L42)</f>
        <v>-98.35</v>
      </c>
      <c r="M46" s="570">
        <f>MEDIAN(M12:M42)</f>
        <v>-71.800000000000011</v>
      </c>
      <c r="N46" s="641"/>
      <c r="O46" s="569">
        <f>MEDIAN(O12:O42)</f>
        <v>-2.9986206896551728</v>
      </c>
      <c r="P46" s="569">
        <f>MEDIAN(P12:P42)</f>
        <v>-1.9480286738351258</v>
      </c>
      <c r="Q46" s="569">
        <f>MEDIAN(Q12:Q42)</f>
        <v>0.85459797785267322</v>
      </c>
      <c r="R46" s="641"/>
      <c r="S46" s="569">
        <f>MEDIAN(S12:S42)</f>
        <v>-1.8330522765598656</v>
      </c>
      <c r="T46" s="569" t="e">
        <f>MEDIAN(T12:T42)</f>
        <v>#NUM!</v>
      </c>
      <c r="U46" s="569">
        <f>MEDIAN(U12:U42)</f>
        <v>0.1821540356098314</v>
      </c>
      <c r="V46" s="569">
        <f>MEDIAN(V12:V42)</f>
        <v>0.10196437248637871</v>
      </c>
      <c r="W46" s="642">
        <f>MEDIAN(W12:W42)</f>
        <v>1.5504732319126697</v>
      </c>
      <c r="X46" s="354"/>
      <c r="Y46" s="354"/>
    </row>
    <row r="47" spans="2:35" ht="14.85" customHeight="1">
      <c r="B47" s="640" t="s">
        <v>114</v>
      </c>
      <c r="C47" s="570">
        <f>QUARTILE(C12:C42,1)</f>
        <v>0</v>
      </c>
      <c r="D47" s="568"/>
      <c r="E47" s="570">
        <f>QUARTILE(E12:E42,1)</f>
        <v>-82.15</v>
      </c>
      <c r="F47" s="570">
        <f>QUARTILE(F12:F42,1)</f>
        <v>-56.7</v>
      </c>
      <c r="G47" s="570">
        <f>QUARTILE(G12:G42,1)</f>
        <v>-81.247010000000003</v>
      </c>
      <c r="H47" s="570"/>
      <c r="I47" s="570">
        <f>QUARTILE(I12:I42,1)</f>
        <v>-68.5</v>
      </c>
      <c r="J47" s="570" t="e">
        <f>QUARTILE(J12:J42,1)</f>
        <v>#NUM!</v>
      </c>
      <c r="K47" s="570">
        <f>QUARTILE(K12:K42,1)</f>
        <v>-81.405619999999999</v>
      </c>
      <c r="L47" s="570">
        <f>QUARTILE(L12:L42,1)</f>
        <v>-194.32499999999999</v>
      </c>
      <c r="M47" s="570">
        <f>QUARTILE(M12:M42,1)</f>
        <v>-90.375</v>
      </c>
      <c r="N47" s="641"/>
      <c r="O47" s="569">
        <f>QUARTILE(O12:O42,1)</f>
        <v>-17.471684186413498</v>
      </c>
      <c r="P47" s="569">
        <f>QUARTILE(P12:P42,1)</f>
        <v>-8.7598425196850407</v>
      </c>
      <c r="Q47" s="569">
        <f>QUARTILE(Q12:Q42,1)</f>
        <v>0.48605815738279401</v>
      </c>
      <c r="R47" s="641"/>
      <c r="S47" s="569">
        <f>QUARTILE(S12:S42,1)</f>
        <v>-8.3804143126177024</v>
      </c>
      <c r="T47" s="569" t="e">
        <f>QUARTILE(T12:T42,1)</f>
        <v>#NUM!</v>
      </c>
      <c r="U47" s="569">
        <f>QUARTILE(U12:U42,1)</f>
        <v>0.12873935546725335</v>
      </c>
      <c r="V47" s="569">
        <f>QUARTILE(V12:V42,1)</f>
        <v>8.027511553611863E-2</v>
      </c>
      <c r="W47" s="642">
        <f>QUARTILE(W12:W42,1)</f>
        <v>0.82112269190570186</v>
      </c>
      <c r="X47" s="354"/>
      <c r="Y47" s="354"/>
    </row>
    <row r="48" spans="2:35" ht="14.85" customHeight="1">
      <c r="B48" s="572" t="s">
        <v>112</v>
      </c>
      <c r="C48" s="430">
        <f>MIN(C12:C42)</f>
        <v>-14.200000000000017</v>
      </c>
      <c r="D48" s="427"/>
      <c r="E48" s="430">
        <f>MIN(E12:E42)</f>
        <v>-240.7</v>
      </c>
      <c r="F48" s="430">
        <f>MIN(F12:F42)</f>
        <v>-150.6</v>
      </c>
      <c r="G48" s="430">
        <f>MIN(G12:G42)</f>
        <v>-151.2004</v>
      </c>
      <c r="H48" s="430"/>
      <c r="I48" s="430">
        <f>MIN(I12:I42)</f>
        <v>-148.9</v>
      </c>
      <c r="J48" s="430">
        <f>MIN(J12:J42)</f>
        <v>0</v>
      </c>
      <c r="K48" s="430">
        <f>MIN(K12:K42)</f>
        <v>-202.77099999999999</v>
      </c>
      <c r="L48" s="430">
        <f>MIN(L12:L42)</f>
        <v>-338.5</v>
      </c>
      <c r="M48" s="430">
        <f>MIN(M12:M42)</f>
        <v>-120.3</v>
      </c>
      <c r="N48" s="643"/>
      <c r="O48" s="573">
        <f>MIN(O12:O42)</f>
        <v>-67.042483660130728</v>
      </c>
      <c r="P48" s="573">
        <f>MIN(P12:P42)</f>
        <v>-147.99999999999997</v>
      </c>
      <c r="Q48" s="573">
        <f>MIN(Q12:Q42)</f>
        <v>0.1175183369129148</v>
      </c>
      <c r="R48" s="643"/>
      <c r="S48" s="573">
        <f>MIN(S12:S42)</f>
        <v>-254.31818181818181</v>
      </c>
      <c r="T48" s="573">
        <f>MIN(T12:T42)</f>
        <v>0</v>
      </c>
      <c r="U48" s="573">
        <f>MIN(U12:U42)</f>
        <v>7.5324675324675294E-2</v>
      </c>
      <c r="V48" s="573">
        <f>MIN(V12:V42)</f>
        <v>5.8585858585858554E-2</v>
      </c>
      <c r="W48" s="644">
        <f>MIN(W12:W42)</f>
        <v>9.1772151898734125E-2</v>
      </c>
      <c r="X48" s="354"/>
      <c r="Y48" s="354"/>
    </row>
    <row r="49" spans="2:2" ht="14.85" customHeight="1"/>
    <row r="50" spans="2:2" ht="14.85" customHeight="1">
      <c r="B50" s="295" t="s">
        <v>116</v>
      </c>
    </row>
    <row r="51" spans="2:2" ht="14.85" customHeight="1">
      <c r="B51" s="295"/>
    </row>
    <row r="52" spans="2:2" ht="14.85" customHeight="1"/>
    <row r="53" spans="2:2" ht="14.85" customHeight="1"/>
    <row r="54" spans="2:2" ht="14.85" customHeight="1"/>
    <row r="55" spans="2:2" ht="14.85" customHeight="1"/>
    <row r="56" spans="2:2" ht="14.85" customHeight="1"/>
    <row r="57" spans="2:2" ht="14.85" customHeight="1"/>
    <row r="58" spans="2:2" ht="14.85" customHeight="1"/>
    <row r="59" spans="2:2" ht="14.85" customHeight="1"/>
    <row r="60" spans="2:2" ht="14.85" customHeight="1"/>
    <row r="61" spans="2:2" ht="14.85" customHeight="1"/>
    <row r="62" spans="2:2" ht="14.85" customHeight="1"/>
    <row r="63" spans="2:2" ht="14.85" customHeight="1"/>
    <row r="64" spans="2:2"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12:C41">
    <cfRule type="cellIs" dxfId="76" priority="15" operator="equal">
      <formula>"(Invalid Identifier)"</formula>
    </cfRule>
  </conditionalFormatting>
  <conditionalFormatting sqref="C4:I4">
    <cfRule type="cellIs" dxfId="75" priority="14" stopIfTrue="1" operator="equal">
      <formula>"input"</formula>
    </cfRule>
  </conditionalFormatting>
  <conditionalFormatting sqref="J4">
    <cfRule type="cellIs" dxfId="74" priority="12" stopIfTrue="1" operator="equal">
      <formula>"input"</formula>
    </cfRule>
  </conditionalFormatting>
  <conditionalFormatting sqref="J4">
    <cfRule type="cellIs" dxfId="73" priority="13" stopIfTrue="1" operator="equal">
      <formula>"input"</formula>
    </cfRule>
  </conditionalFormatting>
  <conditionalFormatting sqref="K4:M4">
    <cfRule type="cellIs" dxfId="72" priority="10" stopIfTrue="1" operator="equal">
      <formula>"input"</formula>
    </cfRule>
  </conditionalFormatting>
  <conditionalFormatting sqref="K4:M4">
    <cfRule type="cellIs" dxfId="71" priority="11" stopIfTrue="1" operator="equal">
      <formula>"input"</formula>
    </cfRule>
  </conditionalFormatting>
  <conditionalFormatting sqref="N4">
    <cfRule type="cellIs" dxfId="70" priority="8" stopIfTrue="1" operator="equal">
      <formula>"input"</formula>
    </cfRule>
  </conditionalFormatting>
  <conditionalFormatting sqref="N4">
    <cfRule type="cellIs" dxfId="69" priority="9" stopIfTrue="1" operator="equal">
      <formula>"input"</formula>
    </cfRule>
  </conditionalFormatting>
  <conditionalFormatting sqref="O4:V4">
    <cfRule type="cellIs" dxfId="68" priority="6" stopIfTrue="1" operator="equal">
      <formula>"input"</formula>
    </cfRule>
  </conditionalFormatting>
  <conditionalFormatting sqref="O4:V4">
    <cfRule type="cellIs" dxfId="67" priority="7" stopIfTrue="1" operator="equal">
      <formula>"input"</formula>
    </cfRule>
  </conditionalFormatting>
  <conditionalFormatting sqref="W4">
    <cfRule type="cellIs" dxfId="66" priority="2" stopIfTrue="1" operator="equal">
      <formula>"input"</formula>
    </cfRule>
  </conditionalFormatting>
  <conditionalFormatting sqref="W4">
    <cfRule type="cellIs" dxfId="65" priority="3" stopIfTrue="1" operator="equal">
      <formula>"input"</formula>
    </cfRule>
  </conditionalFormatting>
  <conditionalFormatting sqref="B4">
    <cfRule type="cellIs" dxfId="64" priority="1" stopIfTrue="1" operator="equal">
      <formula>"input"</formula>
    </cfRule>
  </conditionalFormatting>
  <pageMargins left="0.5" right="0.5" top="0.5" bottom="0.5" header="0.5" footer="0.5"/>
  <pageSetup scale="84" fitToWidth="0" fitToHeight="0" orientation="landscape" r:id="rId1"/>
  <legacyDrawingHF r:id="rId2"/>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24"/>
  <dimension ref="A1:J764"/>
  <sheetViews>
    <sheetView showGridLines="0" view="pageBreakPreview" zoomScale="80" zoomScaleNormal="100" zoomScaleSheetLayoutView="80" workbookViewId="0"/>
  </sheetViews>
  <sheetFormatPr defaultRowHeight="12.75"/>
  <cols>
    <col min="1" max="1" width="4.5" style="208" customWidth="1"/>
    <col min="2" max="2" width="54.6640625" style="208" customWidth="1"/>
    <col min="3" max="3" width="3.33203125" style="208" customWidth="1"/>
    <col min="4" max="4" width="30.83203125" style="208" customWidth="1"/>
    <col min="5" max="5" width="2.83203125" style="208" customWidth="1"/>
    <col min="6" max="6" width="30.83203125" style="208" customWidth="1"/>
    <col min="7" max="7" width="1.83203125" style="208" customWidth="1"/>
    <col min="8" max="8" width="28.6640625" style="208" customWidth="1"/>
    <col min="9" max="9" width="4.5" style="208" customWidth="1"/>
    <col min="10" max="16384" width="9.33203125" style="208"/>
  </cols>
  <sheetData>
    <row r="1" spans="1:10" ht="10.7" customHeight="1" thickBot="1"/>
    <row r="2" spans="1:10" ht="16.5" customHeight="1" thickTop="1">
      <c r="B2" s="216" t="str">
        <f>'MASTER PubCo Inputs'!$C$5</f>
        <v>Medikine, Inc.</v>
      </c>
      <c r="C2" s="216"/>
      <c r="D2" s="216"/>
      <c r="E2" s="216"/>
      <c r="F2" s="216"/>
      <c r="G2" s="216"/>
      <c r="H2" s="216"/>
    </row>
    <row r="3" spans="1:10" ht="15.75" customHeight="1">
      <c r="B3" s="217" t="e">
        <f>VLOOKUP(B4,Outline!$E$8:$G$79,COLUMNS(Outline!$E$8:$G$8),FALSE)</f>
        <v>#N/A</v>
      </c>
      <c r="C3" s="217"/>
      <c r="D3" s="217"/>
      <c r="E3" s="217"/>
      <c r="F3" s="217"/>
      <c r="G3" s="217"/>
      <c r="H3" s="217"/>
    </row>
    <row r="4" spans="1:10" ht="16.5" customHeight="1" thickBot="1">
      <c r="B4" s="444" t="s">
        <v>576</v>
      </c>
      <c r="C4" s="444"/>
      <c r="D4" s="1237" t="s">
        <v>224</v>
      </c>
      <c r="E4" s="1238"/>
      <c r="F4" s="444"/>
      <c r="G4" s="444"/>
      <c r="H4" s="445"/>
    </row>
    <row r="5" spans="1:10" s="326" customFormat="1" ht="14.85" customHeight="1" thickTop="1">
      <c r="B5" s="577"/>
      <c r="C5" s="208"/>
      <c r="D5" s="208"/>
      <c r="E5" s="208"/>
      <c r="F5" s="208"/>
      <c r="G5" s="208"/>
      <c r="H5" s="208"/>
      <c r="I5" s="208"/>
      <c r="J5" s="208"/>
    </row>
    <row r="6" spans="1:10" s="326" customFormat="1" ht="14.85" customHeight="1">
      <c r="B6" s="208"/>
      <c r="C6" s="208"/>
      <c r="D6" s="208"/>
      <c r="E6" s="208"/>
      <c r="F6" s="208"/>
      <c r="G6" s="208"/>
      <c r="H6" s="208"/>
      <c r="I6" s="208"/>
    </row>
    <row r="7" spans="1:10" ht="14.85" customHeight="1">
      <c r="A7" s="326"/>
      <c r="B7" s="578" t="s">
        <v>234</v>
      </c>
      <c r="C7" s="449"/>
      <c r="D7" s="449" t="s">
        <v>1995</v>
      </c>
      <c r="E7" s="449"/>
      <c r="F7" s="449" t="s">
        <v>1996</v>
      </c>
      <c r="G7" s="449"/>
      <c r="H7" s="450" t="s">
        <v>1997</v>
      </c>
    </row>
    <row r="8" spans="1:10" ht="14.85" customHeight="1"/>
    <row r="9" spans="1:10" ht="14.85" customHeight="1">
      <c r="B9" s="208" t="s">
        <v>235</v>
      </c>
      <c r="D9" s="209" t="s">
        <v>225</v>
      </c>
      <c r="E9" s="209"/>
      <c r="F9" s="209" t="s">
        <v>225</v>
      </c>
      <c r="G9" s="209"/>
      <c r="H9" s="209" t="s">
        <v>226</v>
      </c>
    </row>
    <row r="10" spans="1:10" ht="14.85" customHeight="1">
      <c r="B10" s="208" t="s">
        <v>236</v>
      </c>
      <c r="D10" s="209" t="s">
        <v>227</v>
      </c>
      <c r="E10" s="209"/>
      <c r="F10" s="209" t="s">
        <v>227</v>
      </c>
      <c r="G10" s="209"/>
      <c r="H10" s="209" t="s">
        <v>227</v>
      </c>
    </row>
    <row r="11" spans="1:10" ht="14.85" customHeight="1">
      <c r="B11" s="208" t="s">
        <v>237</v>
      </c>
      <c r="D11" s="209" t="s">
        <v>228</v>
      </c>
      <c r="E11" s="209"/>
      <c r="F11" s="209" t="s">
        <v>229</v>
      </c>
      <c r="G11" s="209"/>
      <c r="H11" s="209" t="s">
        <v>230</v>
      </c>
    </row>
    <row r="12" spans="1:10" ht="14.85" customHeight="1">
      <c r="B12" s="208" t="s">
        <v>238</v>
      </c>
      <c r="D12" s="209" t="s">
        <v>231</v>
      </c>
      <c r="E12" s="209"/>
      <c r="F12" s="209" t="s">
        <v>232</v>
      </c>
      <c r="G12" s="209"/>
      <c r="H12" s="209" t="s">
        <v>233</v>
      </c>
    </row>
    <row r="13" spans="1:10" ht="14.85" customHeight="1"/>
    <row r="14" spans="1:10" ht="14.85" customHeight="1"/>
    <row r="15" spans="1:10" ht="14.85" customHeight="1">
      <c r="B15" s="291" t="s">
        <v>259</v>
      </c>
      <c r="C15" s="292"/>
      <c r="D15" s="292"/>
      <c r="E15" s="292"/>
      <c r="F15" s="292"/>
      <c r="G15" s="292"/>
      <c r="H15" s="579">
        <v>0.21</v>
      </c>
    </row>
    <row r="16" spans="1:10" ht="14.85" customHeight="1">
      <c r="B16" s="352"/>
      <c r="C16" s="352"/>
      <c r="D16" s="352"/>
      <c r="E16" s="352"/>
      <c r="F16" s="352"/>
      <c r="G16" s="352"/>
      <c r="H16" s="580"/>
    </row>
    <row r="17" spans="1:2" ht="14.85" customHeight="1">
      <c r="B17" s="295" t="s">
        <v>86</v>
      </c>
    </row>
    <row r="18" spans="1:2" ht="14.85" customHeight="1">
      <c r="A18" s="296" t="s">
        <v>224</v>
      </c>
      <c r="B18" s="512" t="s">
        <v>776</v>
      </c>
    </row>
    <row r="19" spans="1:2" ht="14.85" customHeight="1">
      <c r="A19" s="296" t="s">
        <v>223</v>
      </c>
      <c r="B19" s="231" t="s">
        <v>777</v>
      </c>
    </row>
    <row r="20" spans="1:2" ht="14.85" customHeight="1">
      <c r="A20" s="296" t="s">
        <v>262</v>
      </c>
      <c r="B20" s="231" t="s">
        <v>778</v>
      </c>
    </row>
    <row r="21" spans="1:2" ht="14.85" customHeight="1">
      <c r="A21" s="232"/>
      <c r="B21" s="231" t="s">
        <v>697</v>
      </c>
    </row>
    <row r="22" spans="1:2" ht="14.85" customHeight="1">
      <c r="A22" s="296" t="s">
        <v>263</v>
      </c>
      <c r="B22" s="231" t="s">
        <v>779</v>
      </c>
    </row>
    <row r="23" spans="1:2" ht="14.85" customHeight="1">
      <c r="A23" s="232"/>
      <c r="B23" s="231" t="s">
        <v>698</v>
      </c>
    </row>
    <row r="24" spans="1:2" ht="14.85" customHeight="1">
      <c r="A24" s="296" t="s">
        <v>264</v>
      </c>
      <c r="B24" s="231" t="s">
        <v>780</v>
      </c>
    </row>
    <row r="25" spans="1:2" ht="14.85" customHeight="1">
      <c r="A25" s="232"/>
      <c r="B25" s="231" t="s">
        <v>699</v>
      </c>
    </row>
    <row r="26" spans="1:2" ht="14.85" customHeight="1">
      <c r="A26" s="296" t="s">
        <v>281</v>
      </c>
      <c r="B26" s="231" t="s">
        <v>781</v>
      </c>
    </row>
    <row r="27" spans="1:2" ht="14.85" customHeight="1">
      <c r="A27" s="232"/>
      <c r="B27" s="231" t="s">
        <v>700</v>
      </c>
    </row>
    <row r="28" spans="1:2" ht="14.85" customHeight="1">
      <c r="A28" s="296" t="s">
        <v>282</v>
      </c>
      <c r="B28" s="231" t="s">
        <v>782</v>
      </c>
    </row>
    <row r="29" spans="1:2" ht="14.85" customHeight="1">
      <c r="A29" s="296" t="s">
        <v>283</v>
      </c>
      <c r="B29" s="231" t="s">
        <v>783</v>
      </c>
    </row>
    <row r="30" spans="1:2" ht="14.85" customHeight="1">
      <c r="B30" s="231" t="s">
        <v>701</v>
      </c>
    </row>
    <row r="31" spans="1:2" ht="14.85" customHeight="1"/>
    <row r="32" spans="1:2" ht="14.85" customHeight="1"/>
    <row r="33" ht="14.85" customHeight="1"/>
    <row r="34" ht="14.85" customHeight="1"/>
    <row r="35" ht="14.85" customHeight="1"/>
    <row r="36" ht="14.85" customHeight="1"/>
    <row r="37" ht="14.85" customHeight="1"/>
    <row r="38" ht="14.85" customHeight="1"/>
    <row r="39" ht="14.85" customHeight="1"/>
    <row r="40" ht="14.85" customHeight="1"/>
    <row r="41" ht="14.85" customHeight="1"/>
    <row r="42" ht="14.85" customHeight="1"/>
    <row r="43" ht="14.85" customHeight="1"/>
    <row r="44" ht="14.85" customHeight="1"/>
    <row r="45" ht="14.85" customHeight="1"/>
    <row r="46" ht="14.85" customHeight="1"/>
    <row r="47" ht="14.85" customHeight="1"/>
    <row r="48"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4:G4">
    <cfRule type="cellIs" dxfId="63" priority="5" stopIfTrue="1" operator="equal">
      <formula>"input"</formula>
    </cfRule>
  </conditionalFormatting>
  <conditionalFormatting sqref="H4">
    <cfRule type="cellIs" dxfId="62" priority="1" stopIfTrue="1" operator="equal">
      <formula>"input"</formula>
    </cfRule>
  </conditionalFormatting>
  <conditionalFormatting sqref="H4">
    <cfRule type="cellIs" dxfId="61" priority="2" stopIfTrue="1" operator="equal">
      <formula>"input"</formula>
    </cfRule>
  </conditionalFormatting>
  <pageMargins left="0.5" right="0.5" top="0.5" bottom="0.5" header="0.5" footer="0.5"/>
  <pageSetup scale="92" orientation="landscape" r:id="rId1"/>
  <legacyDrawing r:id="rId2"/>
  <legacyDrawingHF r:id="rId3"/>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52"/>
  <dimension ref="A1:AF764"/>
  <sheetViews>
    <sheetView showGridLines="0" view="pageBreakPreview" zoomScale="80" zoomScaleNormal="100" zoomScaleSheetLayoutView="80" workbookViewId="0"/>
  </sheetViews>
  <sheetFormatPr defaultColWidth="9.33203125" defaultRowHeight="12.75" outlineLevelCol="1"/>
  <cols>
    <col min="1" max="1" width="4.5" style="910" customWidth="1"/>
    <col min="2" max="2" width="14.83203125" style="910" customWidth="1"/>
    <col min="3" max="3" width="13.6640625" style="910" customWidth="1"/>
    <col min="4" max="4" width="32.83203125" style="910" customWidth="1"/>
    <col min="5" max="5" width="32.33203125" style="910" customWidth="1"/>
    <col min="6" max="6" width="11.33203125" style="910" hidden="1" customWidth="1" outlineLevel="1"/>
    <col min="7" max="7" width="18.1640625" style="910" customWidth="1" collapsed="1"/>
    <col min="8" max="8" width="20.5" style="910" customWidth="1"/>
    <col min="9" max="9" width="17.1640625" style="910" bestFit="1" customWidth="1"/>
    <col min="10" max="10" width="11.6640625" style="910" hidden="1" customWidth="1" outlineLevel="1"/>
    <col min="11" max="11" width="12" style="910" customWidth="1" collapsed="1"/>
    <col min="12" max="12" width="4.5" style="910" customWidth="1"/>
    <col min="13" max="16384" width="9.33203125" style="910"/>
  </cols>
  <sheetData>
    <row r="1" spans="2:14" ht="13.5" thickBot="1"/>
    <row r="2" spans="2:14" ht="15" thickTop="1">
      <c r="B2" s="216" t="str">
        <f>'MASTER PubCo Inputs'!$C$5</f>
        <v>Medikine, Inc.</v>
      </c>
      <c r="C2" s="216"/>
      <c r="D2" s="216"/>
      <c r="E2" s="216"/>
      <c r="F2" s="216"/>
      <c r="G2" s="216"/>
      <c r="H2" s="216"/>
      <c r="I2" s="216"/>
      <c r="J2" s="216"/>
      <c r="K2" s="216"/>
    </row>
    <row r="3" spans="2:14" ht="14.25">
      <c r="B3" s="217" t="e">
        <f>VLOOKUP(B4,Outline!$E$8:$G$79,COLUMNS(Outline!$E$8:$G$8),FALSE)</f>
        <v>#N/A</v>
      </c>
      <c r="C3" s="217"/>
      <c r="D3" s="217"/>
      <c r="E3" s="217"/>
      <c r="F3" s="217"/>
      <c r="G3" s="217"/>
      <c r="H3" s="217"/>
      <c r="I3" s="217"/>
      <c r="J3" s="217"/>
      <c r="K3" s="217"/>
    </row>
    <row r="4" spans="2:14" ht="15" thickBot="1">
      <c r="B4" s="1242" t="s">
        <v>794</v>
      </c>
      <c r="C4" s="1242"/>
      <c r="D4" s="1242"/>
      <c r="E4" s="1242"/>
      <c r="F4" s="1242"/>
      <c r="G4" s="444"/>
      <c r="H4" s="444"/>
      <c r="I4" s="444"/>
      <c r="J4" s="444"/>
      <c r="K4" s="445" t="str">
        <f>'MASTER PubCo Inputs'!C21</f>
        <v>(in thousands of USD)</v>
      </c>
      <c r="L4" s="911"/>
    </row>
    <row r="5" spans="2:14" ht="14.85" customHeight="1" thickTop="1"/>
    <row r="6" spans="2:14" ht="61.5" customHeight="1">
      <c r="B6" s="912" t="s">
        <v>795</v>
      </c>
      <c r="C6" s="913" t="s">
        <v>796</v>
      </c>
      <c r="D6" s="913" t="s">
        <v>797</v>
      </c>
      <c r="E6" s="913" t="s">
        <v>798</v>
      </c>
      <c r="F6" s="914" t="s">
        <v>1478</v>
      </c>
      <c r="G6" s="913" t="s">
        <v>799</v>
      </c>
      <c r="H6" s="915" t="s">
        <v>800</v>
      </c>
      <c r="I6" s="915" t="s">
        <v>801</v>
      </c>
      <c r="J6" s="916" t="s">
        <v>1479</v>
      </c>
      <c r="K6" s="917" t="s">
        <v>802</v>
      </c>
    </row>
    <row r="7" spans="2:14" ht="14.85" customHeight="1">
      <c r="B7" s="918"/>
      <c r="C7" s="919"/>
      <c r="D7" s="919"/>
      <c r="E7" s="919"/>
      <c r="F7" s="919"/>
      <c r="G7" s="919"/>
      <c r="H7" s="920"/>
      <c r="I7" s="920"/>
      <c r="J7" s="920"/>
      <c r="K7" s="920"/>
    </row>
    <row r="8" spans="2:14" ht="14.85" customHeight="1">
      <c r="B8" s="921" t="s">
        <v>803</v>
      </c>
      <c r="C8" s="919"/>
      <c r="D8" s="919"/>
      <c r="E8" s="919"/>
      <c r="F8" s="919"/>
      <c r="G8" s="919"/>
      <c r="H8" s="920"/>
      <c r="I8" s="920"/>
      <c r="J8" s="920"/>
      <c r="K8" s="920"/>
    </row>
    <row r="9" spans="2:14" ht="14.85" customHeight="1">
      <c r="B9" s="922">
        <v>42641</v>
      </c>
      <c r="C9" s="923" t="s">
        <v>804</v>
      </c>
      <c r="D9" s="924" t="s">
        <v>805</v>
      </c>
      <c r="E9" s="924" t="s">
        <v>806</v>
      </c>
      <c r="F9" s="924"/>
      <c r="G9" s="925" t="s">
        <v>732</v>
      </c>
      <c r="H9" s="926">
        <v>155000</v>
      </c>
      <c r="I9" s="926">
        <v>50000</v>
      </c>
      <c r="J9" s="926"/>
      <c r="K9" s="927">
        <f t="shared" ref="K9:K45" si="0">IFERROR(I9/H9,"n/a")</f>
        <v>0.32258064516129031</v>
      </c>
      <c r="M9" s="928" t="s">
        <v>807</v>
      </c>
      <c r="N9" s="576" t="s">
        <v>808</v>
      </c>
    </row>
    <row r="10" spans="2:14" ht="14.85" customHeight="1">
      <c r="B10" s="922">
        <v>42632</v>
      </c>
      <c r="C10" s="923" t="s">
        <v>804</v>
      </c>
      <c r="D10" s="924" t="s">
        <v>809</v>
      </c>
      <c r="E10" s="924" t="s">
        <v>810</v>
      </c>
      <c r="F10" s="924"/>
      <c r="G10" s="925" t="s">
        <v>732</v>
      </c>
      <c r="H10" s="926">
        <v>249000</v>
      </c>
      <c r="I10" s="926" t="s">
        <v>13</v>
      </c>
      <c r="J10" s="926"/>
      <c r="K10" s="927" t="str">
        <f t="shared" si="0"/>
        <v>n/a</v>
      </c>
      <c r="M10" s="928" t="s">
        <v>811</v>
      </c>
      <c r="N10" s="576"/>
    </row>
    <row r="11" spans="2:14" ht="14.85" customHeight="1">
      <c r="B11" s="922">
        <v>42628</v>
      </c>
      <c r="C11" s="923" t="s">
        <v>804</v>
      </c>
      <c r="D11" s="924" t="s">
        <v>812</v>
      </c>
      <c r="E11" s="924" t="s">
        <v>813</v>
      </c>
      <c r="F11" s="924"/>
      <c r="G11" s="925" t="s">
        <v>732</v>
      </c>
      <c r="H11" s="926">
        <v>250000</v>
      </c>
      <c r="I11" s="926" t="s">
        <v>13</v>
      </c>
      <c r="J11" s="926"/>
      <c r="K11" s="927" t="str">
        <f t="shared" si="0"/>
        <v>n/a</v>
      </c>
      <c r="M11" s="928" t="s">
        <v>814</v>
      </c>
      <c r="N11" s="576"/>
    </row>
    <row r="12" spans="2:14" ht="14.85" customHeight="1">
      <c r="B12" s="922">
        <v>42562</v>
      </c>
      <c r="C12" s="923" t="s">
        <v>804</v>
      </c>
      <c r="D12" s="924" t="s">
        <v>815</v>
      </c>
      <c r="E12" s="924" t="s">
        <v>816</v>
      </c>
      <c r="F12" s="924"/>
      <c r="G12" s="925" t="s">
        <v>732</v>
      </c>
      <c r="H12" s="926">
        <v>816000</v>
      </c>
      <c r="I12" s="926">
        <v>28000</v>
      </c>
      <c r="J12" s="926"/>
      <c r="K12" s="927">
        <f t="shared" si="0"/>
        <v>3.4313725490196081E-2</v>
      </c>
      <c r="M12" s="928" t="s">
        <v>817</v>
      </c>
    </row>
    <row r="13" spans="2:14" ht="14.85" customHeight="1">
      <c r="B13" s="922">
        <v>42557</v>
      </c>
      <c r="C13" s="923" t="s">
        <v>804</v>
      </c>
      <c r="D13" s="924" t="s">
        <v>818</v>
      </c>
      <c r="E13" s="924" t="s">
        <v>819</v>
      </c>
      <c r="F13" s="924"/>
      <c r="G13" s="925" t="s">
        <v>732</v>
      </c>
      <c r="H13" s="926">
        <v>374500</v>
      </c>
      <c r="I13" s="926">
        <v>5000</v>
      </c>
      <c r="J13" s="926"/>
      <c r="K13" s="927">
        <f t="shared" si="0"/>
        <v>1.335113484646195E-2</v>
      </c>
      <c r="M13" s="928" t="s">
        <v>820</v>
      </c>
    </row>
    <row r="14" spans="2:14" ht="14.85" customHeight="1">
      <c r="B14" s="922">
        <v>42549</v>
      </c>
      <c r="C14" s="923" t="s">
        <v>804</v>
      </c>
      <c r="D14" s="924" t="s">
        <v>821</v>
      </c>
      <c r="E14" s="924" t="s">
        <v>822</v>
      </c>
      <c r="F14" s="924"/>
      <c r="G14" s="925" t="s">
        <v>732</v>
      </c>
      <c r="H14" s="926">
        <v>2560000</v>
      </c>
      <c r="I14" s="926">
        <v>150000</v>
      </c>
      <c r="J14" s="926"/>
      <c r="K14" s="927">
        <f t="shared" si="0"/>
        <v>5.859375E-2</v>
      </c>
      <c r="M14" s="928" t="s">
        <v>823</v>
      </c>
    </row>
    <row r="15" spans="2:14" ht="14.85" customHeight="1">
      <c r="B15" s="922">
        <v>42529</v>
      </c>
      <c r="C15" s="923" t="s">
        <v>804</v>
      </c>
      <c r="D15" s="924" t="s">
        <v>824</v>
      </c>
      <c r="E15" s="924" t="s">
        <v>825</v>
      </c>
      <c r="F15" s="924"/>
      <c r="G15" s="925" t="s">
        <v>732</v>
      </c>
      <c r="H15" s="926">
        <v>303000</v>
      </c>
      <c r="I15" s="926">
        <v>3000</v>
      </c>
      <c r="J15" s="926"/>
      <c r="K15" s="927">
        <f t="shared" si="0"/>
        <v>9.9009900990099011E-3</v>
      </c>
      <c r="M15" s="928" t="s">
        <v>826</v>
      </c>
    </row>
    <row r="16" spans="2:14" ht="14.85" customHeight="1">
      <c r="B16" s="922">
        <v>42516</v>
      </c>
      <c r="C16" s="923" t="s">
        <v>804</v>
      </c>
      <c r="D16" s="924" t="s">
        <v>827</v>
      </c>
      <c r="E16" s="924" t="s">
        <v>828</v>
      </c>
      <c r="F16" s="924"/>
      <c r="G16" s="925" t="s">
        <v>732</v>
      </c>
      <c r="H16" s="926">
        <v>270900</v>
      </c>
      <c r="I16" s="926">
        <v>900</v>
      </c>
      <c r="J16" s="926"/>
      <c r="K16" s="927">
        <f t="shared" si="0"/>
        <v>3.3222591362126247E-3</v>
      </c>
    </row>
    <row r="17" spans="2:14" ht="14.85" customHeight="1">
      <c r="B17" s="922">
        <v>42508</v>
      </c>
      <c r="C17" s="923" t="s">
        <v>804</v>
      </c>
      <c r="D17" s="924" t="s">
        <v>806</v>
      </c>
      <c r="E17" s="924" t="s">
        <v>829</v>
      </c>
      <c r="F17" s="924"/>
      <c r="G17" s="925" t="s">
        <v>732</v>
      </c>
      <c r="H17" s="926">
        <v>740000</v>
      </c>
      <c r="I17" s="926">
        <v>75000</v>
      </c>
      <c r="J17" s="926"/>
      <c r="K17" s="927">
        <f t="shared" si="0"/>
        <v>0.10135135135135136</v>
      </c>
      <c r="M17" s="928" t="s">
        <v>830</v>
      </c>
    </row>
    <row r="18" spans="2:14" ht="14.85" customHeight="1">
      <c r="B18" s="922">
        <v>42481</v>
      </c>
      <c r="C18" s="923" t="s">
        <v>804</v>
      </c>
      <c r="D18" s="924" t="s">
        <v>831</v>
      </c>
      <c r="E18" s="924" t="s">
        <v>832</v>
      </c>
      <c r="F18" s="924"/>
      <c r="G18" s="925" t="s">
        <v>732</v>
      </c>
      <c r="H18" s="926">
        <v>685000</v>
      </c>
      <c r="I18" s="926">
        <v>40000</v>
      </c>
      <c r="J18" s="926"/>
      <c r="K18" s="927">
        <f t="shared" si="0"/>
        <v>5.8394160583941604E-2</v>
      </c>
      <c r="M18" s="928" t="s">
        <v>833</v>
      </c>
    </row>
    <row r="19" spans="2:14" ht="14.85" customHeight="1">
      <c r="B19" s="922">
        <v>42403</v>
      </c>
      <c r="C19" s="923" t="s">
        <v>804</v>
      </c>
      <c r="D19" s="924" t="s">
        <v>834</v>
      </c>
      <c r="E19" s="924" t="s">
        <v>835</v>
      </c>
      <c r="F19" s="924"/>
      <c r="G19" s="925" t="s">
        <v>732</v>
      </c>
      <c r="H19" s="926">
        <v>455000</v>
      </c>
      <c r="I19" s="926">
        <v>40000</v>
      </c>
      <c r="J19" s="926"/>
      <c r="K19" s="927">
        <f t="shared" si="0"/>
        <v>8.7912087912087919E-2</v>
      </c>
      <c r="M19" s="928"/>
    </row>
    <row r="20" spans="2:14" ht="14.85" customHeight="1">
      <c r="B20" s="922">
        <v>42396</v>
      </c>
      <c r="C20" s="923" t="s">
        <v>804</v>
      </c>
      <c r="D20" s="924" t="s">
        <v>836</v>
      </c>
      <c r="E20" s="924" t="s">
        <v>837</v>
      </c>
      <c r="F20" s="924"/>
      <c r="G20" s="925" t="s">
        <v>732</v>
      </c>
      <c r="H20" s="926">
        <v>515000</v>
      </c>
      <c r="I20" s="926">
        <v>15000</v>
      </c>
      <c r="J20" s="926"/>
      <c r="K20" s="927">
        <f t="shared" si="0"/>
        <v>2.9126213592233011E-2</v>
      </c>
    </row>
    <row r="21" spans="2:14" ht="14.85" customHeight="1">
      <c r="B21" s="922">
        <v>42380</v>
      </c>
      <c r="C21" s="923" t="s">
        <v>804</v>
      </c>
      <c r="D21" s="924" t="s">
        <v>838</v>
      </c>
      <c r="E21" s="924" t="s">
        <v>839</v>
      </c>
      <c r="F21" s="924"/>
      <c r="G21" s="925" t="s">
        <v>732</v>
      </c>
      <c r="H21" s="926">
        <v>22500</v>
      </c>
      <c r="I21" s="926">
        <v>17500</v>
      </c>
      <c r="J21" s="926"/>
      <c r="K21" s="927">
        <f t="shared" si="0"/>
        <v>0.77777777777777779</v>
      </c>
    </row>
    <row r="22" spans="2:14" ht="14.85" customHeight="1">
      <c r="B22" s="922">
        <v>42296</v>
      </c>
      <c r="C22" s="923" t="s">
        <v>804</v>
      </c>
      <c r="D22" s="924" t="s">
        <v>840</v>
      </c>
      <c r="E22" s="924" t="s">
        <v>841</v>
      </c>
      <c r="F22" s="924"/>
      <c r="G22" s="925" t="s">
        <v>732</v>
      </c>
      <c r="H22" s="926">
        <v>6000</v>
      </c>
      <c r="I22" s="926">
        <v>6000</v>
      </c>
      <c r="J22" s="926"/>
      <c r="K22" s="927">
        <f t="shared" si="0"/>
        <v>1</v>
      </c>
    </row>
    <row r="23" spans="2:14" ht="14.85" customHeight="1">
      <c r="B23" s="922">
        <v>42288</v>
      </c>
      <c r="C23" s="923" t="s">
        <v>804</v>
      </c>
      <c r="D23" s="924" t="s">
        <v>842</v>
      </c>
      <c r="E23" s="924" t="s">
        <v>843</v>
      </c>
      <c r="F23" s="924"/>
      <c r="G23" s="925" t="s">
        <v>732</v>
      </c>
      <c r="H23" s="926">
        <v>1000000</v>
      </c>
      <c r="I23" s="926">
        <v>0</v>
      </c>
      <c r="J23" s="926"/>
      <c r="K23" s="927">
        <f t="shared" si="0"/>
        <v>0</v>
      </c>
      <c r="M23" s="928" t="s">
        <v>844</v>
      </c>
    </row>
    <row r="24" spans="2:14" ht="14.85" customHeight="1">
      <c r="B24" s="922">
        <v>42284</v>
      </c>
      <c r="C24" s="923" t="s">
        <v>804</v>
      </c>
      <c r="D24" s="924" t="s">
        <v>845</v>
      </c>
      <c r="E24" s="924" t="s">
        <v>846</v>
      </c>
      <c r="F24" s="924"/>
      <c r="G24" s="925" t="s">
        <v>732</v>
      </c>
      <c r="H24" s="926">
        <v>56081</v>
      </c>
      <c r="I24" s="926">
        <v>0</v>
      </c>
      <c r="J24" s="926"/>
      <c r="K24" s="927">
        <f t="shared" si="0"/>
        <v>0</v>
      </c>
    </row>
    <row r="25" spans="2:14" ht="14.85" customHeight="1">
      <c r="B25" s="922">
        <v>42277</v>
      </c>
      <c r="C25" s="923" t="s">
        <v>804</v>
      </c>
      <c r="D25" s="924" t="s">
        <v>847</v>
      </c>
      <c r="E25" s="924" t="s">
        <v>848</v>
      </c>
      <c r="F25" s="924"/>
      <c r="G25" s="925" t="s">
        <v>732</v>
      </c>
      <c r="H25" s="926">
        <v>500000</v>
      </c>
      <c r="I25" s="926">
        <v>15000</v>
      </c>
      <c r="J25" s="926"/>
      <c r="K25" s="927">
        <f t="shared" si="0"/>
        <v>0.03</v>
      </c>
    </row>
    <row r="26" spans="2:14" ht="14.85" customHeight="1">
      <c r="B26" s="922">
        <v>42271</v>
      </c>
      <c r="C26" s="923" t="s">
        <v>804</v>
      </c>
      <c r="D26" s="924" t="s">
        <v>812</v>
      </c>
      <c r="E26" s="924" t="s">
        <v>849</v>
      </c>
      <c r="F26" s="924"/>
      <c r="G26" s="925" t="s">
        <v>732</v>
      </c>
      <c r="H26" s="926">
        <v>2500</v>
      </c>
      <c r="I26" s="926">
        <v>2500</v>
      </c>
      <c r="J26" s="926"/>
      <c r="K26" s="927">
        <f t="shared" si="0"/>
        <v>1</v>
      </c>
    </row>
    <row r="27" spans="2:14" ht="14.85" customHeight="1">
      <c r="B27" s="922">
        <v>42263</v>
      </c>
      <c r="C27" s="923" t="s">
        <v>804</v>
      </c>
      <c r="D27" s="924" t="s">
        <v>850</v>
      </c>
      <c r="E27" s="924" t="s">
        <v>822</v>
      </c>
      <c r="F27" s="924"/>
      <c r="G27" s="925" t="s">
        <v>732</v>
      </c>
      <c r="H27" s="926">
        <v>1745000</v>
      </c>
      <c r="I27" s="926">
        <v>45000</v>
      </c>
      <c r="J27" s="926"/>
      <c r="K27" s="927">
        <f t="shared" si="0"/>
        <v>2.5787965616045846E-2</v>
      </c>
      <c r="M27" s="910" t="s">
        <v>851</v>
      </c>
    </row>
    <row r="28" spans="2:14" ht="14.85" customHeight="1">
      <c r="B28" s="922">
        <v>42222</v>
      </c>
      <c r="C28" s="923" t="s">
        <v>804</v>
      </c>
      <c r="D28" s="924" t="s">
        <v>852</v>
      </c>
      <c r="E28" s="924" t="s">
        <v>853</v>
      </c>
      <c r="F28" s="924"/>
      <c r="G28" s="925" t="s">
        <v>732</v>
      </c>
      <c r="H28" s="926">
        <v>510000</v>
      </c>
      <c r="I28" s="926">
        <v>10000</v>
      </c>
      <c r="J28" s="926"/>
      <c r="K28" s="927">
        <f t="shared" si="0"/>
        <v>1.9607843137254902E-2</v>
      </c>
      <c r="M28" s="910" t="s">
        <v>854</v>
      </c>
      <c r="N28" s="910" t="s">
        <v>855</v>
      </c>
    </row>
    <row r="29" spans="2:14" ht="14.85" customHeight="1">
      <c r="B29" s="922">
        <v>42213</v>
      </c>
      <c r="C29" s="923" t="s">
        <v>804</v>
      </c>
      <c r="D29" s="924" t="s">
        <v>856</v>
      </c>
      <c r="E29" s="924" t="s">
        <v>857</v>
      </c>
      <c r="F29" s="924"/>
      <c r="G29" s="925" t="s">
        <v>732</v>
      </c>
      <c r="H29" s="926">
        <v>2170000</v>
      </c>
      <c r="I29" s="926">
        <v>640000</v>
      </c>
      <c r="J29" s="926"/>
      <c r="K29" s="927">
        <f t="shared" si="0"/>
        <v>0.29493087557603687</v>
      </c>
      <c r="M29" s="928" t="s">
        <v>858</v>
      </c>
    </row>
    <row r="30" spans="2:14" ht="14.85" customHeight="1">
      <c r="B30" s="922">
        <v>42213</v>
      </c>
      <c r="C30" s="923" t="s">
        <v>804</v>
      </c>
      <c r="D30" s="924" t="s">
        <v>859</v>
      </c>
      <c r="E30" s="924" t="s">
        <v>860</v>
      </c>
      <c r="F30" s="924"/>
      <c r="G30" s="925" t="s">
        <v>732</v>
      </c>
      <c r="H30" s="926">
        <v>209908.19999999998</v>
      </c>
      <c r="I30" s="926">
        <v>0</v>
      </c>
      <c r="J30" s="926"/>
      <c r="K30" s="927">
        <f t="shared" si="0"/>
        <v>0</v>
      </c>
    </row>
    <row r="31" spans="2:14" ht="14.85" customHeight="1">
      <c r="B31" s="922">
        <v>42200</v>
      </c>
      <c r="C31" s="923" t="s">
        <v>804</v>
      </c>
      <c r="D31" s="924" t="s">
        <v>861</v>
      </c>
      <c r="E31" s="924" t="s">
        <v>862</v>
      </c>
      <c r="F31" s="924"/>
      <c r="G31" s="925" t="s">
        <v>732</v>
      </c>
      <c r="H31" s="926">
        <v>353000</v>
      </c>
      <c r="I31" s="926">
        <v>10000</v>
      </c>
      <c r="J31" s="926"/>
      <c r="K31" s="927">
        <f t="shared" si="0"/>
        <v>2.8328611898016998E-2</v>
      </c>
      <c r="M31" s="928" t="s">
        <v>863</v>
      </c>
    </row>
    <row r="32" spans="2:14" ht="14.85" customHeight="1">
      <c r="B32" s="922">
        <v>42131</v>
      </c>
      <c r="C32" s="923" t="s">
        <v>804</v>
      </c>
      <c r="D32" s="924" t="s">
        <v>864</v>
      </c>
      <c r="E32" s="924" t="s">
        <v>865</v>
      </c>
      <c r="F32" s="924"/>
      <c r="G32" s="925" t="s">
        <v>732</v>
      </c>
      <c r="H32" s="926">
        <v>3118.2</v>
      </c>
      <c r="I32" s="926">
        <v>0</v>
      </c>
      <c r="J32" s="926"/>
      <c r="K32" s="927">
        <f t="shared" si="0"/>
        <v>0</v>
      </c>
    </row>
    <row r="33" spans="2:13" ht="14.85" customHeight="1">
      <c r="B33" s="922">
        <v>42114</v>
      </c>
      <c r="C33" s="923" t="s">
        <v>804</v>
      </c>
      <c r="D33" s="924" t="s">
        <v>866</v>
      </c>
      <c r="E33" s="924" t="s">
        <v>867</v>
      </c>
      <c r="F33" s="924"/>
      <c r="G33" s="925" t="s">
        <v>868</v>
      </c>
      <c r="H33" s="926">
        <v>555000</v>
      </c>
      <c r="I33" s="926">
        <v>25000</v>
      </c>
      <c r="J33" s="926"/>
      <c r="K33" s="927">
        <f t="shared" si="0"/>
        <v>4.5045045045045043E-2</v>
      </c>
    </row>
    <row r="34" spans="2:13" ht="14.85" customHeight="1">
      <c r="B34" s="922">
        <v>42093</v>
      </c>
      <c r="C34" s="923" t="s">
        <v>804</v>
      </c>
      <c r="D34" s="924" t="s">
        <v>869</v>
      </c>
      <c r="E34" s="924" t="s">
        <v>870</v>
      </c>
      <c r="F34" s="924"/>
      <c r="G34" s="925" t="s">
        <v>732</v>
      </c>
      <c r="H34" s="926">
        <v>750000</v>
      </c>
      <c r="I34" s="926">
        <v>200000</v>
      </c>
      <c r="J34" s="926"/>
      <c r="K34" s="927">
        <f>IFERROR(I34/H34,"n/a")</f>
        <v>0.26666666666666666</v>
      </c>
      <c r="M34" s="929" t="s">
        <v>871</v>
      </c>
    </row>
    <row r="35" spans="2:13" ht="14.85" customHeight="1">
      <c r="B35" s="922">
        <v>42081</v>
      </c>
      <c r="C35" s="923" t="s">
        <v>804</v>
      </c>
      <c r="D35" s="924" t="s">
        <v>872</v>
      </c>
      <c r="E35" s="924" t="s">
        <v>873</v>
      </c>
      <c r="F35" s="924"/>
      <c r="G35" s="925" t="s">
        <v>732</v>
      </c>
      <c r="H35" s="926">
        <v>3000</v>
      </c>
      <c r="I35" s="926">
        <v>3000</v>
      </c>
      <c r="J35" s="926"/>
      <c r="K35" s="927">
        <f t="shared" si="0"/>
        <v>1</v>
      </c>
      <c r="M35" s="928" t="s">
        <v>874</v>
      </c>
    </row>
    <row r="36" spans="2:13" ht="14.85" customHeight="1">
      <c r="B36" s="922">
        <v>42075</v>
      </c>
      <c r="C36" s="923" t="s">
        <v>804</v>
      </c>
      <c r="D36" s="925" t="s">
        <v>13</v>
      </c>
      <c r="E36" s="924" t="s">
        <v>875</v>
      </c>
      <c r="F36" s="924"/>
      <c r="G36" s="925" t="s">
        <v>732</v>
      </c>
      <c r="H36" s="926">
        <v>24375</v>
      </c>
      <c r="I36" s="926">
        <v>500</v>
      </c>
      <c r="J36" s="926"/>
      <c r="K36" s="927">
        <f t="shared" si="0"/>
        <v>2.0512820512820513E-2</v>
      </c>
    </row>
    <row r="37" spans="2:13" ht="14.85" customHeight="1">
      <c r="B37" s="922">
        <v>42068</v>
      </c>
      <c r="C37" s="923" t="s">
        <v>804</v>
      </c>
      <c r="D37" s="924" t="s">
        <v>876</v>
      </c>
      <c r="E37" s="924" t="s">
        <v>877</v>
      </c>
      <c r="F37" s="924"/>
      <c r="G37" s="925" t="s">
        <v>732</v>
      </c>
      <c r="H37" s="926">
        <v>109200</v>
      </c>
      <c r="I37" s="926">
        <v>600</v>
      </c>
      <c r="J37" s="926"/>
      <c r="K37" s="927">
        <f t="shared" si="0"/>
        <v>5.4945054945054949E-3</v>
      </c>
    </row>
    <row r="38" spans="2:13" ht="14.85" customHeight="1">
      <c r="B38" s="922">
        <v>42006</v>
      </c>
      <c r="C38" s="923" t="s">
        <v>804</v>
      </c>
      <c r="D38" s="924" t="s">
        <v>878</v>
      </c>
      <c r="E38" s="924" t="s">
        <v>879</v>
      </c>
      <c r="F38" s="924"/>
      <c r="G38" s="925" t="s">
        <v>732</v>
      </c>
      <c r="H38" s="926">
        <v>700</v>
      </c>
      <c r="I38" s="926">
        <v>0</v>
      </c>
      <c r="J38" s="926"/>
      <c r="K38" s="927">
        <f t="shared" si="0"/>
        <v>0</v>
      </c>
    </row>
    <row r="39" spans="2:13" ht="14.85" customHeight="1">
      <c r="B39" s="922">
        <v>41981</v>
      </c>
      <c r="C39" s="923" t="s">
        <v>804</v>
      </c>
      <c r="D39" s="924" t="s">
        <v>812</v>
      </c>
      <c r="E39" s="924" t="s">
        <v>880</v>
      </c>
      <c r="F39" s="924"/>
      <c r="G39" s="925" t="s">
        <v>732</v>
      </c>
      <c r="H39" s="926">
        <v>29486.2</v>
      </c>
      <c r="I39" s="926">
        <v>29470</v>
      </c>
      <c r="J39" s="926"/>
      <c r="K39" s="927">
        <f t="shared" si="0"/>
        <v>0.99945059044569995</v>
      </c>
    </row>
    <row r="40" spans="2:13" ht="14.85" customHeight="1">
      <c r="B40" s="922">
        <v>41855</v>
      </c>
      <c r="C40" s="923" t="s">
        <v>804</v>
      </c>
      <c r="D40" s="924" t="s">
        <v>881</v>
      </c>
      <c r="E40" s="924" t="s">
        <v>882</v>
      </c>
      <c r="F40" s="924"/>
      <c r="G40" s="925" t="s">
        <v>732</v>
      </c>
      <c r="H40" s="926">
        <v>3500</v>
      </c>
      <c r="I40" s="926">
        <v>3500</v>
      </c>
      <c r="J40" s="926"/>
      <c r="K40" s="927">
        <f t="shared" si="0"/>
        <v>1</v>
      </c>
    </row>
    <row r="41" spans="2:13" ht="14.85" customHeight="1">
      <c r="B41" s="922">
        <v>41813</v>
      </c>
      <c r="C41" s="923" t="s">
        <v>804</v>
      </c>
      <c r="D41" s="924" t="s">
        <v>883</v>
      </c>
      <c r="E41" s="924" t="s">
        <v>884</v>
      </c>
      <c r="F41" s="924"/>
      <c r="G41" s="925" t="s">
        <v>732</v>
      </c>
      <c r="H41" s="926">
        <v>208000</v>
      </c>
      <c r="I41" s="926">
        <v>1000</v>
      </c>
      <c r="J41" s="926"/>
      <c r="K41" s="927">
        <f t="shared" si="0"/>
        <v>4.807692307692308E-3</v>
      </c>
    </row>
    <row r="42" spans="2:13" ht="14.85" customHeight="1">
      <c r="B42" s="922">
        <v>41751</v>
      </c>
      <c r="C42" s="923" t="s">
        <v>804</v>
      </c>
      <c r="D42" s="924" t="s">
        <v>885</v>
      </c>
      <c r="E42" s="924" t="s">
        <v>886</v>
      </c>
      <c r="F42" s="924"/>
      <c r="G42" s="925" t="s">
        <v>732</v>
      </c>
      <c r="H42" s="926">
        <v>174000</v>
      </c>
      <c r="I42" s="926">
        <v>0</v>
      </c>
      <c r="J42" s="926"/>
      <c r="K42" s="927">
        <f t="shared" si="0"/>
        <v>0</v>
      </c>
    </row>
    <row r="43" spans="2:13" ht="14.85" customHeight="1">
      <c r="B43" s="922">
        <v>41591</v>
      </c>
      <c r="C43" s="923" t="s">
        <v>804</v>
      </c>
      <c r="D43" s="924" t="s">
        <v>887</v>
      </c>
      <c r="E43" s="925" t="s">
        <v>13</v>
      </c>
      <c r="F43" s="925"/>
      <c r="G43" s="925" t="s">
        <v>732</v>
      </c>
      <c r="H43" s="926">
        <v>232000</v>
      </c>
      <c r="I43" s="926">
        <v>0</v>
      </c>
      <c r="J43" s="926"/>
      <c r="K43" s="927">
        <f t="shared" si="0"/>
        <v>0</v>
      </c>
    </row>
    <row r="44" spans="2:13" ht="14.85" customHeight="1">
      <c r="B44" s="922">
        <v>41418</v>
      </c>
      <c r="C44" s="923" t="s">
        <v>804</v>
      </c>
      <c r="D44" s="924" t="s">
        <v>888</v>
      </c>
      <c r="E44" s="924" t="s">
        <v>889</v>
      </c>
      <c r="F44" s="924"/>
      <c r="G44" s="925" t="s">
        <v>732</v>
      </c>
      <c r="H44" s="926">
        <v>246000</v>
      </c>
      <c r="I44" s="926">
        <v>13000</v>
      </c>
      <c r="J44" s="926"/>
      <c r="K44" s="927">
        <f t="shared" si="0"/>
        <v>5.2845528455284556E-2</v>
      </c>
    </row>
    <row r="45" spans="2:13" ht="14.85" customHeight="1">
      <c r="B45" s="922">
        <v>41186</v>
      </c>
      <c r="C45" s="923" t="s">
        <v>804</v>
      </c>
      <c r="D45" s="924" t="s">
        <v>890</v>
      </c>
      <c r="E45" s="924" t="s">
        <v>891</v>
      </c>
      <c r="F45" s="924"/>
      <c r="G45" s="925" t="s">
        <v>732</v>
      </c>
      <c r="H45" s="926">
        <v>60000</v>
      </c>
      <c r="I45" s="926">
        <v>5000</v>
      </c>
      <c r="J45" s="926"/>
      <c r="K45" s="927">
        <f t="shared" si="0"/>
        <v>8.3333333333333329E-2</v>
      </c>
    </row>
    <row r="46" spans="2:13" ht="14.85" customHeight="1">
      <c r="B46" s="922"/>
      <c r="C46" s="923"/>
      <c r="D46" s="924"/>
      <c r="E46" s="924"/>
      <c r="F46" s="924"/>
      <c r="G46" s="925"/>
      <c r="H46" s="926"/>
      <c r="I46" s="926"/>
      <c r="J46" s="926"/>
      <c r="K46" s="927"/>
    </row>
    <row r="47" spans="2:13" ht="14.85" customHeight="1">
      <c r="B47" s="930" t="s">
        <v>501</v>
      </c>
      <c r="C47" s="923"/>
      <c r="D47" s="924"/>
      <c r="E47" s="924"/>
      <c r="F47" s="924"/>
      <c r="G47" s="925"/>
      <c r="H47" s="926"/>
      <c r="I47" s="926"/>
      <c r="J47" s="926"/>
      <c r="K47" s="927"/>
    </row>
    <row r="48" spans="2:13" ht="14.85" customHeight="1">
      <c r="B48" s="922">
        <v>42674</v>
      </c>
      <c r="C48" s="923" t="s">
        <v>804</v>
      </c>
      <c r="D48" s="924" t="s">
        <v>892</v>
      </c>
      <c r="E48" s="924" t="s">
        <v>893</v>
      </c>
      <c r="F48" s="924"/>
      <c r="G48" s="925" t="s">
        <v>501</v>
      </c>
      <c r="H48" s="926">
        <v>3000</v>
      </c>
      <c r="I48" s="926">
        <v>2570</v>
      </c>
      <c r="J48" s="926"/>
      <c r="K48" s="927">
        <f t="shared" ref="K48:K59" si="1">IFERROR(I48/H48,"n/a")</f>
        <v>0.85666666666666669</v>
      </c>
      <c r="M48" s="910" t="s">
        <v>894</v>
      </c>
    </row>
    <row r="49" spans="2:13" ht="14.85" customHeight="1">
      <c r="B49" s="922">
        <v>42642</v>
      </c>
      <c r="C49" s="923" t="s">
        <v>804</v>
      </c>
      <c r="D49" s="924" t="s">
        <v>893</v>
      </c>
      <c r="E49" s="924" t="s">
        <v>895</v>
      </c>
      <c r="F49" s="924"/>
      <c r="G49" s="925" t="s">
        <v>501</v>
      </c>
      <c r="H49" s="926">
        <v>910000</v>
      </c>
      <c r="I49" s="926">
        <v>80000</v>
      </c>
      <c r="J49" s="926"/>
      <c r="K49" s="927">
        <f>IFERROR(I49/H49,"n/a")</f>
        <v>8.7912087912087919E-2</v>
      </c>
      <c r="M49" s="931" t="s">
        <v>896</v>
      </c>
    </row>
    <row r="50" spans="2:13" ht="14.85" customHeight="1">
      <c r="B50" s="922">
        <v>42450</v>
      </c>
      <c r="C50" s="923" t="s">
        <v>804</v>
      </c>
      <c r="D50" s="924" t="s">
        <v>897</v>
      </c>
      <c r="E50" s="924" t="s">
        <v>898</v>
      </c>
      <c r="F50" s="924"/>
      <c r="G50" s="925" t="s">
        <v>501</v>
      </c>
      <c r="H50" s="926">
        <v>134000</v>
      </c>
      <c r="I50" s="926">
        <v>1000</v>
      </c>
      <c r="J50" s="926"/>
      <c r="K50" s="927">
        <f t="shared" si="1"/>
        <v>7.462686567164179E-3</v>
      </c>
      <c r="M50" s="928" t="s">
        <v>899</v>
      </c>
    </row>
    <row r="51" spans="2:13" ht="14.85" customHeight="1">
      <c r="B51" s="922">
        <v>42401</v>
      </c>
      <c r="C51" s="923" t="s">
        <v>804</v>
      </c>
      <c r="D51" s="924" t="s">
        <v>900</v>
      </c>
      <c r="E51" s="924" t="s">
        <v>901</v>
      </c>
      <c r="F51" s="924"/>
      <c r="G51" s="925" t="s">
        <v>501</v>
      </c>
      <c r="H51" s="926">
        <v>280000</v>
      </c>
      <c r="I51" s="926">
        <v>0</v>
      </c>
      <c r="J51" s="926"/>
      <c r="K51" s="927">
        <f t="shared" si="1"/>
        <v>0</v>
      </c>
    </row>
    <row r="52" spans="2:13" ht="14.85" customHeight="1">
      <c r="B52" s="922">
        <v>42324</v>
      </c>
      <c r="C52" s="923" t="s">
        <v>804</v>
      </c>
      <c r="D52" s="924" t="s">
        <v>902</v>
      </c>
      <c r="E52" s="924" t="s">
        <v>903</v>
      </c>
      <c r="F52" s="924"/>
      <c r="G52" s="925" t="s">
        <v>501</v>
      </c>
      <c r="H52" s="926">
        <v>10000</v>
      </c>
      <c r="I52" s="926">
        <v>0</v>
      </c>
      <c r="J52" s="926"/>
      <c r="K52" s="927">
        <f t="shared" si="1"/>
        <v>0</v>
      </c>
    </row>
    <row r="53" spans="2:13" ht="14.85" customHeight="1">
      <c r="B53" s="922">
        <v>42298</v>
      </c>
      <c r="C53" s="923" t="s">
        <v>804</v>
      </c>
      <c r="D53" s="924" t="s">
        <v>869</v>
      </c>
      <c r="E53" s="924" t="s">
        <v>904</v>
      </c>
      <c r="F53" s="924"/>
      <c r="G53" s="925" t="s">
        <v>501</v>
      </c>
      <c r="H53" s="926">
        <v>15000</v>
      </c>
      <c r="I53" s="926">
        <v>15000</v>
      </c>
      <c r="J53" s="926"/>
      <c r="K53" s="927">
        <f t="shared" si="1"/>
        <v>1</v>
      </c>
    </row>
    <row r="54" spans="2:13" ht="14.85" customHeight="1">
      <c r="B54" s="922">
        <v>42249</v>
      </c>
      <c r="C54" s="923" t="s">
        <v>804</v>
      </c>
      <c r="D54" s="924" t="s">
        <v>905</v>
      </c>
      <c r="E54" s="924" t="s">
        <v>906</v>
      </c>
      <c r="F54" s="924"/>
      <c r="G54" s="925" t="s">
        <v>501</v>
      </c>
      <c r="H54" s="926">
        <v>795000</v>
      </c>
      <c r="I54" s="926">
        <v>25000</v>
      </c>
      <c r="J54" s="926"/>
      <c r="K54" s="927">
        <f t="shared" si="1"/>
        <v>3.1446540880503145E-2</v>
      </c>
      <c r="M54" s="928" t="s">
        <v>907</v>
      </c>
    </row>
    <row r="55" spans="2:13" ht="14.85" customHeight="1">
      <c r="B55" s="922">
        <v>42035</v>
      </c>
      <c r="C55" s="923" t="s">
        <v>804</v>
      </c>
      <c r="D55" s="924" t="s">
        <v>838</v>
      </c>
      <c r="E55" s="924" t="s">
        <v>908</v>
      </c>
      <c r="F55" s="924"/>
      <c r="G55" s="925" t="s">
        <v>501</v>
      </c>
      <c r="H55" s="926">
        <v>120000</v>
      </c>
      <c r="I55" s="926">
        <v>0</v>
      </c>
      <c r="J55" s="926"/>
      <c r="K55" s="927">
        <f t="shared" si="1"/>
        <v>0</v>
      </c>
    </row>
    <row r="56" spans="2:13" ht="14.85" customHeight="1">
      <c r="B56" s="922">
        <v>41984</v>
      </c>
      <c r="C56" s="923" t="s">
        <v>804</v>
      </c>
      <c r="D56" s="924" t="s">
        <v>885</v>
      </c>
      <c r="E56" s="924" t="s">
        <v>909</v>
      </c>
      <c r="F56" s="924"/>
      <c r="G56" s="925" t="s">
        <v>501</v>
      </c>
      <c r="H56" s="926">
        <v>300000</v>
      </c>
      <c r="I56" s="926">
        <v>20000</v>
      </c>
      <c r="J56" s="926"/>
      <c r="K56" s="927">
        <f t="shared" si="1"/>
        <v>6.6666666666666666E-2</v>
      </c>
    </row>
    <row r="57" spans="2:13" ht="14.85" customHeight="1">
      <c r="B57" s="922">
        <v>41905</v>
      </c>
      <c r="C57" s="923" t="s">
        <v>804</v>
      </c>
      <c r="D57" s="924" t="s">
        <v>883</v>
      </c>
      <c r="E57" s="924" t="s">
        <v>910</v>
      </c>
      <c r="F57" s="924"/>
      <c r="G57" s="925" t="s">
        <v>501</v>
      </c>
      <c r="H57" s="926">
        <v>244000</v>
      </c>
      <c r="I57" s="926">
        <v>4000</v>
      </c>
      <c r="J57" s="926"/>
      <c r="K57" s="927">
        <f t="shared" si="1"/>
        <v>1.6393442622950821E-2</v>
      </c>
    </row>
    <row r="58" spans="2:13" ht="14.85" customHeight="1">
      <c r="B58" s="922">
        <v>41691</v>
      </c>
      <c r="C58" s="923" t="s">
        <v>804</v>
      </c>
      <c r="D58" s="924" t="s">
        <v>911</v>
      </c>
      <c r="E58" s="924" t="s">
        <v>912</v>
      </c>
      <c r="F58" s="924"/>
      <c r="G58" s="925" t="s">
        <v>501</v>
      </c>
      <c r="H58" s="926">
        <v>3000</v>
      </c>
      <c r="I58" s="926">
        <v>0</v>
      </c>
      <c r="J58" s="926"/>
      <c r="K58" s="927">
        <f t="shared" si="1"/>
        <v>0</v>
      </c>
    </row>
    <row r="59" spans="2:13" ht="14.85" customHeight="1">
      <c r="B59" s="922">
        <v>41241</v>
      </c>
      <c r="C59" s="923" t="s">
        <v>804</v>
      </c>
      <c r="D59" s="924" t="s">
        <v>840</v>
      </c>
      <c r="E59" s="924" t="s">
        <v>913</v>
      </c>
      <c r="F59" s="924"/>
      <c r="G59" s="925" t="s">
        <v>501</v>
      </c>
      <c r="H59" s="926">
        <v>9500</v>
      </c>
      <c r="I59" s="926">
        <v>9500</v>
      </c>
      <c r="J59" s="926"/>
      <c r="K59" s="927">
        <f t="shared" si="1"/>
        <v>1</v>
      </c>
    </row>
    <row r="60" spans="2:13" ht="14.85" customHeight="1">
      <c r="B60" s="922"/>
      <c r="C60" s="923"/>
      <c r="D60" s="924"/>
      <c r="E60" s="924"/>
      <c r="F60" s="924"/>
      <c r="G60" s="925"/>
      <c r="H60" s="926"/>
      <c r="I60" s="926"/>
      <c r="J60" s="926"/>
      <c r="K60" s="927"/>
    </row>
    <row r="61" spans="2:13" ht="14.85" customHeight="1">
      <c r="B61" s="930" t="s">
        <v>494</v>
      </c>
      <c r="C61" s="923"/>
      <c r="D61" s="924"/>
      <c r="E61" s="924"/>
      <c r="F61" s="924"/>
      <c r="G61" s="925"/>
      <c r="H61" s="926"/>
      <c r="I61" s="926"/>
      <c r="J61" s="926"/>
      <c r="K61" s="927"/>
    </row>
    <row r="62" spans="2:13" ht="14.85" customHeight="1">
      <c r="B62" s="922">
        <v>42590</v>
      </c>
      <c r="C62" s="923" t="s">
        <v>804</v>
      </c>
      <c r="D62" s="924" t="s">
        <v>914</v>
      </c>
      <c r="E62" s="924" t="s">
        <v>915</v>
      </c>
      <c r="F62" s="924"/>
      <c r="G62" s="925" t="s">
        <v>494</v>
      </c>
      <c r="H62" s="926">
        <v>464000</v>
      </c>
      <c r="I62" s="926">
        <v>15000</v>
      </c>
      <c r="J62" s="926"/>
      <c r="K62" s="927">
        <f t="shared" ref="K62:K90" si="2">IFERROR(I62/H62,"n/a")</f>
        <v>3.2327586206896554E-2</v>
      </c>
      <c r="M62" s="928" t="s">
        <v>916</v>
      </c>
    </row>
    <row r="63" spans="2:13" ht="14.85" customHeight="1">
      <c r="B63" s="922">
        <v>42501</v>
      </c>
      <c r="C63" s="923" t="s">
        <v>804</v>
      </c>
      <c r="D63" s="924" t="s">
        <v>917</v>
      </c>
      <c r="E63" s="924" t="s">
        <v>918</v>
      </c>
      <c r="F63" s="924"/>
      <c r="G63" s="925" t="s">
        <v>494</v>
      </c>
      <c r="H63" s="926">
        <v>20000</v>
      </c>
      <c r="I63" s="926">
        <v>0</v>
      </c>
      <c r="J63" s="926"/>
      <c r="K63" s="927">
        <f t="shared" si="2"/>
        <v>0</v>
      </c>
    </row>
    <row r="64" spans="2:13" ht="14.85" customHeight="1">
      <c r="B64" s="922">
        <v>42471</v>
      </c>
      <c r="C64" s="923" t="s">
        <v>804</v>
      </c>
      <c r="D64" s="924" t="s">
        <v>919</v>
      </c>
      <c r="E64" s="924" t="s">
        <v>920</v>
      </c>
      <c r="F64" s="924"/>
      <c r="G64" s="925" t="s">
        <v>494</v>
      </c>
      <c r="H64" s="926">
        <v>3500</v>
      </c>
      <c r="I64" s="926">
        <v>500</v>
      </c>
      <c r="J64" s="926"/>
      <c r="K64" s="927">
        <f t="shared" si="2"/>
        <v>0.14285714285714285</v>
      </c>
    </row>
    <row r="65" spans="2:13" ht="14.85" customHeight="1">
      <c r="B65" s="922">
        <v>42460</v>
      </c>
      <c r="C65" s="923" t="s">
        <v>804</v>
      </c>
      <c r="D65" s="924" t="s">
        <v>921</v>
      </c>
      <c r="E65" s="924" t="s">
        <v>922</v>
      </c>
      <c r="F65" s="924"/>
      <c r="G65" s="925" t="s">
        <v>494</v>
      </c>
      <c r="H65" s="926">
        <v>160000</v>
      </c>
      <c r="I65" s="926">
        <v>15000</v>
      </c>
      <c r="J65" s="926"/>
      <c r="K65" s="927">
        <f t="shared" si="2"/>
        <v>9.375E-2</v>
      </c>
    </row>
    <row r="66" spans="2:13" ht="14.85" customHeight="1">
      <c r="B66" s="922">
        <v>42316</v>
      </c>
      <c r="C66" s="923" t="s">
        <v>804</v>
      </c>
      <c r="D66" s="924" t="s">
        <v>881</v>
      </c>
      <c r="E66" s="924" t="s">
        <v>842</v>
      </c>
      <c r="F66" s="924"/>
      <c r="G66" s="925" t="s">
        <v>494</v>
      </c>
      <c r="H66" s="926">
        <v>40000</v>
      </c>
      <c r="I66" s="926">
        <v>2000</v>
      </c>
      <c r="J66" s="926"/>
      <c r="K66" s="927">
        <f t="shared" si="2"/>
        <v>0.05</v>
      </c>
    </row>
    <row r="67" spans="2:13" ht="14.85" customHeight="1">
      <c r="B67" s="922">
        <v>42213</v>
      </c>
      <c r="C67" s="923" t="s">
        <v>804</v>
      </c>
      <c r="D67" s="924" t="s">
        <v>923</v>
      </c>
      <c r="E67" s="924" t="s">
        <v>924</v>
      </c>
      <c r="F67" s="924"/>
      <c r="G67" s="925" t="s">
        <v>494</v>
      </c>
      <c r="H67" s="926">
        <v>730000</v>
      </c>
      <c r="I67" s="926">
        <v>50000</v>
      </c>
      <c r="J67" s="926"/>
      <c r="K67" s="927">
        <f t="shared" si="2"/>
        <v>6.8493150684931503E-2</v>
      </c>
    </row>
    <row r="68" spans="2:13" ht="14.85" customHeight="1">
      <c r="B68" s="922">
        <v>42212</v>
      </c>
      <c r="C68" s="923" t="s">
        <v>804</v>
      </c>
      <c r="D68" s="924" t="s">
        <v>925</v>
      </c>
      <c r="E68" s="924" t="s">
        <v>926</v>
      </c>
      <c r="F68" s="924"/>
      <c r="G68" s="925" t="s">
        <v>494</v>
      </c>
      <c r="H68" s="926">
        <v>20000</v>
      </c>
      <c r="I68" s="926" t="s">
        <v>13</v>
      </c>
      <c r="J68" s="926"/>
      <c r="K68" s="927" t="str">
        <f t="shared" si="2"/>
        <v>n/a</v>
      </c>
      <c r="M68" s="910" t="s">
        <v>927</v>
      </c>
    </row>
    <row r="69" spans="2:13" ht="14.85" customHeight="1">
      <c r="B69" s="922">
        <v>42184</v>
      </c>
      <c r="C69" s="923" t="s">
        <v>804</v>
      </c>
      <c r="D69" s="924" t="s">
        <v>922</v>
      </c>
      <c r="E69" s="924" t="s">
        <v>928</v>
      </c>
      <c r="F69" s="924"/>
      <c r="G69" s="925" t="s">
        <v>494</v>
      </c>
      <c r="H69" s="926">
        <v>5030</v>
      </c>
      <c r="I69" s="926">
        <v>0</v>
      </c>
      <c r="J69" s="926"/>
      <c r="K69" s="927">
        <f t="shared" si="2"/>
        <v>0</v>
      </c>
    </row>
    <row r="70" spans="2:13" ht="14.85" customHeight="1">
      <c r="B70" s="922">
        <v>42108</v>
      </c>
      <c r="C70" s="923" t="s">
        <v>804</v>
      </c>
      <c r="D70" s="924" t="s">
        <v>929</v>
      </c>
      <c r="E70" s="924" t="s">
        <v>930</v>
      </c>
      <c r="F70" s="924"/>
      <c r="G70" s="925" t="s">
        <v>494</v>
      </c>
      <c r="H70" s="926">
        <v>100512.90000000001</v>
      </c>
      <c r="I70" s="926">
        <v>0</v>
      </c>
      <c r="J70" s="926"/>
      <c r="K70" s="927">
        <f t="shared" si="2"/>
        <v>0</v>
      </c>
    </row>
    <row r="71" spans="2:13" ht="14.85" customHeight="1">
      <c r="B71" s="922">
        <v>42094</v>
      </c>
      <c r="C71" s="923" t="s">
        <v>804</v>
      </c>
      <c r="D71" s="924" t="s">
        <v>931</v>
      </c>
      <c r="E71" s="924" t="s">
        <v>932</v>
      </c>
      <c r="F71" s="924"/>
      <c r="G71" s="925" t="s">
        <v>494</v>
      </c>
      <c r="H71" s="926">
        <v>5500</v>
      </c>
      <c r="I71" s="926">
        <v>1500</v>
      </c>
      <c r="J71" s="926"/>
      <c r="K71" s="927">
        <f t="shared" si="2"/>
        <v>0.27272727272727271</v>
      </c>
    </row>
    <row r="72" spans="2:13" ht="14.85" customHeight="1">
      <c r="B72" s="922">
        <v>42075</v>
      </c>
      <c r="C72" s="923" t="s">
        <v>804</v>
      </c>
      <c r="D72" s="924" t="s">
        <v>933</v>
      </c>
      <c r="E72" s="924" t="s">
        <v>806</v>
      </c>
      <c r="F72" s="924"/>
      <c r="G72" s="925" t="s">
        <v>494</v>
      </c>
      <c r="H72" s="926">
        <v>60000</v>
      </c>
      <c r="I72" s="926" t="s">
        <v>13</v>
      </c>
      <c r="J72" s="926"/>
      <c r="K72" s="927" t="str">
        <f t="shared" si="2"/>
        <v>n/a</v>
      </c>
      <c r="M72" s="929" t="s">
        <v>934</v>
      </c>
    </row>
    <row r="73" spans="2:13" ht="14.85" customHeight="1">
      <c r="B73" s="922">
        <v>42067</v>
      </c>
      <c r="C73" s="923" t="s">
        <v>804</v>
      </c>
      <c r="D73" s="924" t="s">
        <v>935</v>
      </c>
      <c r="E73" s="924" t="s">
        <v>924</v>
      </c>
      <c r="F73" s="924"/>
      <c r="G73" s="925" t="s">
        <v>494</v>
      </c>
      <c r="H73" s="926">
        <v>358000</v>
      </c>
      <c r="I73" s="926">
        <v>0</v>
      </c>
      <c r="J73" s="926"/>
      <c r="K73" s="927">
        <f t="shared" si="2"/>
        <v>0</v>
      </c>
    </row>
    <row r="74" spans="2:13" ht="14.85" customHeight="1">
      <c r="B74" s="922">
        <v>42061</v>
      </c>
      <c r="C74" s="923" t="s">
        <v>804</v>
      </c>
      <c r="D74" s="924" t="s">
        <v>936</v>
      </c>
      <c r="E74" s="924" t="s">
        <v>937</v>
      </c>
      <c r="F74" s="924"/>
      <c r="G74" s="925" t="s">
        <v>494</v>
      </c>
      <c r="H74" s="926">
        <v>201000</v>
      </c>
      <c r="I74" s="926">
        <v>1000</v>
      </c>
      <c r="J74" s="926"/>
      <c r="K74" s="927">
        <f t="shared" si="2"/>
        <v>4.9751243781094526E-3</v>
      </c>
    </row>
    <row r="75" spans="2:13" ht="14.85" customHeight="1">
      <c r="B75" s="922">
        <v>42040</v>
      </c>
      <c r="C75" s="923" t="s">
        <v>804</v>
      </c>
      <c r="D75" s="924" t="s">
        <v>775</v>
      </c>
      <c r="E75" s="924" t="s">
        <v>938</v>
      </c>
      <c r="F75" s="924"/>
      <c r="G75" s="925" t="s">
        <v>494</v>
      </c>
      <c r="H75" s="926">
        <v>100</v>
      </c>
      <c r="I75" s="926">
        <v>100</v>
      </c>
      <c r="J75" s="926"/>
      <c r="K75" s="927">
        <f t="shared" si="2"/>
        <v>1</v>
      </c>
    </row>
    <row r="76" spans="2:13" ht="14.85" customHeight="1">
      <c r="B76" s="922">
        <v>42024</v>
      </c>
      <c r="C76" s="923" t="s">
        <v>804</v>
      </c>
      <c r="D76" s="924" t="s">
        <v>864</v>
      </c>
      <c r="E76" s="924" t="s">
        <v>882</v>
      </c>
      <c r="F76" s="924"/>
      <c r="G76" s="925" t="s">
        <v>494</v>
      </c>
      <c r="H76" s="926">
        <v>41740</v>
      </c>
      <c r="I76" s="926">
        <v>3500</v>
      </c>
      <c r="J76" s="926"/>
      <c r="K76" s="927">
        <f t="shared" si="2"/>
        <v>8.3852419741255388E-2</v>
      </c>
    </row>
    <row r="77" spans="2:13" ht="14.85" customHeight="1">
      <c r="B77" s="922">
        <v>42011</v>
      </c>
      <c r="C77" s="923" t="s">
        <v>804</v>
      </c>
      <c r="D77" s="924" t="s">
        <v>939</v>
      </c>
      <c r="E77" s="924" t="s">
        <v>940</v>
      </c>
      <c r="F77" s="924"/>
      <c r="G77" s="925" t="s">
        <v>494</v>
      </c>
      <c r="H77" s="926">
        <v>100000</v>
      </c>
      <c r="I77" s="926">
        <v>25000</v>
      </c>
      <c r="J77" s="926"/>
      <c r="K77" s="927">
        <f t="shared" si="2"/>
        <v>0.25</v>
      </c>
    </row>
    <row r="78" spans="2:13" ht="14.85" customHeight="1">
      <c r="B78" s="922">
        <v>41991</v>
      </c>
      <c r="C78" s="923" t="s">
        <v>804</v>
      </c>
      <c r="D78" s="924" t="s">
        <v>933</v>
      </c>
      <c r="E78" s="924" t="s">
        <v>941</v>
      </c>
      <c r="F78" s="924"/>
      <c r="G78" s="925" t="s">
        <v>494</v>
      </c>
      <c r="H78" s="926">
        <v>76000</v>
      </c>
      <c r="I78" s="926">
        <v>1000</v>
      </c>
      <c r="J78" s="926"/>
      <c r="K78" s="927">
        <f t="shared" si="2"/>
        <v>1.3157894736842105E-2</v>
      </c>
    </row>
    <row r="79" spans="2:13" ht="14.85" customHeight="1">
      <c r="B79" s="922">
        <v>41954</v>
      </c>
      <c r="C79" s="923" t="s">
        <v>804</v>
      </c>
      <c r="D79" s="924" t="s">
        <v>942</v>
      </c>
      <c r="E79" s="924" t="s">
        <v>943</v>
      </c>
      <c r="F79" s="924"/>
      <c r="G79" s="925" t="s">
        <v>494</v>
      </c>
      <c r="H79" s="926">
        <v>105500</v>
      </c>
      <c r="I79" s="926">
        <v>500</v>
      </c>
      <c r="J79" s="926"/>
      <c r="K79" s="927">
        <f t="shared" si="2"/>
        <v>4.7393364928909956E-3</v>
      </c>
    </row>
    <row r="80" spans="2:13" ht="14.85" customHeight="1">
      <c r="B80" s="922">
        <v>41941</v>
      </c>
      <c r="C80" s="923" t="s">
        <v>804</v>
      </c>
      <c r="D80" s="924" t="s">
        <v>944</v>
      </c>
      <c r="E80" s="924" t="s">
        <v>945</v>
      </c>
      <c r="F80" s="924"/>
      <c r="G80" s="925" t="s">
        <v>494</v>
      </c>
      <c r="H80" s="926">
        <v>5500</v>
      </c>
      <c r="I80" s="926">
        <v>1000</v>
      </c>
      <c r="J80" s="926"/>
      <c r="K80" s="927">
        <f t="shared" si="2"/>
        <v>0.18181818181818182</v>
      </c>
    </row>
    <row r="81" spans="2:13" ht="14.85" customHeight="1">
      <c r="B81" s="922">
        <v>41872</v>
      </c>
      <c r="C81" s="923" t="s">
        <v>804</v>
      </c>
      <c r="D81" s="924" t="s">
        <v>946</v>
      </c>
      <c r="E81" s="924" t="s">
        <v>924</v>
      </c>
      <c r="F81" s="924"/>
      <c r="G81" s="925" t="s">
        <v>494</v>
      </c>
      <c r="H81" s="926">
        <v>20000</v>
      </c>
      <c r="I81" s="926">
        <v>0</v>
      </c>
      <c r="J81" s="926"/>
      <c r="K81" s="927">
        <f t="shared" si="2"/>
        <v>0</v>
      </c>
    </row>
    <row r="82" spans="2:13" ht="14.85" customHeight="1">
      <c r="B82" s="922">
        <v>41851</v>
      </c>
      <c r="C82" s="923" t="s">
        <v>804</v>
      </c>
      <c r="D82" s="924" t="s">
        <v>947</v>
      </c>
      <c r="E82" s="924" t="s">
        <v>948</v>
      </c>
      <c r="F82" s="924"/>
      <c r="G82" s="925" t="s">
        <v>494</v>
      </c>
      <c r="H82" s="926">
        <v>72200</v>
      </c>
      <c r="I82" s="926">
        <v>0</v>
      </c>
      <c r="J82" s="926"/>
      <c r="K82" s="927">
        <f t="shared" si="2"/>
        <v>0</v>
      </c>
    </row>
    <row r="83" spans="2:13" ht="14.85" customHeight="1">
      <c r="B83" s="922">
        <v>41820</v>
      </c>
      <c r="C83" s="923" t="s">
        <v>804</v>
      </c>
      <c r="D83" s="924" t="s">
        <v>931</v>
      </c>
      <c r="E83" s="924" t="s">
        <v>949</v>
      </c>
      <c r="F83" s="924"/>
      <c r="G83" s="925" t="s">
        <v>494</v>
      </c>
      <c r="H83" s="926">
        <v>1000</v>
      </c>
      <c r="I83" s="926">
        <v>1000</v>
      </c>
      <c r="J83" s="926"/>
      <c r="K83" s="927">
        <f t="shared" si="2"/>
        <v>1</v>
      </c>
    </row>
    <row r="84" spans="2:13" ht="14.85" customHeight="1">
      <c r="B84" s="922">
        <v>41801</v>
      </c>
      <c r="C84" s="923" t="s">
        <v>804</v>
      </c>
      <c r="D84" s="924" t="s">
        <v>838</v>
      </c>
      <c r="E84" s="924" t="s">
        <v>908</v>
      </c>
      <c r="F84" s="924"/>
      <c r="G84" s="925" t="s">
        <v>494</v>
      </c>
      <c r="H84" s="926">
        <v>120000</v>
      </c>
      <c r="I84" s="926">
        <v>0</v>
      </c>
      <c r="J84" s="926"/>
      <c r="K84" s="927">
        <f t="shared" si="2"/>
        <v>0</v>
      </c>
    </row>
    <row r="85" spans="2:13" ht="14.85" customHeight="1">
      <c r="B85" s="922">
        <v>41726</v>
      </c>
      <c r="C85" s="923" t="s">
        <v>804</v>
      </c>
      <c r="D85" s="924" t="s">
        <v>950</v>
      </c>
      <c r="E85" s="924" t="s">
        <v>949</v>
      </c>
      <c r="F85" s="924"/>
      <c r="G85" s="925" t="s">
        <v>494</v>
      </c>
      <c r="H85" s="926">
        <v>9630</v>
      </c>
      <c r="I85" s="926">
        <v>0</v>
      </c>
      <c r="J85" s="926"/>
      <c r="K85" s="927">
        <f t="shared" si="2"/>
        <v>0</v>
      </c>
    </row>
    <row r="86" spans="2:13" ht="14.85" customHeight="1">
      <c r="B86" s="922">
        <v>41556</v>
      </c>
      <c r="C86" s="923" t="s">
        <v>804</v>
      </c>
      <c r="D86" s="924" t="s">
        <v>842</v>
      </c>
      <c r="E86" s="924" t="s">
        <v>951</v>
      </c>
      <c r="F86" s="924"/>
      <c r="G86" s="925" t="s">
        <v>494</v>
      </c>
      <c r="H86" s="926">
        <v>86500</v>
      </c>
      <c r="I86" s="926">
        <v>0</v>
      </c>
      <c r="J86" s="926"/>
      <c r="K86" s="927">
        <f t="shared" si="2"/>
        <v>0</v>
      </c>
    </row>
    <row r="87" spans="2:13" ht="14.85" customHeight="1">
      <c r="B87" s="922">
        <v>41528</v>
      </c>
      <c r="C87" s="923" t="s">
        <v>804</v>
      </c>
      <c r="D87" s="924" t="s">
        <v>852</v>
      </c>
      <c r="E87" s="924" t="s">
        <v>836</v>
      </c>
      <c r="F87" s="924"/>
      <c r="G87" s="925" t="s">
        <v>494</v>
      </c>
      <c r="H87" s="926">
        <v>50000</v>
      </c>
      <c r="I87" s="926">
        <v>50000</v>
      </c>
      <c r="J87" s="926"/>
      <c r="K87" s="927">
        <f t="shared" si="2"/>
        <v>1</v>
      </c>
    </row>
    <row r="88" spans="2:13" ht="14.85" customHeight="1">
      <c r="B88" s="922">
        <v>41341</v>
      </c>
      <c r="C88" s="923" t="s">
        <v>804</v>
      </c>
      <c r="D88" s="924" t="s">
        <v>935</v>
      </c>
      <c r="E88" s="924" t="s">
        <v>884</v>
      </c>
      <c r="F88" s="924"/>
      <c r="G88" s="925" t="s">
        <v>494</v>
      </c>
      <c r="H88" s="926">
        <v>53000</v>
      </c>
      <c r="I88" s="926">
        <v>3000</v>
      </c>
      <c r="J88" s="926"/>
      <c r="K88" s="927">
        <f t="shared" si="2"/>
        <v>5.6603773584905662E-2</v>
      </c>
    </row>
    <row r="89" spans="2:13" ht="14.85" customHeight="1">
      <c r="B89" s="922">
        <v>41183</v>
      </c>
      <c r="C89" s="923" t="s">
        <v>804</v>
      </c>
      <c r="D89" s="924" t="s">
        <v>952</v>
      </c>
      <c r="E89" s="924" t="s">
        <v>953</v>
      </c>
      <c r="F89" s="924"/>
      <c r="G89" s="925" t="s">
        <v>494</v>
      </c>
      <c r="H89" s="926">
        <v>57850</v>
      </c>
      <c r="I89" s="926">
        <v>57850</v>
      </c>
      <c r="J89" s="926"/>
      <c r="K89" s="927">
        <f t="shared" si="2"/>
        <v>1</v>
      </c>
    </row>
    <row r="90" spans="2:13" ht="14.85" customHeight="1">
      <c r="B90" s="922">
        <v>41101</v>
      </c>
      <c r="C90" s="923" t="s">
        <v>804</v>
      </c>
      <c r="D90" s="924" t="s">
        <v>911</v>
      </c>
      <c r="E90" s="924" t="s">
        <v>812</v>
      </c>
      <c r="F90" s="924"/>
      <c r="G90" s="925" t="s">
        <v>494</v>
      </c>
      <c r="H90" s="926">
        <v>130500</v>
      </c>
      <c r="I90" s="926">
        <v>3500</v>
      </c>
      <c r="J90" s="926"/>
      <c r="K90" s="927">
        <f t="shared" si="2"/>
        <v>2.681992337164751E-2</v>
      </c>
    </row>
    <row r="91" spans="2:13" ht="14.85" customHeight="1">
      <c r="B91" s="922"/>
      <c r="C91" s="923"/>
      <c r="D91" s="924"/>
      <c r="E91" s="924"/>
      <c r="F91" s="924"/>
      <c r="G91" s="925"/>
      <c r="H91" s="926"/>
      <c r="I91" s="926"/>
      <c r="J91" s="926"/>
      <c r="K91" s="927"/>
    </row>
    <row r="92" spans="2:13" ht="14.85" customHeight="1">
      <c r="B92" s="930" t="s">
        <v>502</v>
      </c>
      <c r="C92" s="923"/>
      <c r="D92" s="924"/>
      <c r="E92" s="924"/>
      <c r="F92" s="924"/>
      <c r="G92" s="925"/>
      <c r="H92" s="926"/>
      <c r="I92" s="926"/>
      <c r="J92" s="926"/>
      <c r="K92" s="927"/>
    </row>
    <row r="93" spans="2:13" ht="14.85" customHeight="1">
      <c r="B93" s="922">
        <v>42520</v>
      </c>
      <c r="C93" s="923" t="s">
        <v>804</v>
      </c>
      <c r="D93" s="924" t="s">
        <v>954</v>
      </c>
      <c r="E93" s="924" t="s">
        <v>955</v>
      </c>
      <c r="F93" s="924"/>
      <c r="G93" s="925" t="s">
        <v>502</v>
      </c>
      <c r="H93" s="926">
        <v>80000</v>
      </c>
      <c r="I93" s="926">
        <v>20000</v>
      </c>
      <c r="J93" s="926"/>
      <c r="K93" s="927">
        <f t="shared" ref="K93:K111" si="3">IFERROR(I93/H93,"n/a")</f>
        <v>0.25</v>
      </c>
    </row>
    <row r="94" spans="2:13" ht="14.85" customHeight="1">
      <c r="B94" s="922">
        <v>42466</v>
      </c>
      <c r="C94" s="923" t="s">
        <v>804</v>
      </c>
      <c r="D94" s="924" t="s">
        <v>956</v>
      </c>
      <c r="E94" s="924" t="s">
        <v>957</v>
      </c>
      <c r="F94" s="924"/>
      <c r="G94" s="925" t="s">
        <v>502</v>
      </c>
      <c r="H94" s="926">
        <v>450000</v>
      </c>
      <c r="I94" s="926">
        <v>35000</v>
      </c>
      <c r="J94" s="926"/>
      <c r="K94" s="927">
        <f t="shared" si="3"/>
        <v>7.7777777777777779E-2</v>
      </c>
    </row>
    <row r="95" spans="2:13" ht="14.85" customHeight="1">
      <c r="B95" s="922">
        <v>42429</v>
      </c>
      <c r="C95" s="923" t="s">
        <v>804</v>
      </c>
      <c r="D95" s="924" t="s">
        <v>958</v>
      </c>
      <c r="E95" s="924" t="s">
        <v>959</v>
      </c>
      <c r="F95" s="924"/>
      <c r="G95" s="925" t="s">
        <v>502</v>
      </c>
      <c r="H95" s="926">
        <v>855000</v>
      </c>
      <c r="I95" s="926">
        <v>200000</v>
      </c>
      <c r="J95" s="926"/>
      <c r="K95" s="927">
        <f t="shared" si="3"/>
        <v>0.23391812865497075</v>
      </c>
      <c r="M95" s="910" t="s">
        <v>960</v>
      </c>
    </row>
    <row r="96" spans="2:13" ht="14.85" customHeight="1">
      <c r="B96" s="922">
        <v>42380</v>
      </c>
      <c r="C96" s="923" t="s">
        <v>804</v>
      </c>
      <c r="D96" s="924" t="s">
        <v>961</v>
      </c>
      <c r="E96" s="924" t="s">
        <v>962</v>
      </c>
      <c r="F96" s="924"/>
      <c r="G96" s="925" t="s">
        <v>502</v>
      </c>
      <c r="H96" s="926">
        <v>202500</v>
      </c>
      <c r="I96" s="926">
        <v>5000</v>
      </c>
      <c r="J96" s="926"/>
      <c r="K96" s="927">
        <f t="shared" si="3"/>
        <v>2.4691358024691357E-2</v>
      </c>
    </row>
    <row r="97" spans="2:13" ht="14.85" customHeight="1">
      <c r="B97" s="922">
        <v>42356</v>
      </c>
      <c r="C97" s="923" t="s">
        <v>804</v>
      </c>
      <c r="D97" s="924" t="s">
        <v>963</v>
      </c>
      <c r="E97" s="924" t="s">
        <v>943</v>
      </c>
      <c r="F97" s="924"/>
      <c r="G97" s="925" t="s">
        <v>502</v>
      </c>
      <c r="H97" s="926">
        <v>374500</v>
      </c>
      <c r="I97" s="926">
        <v>2500</v>
      </c>
      <c r="J97" s="926"/>
      <c r="K97" s="927">
        <f t="shared" si="3"/>
        <v>6.6755674232309749E-3</v>
      </c>
    </row>
    <row r="98" spans="2:13" ht="14.85" customHeight="1">
      <c r="B98" s="922">
        <v>42240</v>
      </c>
      <c r="C98" s="923" t="s">
        <v>804</v>
      </c>
      <c r="D98" s="924" t="s">
        <v>812</v>
      </c>
      <c r="E98" s="924" t="s">
        <v>964</v>
      </c>
      <c r="F98" s="924"/>
      <c r="G98" s="925" t="s">
        <v>502</v>
      </c>
      <c r="H98" s="926">
        <v>14000000</v>
      </c>
      <c r="I98" s="926">
        <v>410000</v>
      </c>
      <c r="J98" s="926"/>
      <c r="K98" s="927">
        <f t="shared" si="3"/>
        <v>2.9285714285714286E-2</v>
      </c>
      <c r="M98" s="928" t="s">
        <v>965</v>
      </c>
    </row>
    <row r="99" spans="2:13" ht="14.85" customHeight="1">
      <c r="B99" s="922">
        <v>42220</v>
      </c>
      <c r="C99" s="923" t="s">
        <v>804</v>
      </c>
      <c r="D99" s="924" t="s">
        <v>966</v>
      </c>
      <c r="E99" s="924" t="s">
        <v>943</v>
      </c>
      <c r="F99" s="924"/>
      <c r="G99" s="925" t="s">
        <v>502</v>
      </c>
      <c r="H99" s="926">
        <v>12000</v>
      </c>
      <c r="I99" s="926">
        <v>1500</v>
      </c>
      <c r="J99" s="926"/>
      <c r="K99" s="927">
        <f t="shared" si="3"/>
        <v>0.125</v>
      </c>
    </row>
    <row r="100" spans="2:13" ht="14.85" customHeight="1">
      <c r="B100" s="922">
        <v>42086</v>
      </c>
      <c r="C100" s="923" t="s">
        <v>804</v>
      </c>
      <c r="D100" s="924" t="s">
        <v>967</v>
      </c>
      <c r="E100" s="924" t="s">
        <v>968</v>
      </c>
      <c r="F100" s="924"/>
      <c r="G100" s="925" t="s">
        <v>502</v>
      </c>
      <c r="H100" s="926">
        <v>2907</v>
      </c>
      <c r="I100" s="926">
        <v>1310</v>
      </c>
      <c r="J100" s="926"/>
      <c r="K100" s="927">
        <f t="shared" si="3"/>
        <v>0.45063639490884072</v>
      </c>
    </row>
    <row r="101" spans="2:13" ht="14.85" customHeight="1">
      <c r="B101" s="922">
        <v>42080</v>
      </c>
      <c r="C101" s="923" t="s">
        <v>804</v>
      </c>
      <c r="D101" s="924" t="s">
        <v>958</v>
      </c>
      <c r="E101" s="924" t="s">
        <v>969</v>
      </c>
      <c r="F101" s="924"/>
      <c r="G101" s="925" t="s">
        <v>502</v>
      </c>
      <c r="H101" s="926">
        <v>5000</v>
      </c>
      <c r="I101" s="926">
        <v>0</v>
      </c>
      <c r="J101" s="926"/>
      <c r="K101" s="927">
        <f t="shared" si="3"/>
        <v>0</v>
      </c>
    </row>
    <row r="102" spans="2:13" ht="14.85" customHeight="1">
      <c r="B102" s="922">
        <v>41974</v>
      </c>
      <c r="C102" s="923" t="s">
        <v>804</v>
      </c>
      <c r="D102" s="924" t="s">
        <v>970</v>
      </c>
      <c r="E102" s="924" t="s">
        <v>971</v>
      </c>
      <c r="F102" s="924"/>
      <c r="G102" s="925" t="s">
        <v>502</v>
      </c>
      <c r="H102" s="926">
        <v>1000</v>
      </c>
      <c r="I102" s="926">
        <v>1000</v>
      </c>
      <c r="J102" s="926"/>
      <c r="K102" s="927">
        <f t="shared" si="3"/>
        <v>1</v>
      </c>
    </row>
    <row r="103" spans="2:13" ht="14.85" customHeight="1">
      <c r="B103" s="922">
        <v>41912</v>
      </c>
      <c r="C103" s="923" t="s">
        <v>804</v>
      </c>
      <c r="D103" s="924" t="s">
        <v>972</v>
      </c>
      <c r="E103" s="924" t="s">
        <v>973</v>
      </c>
      <c r="F103" s="924"/>
      <c r="G103" s="925" t="s">
        <v>502</v>
      </c>
      <c r="H103" s="926">
        <v>25</v>
      </c>
      <c r="I103" s="926">
        <v>0</v>
      </c>
      <c r="J103" s="926"/>
      <c r="K103" s="927">
        <f t="shared" si="3"/>
        <v>0</v>
      </c>
    </row>
    <row r="104" spans="2:13" ht="14.85" customHeight="1">
      <c r="B104" s="922">
        <v>41906</v>
      </c>
      <c r="C104" s="923" t="s">
        <v>804</v>
      </c>
      <c r="D104" s="924" t="s">
        <v>974</v>
      </c>
      <c r="E104" s="924" t="s">
        <v>975</v>
      </c>
      <c r="F104" s="924"/>
      <c r="G104" s="925" t="s">
        <v>502</v>
      </c>
      <c r="H104" s="926">
        <v>970000</v>
      </c>
      <c r="I104" s="926">
        <v>100000</v>
      </c>
      <c r="J104" s="926"/>
      <c r="K104" s="927">
        <f t="shared" si="3"/>
        <v>0.10309278350515463</v>
      </c>
    </row>
    <row r="105" spans="2:13" ht="14.85" customHeight="1">
      <c r="B105" s="922">
        <v>41904</v>
      </c>
      <c r="C105" s="923" t="s">
        <v>804</v>
      </c>
      <c r="D105" s="924" t="s">
        <v>975</v>
      </c>
      <c r="E105" s="924" t="s">
        <v>976</v>
      </c>
      <c r="F105" s="924"/>
      <c r="G105" s="925" t="s">
        <v>502</v>
      </c>
      <c r="H105" s="926">
        <v>318000</v>
      </c>
      <c r="I105" s="926">
        <v>7000</v>
      </c>
      <c r="J105" s="926"/>
      <c r="K105" s="927">
        <f t="shared" si="3"/>
        <v>2.20125786163522E-2</v>
      </c>
    </row>
    <row r="106" spans="2:13" ht="14.85" customHeight="1">
      <c r="B106" s="922">
        <v>41884</v>
      </c>
      <c r="C106" s="923" t="s">
        <v>804</v>
      </c>
      <c r="D106" s="924" t="s">
        <v>831</v>
      </c>
      <c r="E106" s="924" t="s">
        <v>977</v>
      </c>
      <c r="F106" s="924"/>
      <c r="G106" s="925" t="s">
        <v>502</v>
      </c>
      <c r="H106" s="926">
        <v>805000</v>
      </c>
      <c r="I106" s="926">
        <v>275000</v>
      </c>
      <c r="J106" s="926"/>
      <c r="K106" s="927">
        <f t="shared" si="3"/>
        <v>0.34161490683229812</v>
      </c>
    </row>
    <row r="107" spans="2:13" ht="14.85" customHeight="1">
      <c r="B107" s="922">
        <v>41857</v>
      </c>
      <c r="C107" s="923" t="s">
        <v>804</v>
      </c>
      <c r="D107" s="924" t="s">
        <v>978</v>
      </c>
      <c r="E107" s="924" t="s">
        <v>979</v>
      </c>
      <c r="F107" s="924"/>
      <c r="G107" s="925" t="s">
        <v>502</v>
      </c>
      <c r="H107" s="926">
        <v>650000</v>
      </c>
      <c r="I107" s="926">
        <v>200000</v>
      </c>
      <c r="J107" s="926"/>
      <c r="K107" s="927">
        <f t="shared" si="3"/>
        <v>0.30769230769230771</v>
      </c>
    </row>
    <row r="108" spans="2:13" ht="14.85" customHeight="1">
      <c r="B108" s="922">
        <v>41842</v>
      </c>
      <c r="C108" s="923" t="s">
        <v>804</v>
      </c>
      <c r="D108" s="924" t="s">
        <v>980</v>
      </c>
      <c r="E108" s="924" t="s">
        <v>981</v>
      </c>
      <c r="F108" s="924"/>
      <c r="G108" s="925" t="s">
        <v>502</v>
      </c>
      <c r="H108" s="926">
        <v>5500</v>
      </c>
      <c r="I108" s="926">
        <v>5000</v>
      </c>
      <c r="J108" s="926"/>
      <c r="K108" s="927">
        <f t="shared" si="3"/>
        <v>0.90909090909090906</v>
      </c>
    </row>
    <row r="109" spans="2:13" ht="14.85" customHeight="1">
      <c r="B109" s="922">
        <v>41635</v>
      </c>
      <c r="C109" s="923" t="s">
        <v>804</v>
      </c>
      <c r="D109" s="924" t="s">
        <v>982</v>
      </c>
      <c r="E109" s="924" t="s">
        <v>962</v>
      </c>
      <c r="F109" s="924"/>
      <c r="G109" s="925" t="s">
        <v>502</v>
      </c>
      <c r="H109" s="926">
        <v>108000</v>
      </c>
      <c r="I109" s="926">
        <v>0</v>
      </c>
      <c r="J109" s="926"/>
      <c r="K109" s="927">
        <f t="shared" si="3"/>
        <v>0</v>
      </c>
    </row>
    <row r="110" spans="2:13" ht="14.85" customHeight="1">
      <c r="B110" s="922">
        <v>41593</v>
      </c>
      <c r="C110" s="923" t="s">
        <v>804</v>
      </c>
      <c r="D110" s="924" t="s">
        <v>983</v>
      </c>
      <c r="E110" s="924" t="s">
        <v>984</v>
      </c>
      <c r="F110" s="924"/>
      <c r="G110" s="925" t="s">
        <v>502</v>
      </c>
      <c r="H110" s="926">
        <v>172000</v>
      </c>
      <c r="I110" s="926">
        <v>60000</v>
      </c>
      <c r="J110" s="926"/>
      <c r="K110" s="927">
        <f t="shared" si="3"/>
        <v>0.34883720930232559</v>
      </c>
    </row>
    <row r="111" spans="2:13" ht="14.85" customHeight="1">
      <c r="B111" s="922">
        <v>41423</v>
      </c>
      <c r="C111" s="923" t="s">
        <v>804</v>
      </c>
      <c r="D111" s="924" t="s">
        <v>985</v>
      </c>
      <c r="E111" s="924" t="s">
        <v>986</v>
      </c>
      <c r="F111" s="924"/>
      <c r="G111" s="925" t="s">
        <v>502</v>
      </c>
      <c r="H111" s="926">
        <v>130000</v>
      </c>
      <c r="I111" s="926">
        <v>7000</v>
      </c>
      <c r="J111" s="926"/>
      <c r="K111" s="927">
        <f t="shared" si="3"/>
        <v>5.3846153846153849E-2</v>
      </c>
    </row>
    <row r="112" spans="2:13" ht="14.85" customHeight="1">
      <c r="B112" s="922"/>
      <c r="C112" s="923"/>
      <c r="D112" s="924"/>
      <c r="E112" s="924"/>
      <c r="F112" s="924"/>
      <c r="G112" s="925"/>
      <c r="H112" s="926"/>
      <c r="I112" s="926"/>
      <c r="J112" s="926"/>
      <c r="K112" s="927"/>
    </row>
    <row r="113" spans="2:13" ht="14.85" customHeight="1">
      <c r="B113" s="932" t="s">
        <v>987</v>
      </c>
      <c r="C113" s="923"/>
      <c r="D113" s="924"/>
      <c r="E113" s="924"/>
      <c r="F113" s="924"/>
      <c r="G113" s="925"/>
      <c r="H113" s="926"/>
      <c r="I113" s="926"/>
      <c r="J113" s="926"/>
      <c r="K113" s="927"/>
    </row>
    <row r="114" spans="2:13" ht="14.85" customHeight="1">
      <c r="B114" s="922">
        <v>42523</v>
      </c>
      <c r="C114" s="923" t="s">
        <v>804</v>
      </c>
      <c r="D114" s="924" t="s">
        <v>905</v>
      </c>
      <c r="E114" s="924" t="s">
        <v>988</v>
      </c>
      <c r="F114" s="924"/>
      <c r="G114" s="925" t="s">
        <v>989</v>
      </c>
      <c r="H114" s="926">
        <f>140000+135000</f>
        <v>275000</v>
      </c>
      <c r="I114" s="926">
        <v>140000</v>
      </c>
      <c r="J114" s="926"/>
      <c r="K114" s="927">
        <f t="shared" ref="K114:K121" si="4">IFERROR(I114/H114,"n/a")</f>
        <v>0.50909090909090904</v>
      </c>
      <c r="M114" s="910" t="s">
        <v>990</v>
      </c>
    </row>
    <row r="115" spans="2:13" ht="14.85" customHeight="1">
      <c r="B115" s="922">
        <v>42430</v>
      </c>
      <c r="C115" s="923" t="s">
        <v>804</v>
      </c>
      <c r="D115" s="924" t="s">
        <v>991</v>
      </c>
      <c r="E115" s="924" t="s">
        <v>852</v>
      </c>
      <c r="F115" s="924"/>
      <c r="G115" s="925" t="s">
        <v>989</v>
      </c>
      <c r="H115" s="926">
        <v>70000</v>
      </c>
      <c r="I115" s="926">
        <v>70000</v>
      </c>
      <c r="J115" s="926"/>
      <c r="K115" s="927">
        <f t="shared" si="4"/>
        <v>1</v>
      </c>
    </row>
    <row r="116" spans="2:13" ht="14.85" customHeight="1">
      <c r="B116" s="922">
        <v>42381</v>
      </c>
      <c r="C116" s="923" t="s">
        <v>804</v>
      </c>
      <c r="D116" s="924" t="s">
        <v>992</v>
      </c>
      <c r="E116" s="924" t="s">
        <v>825</v>
      </c>
      <c r="F116" s="924"/>
      <c r="G116" s="925" t="s">
        <v>989</v>
      </c>
      <c r="H116" s="926">
        <v>12000</v>
      </c>
      <c r="I116" s="926">
        <v>0</v>
      </c>
      <c r="J116" s="926"/>
      <c r="K116" s="927">
        <f t="shared" si="4"/>
        <v>0</v>
      </c>
    </row>
    <row r="117" spans="2:13" ht="14.85" customHeight="1">
      <c r="B117" s="922">
        <v>42167</v>
      </c>
      <c r="C117" s="923" t="s">
        <v>804</v>
      </c>
      <c r="D117" s="924" t="s">
        <v>952</v>
      </c>
      <c r="E117" s="924" t="s">
        <v>993</v>
      </c>
      <c r="F117" s="924"/>
      <c r="G117" s="925" t="s">
        <v>989</v>
      </c>
      <c r="H117" s="926">
        <v>130000</v>
      </c>
      <c r="I117" s="926">
        <v>130000</v>
      </c>
      <c r="J117" s="926"/>
      <c r="K117" s="927">
        <f t="shared" si="4"/>
        <v>1</v>
      </c>
    </row>
    <row r="118" spans="2:13" ht="14.85" customHeight="1">
      <c r="B118" s="922">
        <v>42135</v>
      </c>
      <c r="C118" s="923" t="s">
        <v>804</v>
      </c>
      <c r="D118" s="924" t="s">
        <v>994</v>
      </c>
      <c r="E118" s="924" t="s">
        <v>995</v>
      </c>
      <c r="F118" s="924"/>
      <c r="G118" s="925" t="s">
        <v>989</v>
      </c>
      <c r="H118" s="926">
        <v>1500</v>
      </c>
      <c r="I118" s="926">
        <v>1500</v>
      </c>
      <c r="J118" s="926"/>
      <c r="K118" s="927">
        <f t="shared" si="4"/>
        <v>1</v>
      </c>
      <c r="M118" s="910" t="s">
        <v>996</v>
      </c>
    </row>
    <row r="119" spans="2:13" ht="14.85" customHeight="1">
      <c r="B119" s="922">
        <v>42052</v>
      </c>
      <c r="C119" s="923" t="s">
        <v>804</v>
      </c>
      <c r="D119" s="924" t="s">
        <v>997</v>
      </c>
      <c r="E119" s="924" t="s">
        <v>998</v>
      </c>
      <c r="F119" s="924"/>
      <c r="G119" s="925" t="s">
        <v>999</v>
      </c>
      <c r="H119" s="926">
        <v>120000</v>
      </c>
      <c r="I119" s="926">
        <v>30000</v>
      </c>
      <c r="J119" s="926"/>
      <c r="K119" s="927">
        <f t="shared" si="4"/>
        <v>0.25</v>
      </c>
      <c r="M119" s="910" t="s">
        <v>1000</v>
      </c>
    </row>
    <row r="120" spans="2:13" ht="14.85" customHeight="1">
      <c r="B120" s="922">
        <v>41929</v>
      </c>
      <c r="C120" s="923" t="s">
        <v>804</v>
      </c>
      <c r="D120" s="924" t="s">
        <v>1001</v>
      </c>
      <c r="E120" s="924" t="s">
        <v>995</v>
      </c>
      <c r="F120" s="924"/>
      <c r="G120" s="925" t="s">
        <v>989</v>
      </c>
      <c r="H120" s="926">
        <v>55000</v>
      </c>
      <c r="I120" s="926">
        <v>14000</v>
      </c>
      <c r="J120" s="926"/>
      <c r="K120" s="927">
        <f t="shared" si="4"/>
        <v>0.25454545454545452</v>
      </c>
    </row>
    <row r="121" spans="2:13" ht="14.85" customHeight="1">
      <c r="B121" s="922">
        <v>41898</v>
      </c>
      <c r="C121" s="923" t="s">
        <v>804</v>
      </c>
      <c r="D121" s="924" t="s">
        <v>952</v>
      </c>
      <c r="E121" s="924" t="s">
        <v>984</v>
      </c>
      <c r="F121" s="924"/>
      <c r="G121" s="925" t="s">
        <v>989</v>
      </c>
      <c r="H121" s="926">
        <v>133500.40000000002</v>
      </c>
      <c r="I121" s="926">
        <v>18100</v>
      </c>
      <c r="J121" s="926"/>
      <c r="K121" s="927">
        <f t="shared" si="4"/>
        <v>0.13558011811200563</v>
      </c>
    </row>
    <row r="122" spans="2:13" ht="14.85" customHeight="1">
      <c r="B122" s="922"/>
      <c r="C122" s="923"/>
      <c r="D122" s="924"/>
      <c r="E122" s="924"/>
      <c r="F122" s="924"/>
      <c r="G122" s="925"/>
      <c r="H122" s="926"/>
      <c r="I122" s="926"/>
      <c r="J122" s="926"/>
      <c r="K122" s="927"/>
    </row>
    <row r="123" spans="2:13" ht="14.85" customHeight="1">
      <c r="B123" s="932" t="s">
        <v>1002</v>
      </c>
      <c r="C123" s="923"/>
      <c r="D123" s="924"/>
      <c r="E123" s="924"/>
      <c r="F123" s="924"/>
      <c r="G123" s="925"/>
      <c r="H123" s="926"/>
      <c r="I123" s="926"/>
      <c r="J123" s="926"/>
      <c r="K123" s="927"/>
    </row>
    <row r="124" spans="2:13" ht="14.85" customHeight="1">
      <c r="B124" s="922">
        <v>42517</v>
      </c>
      <c r="C124" s="923" t="s">
        <v>804</v>
      </c>
      <c r="D124" s="924" t="s">
        <v>883</v>
      </c>
      <c r="E124" s="924" t="s">
        <v>1003</v>
      </c>
      <c r="F124" s="924"/>
      <c r="G124" s="925" t="s">
        <v>13</v>
      </c>
      <c r="H124" s="926">
        <v>178000</v>
      </c>
      <c r="I124" s="926">
        <v>1000</v>
      </c>
      <c r="J124" s="926"/>
      <c r="K124" s="927">
        <f t="shared" ref="K124:K137" si="5">IFERROR(I124/H124,"n/a")</f>
        <v>5.6179775280898875E-3</v>
      </c>
    </row>
    <row r="125" spans="2:13" ht="14.85" customHeight="1">
      <c r="B125" s="922">
        <v>42450</v>
      </c>
      <c r="C125" s="923" t="s">
        <v>804</v>
      </c>
      <c r="D125" s="924" t="s">
        <v>836</v>
      </c>
      <c r="E125" s="924" t="s">
        <v>1004</v>
      </c>
      <c r="F125" s="924"/>
      <c r="G125" s="925" t="s">
        <v>13</v>
      </c>
      <c r="H125" s="926">
        <v>20000</v>
      </c>
      <c r="I125" s="926">
        <v>20000</v>
      </c>
      <c r="J125" s="926"/>
      <c r="K125" s="927">
        <f t="shared" si="5"/>
        <v>1</v>
      </c>
    </row>
    <row r="126" spans="2:13" ht="14.85" customHeight="1">
      <c r="B126" s="922">
        <v>42444</v>
      </c>
      <c r="C126" s="923" t="s">
        <v>804</v>
      </c>
      <c r="D126" s="924" t="s">
        <v>1005</v>
      </c>
      <c r="E126" s="924" t="s">
        <v>1006</v>
      </c>
      <c r="F126" s="924"/>
      <c r="G126" s="925" t="s">
        <v>13</v>
      </c>
      <c r="H126" s="926">
        <v>1010000</v>
      </c>
      <c r="I126" s="926">
        <v>45000</v>
      </c>
      <c r="J126" s="926"/>
      <c r="K126" s="927">
        <f t="shared" si="5"/>
        <v>4.4554455445544552E-2</v>
      </c>
    </row>
    <row r="127" spans="2:13" ht="14.85" customHeight="1">
      <c r="B127" s="922">
        <v>42278</v>
      </c>
      <c r="C127" s="923" t="s">
        <v>804</v>
      </c>
      <c r="D127" s="924" t="s">
        <v>913</v>
      </c>
      <c r="E127" s="924" t="s">
        <v>1007</v>
      </c>
      <c r="F127" s="924"/>
      <c r="G127" s="925" t="s">
        <v>13</v>
      </c>
      <c r="H127" s="926">
        <v>300000</v>
      </c>
      <c r="I127" s="926">
        <v>0</v>
      </c>
      <c r="J127" s="926"/>
      <c r="K127" s="927">
        <f t="shared" si="5"/>
        <v>0</v>
      </c>
    </row>
    <row r="128" spans="2:13" ht="14.85" customHeight="1">
      <c r="B128" s="922">
        <v>42251</v>
      </c>
      <c r="C128" s="923" t="s">
        <v>804</v>
      </c>
      <c r="D128" s="924" t="s">
        <v>1008</v>
      </c>
      <c r="E128" s="924" t="s">
        <v>1009</v>
      </c>
      <c r="F128" s="924"/>
      <c r="G128" s="925" t="s">
        <v>13</v>
      </c>
      <c r="H128" s="926">
        <v>102700</v>
      </c>
      <c r="I128" s="926">
        <v>0</v>
      </c>
      <c r="J128" s="926"/>
      <c r="K128" s="927">
        <f t="shared" si="5"/>
        <v>0</v>
      </c>
    </row>
    <row r="129" spans="1:32" ht="14.85" customHeight="1">
      <c r="B129" s="922">
        <v>42170</v>
      </c>
      <c r="C129" s="923" t="s">
        <v>804</v>
      </c>
      <c r="D129" s="924" t="s">
        <v>913</v>
      </c>
      <c r="E129" s="924" t="s">
        <v>1010</v>
      </c>
      <c r="F129" s="924"/>
      <c r="G129" s="925" t="s">
        <v>13</v>
      </c>
      <c r="H129" s="926">
        <v>363928.5</v>
      </c>
      <c r="I129" s="926">
        <v>14000</v>
      </c>
      <c r="J129" s="926"/>
      <c r="K129" s="927">
        <f t="shared" si="5"/>
        <v>3.8469094890892029E-2</v>
      </c>
    </row>
    <row r="130" spans="1:32" ht="14.85" customHeight="1">
      <c r="B130" s="922">
        <v>42082</v>
      </c>
      <c r="C130" s="923" t="s">
        <v>804</v>
      </c>
      <c r="D130" s="924" t="s">
        <v>1011</v>
      </c>
      <c r="E130" s="924" t="s">
        <v>1012</v>
      </c>
      <c r="F130" s="924"/>
      <c r="G130" s="925" t="s">
        <v>13</v>
      </c>
      <c r="H130" s="926">
        <v>1000</v>
      </c>
      <c r="I130" s="926">
        <v>1000</v>
      </c>
      <c r="J130" s="926"/>
      <c r="K130" s="927">
        <f t="shared" si="5"/>
        <v>1</v>
      </c>
    </row>
    <row r="131" spans="1:32" ht="14.85" customHeight="1">
      <c r="B131" s="922">
        <v>41918</v>
      </c>
      <c r="C131" s="923" t="s">
        <v>804</v>
      </c>
      <c r="D131" s="924" t="s">
        <v>1013</v>
      </c>
      <c r="E131" s="924" t="s">
        <v>1014</v>
      </c>
      <c r="F131" s="924"/>
      <c r="G131" s="925" t="s">
        <v>13</v>
      </c>
      <c r="H131" s="926">
        <v>325.29999999999995</v>
      </c>
      <c r="I131" s="926">
        <v>0</v>
      </c>
      <c r="J131" s="926"/>
      <c r="K131" s="927">
        <f t="shared" si="5"/>
        <v>0</v>
      </c>
    </row>
    <row r="132" spans="1:32" ht="14.85" customHeight="1">
      <c r="B132" s="922">
        <v>41660</v>
      </c>
      <c r="C132" s="923" t="s">
        <v>804</v>
      </c>
      <c r="D132" s="924" t="s">
        <v>684</v>
      </c>
      <c r="E132" s="924" t="s">
        <v>1015</v>
      </c>
      <c r="F132" s="924"/>
      <c r="G132" s="925" t="s">
        <v>13</v>
      </c>
      <c r="H132" s="926">
        <v>162000</v>
      </c>
      <c r="I132" s="926">
        <v>2000</v>
      </c>
      <c r="J132" s="926"/>
      <c r="K132" s="927">
        <f t="shared" si="5"/>
        <v>1.2345679012345678E-2</v>
      </c>
    </row>
    <row r="133" spans="1:32" ht="14.85" customHeight="1">
      <c r="B133" s="922">
        <v>41626</v>
      </c>
      <c r="C133" s="923" t="s">
        <v>804</v>
      </c>
      <c r="D133" s="924" t="s">
        <v>1016</v>
      </c>
      <c r="E133" s="924" t="s">
        <v>1017</v>
      </c>
      <c r="F133" s="924"/>
      <c r="G133" s="925" t="s">
        <v>13</v>
      </c>
      <c r="H133" s="926">
        <v>26150</v>
      </c>
      <c r="I133" s="926">
        <v>0</v>
      </c>
      <c r="J133" s="926"/>
      <c r="K133" s="927">
        <f t="shared" si="5"/>
        <v>0</v>
      </c>
    </row>
    <row r="134" spans="1:32" ht="14.85" customHeight="1">
      <c r="B134" s="922">
        <v>41485</v>
      </c>
      <c r="C134" s="923" t="s">
        <v>804</v>
      </c>
      <c r="D134" s="924" t="s">
        <v>952</v>
      </c>
      <c r="E134" s="924" t="s">
        <v>882</v>
      </c>
      <c r="F134" s="924"/>
      <c r="G134" s="925" t="s">
        <v>13</v>
      </c>
      <c r="H134" s="926">
        <v>143350</v>
      </c>
      <c r="I134" s="926">
        <v>10620</v>
      </c>
      <c r="J134" s="926"/>
      <c r="K134" s="927">
        <f t="shared" si="5"/>
        <v>7.4084408789675621E-2</v>
      </c>
    </row>
    <row r="135" spans="1:32" ht="14.85" customHeight="1">
      <c r="B135" s="922">
        <v>41458</v>
      </c>
      <c r="C135" s="923" t="s">
        <v>804</v>
      </c>
      <c r="D135" s="924" t="s">
        <v>1018</v>
      </c>
      <c r="E135" s="924" t="s">
        <v>909</v>
      </c>
      <c r="F135" s="924"/>
      <c r="G135" s="925" t="s">
        <v>13</v>
      </c>
      <c r="H135" s="926">
        <v>434000</v>
      </c>
      <c r="I135" s="926">
        <v>0</v>
      </c>
      <c r="J135" s="926"/>
      <c r="K135" s="927">
        <f t="shared" si="5"/>
        <v>0</v>
      </c>
    </row>
    <row r="136" spans="1:32" ht="14.85" customHeight="1">
      <c r="B136" s="922">
        <v>41431</v>
      </c>
      <c r="C136" s="923" t="s">
        <v>804</v>
      </c>
      <c r="D136" s="924" t="s">
        <v>1019</v>
      </c>
      <c r="E136" s="924" t="s">
        <v>1020</v>
      </c>
      <c r="F136" s="924"/>
      <c r="G136" s="925" t="s">
        <v>13</v>
      </c>
      <c r="H136" s="926">
        <v>18000</v>
      </c>
      <c r="I136" s="926">
        <v>0</v>
      </c>
      <c r="J136" s="926"/>
      <c r="K136" s="927">
        <f t="shared" si="5"/>
        <v>0</v>
      </c>
    </row>
    <row r="137" spans="1:32" ht="14.85" customHeight="1">
      <c r="B137" s="922">
        <v>41260</v>
      </c>
      <c r="C137" s="923" t="s">
        <v>804</v>
      </c>
      <c r="D137" s="924" t="s">
        <v>1021</v>
      </c>
      <c r="E137" s="924" t="s">
        <v>1022</v>
      </c>
      <c r="F137" s="924"/>
      <c r="G137" s="925" t="s">
        <v>13</v>
      </c>
      <c r="H137" s="926">
        <v>3300</v>
      </c>
      <c r="I137" s="926">
        <v>3300</v>
      </c>
      <c r="J137" s="926"/>
      <c r="K137" s="927">
        <f t="shared" si="5"/>
        <v>1</v>
      </c>
    </row>
    <row r="138" spans="1:32" ht="14.85" customHeight="1">
      <c r="C138" s="933"/>
    </row>
    <row r="139" spans="1:32" s="939" customFormat="1" ht="14.85" customHeight="1">
      <c r="A139" s="910"/>
      <c r="B139" s="561" t="s">
        <v>111</v>
      </c>
      <c r="C139" s="879"/>
      <c r="D139" s="879"/>
      <c r="E139" s="879"/>
      <c r="F139" s="934"/>
      <c r="G139" s="879"/>
      <c r="H139" s="935">
        <f>MAX(H9:H137)</f>
        <v>14000000</v>
      </c>
      <c r="I139" s="935">
        <f>MAX(I9:I137)</f>
        <v>640000</v>
      </c>
      <c r="J139" s="936"/>
      <c r="K139" s="658">
        <f>MAX(K9:K137)</f>
        <v>1</v>
      </c>
      <c r="L139" s="337"/>
      <c r="M139" s="595"/>
      <c r="N139" s="595"/>
      <c r="O139" s="595"/>
      <c r="P139" s="337"/>
      <c r="Q139" s="937"/>
      <c r="R139" s="937"/>
      <c r="S139" s="937"/>
      <c r="T139" s="937"/>
      <c r="U139" s="937"/>
      <c r="V139" s="337"/>
      <c r="W139" s="595"/>
      <c r="X139" s="595"/>
      <c r="Y139" s="595"/>
      <c r="Z139" s="337"/>
      <c r="AA139" s="937"/>
      <c r="AB139" s="937"/>
      <c r="AC139" s="937"/>
      <c r="AD139" s="337"/>
      <c r="AE139" s="938"/>
      <c r="AF139" s="938"/>
    </row>
    <row r="140" spans="1:32" s="939" customFormat="1" ht="14.85" customHeight="1">
      <c r="A140" s="910"/>
      <c r="B140" s="567" t="s">
        <v>115</v>
      </c>
      <c r="C140" s="424"/>
      <c r="D140" s="424"/>
      <c r="E140" s="424"/>
      <c r="F140" s="424"/>
      <c r="G140" s="424"/>
      <c r="H140" s="940">
        <f>QUARTILE(H9:H137,3)</f>
        <v>335500</v>
      </c>
      <c r="I140" s="940">
        <f>QUARTILE(I9:I137,3)</f>
        <v>22500</v>
      </c>
      <c r="J140" s="940"/>
      <c r="K140" s="660">
        <f>QUARTILE(K9:K137,3)</f>
        <v>0.26969696969696966</v>
      </c>
      <c r="L140" s="337"/>
      <c r="M140" s="595"/>
      <c r="N140" s="595"/>
      <c r="O140" s="595"/>
      <c r="P140" s="337"/>
      <c r="Q140" s="937"/>
      <c r="R140" s="937"/>
      <c r="S140" s="937"/>
      <c r="T140" s="937"/>
      <c r="U140" s="937"/>
      <c r="V140" s="337"/>
      <c r="W140" s="595"/>
      <c r="X140" s="595"/>
      <c r="Y140" s="595"/>
      <c r="Z140" s="337"/>
      <c r="AA140" s="937"/>
      <c r="AB140" s="937"/>
      <c r="AC140" s="937"/>
      <c r="AD140" s="337"/>
      <c r="AE140" s="938"/>
      <c r="AF140" s="938"/>
    </row>
    <row r="141" spans="1:32" s="939" customFormat="1" ht="14.85" customHeight="1">
      <c r="A141" s="910"/>
      <c r="B141" s="567" t="s">
        <v>43</v>
      </c>
      <c r="C141" s="424"/>
      <c r="D141" s="424"/>
      <c r="E141" s="705"/>
      <c r="F141" s="705"/>
      <c r="G141" s="424"/>
      <c r="H141" s="940">
        <f>AVERAGE(H9:H137)</f>
        <v>377886.70336134452</v>
      </c>
      <c r="I141" s="940">
        <f>AVERAGE(I9:I137)</f>
        <v>31768</v>
      </c>
      <c r="J141" s="940"/>
      <c r="K141" s="660">
        <f>AVERAGE(K9:K137)</f>
        <v>0.237657090084615</v>
      </c>
      <c r="L141" s="337"/>
      <c r="M141" s="595"/>
      <c r="N141" s="595"/>
      <c r="O141" s="595"/>
      <c r="P141" s="337"/>
      <c r="Q141" s="937"/>
      <c r="R141" s="937"/>
      <c r="S141" s="937"/>
      <c r="T141" s="937"/>
      <c r="U141" s="937"/>
      <c r="V141" s="337"/>
      <c r="W141" s="595"/>
      <c r="X141" s="595"/>
      <c r="Y141" s="595"/>
      <c r="Z141" s="337"/>
      <c r="AA141" s="937"/>
      <c r="AB141" s="937"/>
      <c r="AC141" s="937"/>
      <c r="AD141" s="337"/>
      <c r="AE141" s="938"/>
      <c r="AF141" s="938"/>
    </row>
    <row r="142" spans="1:32" s="939" customFormat="1" ht="14.85" customHeight="1">
      <c r="A142" s="910"/>
      <c r="B142" s="567" t="s">
        <v>44</v>
      </c>
      <c r="C142" s="424"/>
      <c r="D142" s="424"/>
      <c r="E142" s="705"/>
      <c r="F142" s="705"/>
      <c r="G142" s="424"/>
      <c r="H142" s="940">
        <f>MEDIAN(H9:H137)</f>
        <v>120000</v>
      </c>
      <c r="I142" s="940">
        <f>MEDIAN(I9:I137)</f>
        <v>3300</v>
      </c>
      <c r="J142" s="940"/>
      <c r="K142" s="660">
        <f>MEDIAN(K9:K137)</f>
        <v>4.4554455445544552E-2</v>
      </c>
      <c r="L142" s="337"/>
      <c r="M142" s="595"/>
      <c r="N142" s="595"/>
      <c r="O142" s="595"/>
      <c r="P142" s="337"/>
      <c r="Q142" s="937"/>
      <c r="R142" s="937"/>
      <c r="S142" s="937"/>
      <c r="T142" s="937"/>
      <c r="U142" s="937"/>
      <c r="V142" s="337"/>
      <c r="W142" s="595"/>
      <c r="X142" s="595"/>
      <c r="Y142" s="595"/>
      <c r="Z142" s="337"/>
      <c r="AA142" s="937"/>
      <c r="AB142" s="937"/>
      <c r="AC142" s="937"/>
      <c r="AD142" s="337"/>
      <c r="AE142" s="938"/>
      <c r="AF142" s="938"/>
    </row>
    <row r="143" spans="1:32" s="939" customFormat="1" ht="14.85" customHeight="1">
      <c r="A143" s="910"/>
      <c r="B143" s="567" t="s">
        <v>114</v>
      </c>
      <c r="C143" s="424"/>
      <c r="D143" s="424"/>
      <c r="E143" s="705"/>
      <c r="F143" s="705"/>
      <c r="G143" s="424"/>
      <c r="H143" s="940">
        <f>QUARTILE(H9:H137,1)</f>
        <v>19000</v>
      </c>
      <c r="I143" s="940">
        <f>QUARTILE(I9:I137,1)</f>
        <v>0</v>
      </c>
      <c r="J143" s="940"/>
      <c r="K143" s="660">
        <f>QUARTILE(K9:K137,1)</f>
        <v>0</v>
      </c>
      <c r="L143" s="337"/>
      <c r="M143" s="595"/>
      <c r="N143" s="595"/>
      <c r="O143" s="595"/>
      <c r="P143" s="337"/>
      <c r="Q143" s="937"/>
      <c r="R143" s="937"/>
      <c r="S143" s="937"/>
      <c r="T143" s="937"/>
      <c r="U143" s="937"/>
      <c r="V143" s="337"/>
      <c r="W143" s="595"/>
      <c r="X143" s="595"/>
      <c r="Y143" s="595"/>
      <c r="Z143" s="337"/>
      <c r="AA143" s="937"/>
      <c r="AB143" s="937"/>
      <c r="AC143" s="937"/>
      <c r="AD143" s="337"/>
      <c r="AE143" s="938"/>
      <c r="AF143" s="938"/>
    </row>
    <row r="144" spans="1:32" s="939" customFormat="1" ht="14.85" customHeight="1">
      <c r="A144" s="910"/>
      <c r="B144" s="572" t="s">
        <v>112</v>
      </c>
      <c r="C144" s="706"/>
      <c r="D144" s="706"/>
      <c r="E144" s="941"/>
      <c r="F144" s="941"/>
      <c r="G144" s="706"/>
      <c r="H144" s="942">
        <f>MIN(H9:H137)</f>
        <v>25</v>
      </c>
      <c r="I144" s="942">
        <f>MIN(I9:I137)</f>
        <v>0</v>
      </c>
      <c r="J144" s="942"/>
      <c r="K144" s="662">
        <f>MIN(K9:K137)</f>
        <v>0</v>
      </c>
      <c r="L144" s="337"/>
      <c r="M144" s="595"/>
      <c r="N144" s="595"/>
      <c r="O144" s="595"/>
      <c r="P144" s="337"/>
      <c r="Q144" s="937"/>
      <c r="R144" s="937"/>
      <c r="S144" s="937"/>
      <c r="T144" s="937"/>
      <c r="U144" s="937"/>
      <c r="V144" s="337"/>
      <c r="W144" s="595"/>
      <c r="X144" s="595"/>
      <c r="Y144" s="595"/>
      <c r="Z144" s="337"/>
      <c r="AA144" s="937"/>
      <c r="AB144" s="937"/>
      <c r="AC144" s="937"/>
      <c r="AD144" s="337"/>
      <c r="AE144" s="938"/>
      <c r="AF144" s="938"/>
    </row>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C4:J4">
    <cfRule type="cellIs" dxfId="60" priority="4" stopIfTrue="1" operator="equal">
      <formula>"input"</formula>
    </cfRule>
  </conditionalFormatting>
  <conditionalFormatting sqref="B4">
    <cfRule type="cellIs" dxfId="59" priority="3" stopIfTrue="1" operator="equal">
      <formula>"input"</formula>
    </cfRule>
  </conditionalFormatting>
  <conditionalFormatting sqref="K4">
    <cfRule type="cellIs" dxfId="58" priority="1" stopIfTrue="1" operator="equal">
      <formula>"input"</formula>
    </cfRule>
  </conditionalFormatting>
  <conditionalFormatting sqref="K4">
    <cfRule type="cellIs" dxfId="57" priority="2" stopIfTrue="1" operator="equal">
      <formula>"input"</formula>
    </cfRule>
  </conditionalFormatting>
  <hyperlinks>
    <hyperlink ref="M49" r:id="rId1" xr:uid="{00000000-0004-0000-4700-000000000000}"/>
  </hyperlinks>
  <pageMargins left="0.5" right="0.5" top="0.5" bottom="0.5" header="0.5" footer="0.5"/>
  <pageSetup scale="90" orientation="landscape" r:id="rId2"/>
  <rowBreaks count="1" manualBreakCount="1">
    <brk id="121" max="10" man="1"/>
  </rowBreaks>
  <legacyDrawing r:id="rId3"/>
  <legacyDrawingHF r:id="rId4"/>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63"/>
  <dimension ref="A1:AL764"/>
  <sheetViews>
    <sheetView showGridLines="0" view="pageBreakPreview" zoomScale="80" zoomScaleNormal="100" zoomScaleSheetLayoutView="80" workbookViewId="0"/>
  </sheetViews>
  <sheetFormatPr defaultColWidth="10.6640625" defaultRowHeight="12.75" outlineLevelCol="1"/>
  <cols>
    <col min="1" max="1" width="4.5" style="944" customWidth="1"/>
    <col min="2" max="2" width="40.83203125" style="944" customWidth="1"/>
    <col min="3" max="3" width="18.6640625" style="944" hidden="1" customWidth="1" outlineLevel="1"/>
    <col min="4" max="4" width="15.1640625" style="944" hidden="1" customWidth="1" outlineLevel="1"/>
    <col min="5" max="5" width="12.5" style="946" bestFit="1" customWidth="1" collapsed="1"/>
    <col min="6" max="6" width="12.33203125" style="946" customWidth="1"/>
    <col min="7" max="8" width="14" style="946" hidden="1" customWidth="1" outlineLevel="1"/>
    <col min="9" max="9" width="14.83203125" style="946" hidden="1" customWidth="1" outlineLevel="1"/>
    <col min="10" max="10" width="14.83203125" style="946" customWidth="1" collapsed="1"/>
    <col min="11" max="11" width="13.83203125" style="946" bestFit="1" customWidth="1"/>
    <col min="12" max="12" width="14.83203125" style="946" customWidth="1"/>
    <col min="13" max="13" width="15.6640625" style="946" customWidth="1"/>
    <col min="14" max="14" width="15.83203125" style="946" customWidth="1"/>
    <col min="15" max="15" width="16" style="946" customWidth="1"/>
    <col min="16" max="16" width="4.5" style="946" hidden="1" customWidth="1" outlineLevel="1"/>
    <col min="17" max="17" width="28.83203125" style="946" hidden="1" customWidth="1" outlineLevel="1"/>
    <col min="18" max="18" width="16.33203125" style="944" hidden="1" customWidth="1" outlineLevel="1"/>
    <col min="19" max="19" width="13.6640625" style="944" hidden="1" customWidth="1" outlineLevel="1"/>
    <col min="20" max="20" width="14.83203125" style="944" hidden="1" customWidth="1" outlineLevel="1"/>
    <col min="21" max="21" width="13.5" style="944" hidden="1" customWidth="1" outlineLevel="1"/>
    <col min="22" max="22" width="16.1640625" style="944" hidden="1" customWidth="1" outlineLevel="1"/>
    <col min="23" max="23" width="11.5" style="944" hidden="1" customWidth="1" outlineLevel="1"/>
    <col min="24" max="25" width="10.6640625" style="944" hidden="1" customWidth="1" outlineLevel="1"/>
    <col min="26" max="26" width="4.5" style="944" customWidth="1" collapsed="1"/>
    <col min="27" max="27" width="23.5" style="944" customWidth="1"/>
    <col min="28" max="33" width="15.33203125" style="944" customWidth="1"/>
    <col min="34" max="34" width="12.6640625" style="944" bestFit="1" customWidth="1"/>
    <col min="35" max="35" width="13.5" style="944" bestFit="1" customWidth="1"/>
    <col min="36" max="36" width="13" style="944" bestFit="1" customWidth="1"/>
    <col min="37" max="37" width="10.83203125" style="944" bestFit="1" customWidth="1"/>
    <col min="38" max="38" width="14.83203125" style="944" bestFit="1" customWidth="1"/>
    <col min="39" max="16384" width="10.6640625" style="944"/>
  </cols>
  <sheetData>
    <row r="1" spans="1:38" ht="11.25" customHeight="1" thickBot="1">
      <c r="A1" s="943"/>
      <c r="E1" s="945"/>
      <c r="F1" s="945"/>
      <c r="G1" s="945"/>
      <c r="H1" s="945"/>
      <c r="I1" s="945"/>
      <c r="J1" s="945"/>
      <c r="K1" s="945"/>
      <c r="L1" s="945"/>
      <c r="M1" s="945"/>
      <c r="Q1" s="944"/>
      <c r="R1" s="947"/>
      <c r="S1" s="948"/>
      <c r="AG1" s="944" t="s">
        <v>378</v>
      </c>
      <c r="AH1" s="944" t="s">
        <v>380</v>
      </c>
      <c r="AJ1" s="949"/>
    </row>
    <row r="2" spans="1:38" ht="15" thickTop="1">
      <c r="A2" s="950"/>
      <c r="B2" s="216" t="str">
        <f>'MASTER PubCo Inputs'!$C$5</f>
        <v>Medikine, Inc.</v>
      </c>
      <c r="C2" s="216"/>
      <c r="D2" s="216"/>
      <c r="E2" s="216"/>
      <c r="F2" s="216"/>
      <c r="G2" s="216"/>
      <c r="H2" s="216"/>
      <c r="I2" s="216"/>
      <c r="J2" s="216"/>
      <c r="K2" s="216"/>
      <c r="L2" s="216"/>
      <c r="M2" s="216"/>
      <c r="N2" s="216"/>
      <c r="O2" s="216"/>
      <c r="P2" s="951"/>
      <c r="Q2" s="952"/>
      <c r="R2" s="953" t="s">
        <v>1406</v>
      </c>
      <c r="S2" s="954">
        <v>42704</v>
      </c>
      <c r="AB2" s="1066" t="s">
        <v>1653</v>
      </c>
      <c r="AG2" s="944" t="s">
        <v>702</v>
      </c>
      <c r="AH2" s="944" t="s">
        <v>703</v>
      </c>
    </row>
    <row r="3" spans="1:38" ht="14.25">
      <c r="A3" s="950"/>
      <c r="B3" s="217" t="e">
        <f>VLOOKUP(B4,Outline!$E$8:$G$79,COLUMNS(Outline!$E$8:$G$8),FALSE)</f>
        <v>#N/A</v>
      </c>
      <c r="C3" s="217"/>
      <c r="D3" s="217"/>
      <c r="E3" s="217"/>
      <c r="F3" s="217"/>
      <c r="G3" s="217"/>
      <c r="H3" s="217"/>
      <c r="I3" s="217"/>
      <c r="J3" s="217"/>
      <c r="K3" s="217"/>
      <c r="L3" s="217"/>
      <c r="M3" s="217"/>
      <c r="N3" s="217"/>
      <c r="O3" s="217"/>
      <c r="P3" s="951"/>
      <c r="Q3" s="952"/>
      <c r="R3" s="1067"/>
      <c r="S3" s="956"/>
      <c r="AB3" s="1068">
        <v>42825</v>
      </c>
      <c r="AC3" s="944" t="s">
        <v>1654</v>
      </c>
      <c r="AG3" s="944" t="s">
        <v>379</v>
      </c>
      <c r="AH3" s="944" t="s">
        <v>381</v>
      </c>
    </row>
    <row r="4" spans="1:38" ht="15" thickBot="1">
      <c r="B4" s="444" t="s">
        <v>1023</v>
      </c>
      <c r="C4" s="444"/>
      <c r="D4" s="444"/>
      <c r="E4" s="444"/>
      <c r="F4" s="444"/>
      <c r="G4" s="444"/>
      <c r="H4" s="444"/>
      <c r="I4" s="444"/>
      <c r="J4" s="444"/>
      <c r="K4" s="444"/>
      <c r="L4" s="444"/>
      <c r="M4" s="444"/>
      <c r="N4" s="444"/>
      <c r="O4" s="445" t="str">
        <f>'MASTER PubCo Inputs'!C20</f>
        <v>(in thousands of USD and shares, except price per share)</v>
      </c>
      <c r="P4" s="951"/>
      <c r="Q4" s="944"/>
      <c r="AG4" s="944" t="s">
        <v>89</v>
      </c>
      <c r="AH4" s="944" t="s">
        <v>90</v>
      </c>
    </row>
    <row r="5" spans="1:38" s="1069" customFormat="1" ht="14.85" customHeight="1" thickTop="1">
      <c r="B5" s="957" t="s">
        <v>1741</v>
      </c>
      <c r="C5" s="958"/>
      <c r="D5" s="957"/>
      <c r="E5" s="957"/>
      <c r="F5" s="959"/>
      <c r="G5" s="1070"/>
      <c r="H5" s="1070"/>
      <c r="I5" s="1070"/>
      <c r="J5" s="1070"/>
      <c r="K5" s="332"/>
      <c r="L5" s="332"/>
      <c r="M5" s="332"/>
      <c r="N5" s="332"/>
      <c r="O5" s="333"/>
      <c r="P5" s="1071"/>
    </row>
    <row r="6" spans="1:38" ht="14.85" customHeight="1">
      <c r="B6" s="960"/>
      <c r="C6" s="960"/>
      <c r="D6" s="960"/>
      <c r="E6" s="945"/>
      <c r="F6" s="945"/>
      <c r="G6" s="945"/>
      <c r="H6" s="945"/>
      <c r="I6" s="945"/>
      <c r="J6" s="945"/>
      <c r="K6" s="945"/>
      <c r="L6" s="945"/>
      <c r="M6" s="945"/>
      <c r="P6" s="951"/>
      <c r="Q6" s="944"/>
    </row>
    <row r="7" spans="1:38" s="964" customFormat="1" ht="14.85" customHeight="1">
      <c r="B7" s="578" t="s">
        <v>1549</v>
      </c>
      <c r="C7" s="1072"/>
      <c r="D7" s="1072"/>
      <c r="E7" s="1072"/>
      <c r="F7" s="1072"/>
      <c r="G7" s="1072"/>
      <c r="H7" s="1072"/>
      <c r="I7" s="1072"/>
      <c r="J7" s="1072"/>
      <c r="K7" s="1072"/>
      <c r="L7" s="1072"/>
      <c r="M7" s="1072"/>
      <c r="N7" s="1072"/>
      <c r="O7" s="1073"/>
      <c r="P7" s="1072"/>
      <c r="Q7" s="1072"/>
      <c r="R7" s="1072"/>
      <c r="S7" s="1073"/>
      <c r="T7" s="1072"/>
      <c r="U7" s="1072"/>
      <c r="V7" s="1072"/>
      <c r="W7" s="1072"/>
      <c r="X7" s="1072"/>
      <c r="Y7" s="1073"/>
      <c r="Z7" s="1074"/>
      <c r="AA7" s="969"/>
    </row>
    <row r="8" spans="1:38" s="1075" customFormat="1" ht="14.85" customHeight="1">
      <c r="B8" s="1076"/>
      <c r="C8" s="1077"/>
      <c r="D8" s="1077"/>
      <c r="E8" s="1077"/>
      <c r="F8" s="1078"/>
      <c r="G8" s="1078"/>
      <c r="H8" s="1078"/>
      <c r="I8" s="1079"/>
      <c r="J8" s="1077"/>
      <c r="K8" s="1079"/>
      <c r="L8" s="1079"/>
      <c r="M8" s="1079"/>
      <c r="N8" s="1077"/>
      <c r="O8" s="1080"/>
      <c r="P8" s="1081" t="s">
        <v>1550</v>
      </c>
      <c r="Q8" s="1081"/>
      <c r="R8" s="1081"/>
      <c r="S8" s="1082"/>
      <c r="T8" s="1081" t="s">
        <v>1551</v>
      </c>
      <c r="U8" s="1081"/>
      <c r="V8" s="1081"/>
      <c r="W8" s="1081" t="s">
        <v>1552</v>
      </c>
      <c r="X8" s="1081"/>
      <c r="Y8" s="1082"/>
      <c r="Z8" s="1083"/>
      <c r="AA8" s="1084"/>
      <c r="AB8" s="1046"/>
      <c r="AC8" s="1046"/>
      <c r="AF8" s="1046"/>
    </row>
    <row r="9" spans="1:38" s="970" customFormat="1" ht="17.25" customHeight="1">
      <c r="B9" s="1085"/>
      <c r="C9" s="973"/>
      <c r="D9" s="973" t="s">
        <v>1026</v>
      </c>
      <c r="E9" s="1942" t="s">
        <v>1550</v>
      </c>
      <c r="F9" s="1941" t="s">
        <v>1027</v>
      </c>
      <c r="G9" s="1942" t="s">
        <v>1028</v>
      </c>
      <c r="H9" s="1942"/>
      <c r="I9" s="1941" t="s">
        <v>1029</v>
      </c>
      <c r="J9" s="1941" t="s">
        <v>1737</v>
      </c>
      <c r="K9" s="1941" t="s">
        <v>1030</v>
      </c>
      <c r="L9" s="1941" t="s">
        <v>1031</v>
      </c>
      <c r="M9" s="1941" t="s">
        <v>1032</v>
      </c>
      <c r="N9" s="1941" t="s">
        <v>1738</v>
      </c>
      <c r="O9" s="1944" t="s">
        <v>1037</v>
      </c>
      <c r="P9" s="1086" t="s">
        <v>285</v>
      </c>
      <c r="Q9" s="1086" t="s">
        <v>288</v>
      </c>
      <c r="R9" s="973" t="s">
        <v>285</v>
      </c>
      <c r="S9" s="1087" t="s">
        <v>288</v>
      </c>
      <c r="T9" s="973" t="s">
        <v>1553</v>
      </c>
      <c r="U9" s="973" t="s">
        <v>285</v>
      </c>
      <c r="V9" s="973" t="s">
        <v>288</v>
      </c>
      <c r="W9" s="973" t="s">
        <v>1553</v>
      </c>
      <c r="X9" s="973" t="s">
        <v>285</v>
      </c>
      <c r="Y9" s="1088" t="s">
        <v>288</v>
      </c>
      <c r="Z9" s="1074"/>
      <c r="AA9" s="1929" t="s">
        <v>1033</v>
      </c>
      <c r="AB9" s="1929" t="s">
        <v>1034</v>
      </c>
      <c r="AC9" s="1929" t="s">
        <v>1035</v>
      </c>
      <c r="AE9" s="1943" t="s">
        <v>1037</v>
      </c>
      <c r="AF9" s="1929" t="s">
        <v>685</v>
      </c>
      <c r="AH9" s="1930" t="s">
        <v>146</v>
      </c>
      <c r="AI9" s="1930" t="s">
        <v>1743</v>
      </c>
      <c r="AJ9" s="1930" t="s">
        <v>1744</v>
      </c>
      <c r="AK9" s="1930" t="s">
        <v>1745</v>
      </c>
      <c r="AL9" s="1930" t="s">
        <v>1746</v>
      </c>
    </row>
    <row r="10" spans="1:38" s="970" customFormat="1" ht="23.25" customHeight="1">
      <c r="B10" s="974" t="s">
        <v>1038</v>
      </c>
      <c r="C10" s="975" t="s">
        <v>1039</v>
      </c>
      <c r="D10" s="975" t="s">
        <v>1040</v>
      </c>
      <c r="E10" s="1932"/>
      <c r="F10" s="1934"/>
      <c r="G10" s="976" t="s">
        <v>112</v>
      </c>
      <c r="H10" s="976" t="s">
        <v>111</v>
      </c>
      <c r="I10" s="1934"/>
      <c r="J10" s="1934"/>
      <c r="K10" s="1934"/>
      <c r="L10" s="1934"/>
      <c r="M10" s="1934"/>
      <c r="N10" s="1934"/>
      <c r="O10" s="1936"/>
      <c r="P10" s="975" t="s">
        <v>158</v>
      </c>
      <c r="Q10" s="975" t="s">
        <v>158</v>
      </c>
      <c r="R10" s="975" t="s">
        <v>1554</v>
      </c>
      <c r="S10" s="1089" t="s">
        <v>1555</v>
      </c>
      <c r="T10" s="975" t="s">
        <v>1556</v>
      </c>
      <c r="U10" s="975" t="s">
        <v>1554</v>
      </c>
      <c r="V10" s="975" t="s">
        <v>1555</v>
      </c>
      <c r="W10" s="975" t="s">
        <v>1556</v>
      </c>
      <c r="X10" s="975" t="s">
        <v>1554</v>
      </c>
      <c r="Y10" s="1089" t="s">
        <v>1555</v>
      </c>
      <c r="Z10" s="1074"/>
      <c r="AA10" s="1929"/>
      <c r="AB10" s="1929"/>
      <c r="AC10" s="1929"/>
      <c r="AE10" s="1943"/>
      <c r="AF10" s="1929"/>
      <c r="AG10" s="978" t="s">
        <v>95</v>
      </c>
      <c r="AH10" s="1930"/>
      <c r="AI10" s="1930"/>
      <c r="AJ10" s="1930"/>
      <c r="AK10" s="1930"/>
      <c r="AL10" s="1930"/>
    </row>
    <row r="11" spans="1:38" s="979" customFormat="1" ht="14.85" customHeight="1">
      <c r="B11" s="980"/>
      <c r="C11" s="980"/>
      <c r="D11" s="980"/>
      <c r="E11" s="980"/>
      <c r="F11" s="980"/>
      <c r="G11" s="980"/>
      <c r="H11" s="980"/>
      <c r="I11" s="980"/>
      <c r="J11" s="980"/>
      <c r="K11" s="980"/>
      <c r="L11" s="980"/>
      <c r="M11" s="980"/>
      <c r="N11" s="1090"/>
      <c r="O11" s="980"/>
      <c r="P11" s="1090"/>
      <c r="Q11" s="1090"/>
      <c r="R11" s="980"/>
      <c r="S11" s="1090"/>
      <c r="T11" s="1090"/>
      <c r="U11" s="980"/>
      <c r="V11" s="980"/>
      <c r="W11" s="980"/>
      <c r="X11" s="980"/>
      <c r="Y11" s="1090"/>
      <c r="Z11" s="1074"/>
      <c r="AA11" s="981"/>
      <c r="AB11" s="981"/>
      <c r="AC11" s="981"/>
      <c r="AF11" s="1091"/>
    </row>
    <row r="12" spans="1:38" s="1005" customFormat="1" ht="14.85" customHeight="1">
      <c r="B12" s="986" t="s">
        <v>1557</v>
      </c>
      <c r="C12" s="987" t="s">
        <v>1558</v>
      </c>
      <c r="D12" s="987" t="s">
        <v>1559</v>
      </c>
      <c r="E12" s="990">
        <v>42662</v>
      </c>
      <c r="F12" s="1092">
        <v>17</v>
      </c>
      <c r="G12" s="1092">
        <v>13</v>
      </c>
      <c r="H12" s="1093">
        <v>15</v>
      </c>
      <c r="I12" s="1093">
        <v>30.49</v>
      </c>
      <c r="J12" s="1008">
        <f t="shared" ref="J12:J40" si="0">L12-K12</f>
        <v>14828.987000000001</v>
      </c>
      <c r="K12" s="1008">
        <v>5350</v>
      </c>
      <c r="L12" s="740">
        <v>20178.987000000001</v>
      </c>
      <c r="M12" s="1094">
        <f t="shared" ref="M12:M17" si="1">+J12*F12</f>
        <v>252092.77900000001</v>
      </c>
      <c r="N12" s="1008">
        <v>107000.01</v>
      </c>
      <c r="O12" s="1094">
        <f>+M12+N12</f>
        <v>359092.78899999999</v>
      </c>
      <c r="P12" s="1095">
        <v>48786000</v>
      </c>
      <c r="Q12" s="1095">
        <v>62887920</v>
      </c>
      <c r="R12" s="1008">
        <f t="shared" ref="R12:R40" si="2">IFERROR(O12/P12,"n/a")</f>
        <v>7.3605704300414047E-3</v>
      </c>
      <c r="S12" s="1094">
        <f t="shared" ref="S12:S40" si="3">IFERROR(O12/Q12,"n/a")</f>
        <v>5.7100439798295124E-3</v>
      </c>
      <c r="T12" s="1095">
        <f t="shared" ref="T12:T17" si="4">O12+AG12-AF12</f>
        <v>381493.78899999999</v>
      </c>
      <c r="U12" s="1008">
        <f>IFERROR($T12/P12,"n/a")</f>
        <v>7.8197390439880294E-3</v>
      </c>
      <c r="V12" s="1094">
        <f>IFERROR($T12/Q12,"n/a")</f>
        <v>6.0662491142973087E-3</v>
      </c>
      <c r="W12" s="1095">
        <v>766886680</v>
      </c>
      <c r="X12" s="1008">
        <f>IFERROR($W12/P12,"n/a")</f>
        <v>15.719400647726808</v>
      </c>
      <c r="Y12" s="1094">
        <f>IFERROR($W12/Q12,"n/a")</f>
        <v>12.194499038925123</v>
      </c>
      <c r="Z12" s="1094"/>
      <c r="AA12" s="1094">
        <f t="shared" ref="AA12:AA18" si="5">+I12*L12</f>
        <v>615257.31362999999</v>
      </c>
      <c r="AB12" s="1096">
        <v>42663</v>
      </c>
      <c r="AC12" s="1096">
        <f t="shared" ref="AC12:AC21" si="6">+AB12+30</f>
        <v>42693</v>
      </c>
      <c r="AD12" s="997" t="s">
        <v>1560</v>
      </c>
      <c r="AE12" s="997">
        <v>359092.78899999999</v>
      </c>
      <c r="AF12" s="944">
        <v>8974</v>
      </c>
      <c r="AG12" s="944">
        <v>31375</v>
      </c>
      <c r="AH12" s="1097">
        <f>AE12+AG12-AF12</f>
        <v>381493.78899999999</v>
      </c>
      <c r="AI12" s="1098">
        <v>3924</v>
      </c>
      <c r="AJ12" s="1098">
        <v>-15387</v>
      </c>
      <c r="AK12" s="1099">
        <f>IFERROR(AH12/AI12,"n/a")</f>
        <v>97.220639398572885</v>
      </c>
      <c r="AL12" s="1097">
        <f>IFERROR(AH12/AJ12,"n/a")</f>
        <v>-24.793253330733737</v>
      </c>
    </row>
    <row r="13" spans="1:38" s="1005" customFormat="1" ht="14.85" customHeight="1">
      <c r="B13" s="986" t="s">
        <v>1561</v>
      </c>
      <c r="C13" s="987" t="s">
        <v>1562</v>
      </c>
      <c r="D13" s="987" t="s">
        <v>1563</v>
      </c>
      <c r="E13" s="990">
        <v>42648</v>
      </c>
      <c r="F13" s="1092">
        <v>15</v>
      </c>
      <c r="G13" s="1092">
        <v>14</v>
      </c>
      <c r="H13" s="1093">
        <v>16</v>
      </c>
      <c r="I13" s="1093">
        <v>8.9499999999999993</v>
      </c>
      <c r="J13" s="1008">
        <f t="shared" si="0"/>
        <v>10953.471</v>
      </c>
      <c r="K13" s="1008">
        <v>5000</v>
      </c>
      <c r="L13" s="740">
        <v>15953.471</v>
      </c>
      <c r="M13" s="1094">
        <f t="shared" si="1"/>
        <v>164302.065</v>
      </c>
      <c r="N13" s="1008">
        <v>75000</v>
      </c>
      <c r="O13" s="1094">
        <f t="shared" ref="O13:O40" si="7">+M13+N13</f>
        <v>239302.065</v>
      </c>
      <c r="P13" s="1095">
        <v>3924000</v>
      </c>
      <c r="Q13" s="1095">
        <v>3332750</v>
      </c>
      <c r="R13" s="1008">
        <f t="shared" si="2"/>
        <v>6.0984216360856269E-2</v>
      </c>
      <c r="S13" s="1094">
        <f t="shared" si="3"/>
        <v>7.1803185057385047E-2</v>
      </c>
      <c r="T13" s="1095">
        <f t="shared" si="4"/>
        <v>244856.065</v>
      </c>
      <c r="U13" s="1008">
        <f t="shared" ref="U13:V16" si="8">IFERROR($T13/P13,"n/a")</f>
        <v>6.2399608817533127E-2</v>
      </c>
      <c r="V13" s="1094">
        <f t="shared" si="8"/>
        <v>7.3469676693421346E-2</v>
      </c>
      <c r="W13" s="1095">
        <v>249632570</v>
      </c>
      <c r="X13" s="1008">
        <f t="shared" ref="X13:Y16" si="9">IFERROR($W13/P13,"n/a")</f>
        <v>63.616862895005099</v>
      </c>
      <c r="Y13" s="1094">
        <f t="shared" si="9"/>
        <v>74.902879003825674</v>
      </c>
      <c r="Z13" s="1094"/>
      <c r="AA13" s="1094">
        <f t="shared" si="5"/>
        <v>142783.56544999999</v>
      </c>
      <c r="AB13" s="1096">
        <v>42649</v>
      </c>
      <c r="AC13" s="1096">
        <f t="shared" si="6"/>
        <v>42679</v>
      </c>
      <c r="AD13" s="997" t="s">
        <v>1564</v>
      </c>
      <c r="AE13" s="997">
        <v>239302.065</v>
      </c>
      <c r="AF13" s="944">
        <v>4329</v>
      </c>
      <c r="AG13" s="944">
        <v>9883</v>
      </c>
      <c r="AH13" s="1097">
        <f t="shared" ref="AH13:AH40" si="10">AE13+AG13-AF13</f>
        <v>244856.065</v>
      </c>
      <c r="AI13" s="1097">
        <v>71409</v>
      </c>
      <c r="AJ13" s="1097">
        <v>5566</v>
      </c>
      <c r="AK13" s="1099">
        <f t="shared" ref="AK13:AK40" si="11">IFERROR(AH13/AI13,"n/a")</f>
        <v>3.4289244352952708</v>
      </c>
      <c r="AL13" s="1099">
        <f t="shared" ref="AL13:AL40" si="12">IFERROR(AH13/AJ13,"n/a")</f>
        <v>43.99138789076536</v>
      </c>
    </row>
    <row r="14" spans="1:38" s="1005" customFormat="1" ht="14.85" customHeight="1">
      <c r="B14" s="986" t="s">
        <v>1565</v>
      </c>
      <c r="C14" s="987" t="s">
        <v>1566</v>
      </c>
      <c r="D14" s="987" t="s">
        <v>1567</v>
      </c>
      <c r="E14" s="990">
        <v>42578</v>
      </c>
      <c r="F14" s="1092">
        <v>10</v>
      </c>
      <c r="G14" s="1092">
        <v>14</v>
      </c>
      <c r="H14" s="1093">
        <v>16</v>
      </c>
      <c r="I14" s="1093">
        <v>13.57</v>
      </c>
      <c r="J14" s="1008">
        <f t="shared" si="0"/>
        <v>12649.017</v>
      </c>
      <c r="K14" s="1008">
        <v>4000</v>
      </c>
      <c r="L14" s="740">
        <v>16649.017</v>
      </c>
      <c r="M14" s="1094">
        <f t="shared" si="1"/>
        <v>126490.17</v>
      </c>
      <c r="N14" s="1008">
        <v>40000</v>
      </c>
      <c r="O14" s="1094">
        <f t="shared" si="7"/>
        <v>166490.16999999998</v>
      </c>
      <c r="P14" s="1095">
        <v>66450999.999999993</v>
      </c>
      <c r="Q14" s="1095">
        <v>82300000</v>
      </c>
      <c r="R14" s="1008">
        <f t="shared" si="2"/>
        <v>2.5054577056778681E-3</v>
      </c>
      <c r="S14" s="1094">
        <f t="shared" si="3"/>
        <v>2.0229668286755771E-3</v>
      </c>
      <c r="T14" s="1095">
        <f t="shared" si="4"/>
        <v>160703.16999999998</v>
      </c>
      <c r="U14" s="1008">
        <f t="shared" si="8"/>
        <v>2.4183709801206903E-3</v>
      </c>
      <c r="V14" s="1094">
        <f t="shared" si="8"/>
        <v>1.9526509113001213E-3</v>
      </c>
      <c r="W14" s="1095">
        <v>199301160</v>
      </c>
      <c r="X14" s="1008">
        <f t="shared" si="9"/>
        <v>2.9992198762998301</v>
      </c>
      <c r="Y14" s="1094">
        <f t="shared" si="9"/>
        <v>2.421642284325638</v>
      </c>
      <c r="Z14" s="1094"/>
      <c r="AA14" s="1094">
        <f t="shared" si="5"/>
        <v>225927.16068999999</v>
      </c>
      <c r="AB14" s="1096">
        <v>42579</v>
      </c>
      <c r="AC14" s="1096">
        <f t="shared" si="6"/>
        <v>42609</v>
      </c>
      <c r="AD14" s="997" t="s">
        <v>1568</v>
      </c>
      <c r="AE14" s="997">
        <v>166490.16999999998</v>
      </c>
      <c r="AF14" s="944">
        <v>5787</v>
      </c>
      <c r="AG14" s="944">
        <v>0</v>
      </c>
      <c r="AH14" s="1097">
        <f t="shared" si="10"/>
        <v>160703.16999999998</v>
      </c>
      <c r="AI14" s="1097">
        <v>0</v>
      </c>
      <c r="AJ14" s="1097">
        <v>-5970.97</v>
      </c>
      <c r="AK14" s="1099" t="str">
        <f t="shared" si="11"/>
        <v>n/a</v>
      </c>
      <c r="AL14" s="1099">
        <f t="shared" si="12"/>
        <v>-26.914080961719783</v>
      </c>
    </row>
    <row r="15" spans="1:38" s="1005" customFormat="1" ht="14.85" customHeight="1">
      <c r="B15" s="986" t="s">
        <v>1569</v>
      </c>
      <c r="C15" s="987" t="s">
        <v>1570</v>
      </c>
      <c r="D15" s="987" t="s">
        <v>1571</v>
      </c>
      <c r="E15" s="990">
        <v>42507</v>
      </c>
      <c r="F15" s="1092">
        <v>4</v>
      </c>
      <c r="G15" s="1092">
        <v>0</v>
      </c>
      <c r="H15" s="1093">
        <v>0</v>
      </c>
      <c r="I15" s="1093">
        <v>4.37</v>
      </c>
      <c r="J15" s="1008">
        <f t="shared" si="0"/>
        <v>7565.4509999999991</v>
      </c>
      <c r="K15" s="1008">
        <v>5000</v>
      </c>
      <c r="L15" s="740">
        <v>12565.450999999999</v>
      </c>
      <c r="M15" s="1094">
        <f t="shared" si="1"/>
        <v>30261.803999999996</v>
      </c>
      <c r="N15" s="1008">
        <v>20000</v>
      </c>
      <c r="O15" s="1094">
        <f t="shared" si="7"/>
        <v>50261.803999999996</v>
      </c>
      <c r="P15" s="1095">
        <v>0</v>
      </c>
      <c r="Q15" s="1095">
        <v>0</v>
      </c>
      <c r="R15" s="1008" t="str">
        <f t="shared" si="2"/>
        <v>n/a</v>
      </c>
      <c r="S15" s="1094" t="str">
        <f t="shared" si="3"/>
        <v>n/a</v>
      </c>
      <c r="T15" s="1095">
        <f t="shared" si="4"/>
        <v>46655.894</v>
      </c>
      <c r="U15" s="1008" t="str">
        <f t="shared" si="8"/>
        <v>n/a</v>
      </c>
      <c r="V15" s="1094" t="str">
        <f t="shared" si="8"/>
        <v>n/a</v>
      </c>
      <c r="W15" s="1095">
        <v>51305110</v>
      </c>
      <c r="X15" s="1008" t="str">
        <f t="shared" si="9"/>
        <v>n/a</v>
      </c>
      <c r="Y15" s="1094" t="str">
        <f t="shared" si="9"/>
        <v>n/a</v>
      </c>
      <c r="Z15" s="1094"/>
      <c r="AA15" s="1094">
        <f t="shared" si="5"/>
        <v>54911.02087</v>
      </c>
      <c r="AB15" s="1096">
        <v>42508</v>
      </c>
      <c r="AC15" s="1096">
        <f t="shared" si="6"/>
        <v>42538</v>
      </c>
      <c r="AD15" s="997" t="s">
        <v>1572</v>
      </c>
      <c r="AE15" s="997">
        <v>50261.803999999996</v>
      </c>
      <c r="AF15" s="944">
        <v>3605.91</v>
      </c>
      <c r="AG15" s="944">
        <v>0</v>
      </c>
      <c r="AH15" s="1097">
        <f t="shared" si="10"/>
        <v>46655.894</v>
      </c>
      <c r="AI15" s="1097">
        <v>0</v>
      </c>
      <c r="AJ15" s="1097">
        <v>0</v>
      </c>
      <c r="AK15" s="1099" t="str">
        <f t="shared" si="11"/>
        <v>n/a</v>
      </c>
      <c r="AL15" s="1099" t="str">
        <f t="shared" si="12"/>
        <v>n/a</v>
      </c>
    </row>
    <row r="16" spans="1:38" s="1005" customFormat="1" ht="14.85" customHeight="1">
      <c r="B16" s="986" t="s">
        <v>1573</v>
      </c>
      <c r="C16" s="987" t="s">
        <v>1574</v>
      </c>
      <c r="D16" s="987" t="s">
        <v>1575</v>
      </c>
      <c r="E16" s="990">
        <v>42488</v>
      </c>
      <c r="F16" s="1092">
        <v>5</v>
      </c>
      <c r="G16" s="1092">
        <v>0</v>
      </c>
      <c r="H16" s="1093">
        <v>0</v>
      </c>
      <c r="I16" s="1093">
        <v>14.3</v>
      </c>
      <c r="J16" s="1095">
        <f t="shared" si="0"/>
        <v>12250</v>
      </c>
      <c r="K16" s="1095">
        <f>+L16-(12250000/1000)</f>
        <v>1200</v>
      </c>
      <c r="L16" s="740">
        <v>13450</v>
      </c>
      <c r="M16" s="1100">
        <f t="shared" si="1"/>
        <v>61250</v>
      </c>
      <c r="N16" s="1008">
        <v>5300</v>
      </c>
      <c r="O16" s="1094">
        <f t="shared" si="7"/>
        <v>66550</v>
      </c>
      <c r="P16" s="1095">
        <v>0</v>
      </c>
      <c r="Q16" s="1095">
        <v>0</v>
      </c>
      <c r="R16" s="1008" t="str">
        <f t="shared" si="2"/>
        <v>n/a</v>
      </c>
      <c r="S16" s="1094" t="str">
        <f t="shared" si="3"/>
        <v>n/a</v>
      </c>
      <c r="T16" s="1095">
        <f t="shared" si="4"/>
        <v>65782.73</v>
      </c>
      <c r="U16" s="1008" t="str">
        <f t="shared" si="8"/>
        <v>n/a</v>
      </c>
      <c r="V16" s="1094" t="str">
        <f t="shared" si="8"/>
        <v>n/a</v>
      </c>
      <c r="W16" s="1095">
        <v>187310150</v>
      </c>
      <c r="X16" s="1008" t="str">
        <f t="shared" si="9"/>
        <v>n/a</v>
      </c>
      <c r="Y16" s="1094" t="str">
        <f t="shared" si="9"/>
        <v>n/a</v>
      </c>
      <c r="Z16" s="1094"/>
      <c r="AA16" s="1094">
        <f t="shared" si="5"/>
        <v>192335</v>
      </c>
      <c r="AB16" s="1096">
        <v>42579</v>
      </c>
      <c r="AC16" s="1096">
        <f t="shared" si="6"/>
        <v>42609</v>
      </c>
      <c r="AD16" s="997" t="s">
        <v>1576</v>
      </c>
      <c r="AE16" s="997">
        <v>66550</v>
      </c>
      <c r="AF16" s="944">
        <v>767.27</v>
      </c>
      <c r="AG16" s="944">
        <v>0</v>
      </c>
      <c r="AH16" s="1097">
        <f t="shared" si="10"/>
        <v>65782.73</v>
      </c>
      <c r="AI16" s="1097">
        <v>227857</v>
      </c>
      <c r="AJ16" s="1097">
        <v>7320</v>
      </c>
      <c r="AK16" s="1099">
        <f t="shared" si="11"/>
        <v>0.28870181736791056</v>
      </c>
      <c r="AL16" s="1099">
        <f t="shared" si="12"/>
        <v>8.9867117486338799</v>
      </c>
    </row>
    <row r="17" spans="2:38" s="1005" customFormat="1" ht="14.85" customHeight="1">
      <c r="B17" s="986" t="s">
        <v>1577</v>
      </c>
      <c r="C17" s="987" t="s">
        <v>1578</v>
      </c>
      <c r="D17" s="987" t="s">
        <v>1579</v>
      </c>
      <c r="E17" s="1101">
        <v>42264</v>
      </c>
      <c r="F17" s="1092">
        <v>30</v>
      </c>
      <c r="G17" s="1092">
        <v>25</v>
      </c>
      <c r="H17" s="1093">
        <v>28</v>
      </c>
      <c r="I17" s="1093">
        <v>40.799999999999997</v>
      </c>
      <c r="J17" s="1008">
        <f t="shared" si="0"/>
        <v>26038.636999999999</v>
      </c>
      <c r="K17" s="1008">
        <v>4600</v>
      </c>
      <c r="L17" s="740">
        <v>30638.636999999999</v>
      </c>
      <c r="M17" s="1094">
        <f t="shared" si="1"/>
        <v>781159.11</v>
      </c>
      <c r="N17" s="1008">
        <v>120000</v>
      </c>
      <c r="O17" s="1094">
        <f t="shared" si="7"/>
        <v>901159.11</v>
      </c>
      <c r="P17" s="1095">
        <v>149130000</v>
      </c>
      <c r="Q17" s="1095">
        <v>178289300</v>
      </c>
      <c r="R17" s="1008">
        <f t="shared" si="2"/>
        <v>6.0427754978877486E-3</v>
      </c>
      <c r="S17" s="1094">
        <f t="shared" si="3"/>
        <v>5.0544766848038556E-3</v>
      </c>
      <c r="T17" s="1095">
        <f t="shared" si="4"/>
        <v>864395.11</v>
      </c>
      <c r="U17" s="1008">
        <f>IFERROR($T17/P17,"n/a")</f>
        <v>5.7962523301817205E-3</v>
      </c>
      <c r="V17" s="1094">
        <f>IFERROR($T17/Q17,"n/a")</f>
        <v>4.8482724986861243E-3</v>
      </c>
      <c r="W17" s="1095">
        <v>1300279390</v>
      </c>
      <c r="X17" s="1008">
        <f>IFERROR($W17/P17,"n/a")</f>
        <v>8.7191000469389124</v>
      </c>
      <c r="Y17" s="1094">
        <f>IFERROR($W17/Q17,"n/a")</f>
        <v>7.2930870781364892</v>
      </c>
      <c r="Z17" s="1094"/>
      <c r="AA17" s="1094">
        <f t="shared" si="5"/>
        <v>1250056.3895999999</v>
      </c>
      <c r="AB17" s="1096">
        <v>42265</v>
      </c>
      <c r="AC17" s="1096">
        <f t="shared" si="6"/>
        <v>42295</v>
      </c>
      <c r="AD17" s="997" t="s">
        <v>1580</v>
      </c>
      <c r="AE17" s="997">
        <v>901159.11</v>
      </c>
      <c r="AF17" s="944">
        <v>36764</v>
      </c>
      <c r="AG17" s="944">
        <v>0</v>
      </c>
      <c r="AH17" s="1097">
        <f t="shared" si="10"/>
        <v>864395.11</v>
      </c>
      <c r="AI17" s="1097">
        <v>72148</v>
      </c>
      <c r="AJ17" s="1097">
        <v>-57318</v>
      </c>
      <c r="AK17" s="1099">
        <f t="shared" si="11"/>
        <v>11.980860314908243</v>
      </c>
      <c r="AL17" s="1099">
        <f t="shared" si="12"/>
        <v>-15.080692103702154</v>
      </c>
    </row>
    <row r="18" spans="2:38" s="1005" customFormat="1" ht="14.85" customHeight="1">
      <c r="B18" s="986" t="s">
        <v>1581</v>
      </c>
      <c r="C18" s="987" t="s">
        <v>1582</v>
      </c>
      <c r="D18" s="987" t="s">
        <v>1583</v>
      </c>
      <c r="E18" s="1101">
        <v>42185</v>
      </c>
      <c r="F18" s="1092">
        <v>15</v>
      </c>
      <c r="G18" s="1092">
        <v>14</v>
      </c>
      <c r="H18" s="1093">
        <v>16</v>
      </c>
      <c r="I18" s="1093">
        <v>23.08</v>
      </c>
      <c r="J18" s="1008">
        <f t="shared" si="0"/>
        <v>30086.637000000002</v>
      </c>
      <c r="K18" s="1008">
        <v>10350</v>
      </c>
      <c r="L18" s="740">
        <v>40436.637000000002</v>
      </c>
      <c r="M18" s="1094">
        <f t="shared" ref="M18:M40" si="13">+J18*F18</f>
        <v>451299.55500000005</v>
      </c>
      <c r="N18" s="1008">
        <v>135000</v>
      </c>
      <c r="O18" s="1094">
        <f t="shared" si="7"/>
        <v>586299.55500000005</v>
      </c>
      <c r="P18" s="1095">
        <v>51287000</v>
      </c>
      <c r="Q18" s="1095">
        <v>64888710</v>
      </c>
      <c r="R18" s="1008">
        <f t="shared" si="2"/>
        <v>1.1431738159767583E-2</v>
      </c>
      <c r="S18" s="1094">
        <f t="shared" si="3"/>
        <v>9.0354632570134319E-3</v>
      </c>
      <c r="T18" s="1095">
        <f t="shared" ref="T18:T40" si="14">O18+AG18-AF18</f>
        <v>573920.55500000005</v>
      </c>
      <c r="U18" s="1008">
        <f>IFERROR($T18/P18,"n/a")</f>
        <v>1.1190370951703162E-2</v>
      </c>
      <c r="V18" s="1094">
        <f>IFERROR($T18/Q18,"n/a")</f>
        <v>8.8446904708076347E-3</v>
      </c>
      <c r="W18" s="1095">
        <v>889748960</v>
      </c>
      <c r="X18" s="1008">
        <f t="shared" ref="X18:Y40" si="15">IFERROR($W18/P18,"n/a")</f>
        <v>17.348430596447443</v>
      </c>
      <c r="Y18" s="1094">
        <f t="shared" si="15"/>
        <v>13.711922459238286</v>
      </c>
      <c r="Z18" s="1094"/>
      <c r="AA18" s="1094">
        <f t="shared" si="5"/>
        <v>933277.58195999998</v>
      </c>
      <c r="AB18" s="1096">
        <v>42186</v>
      </c>
      <c r="AC18" s="1096">
        <f t="shared" si="6"/>
        <v>42216</v>
      </c>
      <c r="AD18" s="997" t="s">
        <v>1584</v>
      </c>
      <c r="AE18" s="997">
        <v>586299.55500000005</v>
      </c>
      <c r="AF18" s="944">
        <v>22939</v>
      </c>
      <c r="AG18" s="944">
        <v>10560</v>
      </c>
      <c r="AH18" s="1097">
        <f t="shared" si="10"/>
        <v>573920.55500000005</v>
      </c>
      <c r="AI18" s="1097">
        <v>90928</v>
      </c>
      <c r="AJ18" s="1097">
        <v>3392</v>
      </c>
      <c r="AK18" s="1099">
        <f t="shared" si="11"/>
        <v>6.3118132478444489</v>
      </c>
      <c r="AL18" s="1099">
        <f t="shared" si="12"/>
        <v>169.1982768278302</v>
      </c>
    </row>
    <row r="19" spans="2:38" s="1005" customFormat="1" ht="14.85" customHeight="1">
      <c r="B19" s="986" t="s">
        <v>1585</v>
      </c>
      <c r="C19" s="987" t="s">
        <v>1586</v>
      </c>
      <c r="D19" s="987" t="s">
        <v>1587</v>
      </c>
      <c r="E19" s="1101">
        <v>42179</v>
      </c>
      <c r="F19" s="1093">
        <v>18</v>
      </c>
      <c r="G19" s="1093">
        <v>13</v>
      </c>
      <c r="H19" s="1093">
        <v>15</v>
      </c>
      <c r="I19" s="1093">
        <v>32.119999999999997</v>
      </c>
      <c r="J19" s="1008">
        <f t="shared" si="0"/>
        <v>24363.330999999998</v>
      </c>
      <c r="K19" s="1008">
        <v>6900</v>
      </c>
      <c r="L19" s="740">
        <v>31263.330999999998</v>
      </c>
      <c r="M19" s="1094">
        <f t="shared" si="13"/>
        <v>438539.95799999998</v>
      </c>
      <c r="N19" s="1008">
        <v>108000</v>
      </c>
      <c r="O19" s="1094">
        <f t="shared" si="7"/>
        <v>546539.95799999998</v>
      </c>
      <c r="P19" s="1095">
        <v>52004000</v>
      </c>
      <c r="Q19" s="1095">
        <v>71599930</v>
      </c>
      <c r="R19" s="1008">
        <f t="shared" si="2"/>
        <v>1.0509575378817014E-2</v>
      </c>
      <c r="S19" s="1094">
        <f t="shared" si="3"/>
        <v>7.6332470995432531E-3</v>
      </c>
      <c r="T19" s="1095">
        <f t="shared" si="14"/>
        <v>564641.95799999998</v>
      </c>
      <c r="U19" s="1008">
        <f t="shared" ref="U19:V40" si="16">IFERROR($T19/P19,"n/a")</f>
        <v>1.0857663987385585E-2</v>
      </c>
      <c r="V19" s="1094">
        <f t="shared" si="16"/>
        <v>7.8860685757653672E-3</v>
      </c>
      <c r="W19" s="1095">
        <v>983313560</v>
      </c>
      <c r="X19" s="1008">
        <f t="shared" si="15"/>
        <v>18.908421659872317</v>
      </c>
      <c r="Y19" s="1094">
        <f t="shared" si="15"/>
        <v>13.733443035489001</v>
      </c>
      <c r="Z19" s="1094"/>
      <c r="AA19" s="1094">
        <f t="shared" ref="AA19:AA40" si="17">+I19*J19</f>
        <v>782550.19171999989</v>
      </c>
      <c r="AB19" s="1096">
        <v>42180</v>
      </c>
      <c r="AC19" s="1096">
        <f t="shared" si="6"/>
        <v>42210</v>
      </c>
      <c r="AD19" s="997" t="s">
        <v>1588</v>
      </c>
      <c r="AE19" s="997">
        <v>546539.95799999998</v>
      </c>
      <c r="AF19" s="944">
        <v>4239</v>
      </c>
      <c r="AG19" s="944">
        <v>22341</v>
      </c>
      <c r="AH19" s="1097">
        <f t="shared" si="10"/>
        <v>564641.95799999998</v>
      </c>
      <c r="AI19" s="1097">
        <v>462.05</v>
      </c>
      <c r="AJ19" s="1097">
        <v>-14963.6</v>
      </c>
      <c r="AK19" s="1099">
        <f t="shared" si="11"/>
        <v>1222.0364852288712</v>
      </c>
      <c r="AL19" s="1099">
        <f t="shared" si="12"/>
        <v>-37.734365927985245</v>
      </c>
    </row>
    <row r="20" spans="2:38" s="1005" customFormat="1" ht="14.85" customHeight="1">
      <c r="B20" s="986" t="s">
        <v>1589</v>
      </c>
      <c r="C20" s="987" t="s">
        <v>1590</v>
      </c>
      <c r="D20" s="987" t="s">
        <v>1591</v>
      </c>
      <c r="E20" s="1101">
        <v>42173</v>
      </c>
      <c r="F20" s="1093">
        <v>0.39183000000000001</v>
      </c>
      <c r="G20" s="1093">
        <v>0</v>
      </c>
      <c r="H20" s="1093">
        <v>0</v>
      </c>
      <c r="I20" s="1093">
        <v>0.44996999999999998</v>
      </c>
      <c r="J20" s="1008">
        <f t="shared" si="0"/>
        <v>138244.701</v>
      </c>
      <c r="K20" s="1008">
        <v>73027.989000000001</v>
      </c>
      <c r="L20" s="740">
        <v>211272.69</v>
      </c>
      <c r="M20" s="1094">
        <f t="shared" si="13"/>
        <v>54168.421192829999</v>
      </c>
      <c r="N20" s="1008">
        <v>28614.86</v>
      </c>
      <c r="O20" s="1094">
        <f t="shared" si="7"/>
        <v>82783.281192830007</v>
      </c>
      <c r="P20" s="1095">
        <v>0</v>
      </c>
      <c r="Q20" s="1095">
        <v>900000</v>
      </c>
      <c r="R20" s="1008" t="str">
        <f t="shared" si="2"/>
        <v>n/a</v>
      </c>
      <c r="S20" s="1094">
        <f t="shared" si="3"/>
        <v>9.1981423547588897E-2</v>
      </c>
      <c r="T20" s="1095">
        <f t="shared" si="14"/>
        <v>84696.281192830007</v>
      </c>
      <c r="U20" s="1008" t="str">
        <f t="shared" si="16"/>
        <v>n/a</v>
      </c>
      <c r="V20" s="1094">
        <f t="shared" si="16"/>
        <v>9.4106979103144459E-2</v>
      </c>
      <c r="W20" s="1095">
        <v>96878820</v>
      </c>
      <c r="X20" s="1008" t="str">
        <f t="shared" si="15"/>
        <v>n/a</v>
      </c>
      <c r="Y20" s="1094">
        <f t="shared" si="15"/>
        <v>107.64313333333334</v>
      </c>
      <c r="Z20" s="1094"/>
      <c r="AA20" s="1094">
        <f t="shared" si="17"/>
        <v>62205.968108969995</v>
      </c>
      <c r="AB20" s="1096">
        <v>42177</v>
      </c>
      <c r="AC20" s="1096">
        <f t="shared" si="6"/>
        <v>42207</v>
      </c>
      <c r="AD20" s="997" t="s">
        <v>1592</v>
      </c>
      <c r="AE20" s="997">
        <v>82783.281192830007</v>
      </c>
      <c r="AF20" s="944">
        <v>1651</v>
      </c>
      <c r="AG20" s="944">
        <v>3564</v>
      </c>
      <c r="AH20" s="1097">
        <f t="shared" si="10"/>
        <v>84696.281192830007</v>
      </c>
      <c r="AI20" s="1097">
        <v>26469</v>
      </c>
      <c r="AJ20" s="1097">
        <v>-37625</v>
      </c>
      <c r="AK20" s="1099">
        <f t="shared" si="11"/>
        <v>3.1998292792636671</v>
      </c>
      <c r="AL20" s="1099">
        <f t="shared" si="12"/>
        <v>-2.251063951968904</v>
      </c>
    </row>
    <row r="21" spans="2:38" s="1005" customFormat="1" ht="14.85" customHeight="1">
      <c r="B21" s="986" t="s">
        <v>1593</v>
      </c>
      <c r="C21" s="987" t="s">
        <v>1594</v>
      </c>
      <c r="D21" s="987" t="s">
        <v>1595</v>
      </c>
      <c r="E21" s="1101">
        <v>42166</v>
      </c>
      <c r="F21" s="1093">
        <v>12</v>
      </c>
      <c r="G21" s="1093">
        <v>14</v>
      </c>
      <c r="H21" s="1093">
        <v>16</v>
      </c>
      <c r="I21" s="1093">
        <v>13.75</v>
      </c>
      <c r="J21" s="1008">
        <f t="shared" si="0"/>
        <v>8701.0920000000006</v>
      </c>
      <c r="K21" s="1008">
        <v>4600</v>
      </c>
      <c r="L21" s="740">
        <v>13301.092000000001</v>
      </c>
      <c r="M21" s="1094">
        <f t="shared" si="13"/>
        <v>104413.10400000001</v>
      </c>
      <c r="N21" s="1008">
        <v>48000</v>
      </c>
      <c r="O21" s="1094">
        <f t="shared" si="7"/>
        <v>152413.10399999999</v>
      </c>
      <c r="P21" s="1095">
        <v>15391000</v>
      </c>
      <c r="Q21" s="1095">
        <v>20775000</v>
      </c>
      <c r="R21" s="1008">
        <f t="shared" si="2"/>
        <v>9.9027421220193607E-3</v>
      </c>
      <c r="S21" s="1094">
        <f t="shared" si="3"/>
        <v>7.3363708303249096E-3</v>
      </c>
      <c r="T21" s="1095">
        <f t="shared" si="14"/>
        <v>141544.10399999999</v>
      </c>
      <c r="U21" s="1008">
        <f t="shared" si="16"/>
        <v>9.1965501916704568E-3</v>
      </c>
      <c r="V21" s="1094">
        <f t="shared" si="16"/>
        <v>6.8131939350180503E-3</v>
      </c>
      <c r="W21" s="1095">
        <v>163771020</v>
      </c>
      <c r="X21" s="1008">
        <f t="shared" si="15"/>
        <v>10.640700409330128</v>
      </c>
      <c r="Y21" s="1094">
        <f t="shared" si="15"/>
        <v>7.8830815884476531</v>
      </c>
      <c r="Z21" s="1094"/>
      <c r="AA21" s="1094">
        <f t="shared" si="17"/>
        <v>119640.01500000001</v>
      </c>
      <c r="AB21" s="1096">
        <v>42170</v>
      </c>
      <c r="AC21" s="1096">
        <f t="shared" si="6"/>
        <v>42200</v>
      </c>
      <c r="AD21" s="997" t="s">
        <v>1596</v>
      </c>
      <c r="AE21" s="997">
        <v>152413.10399999999</v>
      </c>
      <c r="AF21" s="944">
        <v>25251</v>
      </c>
      <c r="AG21" s="944">
        <v>14382</v>
      </c>
      <c r="AH21" s="1097">
        <f t="shared" si="10"/>
        <v>141544.10399999999</v>
      </c>
      <c r="AI21" s="1097">
        <v>74624</v>
      </c>
      <c r="AJ21" s="1097">
        <v>-42901</v>
      </c>
      <c r="AK21" s="1099">
        <f t="shared" si="11"/>
        <v>1.8967638293310463</v>
      </c>
      <c r="AL21" s="1099">
        <f t="shared" si="12"/>
        <v>-3.2993194564229271</v>
      </c>
    </row>
    <row r="22" spans="2:38" s="964" customFormat="1" ht="14.85" customHeight="1">
      <c r="B22" s="986" t="s">
        <v>1597</v>
      </c>
      <c r="C22" s="987" t="s">
        <v>1598</v>
      </c>
      <c r="D22" s="987" t="s">
        <v>1599</v>
      </c>
      <c r="E22" s="1101">
        <v>42159</v>
      </c>
      <c r="F22" s="1093">
        <v>15</v>
      </c>
      <c r="G22" s="1093">
        <v>15</v>
      </c>
      <c r="H22" s="1093">
        <v>17</v>
      </c>
      <c r="I22" s="1093">
        <v>15.80622</v>
      </c>
      <c r="J22" s="1008">
        <f t="shared" si="0"/>
        <v>17910.787</v>
      </c>
      <c r="K22" s="1008">
        <v>7302.5</v>
      </c>
      <c r="L22" s="740">
        <v>25213.287</v>
      </c>
      <c r="M22" s="1094">
        <f t="shared" si="13"/>
        <v>268661.80499999999</v>
      </c>
      <c r="N22" s="1008">
        <v>95250</v>
      </c>
      <c r="O22" s="1094">
        <f t="shared" si="7"/>
        <v>363911.80499999999</v>
      </c>
      <c r="P22" s="1095" t="s">
        <v>13</v>
      </c>
      <c r="Q22" s="1095" t="s">
        <v>13</v>
      </c>
      <c r="R22" s="1008" t="str">
        <f t="shared" si="2"/>
        <v>n/a</v>
      </c>
      <c r="S22" s="1094" t="str">
        <f t="shared" si="3"/>
        <v>n/a</v>
      </c>
      <c r="T22" s="1095" t="s">
        <v>13</v>
      </c>
      <c r="U22" s="1008" t="str">
        <f t="shared" si="16"/>
        <v>n/a</v>
      </c>
      <c r="V22" s="1094" t="str">
        <f t="shared" si="16"/>
        <v>n/a</v>
      </c>
      <c r="W22" s="1095" t="s">
        <v>13</v>
      </c>
      <c r="X22" s="1008" t="str">
        <f t="shared" si="15"/>
        <v>n/a</v>
      </c>
      <c r="Y22" s="1094" t="str">
        <f t="shared" si="15"/>
        <v>n/a</v>
      </c>
      <c r="Z22" s="1094"/>
      <c r="AA22" s="1094">
        <f t="shared" si="17"/>
        <v>283101.83969514002</v>
      </c>
      <c r="AB22" s="1096">
        <v>42171</v>
      </c>
      <c r="AC22" s="1096">
        <v>42201</v>
      </c>
      <c r="AD22" s="997" t="s">
        <v>1598</v>
      </c>
      <c r="AE22" s="997">
        <v>363911.80499999999</v>
      </c>
      <c r="AF22" s="944">
        <v>32981</v>
      </c>
      <c r="AG22" s="944">
        <v>39481</v>
      </c>
      <c r="AH22" s="1097">
        <f t="shared" si="10"/>
        <v>370411.80499999999</v>
      </c>
      <c r="AI22" s="1097">
        <v>0</v>
      </c>
      <c r="AJ22" s="1097">
        <v>-32861</v>
      </c>
      <c r="AK22" s="1099" t="str">
        <f t="shared" si="11"/>
        <v>n/a</v>
      </c>
      <c r="AL22" s="1099">
        <f t="shared" si="12"/>
        <v>-11.272079516752381</v>
      </c>
    </row>
    <row r="23" spans="2:38" s="964" customFormat="1" ht="14.85" customHeight="1">
      <c r="B23" s="986" t="s">
        <v>1273</v>
      </c>
      <c r="C23" s="987" t="s">
        <v>1274</v>
      </c>
      <c r="D23" s="987" t="s">
        <v>1275</v>
      </c>
      <c r="E23" s="1101">
        <v>42048</v>
      </c>
      <c r="F23" s="1093">
        <v>12</v>
      </c>
      <c r="G23" s="1093">
        <v>14</v>
      </c>
      <c r="H23" s="1093">
        <v>16</v>
      </c>
      <c r="I23" s="1093">
        <v>9.75</v>
      </c>
      <c r="J23" s="1008">
        <f t="shared" si="0"/>
        <v>6905.3259999999991</v>
      </c>
      <c r="K23" s="1008">
        <v>5000</v>
      </c>
      <c r="L23" s="740">
        <v>11905.325999999999</v>
      </c>
      <c r="M23" s="1094">
        <f t="shared" si="13"/>
        <v>82863.911999999982</v>
      </c>
      <c r="N23" s="1008">
        <v>60000</v>
      </c>
      <c r="O23" s="1094">
        <f t="shared" si="7"/>
        <v>142863.91199999998</v>
      </c>
      <c r="P23" s="1095">
        <v>0</v>
      </c>
      <c r="Q23" s="1095">
        <v>0</v>
      </c>
      <c r="R23" s="1008" t="str">
        <f t="shared" si="2"/>
        <v>n/a</v>
      </c>
      <c r="S23" s="1094" t="str">
        <f t="shared" si="3"/>
        <v>n/a</v>
      </c>
      <c r="T23" s="1095">
        <f t="shared" si="14"/>
        <v>112258.91199999998</v>
      </c>
      <c r="U23" s="1008" t="str">
        <f t="shared" si="16"/>
        <v>n/a</v>
      </c>
      <c r="V23" s="1094" t="str">
        <f t="shared" si="16"/>
        <v>n/a</v>
      </c>
      <c r="W23" s="1095">
        <v>95221930</v>
      </c>
      <c r="X23" s="1008" t="str">
        <f t="shared" si="15"/>
        <v>n/a</v>
      </c>
      <c r="Y23" s="1094" t="str">
        <f t="shared" si="15"/>
        <v>n/a</v>
      </c>
      <c r="Z23" s="1094"/>
      <c r="AA23" s="1094">
        <f t="shared" si="17"/>
        <v>67326.928499999995</v>
      </c>
      <c r="AB23" s="1096">
        <v>42048</v>
      </c>
      <c r="AC23" s="1096">
        <f t="shared" ref="AC23:AC40" si="18">+AB23+30</f>
        <v>42078</v>
      </c>
      <c r="AD23" s="997" t="s">
        <v>1276</v>
      </c>
      <c r="AE23" s="997">
        <v>142863.91199999998</v>
      </c>
      <c r="AF23" s="944">
        <v>30605</v>
      </c>
      <c r="AG23" s="944">
        <v>0</v>
      </c>
      <c r="AH23" s="1097">
        <f t="shared" si="10"/>
        <v>112258.91199999998</v>
      </c>
      <c r="AI23" s="1097">
        <v>14797</v>
      </c>
      <c r="AJ23" s="1097">
        <v>-48150</v>
      </c>
      <c r="AK23" s="1099">
        <f t="shared" si="11"/>
        <v>7.5865994458336141</v>
      </c>
      <c r="AL23" s="1099">
        <f t="shared" si="12"/>
        <v>-2.3314415784008302</v>
      </c>
    </row>
    <row r="24" spans="2:38" s="964" customFormat="1" ht="14.85" customHeight="1">
      <c r="B24" s="986" t="s">
        <v>1600</v>
      </c>
      <c r="C24" s="987" t="s">
        <v>1601</v>
      </c>
      <c r="D24" s="987" t="s">
        <v>1602</v>
      </c>
      <c r="E24" s="1101">
        <v>42034</v>
      </c>
      <c r="F24" s="1093">
        <v>13</v>
      </c>
      <c r="G24" s="1093">
        <v>12</v>
      </c>
      <c r="H24" s="1093">
        <v>14</v>
      </c>
      <c r="I24" s="1093">
        <v>11.4</v>
      </c>
      <c r="J24" s="1008">
        <f t="shared" si="0"/>
        <v>7211.277</v>
      </c>
      <c r="K24" s="1008">
        <v>5000</v>
      </c>
      <c r="L24" s="740">
        <v>12211.277</v>
      </c>
      <c r="M24" s="1094">
        <f t="shared" si="13"/>
        <v>93746.600999999995</v>
      </c>
      <c r="N24" s="1008">
        <v>65000</v>
      </c>
      <c r="O24" s="1094">
        <f t="shared" si="7"/>
        <v>158746.601</v>
      </c>
      <c r="P24" s="1095">
        <v>11536000</v>
      </c>
      <c r="Q24" s="1095">
        <v>10923500</v>
      </c>
      <c r="R24" s="1008">
        <f t="shared" si="2"/>
        <v>1.3760974427877947E-2</v>
      </c>
      <c r="S24" s="1008">
        <f t="shared" si="3"/>
        <v>1.4532576646679177E-2</v>
      </c>
      <c r="T24" s="1095">
        <f t="shared" si="14"/>
        <v>179272.601</v>
      </c>
      <c r="U24" s="1008">
        <f t="shared" si="16"/>
        <v>1.554027401178918E-2</v>
      </c>
      <c r="V24" s="1094">
        <f t="shared" si="16"/>
        <v>1.6411644710944293E-2</v>
      </c>
      <c r="W24" s="1095">
        <v>137148000</v>
      </c>
      <c r="X24" s="1008">
        <f t="shared" si="15"/>
        <v>11.88869625520111</v>
      </c>
      <c r="Y24" s="1094">
        <f t="shared" si="15"/>
        <v>12.555316519430585</v>
      </c>
      <c r="Z24" s="1094"/>
      <c r="AA24" s="1094">
        <f t="shared" si="17"/>
        <v>82208.55780000001</v>
      </c>
      <c r="AB24" s="1096">
        <v>42034</v>
      </c>
      <c r="AC24" s="1096">
        <f t="shared" si="18"/>
        <v>42064</v>
      </c>
      <c r="AD24" s="997" t="s">
        <v>1603</v>
      </c>
      <c r="AE24" s="997">
        <v>158746.601</v>
      </c>
      <c r="AF24" s="944">
        <v>12213</v>
      </c>
      <c r="AG24" s="944">
        <v>32738.999999999996</v>
      </c>
      <c r="AH24" s="1097">
        <f t="shared" si="10"/>
        <v>179272.601</v>
      </c>
      <c r="AI24" s="1097">
        <v>68509</v>
      </c>
      <c r="AJ24" s="1097">
        <v>-19324</v>
      </c>
      <c r="AK24" s="1099">
        <f t="shared" si="11"/>
        <v>2.6167744529915775</v>
      </c>
      <c r="AL24" s="1099">
        <f t="shared" si="12"/>
        <v>-9.2771993893603799</v>
      </c>
    </row>
    <row r="25" spans="2:38" s="964" customFormat="1" ht="14.85" customHeight="1">
      <c r="B25" s="986" t="s">
        <v>1604</v>
      </c>
      <c r="C25" s="987" t="s">
        <v>1605</v>
      </c>
      <c r="D25" s="987" t="s">
        <v>1606</v>
      </c>
      <c r="E25" s="1101">
        <v>42032</v>
      </c>
      <c r="F25" s="1093">
        <v>17</v>
      </c>
      <c r="G25" s="1093">
        <v>15</v>
      </c>
      <c r="H25" s="1093">
        <v>17</v>
      </c>
      <c r="I25" s="1093">
        <v>21.75</v>
      </c>
      <c r="J25" s="1008">
        <f t="shared" si="0"/>
        <v>13039.407000000001</v>
      </c>
      <c r="K25" s="1008">
        <v>5294.1170000000002</v>
      </c>
      <c r="L25" s="740">
        <v>18333.524000000001</v>
      </c>
      <c r="M25" s="1094">
        <f t="shared" si="13"/>
        <v>221669.91900000002</v>
      </c>
      <c r="N25" s="1008">
        <v>78260.86</v>
      </c>
      <c r="O25" s="1094">
        <f t="shared" si="7"/>
        <v>299930.77900000004</v>
      </c>
      <c r="P25" s="1095">
        <v>44764000</v>
      </c>
      <c r="Q25" s="1095">
        <v>61076400</v>
      </c>
      <c r="R25" s="1008">
        <f t="shared" si="2"/>
        <v>6.7002676034313294E-3</v>
      </c>
      <c r="S25" s="1008">
        <f t="shared" si="3"/>
        <v>4.9107475064018189E-3</v>
      </c>
      <c r="T25" s="1095">
        <f t="shared" si="14"/>
        <v>313902.77900000004</v>
      </c>
      <c r="U25" s="1008">
        <f t="shared" si="16"/>
        <v>7.0123934188186946E-3</v>
      </c>
      <c r="V25" s="1094">
        <f t="shared" si="16"/>
        <v>5.1395101708679629E-3</v>
      </c>
      <c r="W25" s="1095">
        <v>405211000</v>
      </c>
      <c r="X25" s="1008">
        <f t="shared" si="15"/>
        <v>9.0521624519703341</v>
      </c>
      <c r="Y25" s="1094">
        <f t="shared" si="15"/>
        <v>6.634493847050579</v>
      </c>
      <c r="Z25" s="1094"/>
      <c r="AA25" s="1094">
        <f t="shared" si="17"/>
        <v>283607.10225</v>
      </c>
      <c r="AB25" s="1096">
        <v>42033</v>
      </c>
      <c r="AC25" s="1096">
        <f t="shared" si="18"/>
        <v>42063</v>
      </c>
      <c r="AD25" s="997" t="s">
        <v>1607</v>
      </c>
      <c r="AE25" s="997">
        <v>299930.77900000004</v>
      </c>
      <c r="AF25" s="944">
        <v>1028</v>
      </c>
      <c r="AG25" s="944">
        <v>15000</v>
      </c>
      <c r="AH25" s="1097">
        <f t="shared" si="10"/>
        <v>313902.77900000004</v>
      </c>
      <c r="AI25" s="1097">
        <v>0</v>
      </c>
      <c r="AJ25" s="1097">
        <v>-26747</v>
      </c>
      <c r="AK25" s="1099" t="str">
        <f t="shared" si="11"/>
        <v>n/a</v>
      </c>
      <c r="AL25" s="1099">
        <f t="shared" si="12"/>
        <v>-11.735999513964185</v>
      </c>
    </row>
    <row r="26" spans="2:38" s="964" customFormat="1" ht="14.85" customHeight="1">
      <c r="B26" s="986" t="s">
        <v>1292</v>
      </c>
      <c r="C26" s="987" t="s">
        <v>1293</v>
      </c>
      <c r="D26" s="987" t="s">
        <v>1294</v>
      </c>
      <c r="E26" s="1101">
        <v>42030</v>
      </c>
      <c r="F26" s="1093">
        <v>11</v>
      </c>
      <c r="G26" s="1093">
        <v>10</v>
      </c>
      <c r="H26" s="1093">
        <v>12</v>
      </c>
      <c r="I26" s="1093">
        <v>11.04</v>
      </c>
      <c r="J26" s="1008">
        <f t="shared" si="0"/>
        <v>6641.1119999999992</v>
      </c>
      <c r="K26" s="1008">
        <v>5175</v>
      </c>
      <c r="L26" s="740">
        <v>11816.111999999999</v>
      </c>
      <c r="M26" s="1094">
        <f t="shared" si="13"/>
        <v>73052.231999999989</v>
      </c>
      <c r="N26" s="1008">
        <v>49500</v>
      </c>
      <c r="O26" s="1094">
        <f t="shared" si="7"/>
        <v>122552.23199999999</v>
      </c>
      <c r="P26" s="1095">
        <v>3043000</v>
      </c>
      <c r="Q26" s="1095">
        <v>313000</v>
      </c>
      <c r="R26" s="1008">
        <f t="shared" si="2"/>
        <v>4.0273490634242522E-2</v>
      </c>
      <c r="S26" s="1008">
        <f t="shared" si="3"/>
        <v>0.39154067731629388</v>
      </c>
      <c r="T26" s="1095">
        <f t="shared" si="14"/>
        <v>140512.23199999999</v>
      </c>
      <c r="U26" s="1008">
        <f t="shared" si="16"/>
        <v>4.6175560959579358E-2</v>
      </c>
      <c r="V26" s="1094">
        <f t="shared" si="16"/>
        <v>0.44892086900958461</v>
      </c>
      <c r="W26" s="1095">
        <v>142156640</v>
      </c>
      <c r="X26" s="1008">
        <f t="shared" si="15"/>
        <v>46.715951363785734</v>
      </c>
      <c r="Y26" s="1094">
        <f t="shared" si="15"/>
        <v>454.17456869009584</v>
      </c>
      <c r="Z26" s="1094"/>
      <c r="AA26" s="1094">
        <f t="shared" si="17"/>
        <v>73317.876479999992</v>
      </c>
      <c r="AB26" s="1096">
        <v>42031</v>
      </c>
      <c r="AC26" s="1096">
        <f t="shared" si="18"/>
        <v>42061</v>
      </c>
      <c r="AD26" s="997" t="s">
        <v>1295</v>
      </c>
      <c r="AE26" s="997">
        <v>122552.23199999999</v>
      </c>
      <c r="AF26" s="944">
        <v>2303</v>
      </c>
      <c r="AG26" s="944">
        <v>20263</v>
      </c>
      <c r="AH26" s="1097">
        <f t="shared" si="10"/>
        <v>140512.23199999999</v>
      </c>
      <c r="AI26" s="1097">
        <v>6679</v>
      </c>
      <c r="AJ26" s="1097">
        <v>-24087</v>
      </c>
      <c r="AK26" s="1099">
        <f t="shared" si="11"/>
        <v>21.037914657882915</v>
      </c>
      <c r="AL26" s="1099">
        <f t="shared" si="12"/>
        <v>-5.8335297878523678</v>
      </c>
    </row>
    <row r="27" spans="2:38" s="964" customFormat="1" ht="14.85" customHeight="1">
      <c r="B27" s="986" t="s">
        <v>1608</v>
      </c>
      <c r="C27" s="987" t="s">
        <v>1609</v>
      </c>
      <c r="D27" s="987" t="s">
        <v>1610</v>
      </c>
      <c r="E27" s="1101">
        <v>41962</v>
      </c>
      <c r="F27" s="1093">
        <v>9</v>
      </c>
      <c r="G27" s="1093">
        <v>0</v>
      </c>
      <c r="H27" s="1093">
        <v>0</v>
      </c>
      <c r="I27" s="1093">
        <v>11.19</v>
      </c>
      <c r="J27" s="1008">
        <f t="shared" si="0"/>
        <v>31125.572999999997</v>
      </c>
      <c r="K27" s="1008">
        <v>4025</v>
      </c>
      <c r="L27" s="740">
        <v>35150.572999999997</v>
      </c>
      <c r="M27" s="1094">
        <f t="shared" si="13"/>
        <v>280130.15699999995</v>
      </c>
      <c r="N27" s="1008">
        <v>31500</v>
      </c>
      <c r="O27" s="1094">
        <f t="shared" si="7"/>
        <v>311630.15699999995</v>
      </c>
      <c r="P27" s="1095">
        <v>2441260</v>
      </c>
      <c r="Q27" s="1095">
        <v>0</v>
      </c>
      <c r="R27" s="1008">
        <f t="shared" si="2"/>
        <v>0.12765135913421755</v>
      </c>
      <c r="S27" s="1008" t="str">
        <f t="shared" si="3"/>
        <v>n/a</v>
      </c>
      <c r="T27" s="1095">
        <f t="shared" si="14"/>
        <v>335839.81699999992</v>
      </c>
      <c r="U27" s="1008">
        <f t="shared" si="16"/>
        <v>0.13756822993044573</v>
      </c>
      <c r="V27" s="1094" t="str">
        <f t="shared" si="16"/>
        <v>n/a</v>
      </c>
      <c r="W27" s="1095">
        <v>410977260</v>
      </c>
      <c r="X27" s="1008">
        <f t="shared" si="15"/>
        <v>168.34637031696747</v>
      </c>
      <c r="Y27" s="1094" t="str">
        <f t="shared" si="15"/>
        <v>n/a</v>
      </c>
      <c r="Z27" s="1094"/>
      <c r="AA27" s="1094">
        <f t="shared" si="17"/>
        <v>348295.16186999995</v>
      </c>
      <c r="AB27" s="1096">
        <v>41962</v>
      </c>
      <c r="AC27" s="1096">
        <f t="shared" si="18"/>
        <v>41992</v>
      </c>
      <c r="AD27" s="997" t="s">
        <v>1611</v>
      </c>
      <c r="AE27" s="997">
        <v>311630.15699999995</v>
      </c>
      <c r="AF27" s="944">
        <v>977.4</v>
      </c>
      <c r="AG27" s="944">
        <v>25187.06</v>
      </c>
      <c r="AH27" s="1097">
        <f t="shared" si="10"/>
        <v>335839.81699999992</v>
      </c>
      <c r="AI27" s="1097">
        <v>145577</v>
      </c>
      <c r="AJ27" s="1097">
        <v>-44540</v>
      </c>
      <c r="AK27" s="1099">
        <f t="shared" si="11"/>
        <v>2.306956572810265</v>
      </c>
      <c r="AL27" s="1099">
        <f t="shared" si="12"/>
        <v>-7.5401844858554092</v>
      </c>
    </row>
    <row r="28" spans="2:38" s="964" customFormat="1" ht="14.85" customHeight="1">
      <c r="B28" s="986" t="s">
        <v>1612</v>
      </c>
      <c r="C28" s="987" t="s">
        <v>1613</v>
      </c>
      <c r="D28" s="987" t="s">
        <v>1614</v>
      </c>
      <c r="E28" s="1101">
        <v>41948</v>
      </c>
      <c r="F28" s="1093">
        <v>18</v>
      </c>
      <c r="G28" s="1093">
        <v>15</v>
      </c>
      <c r="H28" s="1093">
        <v>17</v>
      </c>
      <c r="I28" s="1093">
        <v>35.86</v>
      </c>
      <c r="J28" s="1008">
        <f t="shared" si="0"/>
        <v>16543.131000000001</v>
      </c>
      <c r="K28" s="1008">
        <v>8050</v>
      </c>
      <c r="L28" s="740">
        <v>24593.131000000001</v>
      </c>
      <c r="M28" s="1094">
        <f t="shared" si="13"/>
        <v>297776.35800000001</v>
      </c>
      <c r="N28" s="1008">
        <v>126000</v>
      </c>
      <c r="O28" s="1094">
        <f t="shared" si="7"/>
        <v>423776.35800000001</v>
      </c>
      <c r="P28" s="1095">
        <v>26584000</v>
      </c>
      <c r="Q28" s="1095">
        <v>31448010</v>
      </c>
      <c r="R28" s="1008">
        <f t="shared" si="2"/>
        <v>1.5941030619921758E-2</v>
      </c>
      <c r="S28" s="1008">
        <f t="shared" si="3"/>
        <v>1.3475458637923354E-2</v>
      </c>
      <c r="T28" s="1095">
        <f t="shared" si="14"/>
        <v>406382.35800000001</v>
      </c>
      <c r="U28" s="1008">
        <f t="shared" si="16"/>
        <v>1.5286727279566656E-2</v>
      </c>
      <c r="V28" s="1094">
        <f t="shared" si="16"/>
        <v>1.2922355277806132E-2</v>
      </c>
      <c r="W28" s="1095">
        <v>1010615700</v>
      </c>
      <c r="X28" s="1008">
        <f t="shared" si="15"/>
        <v>38.015938158290702</v>
      </c>
      <c r="Y28" s="1094">
        <f t="shared" si="15"/>
        <v>32.136077926711422</v>
      </c>
      <c r="Z28" s="1094"/>
      <c r="AA28" s="1094">
        <f t="shared" si="17"/>
        <v>593236.67766000004</v>
      </c>
      <c r="AB28" s="1096">
        <v>41949</v>
      </c>
      <c r="AC28" s="1096">
        <f t="shared" si="18"/>
        <v>41979</v>
      </c>
      <c r="AD28" s="997" t="s">
        <v>1615</v>
      </c>
      <c r="AE28" s="997">
        <v>423776.35800000001</v>
      </c>
      <c r="AF28" s="944">
        <v>17394</v>
      </c>
      <c r="AG28" s="944">
        <v>0</v>
      </c>
      <c r="AH28" s="1097">
        <f t="shared" si="10"/>
        <v>406382.35800000001</v>
      </c>
      <c r="AI28" s="1097">
        <v>2618.1800000000003</v>
      </c>
      <c r="AJ28" s="1097">
        <v>-27556.27</v>
      </c>
      <c r="AK28" s="1099">
        <f t="shared" si="11"/>
        <v>155.21559174693868</v>
      </c>
      <c r="AL28" s="1099">
        <f t="shared" si="12"/>
        <v>-14.747364501799408</v>
      </c>
    </row>
    <row r="29" spans="2:38" s="964" customFormat="1" ht="14.85" customHeight="1">
      <c r="B29" s="986" t="s">
        <v>1616</v>
      </c>
      <c r="C29" s="989" t="s">
        <v>1617</v>
      </c>
      <c r="D29" s="987" t="s">
        <v>1618</v>
      </c>
      <c r="E29" s="1101">
        <v>41920</v>
      </c>
      <c r="F29" s="1093">
        <v>7</v>
      </c>
      <c r="G29" s="1093">
        <v>6</v>
      </c>
      <c r="H29" s="1093">
        <v>7</v>
      </c>
      <c r="I29" s="1093" t="s">
        <v>13</v>
      </c>
      <c r="J29" s="1008">
        <f t="shared" si="0"/>
        <v>3928.4620000000004</v>
      </c>
      <c r="K29" s="1008">
        <v>1150</v>
      </c>
      <c r="L29" s="740">
        <v>5078.4620000000004</v>
      </c>
      <c r="M29" s="1094">
        <f t="shared" si="13"/>
        <v>27499.234000000004</v>
      </c>
      <c r="N29" s="1008">
        <v>8050.0000000000009</v>
      </c>
      <c r="O29" s="1094">
        <f t="shared" si="7"/>
        <v>35549.234000000004</v>
      </c>
      <c r="P29" s="1095" t="s">
        <v>13</v>
      </c>
      <c r="Q29" s="1095" t="s">
        <v>13</v>
      </c>
      <c r="R29" s="1008" t="str">
        <f t="shared" si="2"/>
        <v>n/a</v>
      </c>
      <c r="S29" s="1008" t="str">
        <f t="shared" si="3"/>
        <v>n/a</v>
      </c>
      <c r="T29" s="1095" t="s">
        <v>13</v>
      </c>
      <c r="U29" s="1008" t="str">
        <f t="shared" si="16"/>
        <v>n/a</v>
      </c>
      <c r="V29" s="1094" t="str">
        <f t="shared" si="16"/>
        <v>n/a</v>
      </c>
      <c r="W29" s="1095" t="s">
        <v>13</v>
      </c>
      <c r="X29" s="1008" t="str">
        <f t="shared" si="15"/>
        <v>n/a</v>
      </c>
      <c r="Y29" s="1094" t="str">
        <f t="shared" si="15"/>
        <v>n/a</v>
      </c>
      <c r="Z29" s="1094"/>
      <c r="AA29" s="1102">
        <v>996023842737.35803</v>
      </c>
      <c r="AB29" s="1096">
        <v>41921</v>
      </c>
      <c r="AC29" s="1096">
        <v>41951</v>
      </c>
      <c r="AD29" s="997" t="s">
        <v>1617</v>
      </c>
      <c r="AE29" s="997">
        <v>35549.234000000004</v>
      </c>
      <c r="AF29" s="944">
        <v>412.75</v>
      </c>
      <c r="AG29" s="944">
        <v>4079.5899999999997</v>
      </c>
      <c r="AH29" s="1097">
        <f t="shared" si="10"/>
        <v>39216.074000000001</v>
      </c>
      <c r="AI29" s="1097">
        <v>67932</v>
      </c>
      <c r="AJ29" s="1097">
        <v>-29239</v>
      </c>
      <c r="AK29" s="1099">
        <f t="shared" si="11"/>
        <v>0.57728425484307833</v>
      </c>
      <c r="AL29" s="1099">
        <f t="shared" si="12"/>
        <v>-1.3412248708916175</v>
      </c>
    </row>
    <row r="30" spans="2:38" s="1046" customFormat="1" ht="14.85" customHeight="1">
      <c r="B30" s="986" t="s">
        <v>1326</v>
      </c>
      <c r="C30" s="989" t="s">
        <v>1327</v>
      </c>
      <c r="D30" s="989" t="s">
        <v>1328</v>
      </c>
      <c r="E30" s="990">
        <v>41843</v>
      </c>
      <c r="F30" s="1103">
        <v>11</v>
      </c>
      <c r="G30" s="1103">
        <v>11</v>
      </c>
      <c r="H30" s="1103">
        <v>13</v>
      </c>
      <c r="I30" s="1103">
        <v>15.86</v>
      </c>
      <c r="J30" s="1008">
        <f t="shared" si="0"/>
        <v>16751.808000000001</v>
      </c>
      <c r="K30" s="1008">
        <v>5750</v>
      </c>
      <c r="L30" s="740">
        <v>22501.808000000001</v>
      </c>
      <c r="M30" s="1100">
        <f t="shared" si="13"/>
        <v>184269.88800000001</v>
      </c>
      <c r="N30" s="1008">
        <v>55000</v>
      </c>
      <c r="O30" s="1094">
        <f t="shared" si="7"/>
        <v>239269.88800000001</v>
      </c>
      <c r="P30" s="1095">
        <v>22384000</v>
      </c>
      <c r="Q30" s="1095">
        <v>38406000</v>
      </c>
      <c r="R30" s="1008">
        <f t="shared" si="2"/>
        <v>1.0689326661901359E-2</v>
      </c>
      <c r="S30" s="1008">
        <f t="shared" si="3"/>
        <v>6.2300132270999321E-3</v>
      </c>
      <c r="T30" s="1095">
        <f t="shared" si="14"/>
        <v>233071.88800000001</v>
      </c>
      <c r="U30" s="1008">
        <f t="shared" si="16"/>
        <v>1.0412432451751252E-2</v>
      </c>
      <c r="V30" s="1094">
        <f t="shared" si="16"/>
        <v>6.0686321928865279E-3</v>
      </c>
      <c r="W30" s="1095">
        <v>350683720</v>
      </c>
      <c r="X30" s="1008">
        <f t="shared" si="15"/>
        <v>15.666713724088634</v>
      </c>
      <c r="Y30" s="1094">
        <f t="shared" si="15"/>
        <v>9.1309618288809045</v>
      </c>
      <c r="Z30" s="1100"/>
      <c r="AA30" s="1100">
        <f t="shared" si="17"/>
        <v>265683.67488000001</v>
      </c>
      <c r="AB30" s="1104">
        <v>41844</v>
      </c>
      <c r="AC30" s="1104">
        <f t="shared" si="18"/>
        <v>41874</v>
      </c>
      <c r="AD30" s="1055" t="s">
        <v>1329</v>
      </c>
      <c r="AE30" s="1055">
        <v>239269.88800000001</v>
      </c>
      <c r="AF30" s="944">
        <v>7478</v>
      </c>
      <c r="AG30" s="944">
        <v>1280</v>
      </c>
      <c r="AH30" s="1097">
        <f t="shared" si="10"/>
        <v>233071.88800000001</v>
      </c>
      <c r="AI30" s="1097">
        <v>6460</v>
      </c>
      <c r="AJ30" s="1097">
        <v>-26733</v>
      </c>
      <c r="AK30" s="1099">
        <f t="shared" si="11"/>
        <v>36.079239628482974</v>
      </c>
      <c r="AL30" s="1099">
        <f t="shared" si="12"/>
        <v>-8.7185085100811737</v>
      </c>
    </row>
    <row r="31" spans="2:38" s="964" customFormat="1" ht="14.85" customHeight="1">
      <c r="B31" s="986" t="s">
        <v>1331</v>
      </c>
      <c r="C31" s="987" t="s">
        <v>1332</v>
      </c>
      <c r="D31" s="987" t="s">
        <v>1333</v>
      </c>
      <c r="E31" s="1101">
        <v>41836</v>
      </c>
      <c r="F31" s="1093">
        <v>12</v>
      </c>
      <c r="G31" s="1093">
        <v>14</v>
      </c>
      <c r="H31" s="1093">
        <v>16</v>
      </c>
      <c r="I31" s="1093">
        <v>124.8</v>
      </c>
      <c r="J31" s="1008">
        <f t="shared" si="0"/>
        <v>12631.596000000001</v>
      </c>
      <c r="K31" s="1008">
        <v>5000</v>
      </c>
      <c r="L31" s="740">
        <v>17631.596000000001</v>
      </c>
      <c r="M31" s="1094">
        <f t="shared" si="13"/>
        <v>151579.152</v>
      </c>
      <c r="N31" s="1008">
        <v>60000</v>
      </c>
      <c r="O31" s="1094">
        <f t="shared" si="7"/>
        <v>211579.152</v>
      </c>
      <c r="P31" s="1095">
        <v>2744000</v>
      </c>
      <c r="Q31" s="1095">
        <v>5125110</v>
      </c>
      <c r="R31" s="1008">
        <f t="shared" si="2"/>
        <v>7.7106104956268226E-2</v>
      </c>
      <c r="S31" s="1008">
        <f t="shared" si="3"/>
        <v>4.1282850904663507E-2</v>
      </c>
      <c r="T31" s="1095">
        <f t="shared" si="14"/>
        <v>188605.152</v>
      </c>
      <c r="U31" s="1008">
        <f t="shared" si="16"/>
        <v>6.8733655976676383E-2</v>
      </c>
      <c r="V31" s="1094">
        <f t="shared" si="16"/>
        <v>3.680021541001071E-2</v>
      </c>
      <c r="W31" s="1095">
        <v>332946300</v>
      </c>
      <c r="X31" s="1008">
        <f t="shared" si="15"/>
        <v>121.33611516034985</v>
      </c>
      <c r="Y31" s="1094">
        <f t="shared" si="15"/>
        <v>64.963737363685851</v>
      </c>
      <c r="Z31" s="1094"/>
      <c r="AA31" s="1094">
        <f t="shared" si="17"/>
        <v>1576423.1808000002</v>
      </c>
      <c r="AB31" s="1096">
        <v>41838</v>
      </c>
      <c r="AC31" s="1096">
        <f t="shared" si="18"/>
        <v>41868</v>
      </c>
      <c r="AD31" s="997" t="s">
        <v>1334</v>
      </c>
      <c r="AE31" s="997">
        <v>211579.152</v>
      </c>
      <c r="AF31" s="944">
        <v>32698.999999999996</v>
      </c>
      <c r="AG31" s="944">
        <v>9725</v>
      </c>
      <c r="AH31" s="1097">
        <f t="shared" si="10"/>
        <v>188605.152</v>
      </c>
      <c r="AI31" s="1097">
        <v>35461.060000000005</v>
      </c>
      <c r="AJ31" s="1097">
        <v>13616.65</v>
      </c>
      <c r="AK31" s="1099">
        <f t="shared" si="11"/>
        <v>5.3186552235043161</v>
      </c>
      <c r="AL31" s="1099">
        <f t="shared" si="12"/>
        <v>13.85106850803979</v>
      </c>
    </row>
    <row r="32" spans="2:38" s="964" customFormat="1" ht="14.85" customHeight="1">
      <c r="B32" s="986" t="s">
        <v>1619</v>
      </c>
      <c r="C32" s="987" t="s">
        <v>1620</v>
      </c>
      <c r="D32" s="987" t="s">
        <v>1621</v>
      </c>
      <c r="E32" s="1101">
        <v>41835</v>
      </c>
      <c r="F32" s="1093">
        <v>6.25</v>
      </c>
      <c r="G32" s="1093">
        <v>0</v>
      </c>
      <c r="H32" s="1093">
        <v>0</v>
      </c>
      <c r="I32" s="1093">
        <v>10.75</v>
      </c>
      <c r="J32" s="1008">
        <f t="shared" si="0"/>
        <v>8400</v>
      </c>
      <c r="K32" s="1008">
        <v>2318.4</v>
      </c>
      <c r="L32" s="740">
        <v>10718.4</v>
      </c>
      <c r="M32" s="1094">
        <f t="shared" si="13"/>
        <v>52500</v>
      </c>
      <c r="N32" s="1008">
        <v>12600</v>
      </c>
      <c r="O32" s="1094">
        <f t="shared" si="7"/>
        <v>65100</v>
      </c>
      <c r="P32" s="1095">
        <v>12056490</v>
      </c>
      <c r="Q32" s="1095">
        <v>15600000</v>
      </c>
      <c r="R32" s="1008">
        <f t="shared" si="2"/>
        <v>5.3995814702288971E-3</v>
      </c>
      <c r="S32" s="1008">
        <f t="shared" si="3"/>
        <v>4.1730769230769234E-3</v>
      </c>
      <c r="T32" s="1095">
        <f t="shared" si="14"/>
        <v>62191.360000000001</v>
      </c>
      <c r="U32" s="1008">
        <f t="shared" si="16"/>
        <v>5.1583304925397026E-3</v>
      </c>
      <c r="V32" s="1094">
        <f t="shared" si="16"/>
        <v>3.9866256410256411E-3</v>
      </c>
      <c r="W32" s="1095">
        <v>110703210</v>
      </c>
      <c r="X32" s="1008">
        <f t="shared" si="15"/>
        <v>9.1820430324248594</v>
      </c>
      <c r="Y32" s="1094">
        <f t="shared" si="15"/>
        <v>7.0963596153846158</v>
      </c>
      <c r="Z32" s="1094"/>
      <c r="AA32" s="1094">
        <f t="shared" si="17"/>
        <v>90300</v>
      </c>
      <c r="AB32" s="1096">
        <v>41836</v>
      </c>
      <c r="AC32" s="1096">
        <f t="shared" si="18"/>
        <v>41866</v>
      </c>
      <c r="AD32" s="997" t="s">
        <v>1622</v>
      </c>
      <c r="AE32" s="997">
        <v>65100</v>
      </c>
      <c r="AF32" s="944">
        <v>2908.64</v>
      </c>
      <c r="AG32" s="944">
        <v>0</v>
      </c>
      <c r="AH32" s="1097">
        <f t="shared" si="10"/>
        <v>62191.360000000001</v>
      </c>
      <c r="AI32" s="1097">
        <v>224262</v>
      </c>
      <c r="AJ32" s="1097">
        <v>-10153</v>
      </c>
      <c r="AK32" s="1099">
        <f t="shared" si="11"/>
        <v>0.27731563974280082</v>
      </c>
      <c r="AL32" s="1099">
        <f t="shared" si="12"/>
        <v>-6.1254171180931749</v>
      </c>
    </row>
    <row r="33" spans="2:38" s="964" customFormat="1" ht="14.85" customHeight="1">
      <c r="B33" s="986" t="s">
        <v>1623</v>
      </c>
      <c r="C33" s="987" t="s">
        <v>1624</v>
      </c>
      <c r="D33" s="987" t="s">
        <v>1625</v>
      </c>
      <c r="E33" s="1101">
        <v>41766</v>
      </c>
      <c r="F33" s="1093">
        <v>15</v>
      </c>
      <c r="G33" s="1093">
        <v>16</v>
      </c>
      <c r="H33" s="1093">
        <v>18</v>
      </c>
      <c r="I33" s="1093">
        <v>14.6</v>
      </c>
      <c r="J33" s="1008">
        <f t="shared" si="0"/>
        <v>29566.542000000001</v>
      </c>
      <c r="K33" s="1008">
        <v>9825</v>
      </c>
      <c r="L33" s="740">
        <v>39391.542000000001</v>
      </c>
      <c r="M33" s="1094">
        <f t="shared" si="13"/>
        <v>443498.13</v>
      </c>
      <c r="N33" s="1008">
        <v>132375</v>
      </c>
      <c r="O33" s="1094">
        <f t="shared" si="7"/>
        <v>575873.13</v>
      </c>
      <c r="P33" s="1095">
        <v>155584000</v>
      </c>
      <c r="Q33" s="1095">
        <v>186350000</v>
      </c>
      <c r="R33" s="1008">
        <f t="shared" si="2"/>
        <v>3.701364729020979E-3</v>
      </c>
      <c r="S33" s="1008">
        <f t="shared" si="3"/>
        <v>3.0902770592970219E-3</v>
      </c>
      <c r="T33" s="1095">
        <f t="shared" si="14"/>
        <v>611604.13</v>
      </c>
      <c r="U33" s="1008">
        <f t="shared" si="16"/>
        <v>3.931022020259153E-3</v>
      </c>
      <c r="V33" s="1094">
        <f t="shared" si="16"/>
        <v>3.2820184062248457E-3</v>
      </c>
      <c r="W33" s="1095">
        <v>698421600</v>
      </c>
      <c r="X33" s="1008">
        <f t="shared" si="15"/>
        <v>4.4890322912381739</v>
      </c>
      <c r="Y33" s="1094">
        <f t="shared" si="15"/>
        <v>3.7479023343171454</v>
      </c>
      <c r="Z33" s="1094"/>
      <c r="AA33" s="1094">
        <f t="shared" si="17"/>
        <v>431671.51319999999</v>
      </c>
      <c r="AB33" s="1096">
        <v>41767</v>
      </c>
      <c r="AC33" s="1096">
        <f t="shared" si="18"/>
        <v>41797</v>
      </c>
      <c r="AD33" s="997" t="s">
        <v>1626</v>
      </c>
      <c r="AE33" s="997">
        <v>575873.13</v>
      </c>
      <c r="AF33" s="944">
        <v>7419</v>
      </c>
      <c r="AG33" s="944">
        <v>43150</v>
      </c>
      <c r="AH33" s="1097">
        <f t="shared" si="10"/>
        <v>611604.13</v>
      </c>
      <c r="AI33" s="1097" t="e">
        <v>#VALUE!</v>
      </c>
      <c r="AJ33" s="1097" t="e">
        <v>#VALUE!</v>
      </c>
      <c r="AK33" s="1099" t="str">
        <f t="shared" si="11"/>
        <v>n/a</v>
      </c>
      <c r="AL33" s="1099" t="str">
        <f t="shared" si="12"/>
        <v>n/a</v>
      </c>
    </row>
    <row r="34" spans="2:38" s="964" customFormat="1" ht="14.85" customHeight="1">
      <c r="B34" s="986" t="s">
        <v>1627</v>
      </c>
      <c r="C34" s="987" t="s">
        <v>1628</v>
      </c>
      <c r="D34" s="987" t="s">
        <v>1629</v>
      </c>
      <c r="E34" s="1101">
        <v>41753</v>
      </c>
      <c r="F34" s="1093">
        <v>11</v>
      </c>
      <c r="G34" s="1093">
        <v>15</v>
      </c>
      <c r="H34" s="1093">
        <v>18</v>
      </c>
      <c r="I34" s="1093">
        <v>8.3000000000000007</v>
      </c>
      <c r="J34" s="1008">
        <f t="shared" si="0"/>
        <v>11185.797</v>
      </c>
      <c r="K34" s="1008">
        <v>5000</v>
      </c>
      <c r="L34" s="740">
        <v>16185.797</v>
      </c>
      <c r="M34" s="1094">
        <f t="shared" si="13"/>
        <v>123043.76700000001</v>
      </c>
      <c r="N34" s="1008">
        <v>55000</v>
      </c>
      <c r="O34" s="1094">
        <f t="shared" si="7"/>
        <v>178043.76699999999</v>
      </c>
      <c r="P34" s="1095">
        <v>6960000</v>
      </c>
      <c r="Q34" s="1095">
        <v>0</v>
      </c>
      <c r="R34" s="1008">
        <f t="shared" si="2"/>
        <v>2.5581001005747124E-2</v>
      </c>
      <c r="S34" s="1008" t="str">
        <f t="shared" si="3"/>
        <v>n/a</v>
      </c>
      <c r="T34" s="1095">
        <f t="shared" si="14"/>
        <v>139735.76699999999</v>
      </c>
      <c r="U34" s="1008">
        <f t="shared" si="16"/>
        <v>2.0076978017241377E-2</v>
      </c>
      <c r="V34" s="1094" t="str">
        <f t="shared" si="16"/>
        <v>n/a</v>
      </c>
      <c r="W34" s="1095">
        <v>96034120</v>
      </c>
      <c r="X34" s="1008">
        <f t="shared" si="15"/>
        <v>13.798005747126437</v>
      </c>
      <c r="Y34" s="1094" t="str">
        <f t="shared" si="15"/>
        <v>n/a</v>
      </c>
      <c r="Z34" s="1094"/>
      <c r="AA34" s="1094">
        <f t="shared" si="17"/>
        <v>92842.11510000001</v>
      </c>
      <c r="AB34" s="1096">
        <v>41754</v>
      </c>
      <c r="AC34" s="1096">
        <f t="shared" si="18"/>
        <v>41784</v>
      </c>
      <c r="AD34" s="997" t="s">
        <v>1630</v>
      </c>
      <c r="AE34" s="997">
        <v>178043.76699999999</v>
      </c>
      <c r="AF34" s="944">
        <v>40866</v>
      </c>
      <c r="AG34" s="944">
        <v>2558</v>
      </c>
      <c r="AH34" s="1097">
        <f t="shared" si="10"/>
        <v>139735.76699999999</v>
      </c>
      <c r="AI34" s="1097">
        <v>36301</v>
      </c>
      <c r="AJ34" s="1097">
        <v>-49816</v>
      </c>
      <c r="AK34" s="1099">
        <f t="shared" si="11"/>
        <v>3.8493641222004902</v>
      </c>
      <c r="AL34" s="1099">
        <f t="shared" si="12"/>
        <v>-2.8050378793961777</v>
      </c>
    </row>
    <row r="35" spans="2:38" s="964" customFormat="1" ht="14.85" customHeight="1">
      <c r="B35" s="986" t="s">
        <v>1631</v>
      </c>
      <c r="C35" s="989" t="s">
        <v>1632</v>
      </c>
      <c r="D35" s="987" t="s">
        <v>1633</v>
      </c>
      <c r="E35" s="1101">
        <v>41744</v>
      </c>
      <c r="F35" s="1093">
        <v>12</v>
      </c>
      <c r="G35" s="1093">
        <v>13</v>
      </c>
      <c r="H35" s="1093">
        <v>15</v>
      </c>
      <c r="I35" s="1093">
        <v>14.06</v>
      </c>
      <c r="J35" s="1008">
        <f t="shared" si="0"/>
        <v>12829.154999999999</v>
      </c>
      <c r="K35" s="1008">
        <v>7475</v>
      </c>
      <c r="L35" s="740">
        <v>20304.154999999999</v>
      </c>
      <c r="M35" s="1094">
        <f t="shared" si="13"/>
        <v>153949.85999999999</v>
      </c>
      <c r="N35" s="1008">
        <v>78000</v>
      </c>
      <c r="O35" s="1094">
        <f t="shared" si="7"/>
        <v>231949.86</v>
      </c>
      <c r="P35" s="1095" t="s">
        <v>13</v>
      </c>
      <c r="Q35" s="1095" t="s">
        <v>13</v>
      </c>
      <c r="R35" s="1008" t="str">
        <f t="shared" si="2"/>
        <v>n/a</v>
      </c>
      <c r="S35" s="1008" t="str">
        <f t="shared" si="3"/>
        <v>n/a</v>
      </c>
      <c r="T35" s="1095" t="s">
        <v>13</v>
      </c>
      <c r="U35" s="1008" t="str">
        <f t="shared" si="16"/>
        <v>n/a</v>
      </c>
      <c r="V35" s="1094" t="str">
        <f t="shared" si="16"/>
        <v>n/a</v>
      </c>
      <c r="W35" s="1095" t="s">
        <v>13</v>
      </c>
      <c r="X35" s="1008" t="str">
        <f t="shared" si="15"/>
        <v>n/a</v>
      </c>
      <c r="Y35" s="1094" t="str">
        <f t="shared" si="15"/>
        <v>n/a</v>
      </c>
      <c r="Z35" s="1094"/>
      <c r="AA35" s="1102">
        <v>180377.91930000001</v>
      </c>
      <c r="AB35" s="1096">
        <v>41745</v>
      </c>
      <c r="AC35" s="1096">
        <v>41775</v>
      </c>
      <c r="AD35" s="997" t="s">
        <v>1632</v>
      </c>
      <c r="AE35" s="997">
        <v>231949.86</v>
      </c>
      <c r="AF35" s="944">
        <v>38108</v>
      </c>
      <c r="AG35" s="944">
        <v>44288</v>
      </c>
      <c r="AH35" s="1097">
        <f t="shared" si="10"/>
        <v>238129.86</v>
      </c>
      <c r="AI35" s="1097">
        <v>7632</v>
      </c>
      <c r="AJ35" s="1097">
        <v>-7146</v>
      </c>
      <c r="AK35" s="1099">
        <f t="shared" si="11"/>
        <v>31.201501572327043</v>
      </c>
      <c r="AL35" s="1099">
        <f t="shared" si="12"/>
        <v>-33.323518052057096</v>
      </c>
    </row>
    <row r="36" spans="2:38" s="964" customFormat="1" ht="14.85" customHeight="1">
      <c r="B36" s="986" t="s">
        <v>1634</v>
      </c>
      <c r="C36" s="989" t="s">
        <v>1635</v>
      </c>
      <c r="D36" s="987" t="s">
        <v>1636</v>
      </c>
      <c r="E36" s="1101">
        <v>41690</v>
      </c>
      <c r="F36" s="1093">
        <v>7</v>
      </c>
      <c r="G36" s="1093">
        <v>12</v>
      </c>
      <c r="H36" s="1093">
        <v>14</v>
      </c>
      <c r="I36" s="1093">
        <v>5.65</v>
      </c>
      <c r="J36" s="1008">
        <f t="shared" si="0"/>
        <v>3278.0169999999998</v>
      </c>
      <c r="K36" s="1008">
        <v>1430</v>
      </c>
      <c r="L36" s="740">
        <v>4708.0169999999998</v>
      </c>
      <c r="M36" s="1094">
        <f t="shared" si="13"/>
        <v>22946.118999999999</v>
      </c>
      <c r="N36" s="1008">
        <v>10010</v>
      </c>
      <c r="O36" s="1094">
        <f t="shared" si="7"/>
        <v>32956.118999999999</v>
      </c>
      <c r="P36" s="1095" t="s">
        <v>13</v>
      </c>
      <c r="Q36" s="1095" t="s">
        <v>13</v>
      </c>
      <c r="R36" s="1008" t="str">
        <f t="shared" si="2"/>
        <v>n/a</v>
      </c>
      <c r="S36" s="1008" t="str">
        <f t="shared" si="3"/>
        <v>n/a</v>
      </c>
      <c r="T36" s="1095" t="s">
        <v>13</v>
      </c>
      <c r="U36" s="1008" t="str">
        <f t="shared" si="16"/>
        <v>n/a</v>
      </c>
      <c r="V36" s="1094" t="str">
        <f t="shared" si="16"/>
        <v>n/a</v>
      </c>
      <c r="W36" s="1095" t="s">
        <v>13</v>
      </c>
      <c r="X36" s="1008" t="str">
        <f t="shared" si="15"/>
        <v>n/a</v>
      </c>
      <c r="Y36" s="1094" t="str">
        <f t="shared" si="15"/>
        <v>n/a</v>
      </c>
      <c r="Z36" s="1094"/>
      <c r="AA36" s="1102">
        <v>18520.796050000001</v>
      </c>
      <c r="AB36" s="1096">
        <v>41691</v>
      </c>
      <c r="AC36" s="1096">
        <v>41721</v>
      </c>
      <c r="AD36" s="997" t="s">
        <v>1635</v>
      </c>
      <c r="AE36" s="997">
        <v>32956.118999999999</v>
      </c>
      <c r="AF36" s="944">
        <v>734</v>
      </c>
      <c r="AG36" s="944">
        <v>270</v>
      </c>
      <c r="AH36" s="1097">
        <f t="shared" si="10"/>
        <v>32492.118999999999</v>
      </c>
      <c r="AI36" s="1097">
        <v>178780</v>
      </c>
      <c r="AJ36" s="1097">
        <v>32462.000000000004</v>
      </c>
      <c r="AK36" s="1099">
        <f t="shared" si="11"/>
        <v>0.18174358988701197</v>
      </c>
      <c r="AL36" s="1099">
        <f t="shared" si="12"/>
        <v>1.0009278233010903</v>
      </c>
    </row>
    <row r="37" spans="2:38" s="964" customFormat="1" ht="14.85" customHeight="1">
      <c r="B37" s="986" t="s">
        <v>1637</v>
      </c>
      <c r="C37" s="987" t="s">
        <v>1638</v>
      </c>
      <c r="D37" s="987" t="s">
        <v>1639</v>
      </c>
      <c r="E37" s="1101">
        <v>41683</v>
      </c>
      <c r="F37" s="1093">
        <v>16</v>
      </c>
      <c r="G37" s="1093">
        <v>16</v>
      </c>
      <c r="H37" s="1093">
        <v>18</v>
      </c>
      <c r="I37" s="1093">
        <v>19.399999999999999</v>
      </c>
      <c r="J37" s="1008">
        <f t="shared" si="0"/>
        <v>13537.623000000001</v>
      </c>
      <c r="K37" s="1008">
        <v>4511.3130000000001</v>
      </c>
      <c r="L37" s="740">
        <v>18048.936000000002</v>
      </c>
      <c r="M37" s="1094">
        <f t="shared" si="13"/>
        <v>216601.96800000002</v>
      </c>
      <c r="N37" s="1008">
        <v>70588.210000000006</v>
      </c>
      <c r="O37" s="1094">
        <f t="shared" si="7"/>
        <v>287190.17800000001</v>
      </c>
      <c r="P37" s="1095">
        <v>69522000</v>
      </c>
      <c r="Q37" s="1095">
        <v>109881000</v>
      </c>
      <c r="R37" s="1008">
        <f t="shared" si="2"/>
        <v>4.1309251459969512E-3</v>
      </c>
      <c r="S37" s="1008">
        <f t="shared" si="3"/>
        <v>2.6136472911604375E-3</v>
      </c>
      <c r="T37" s="1095">
        <f t="shared" si="14"/>
        <v>282158.17800000001</v>
      </c>
      <c r="U37" s="1008">
        <f t="shared" si="16"/>
        <v>4.0585451799430398E-3</v>
      </c>
      <c r="V37" s="1094">
        <f t="shared" si="16"/>
        <v>2.5678522947552352E-3</v>
      </c>
      <c r="W37" s="1095">
        <v>462310600</v>
      </c>
      <c r="X37" s="1008">
        <f t="shared" si="15"/>
        <v>6.6498460918845836</v>
      </c>
      <c r="Y37" s="1094">
        <f t="shared" si="15"/>
        <v>4.207375251408342</v>
      </c>
      <c r="Z37" s="1094"/>
      <c r="AA37" s="1094">
        <f t="shared" si="17"/>
        <v>262629.88620000001</v>
      </c>
      <c r="AB37" s="1096">
        <v>41684</v>
      </c>
      <c r="AC37" s="1096">
        <f t="shared" si="18"/>
        <v>41714</v>
      </c>
      <c r="AD37" s="997" t="s">
        <v>1640</v>
      </c>
      <c r="AE37" s="997">
        <v>287190.17800000001</v>
      </c>
      <c r="AF37" s="944">
        <v>17059</v>
      </c>
      <c r="AG37" s="944">
        <v>12027</v>
      </c>
      <c r="AH37" s="1097">
        <f t="shared" si="10"/>
        <v>282158.17800000001</v>
      </c>
      <c r="AI37" s="1097">
        <v>18126</v>
      </c>
      <c r="AJ37" s="1097">
        <v>-8340</v>
      </c>
      <c r="AK37" s="1099">
        <f t="shared" si="11"/>
        <v>15.566488910956638</v>
      </c>
      <c r="AL37" s="1099">
        <f t="shared" si="12"/>
        <v>-33.831915827338129</v>
      </c>
    </row>
    <row r="38" spans="2:38" s="964" customFormat="1" ht="14.85" customHeight="1">
      <c r="B38" s="986" t="s">
        <v>1641</v>
      </c>
      <c r="C38" s="987" t="s">
        <v>1642</v>
      </c>
      <c r="D38" s="987" t="s">
        <v>1643</v>
      </c>
      <c r="E38" s="1101">
        <v>41682</v>
      </c>
      <c r="F38" s="1093">
        <v>5.75</v>
      </c>
      <c r="G38" s="1093">
        <v>10</v>
      </c>
      <c r="H38" s="1093">
        <v>12</v>
      </c>
      <c r="I38" s="1093">
        <v>109.65011</v>
      </c>
      <c r="J38" s="1008">
        <f t="shared" si="0"/>
        <v>8444.5540000000001</v>
      </c>
      <c r="K38" s="1008">
        <v>3682.9</v>
      </c>
      <c r="L38" s="740">
        <v>12127.454</v>
      </c>
      <c r="M38" s="1094">
        <f t="shared" si="13"/>
        <v>48556.1855</v>
      </c>
      <c r="N38" s="1008">
        <v>20125</v>
      </c>
      <c r="O38" s="1094">
        <f t="shared" si="7"/>
        <v>68681.185499999992</v>
      </c>
      <c r="P38" s="1095">
        <v>22242540</v>
      </c>
      <c r="Q38" s="1095">
        <v>23350000</v>
      </c>
      <c r="R38" s="1008">
        <f t="shared" si="2"/>
        <v>3.0878301443989756E-3</v>
      </c>
      <c r="S38" s="1008">
        <f t="shared" si="3"/>
        <v>2.9413783940042825E-3</v>
      </c>
      <c r="T38" s="1095">
        <f t="shared" si="14"/>
        <v>79035.395499999999</v>
      </c>
      <c r="U38" s="1008">
        <f t="shared" si="16"/>
        <v>3.5533439751035626E-3</v>
      </c>
      <c r="V38" s="1094">
        <f t="shared" si="16"/>
        <v>3.3848135117773019E-3</v>
      </c>
      <c r="W38" s="1095">
        <v>99002490</v>
      </c>
      <c r="X38" s="1008">
        <f t="shared" si="15"/>
        <v>4.4510424618771056</v>
      </c>
      <c r="Y38" s="1094">
        <f t="shared" si="15"/>
        <v>4.239935331905782</v>
      </c>
      <c r="Z38" s="1094"/>
      <c r="AA38" s="1094">
        <f t="shared" si="17"/>
        <v>925946.27500093996</v>
      </c>
      <c r="AB38" s="1096">
        <v>41684</v>
      </c>
      <c r="AC38" s="1096">
        <f t="shared" si="18"/>
        <v>41714</v>
      </c>
      <c r="AD38" s="997" t="s">
        <v>1644</v>
      </c>
      <c r="AE38" s="997">
        <v>68681.185499999992</v>
      </c>
      <c r="AF38" s="944">
        <v>7562.4</v>
      </c>
      <c r="AG38" s="944">
        <v>17916.61</v>
      </c>
      <c r="AH38" s="1097">
        <f t="shared" si="10"/>
        <v>79035.395499999999</v>
      </c>
      <c r="AI38" s="1097">
        <v>87879</v>
      </c>
      <c r="AJ38" s="1097">
        <v>-61080</v>
      </c>
      <c r="AK38" s="1099">
        <f t="shared" si="11"/>
        <v>0.89936612273694505</v>
      </c>
      <c r="AL38" s="1099">
        <f t="shared" si="12"/>
        <v>-1.2939652177472167</v>
      </c>
    </row>
    <row r="39" spans="2:38" s="964" customFormat="1" ht="14.85" customHeight="1">
      <c r="B39" s="986" t="s">
        <v>1645</v>
      </c>
      <c r="C39" s="987" t="s">
        <v>1646</v>
      </c>
      <c r="D39" s="987" t="s">
        <v>1647</v>
      </c>
      <c r="E39" s="1101">
        <v>41591</v>
      </c>
      <c r="F39" s="1093">
        <v>15</v>
      </c>
      <c r="G39" s="1093">
        <v>13</v>
      </c>
      <c r="H39" s="1093">
        <v>15</v>
      </c>
      <c r="I39" s="1093">
        <v>22.67</v>
      </c>
      <c r="J39" s="1008">
        <f t="shared" si="0"/>
        <v>12178.095000000001</v>
      </c>
      <c r="K39" s="1008">
        <v>9200</v>
      </c>
      <c r="L39" s="740">
        <v>21378.095000000001</v>
      </c>
      <c r="M39" s="1094">
        <f t="shared" si="13"/>
        <v>182671.42500000002</v>
      </c>
      <c r="N39" s="1008">
        <v>120000</v>
      </c>
      <c r="O39" s="1094">
        <f t="shared" si="7"/>
        <v>302671.42500000005</v>
      </c>
      <c r="P39" s="1095">
        <v>21019270</v>
      </c>
      <c r="Q39" s="1095">
        <v>27458360</v>
      </c>
      <c r="R39" s="1008">
        <f t="shared" si="2"/>
        <v>1.4399711550401133E-2</v>
      </c>
      <c r="S39" s="1008">
        <f t="shared" si="3"/>
        <v>1.1022924347994565E-2</v>
      </c>
      <c r="T39" s="1095">
        <f t="shared" si="14"/>
        <v>316469.70500000002</v>
      </c>
      <c r="U39" s="1008">
        <f t="shared" si="16"/>
        <v>1.5056170123891079E-2</v>
      </c>
      <c r="V39" s="1094">
        <f t="shared" si="16"/>
        <v>1.1525440885763025E-2</v>
      </c>
      <c r="W39" s="1095">
        <v>498437530</v>
      </c>
      <c r="X39" s="1008">
        <f t="shared" si="15"/>
        <v>23.713360644779765</v>
      </c>
      <c r="Y39" s="1094">
        <f t="shared" si="15"/>
        <v>18.152487257068522</v>
      </c>
      <c r="Z39" s="1094"/>
      <c r="AA39" s="1094">
        <f t="shared" si="17"/>
        <v>276077.41365000006</v>
      </c>
      <c r="AB39" s="1096">
        <v>41592</v>
      </c>
      <c r="AC39" s="1096">
        <f t="shared" si="18"/>
        <v>41622</v>
      </c>
      <c r="AD39" s="997" t="s">
        <v>1648</v>
      </c>
      <c r="AE39" s="997">
        <v>302671.42500000005</v>
      </c>
      <c r="AF39" s="944">
        <v>15550.02</v>
      </c>
      <c r="AG39" s="944">
        <v>29348.3</v>
      </c>
      <c r="AH39" s="1097">
        <f t="shared" si="10"/>
        <v>316469.70500000002</v>
      </c>
      <c r="AI39" s="1097">
        <v>54602</v>
      </c>
      <c r="AJ39" s="1097">
        <v>-34860</v>
      </c>
      <c r="AK39" s="1099">
        <f t="shared" si="11"/>
        <v>5.7959361378704077</v>
      </c>
      <c r="AL39" s="1099">
        <f t="shared" si="12"/>
        <v>-9.078304790590936</v>
      </c>
    </row>
    <row r="40" spans="2:38" s="964" customFormat="1" ht="14.85" customHeight="1">
      <c r="B40" s="986" t="s">
        <v>1649</v>
      </c>
      <c r="C40" s="987" t="s">
        <v>1650</v>
      </c>
      <c r="D40" s="987" t="s">
        <v>1651</v>
      </c>
      <c r="E40" s="1101">
        <v>41577</v>
      </c>
      <c r="F40" s="1093">
        <v>13</v>
      </c>
      <c r="G40" s="1093">
        <v>13</v>
      </c>
      <c r="H40" s="1093">
        <v>15</v>
      </c>
      <c r="I40" s="1093">
        <v>12.98</v>
      </c>
      <c r="J40" s="1008">
        <f t="shared" si="0"/>
        <v>15989.89</v>
      </c>
      <c r="K40" s="1008">
        <v>5000</v>
      </c>
      <c r="L40" s="740">
        <v>20989.89</v>
      </c>
      <c r="M40" s="1094">
        <f t="shared" si="13"/>
        <v>207868.57</v>
      </c>
      <c r="N40" s="1008">
        <v>65000</v>
      </c>
      <c r="O40" s="1094">
        <f t="shared" si="7"/>
        <v>272868.57</v>
      </c>
      <c r="P40" s="1095">
        <v>17133000</v>
      </c>
      <c r="Q40" s="1095">
        <v>21510330</v>
      </c>
      <c r="R40" s="1008">
        <f t="shared" si="2"/>
        <v>1.5926490982314832E-2</v>
      </c>
      <c r="S40" s="1008">
        <f t="shared" si="3"/>
        <v>1.2685466471225686E-2</v>
      </c>
      <c r="T40" s="1095">
        <f t="shared" si="14"/>
        <v>257011.57</v>
      </c>
      <c r="U40" s="1008">
        <f t="shared" si="16"/>
        <v>1.5000967139438512E-2</v>
      </c>
      <c r="V40" s="1094">
        <f t="shared" si="16"/>
        <v>1.1948285777112671E-2</v>
      </c>
      <c r="W40" s="1095">
        <v>341745300</v>
      </c>
      <c r="X40" s="1008">
        <f t="shared" si="15"/>
        <v>19.946611801786027</v>
      </c>
      <c r="Y40" s="1094">
        <f t="shared" si="15"/>
        <v>15.887496844539344</v>
      </c>
      <c r="Z40" s="1094"/>
      <c r="AA40" s="1094">
        <f t="shared" si="17"/>
        <v>207548.77220000001</v>
      </c>
      <c r="AB40" s="1096">
        <v>41577</v>
      </c>
      <c r="AC40" s="1096">
        <f t="shared" si="18"/>
        <v>41607</v>
      </c>
      <c r="AD40" s="997" t="s">
        <v>1652</v>
      </c>
      <c r="AE40" s="997">
        <v>272868.57</v>
      </c>
      <c r="AF40" s="944">
        <v>20683</v>
      </c>
      <c r="AG40" s="944">
        <v>4826</v>
      </c>
      <c r="AH40" s="1097">
        <f t="shared" si="10"/>
        <v>257011.57</v>
      </c>
      <c r="AI40" s="1097" t="e">
        <v>#VALUE!</v>
      </c>
      <c r="AJ40" s="1097" t="e">
        <v>#VALUE!</v>
      </c>
      <c r="AK40" s="1099" t="str">
        <f t="shared" si="11"/>
        <v>n/a</v>
      </c>
      <c r="AL40" s="1099" t="str">
        <f t="shared" si="12"/>
        <v>n/a</v>
      </c>
    </row>
    <row r="41" spans="2:38" s="964" customFormat="1" ht="14.85" customHeight="1">
      <c r="B41" s="1105"/>
      <c r="C41" s="1105"/>
      <c r="D41" s="1105"/>
      <c r="E41" s="1106"/>
      <c r="F41" s="1106"/>
      <c r="G41" s="1106"/>
      <c r="H41" s="1106"/>
      <c r="I41" s="1106"/>
      <c r="J41" s="1106"/>
      <c r="K41" s="1106"/>
      <c r="L41" s="1106"/>
      <c r="M41" s="1106"/>
      <c r="N41" s="1106"/>
      <c r="O41" s="1059"/>
      <c r="P41" s="1106"/>
      <c r="Q41" s="1059"/>
      <c r="R41" s="1059"/>
      <c r="S41" s="1059"/>
      <c r="T41" s="1107"/>
      <c r="U41" s="554"/>
      <c r="V41" s="1108"/>
      <c r="W41" s="1106"/>
      <c r="X41" s="1059"/>
      <c r="Y41" s="1106"/>
      <c r="Z41" s="1074"/>
      <c r="AA41" s="1106"/>
    </row>
    <row r="42" spans="2:38" s="964" customFormat="1" ht="14.85" customHeight="1">
      <c r="B42" s="1109" t="s">
        <v>111</v>
      </c>
      <c r="C42" s="1110"/>
      <c r="D42" s="1110"/>
      <c r="E42" s="1111"/>
      <c r="F42" s="1111"/>
      <c r="G42" s="1111"/>
      <c r="H42" s="1111"/>
      <c r="I42" s="1111"/>
      <c r="J42" s="1111"/>
      <c r="K42" s="1111"/>
      <c r="L42" s="1111"/>
      <c r="M42" s="1112">
        <f>MAX(M12:M40)</f>
        <v>781159.11</v>
      </c>
      <c r="N42" s="1112"/>
      <c r="O42" s="1113">
        <f>MAX(O12:O40)</f>
        <v>901159.11</v>
      </c>
      <c r="P42" s="1114">
        <f t="shared" ref="P42:Y42" si="19">MIN(P12:P40)</f>
        <v>0</v>
      </c>
      <c r="Q42" s="1114">
        <f t="shared" si="19"/>
        <v>0</v>
      </c>
      <c r="R42" s="1115">
        <f t="shared" si="19"/>
        <v>2.5054577056778681E-3</v>
      </c>
      <c r="S42" s="1116">
        <f t="shared" si="19"/>
        <v>2.0229668286755771E-3</v>
      </c>
      <c r="T42" s="1114">
        <f t="shared" si="19"/>
        <v>46655.894</v>
      </c>
      <c r="U42" s="1115">
        <f t="shared" si="19"/>
        <v>2.4183709801206903E-3</v>
      </c>
      <c r="V42" s="1115">
        <f t="shared" si="19"/>
        <v>1.9526509113001213E-3</v>
      </c>
      <c r="W42" s="1114">
        <f t="shared" si="19"/>
        <v>51305110</v>
      </c>
      <c r="X42" s="1115">
        <f t="shared" si="19"/>
        <v>2.9992198762998301</v>
      </c>
      <c r="Y42" s="1116">
        <f t="shared" si="19"/>
        <v>2.421642284325638</v>
      </c>
      <c r="Z42" s="1074"/>
      <c r="AA42" s="1113">
        <f>MAX(AA12:AA40)</f>
        <v>996023842737.35803</v>
      </c>
    </row>
    <row r="43" spans="2:38" s="964" customFormat="1" ht="14.85" customHeight="1">
      <c r="B43" s="1117" t="s">
        <v>115</v>
      </c>
      <c r="C43" s="1118"/>
      <c r="D43" s="1118"/>
      <c r="E43" s="1119"/>
      <c r="F43" s="1119"/>
      <c r="G43" s="1119"/>
      <c r="H43" s="1119"/>
      <c r="I43" s="1119"/>
      <c r="J43" s="1119"/>
      <c r="K43" s="1119"/>
      <c r="L43" s="1119"/>
      <c r="M43" s="1120">
        <f>QUARTILE(M12:M40,3)</f>
        <v>252092.77900000001</v>
      </c>
      <c r="N43" s="1120"/>
      <c r="O43" s="1121">
        <f>QUARTILE(O12:O40,3)</f>
        <v>311630.15699999995</v>
      </c>
      <c r="P43" s="1122">
        <f t="shared" ref="P43:Y43" si="20">QUARTILE(P12:P40,1)</f>
        <v>3043000</v>
      </c>
      <c r="Q43" s="1122">
        <f t="shared" si="20"/>
        <v>900000</v>
      </c>
      <c r="R43" s="1123">
        <f t="shared" si="20"/>
        <v>6.0427754978877486E-3</v>
      </c>
      <c r="S43" s="1124">
        <f t="shared" si="20"/>
        <v>4.7263298605705953E-3</v>
      </c>
      <c r="T43" s="1122">
        <f t="shared" si="20"/>
        <v>139735.76699999999</v>
      </c>
      <c r="U43" s="1123">
        <f t="shared" si="20"/>
        <v>5.7962523301817205E-3</v>
      </c>
      <c r="V43" s="1123">
        <f t="shared" si="20"/>
        <v>4.6328607842710031E-3</v>
      </c>
      <c r="W43" s="1122">
        <f t="shared" si="20"/>
        <v>137148000</v>
      </c>
      <c r="X43" s="1123">
        <f t="shared" si="20"/>
        <v>9.0521624519703341</v>
      </c>
      <c r="Y43" s="1124">
        <f t="shared" si="20"/>
        <v>6.9808931733011068</v>
      </c>
      <c r="Z43" s="1074"/>
      <c r="AA43" s="1121">
        <f>QUARTILE(AA12:AA40,3)</f>
        <v>593236.67766000004</v>
      </c>
    </row>
    <row r="44" spans="2:38" s="964" customFormat="1" ht="14.85" customHeight="1">
      <c r="B44" s="1117" t="s">
        <v>113</v>
      </c>
      <c r="C44" s="1118"/>
      <c r="D44" s="1118"/>
      <c r="E44" s="1119"/>
      <c r="F44" s="1119"/>
      <c r="G44" s="1119"/>
      <c r="H44" s="1119"/>
      <c r="I44" s="1119"/>
      <c r="J44" s="1119"/>
      <c r="K44" s="1119"/>
      <c r="L44" s="1119"/>
      <c r="M44" s="1120">
        <f>AVERAGE(M12:M40)</f>
        <v>192995.24995492518</v>
      </c>
      <c r="N44" s="1120"/>
      <c r="O44" s="1121">
        <f>AVERAGE(O12:O40)</f>
        <v>257794.35133423554</v>
      </c>
      <c r="P44" s="1122">
        <f t="shared" ref="P44:Y44" si="21">MEDIAN(P12:P40)</f>
        <v>17133000</v>
      </c>
      <c r="Q44" s="1122">
        <f t="shared" si="21"/>
        <v>21510330</v>
      </c>
      <c r="R44" s="1123">
        <f t="shared" si="21"/>
        <v>1.0689326661901359E-2</v>
      </c>
      <c r="S44" s="1124">
        <f t="shared" si="21"/>
        <v>7.4848089649340813E-3</v>
      </c>
      <c r="T44" s="1122">
        <f t="shared" si="21"/>
        <v>233071.88800000001</v>
      </c>
      <c r="U44" s="1123">
        <f t="shared" si="21"/>
        <v>1.0857663987385585E-2</v>
      </c>
      <c r="V44" s="1123">
        <f t="shared" si="21"/>
        <v>7.3496312553917083E-3</v>
      </c>
      <c r="W44" s="1122">
        <f t="shared" si="21"/>
        <v>332946300</v>
      </c>
      <c r="X44" s="1123">
        <f t="shared" si="21"/>
        <v>15.666713724088634</v>
      </c>
      <c r="Y44" s="1124">
        <f t="shared" si="21"/>
        <v>12.374907779177853</v>
      </c>
      <c r="Z44" s="1074"/>
      <c r="AA44" s="1121">
        <f>AVERAGE(AA12:AA40)</f>
        <v>34346009682.663994</v>
      </c>
    </row>
    <row r="45" spans="2:38" s="964" customFormat="1" ht="14.85" customHeight="1">
      <c r="B45" s="1117" t="s">
        <v>44</v>
      </c>
      <c r="C45" s="1118"/>
      <c r="D45" s="1118"/>
      <c r="E45" s="1119"/>
      <c r="F45" s="1119"/>
      <c r="G45" s="1119"/>
      <c r="H45" s="1119"/>
      <c r="I45" s="1119"/>
      <c r="J45" s="1119"/>
      <c r="K45" s="1119"/>
      <c r="L45" s="1119"/>
      <c r="M45" s="1120">
        <f>MEDIAN(M12:M40)</f>
        <v>153949.85999999999</v>
      </c>
      <c r="N45" s="1120"/>
      <c r="O45" s="1121">
        <f>MEDIAN(O12:O40)</f>
        <v>231949.86</v>
      </c>
      <c r="P45" s="1122">
        <f t="shared" ref="P45:Y45" si="22">AVERAGE(P12:P40)</f>
        <v>32199462.399999999</v>
      </c>
      <c r="Q45" s="1122">
        <f t="shared" si="22"/>
        <v>40656612.799999997</v>
      </c>
      <c r="R45" s="1123">
        <f t="shared" si="22"/>
        <v>2.2527930224811279E-2</v>
      </c>
      <c r="S45" s="1124">
        <f t="shared" si="22"/>
        <v>3.5453813600549257E-2</v>
      </c>
      <c r="T45" s="1122">
        <f t="shared" si="22"/>
        <v>271469.66002771322</v>
      </c>
      <c r="U45" s="1123">
        <f t="shared" si="22"/>
        <v>2.2725866060934595E-2</v>
      </c>
      <c r="V45" s="1123">
        <f t="shared" si="22"/>
        <v>3.8347302229559968E-2</v>
      </c>
      <c r="W45" s="1122">
        <f t="shared" si="22"/>
        <v>403201712.80000001</v>
      </c>
      <c r="X45" s="1123">
        <f t="shared" si="22"/>
        <v>30.057334553971014</v>
      </c>
      <c r="Y45" s="1124">
        <f t="shared" si="22"/>
        <v>43.635520031610007</v>
      </c>
      <c r="Z45" s="1074"/>
      <c r="AA45" s="1121">
        <f>MEDIAN(AA12:AA40)</f>
        <v>262629.88620000001</v>
      </c>
    </row>
    <row r="46" spans="2:38" s="964" customFormat="1" ht="14.85" customHeight="1">
      <c r="B46" s="1117" t="s">
        <v>114</v>
      </c>
      <c r="C46" s="1118"/>
      <c r="D46" s="1118"/>
      <c r="E46" s="1119"/>
      <c r="F46" s="1119"/>
      <c r="G46" s="1119"/>
      <c r="H46" s="1119"/>
      <c r="I46" s="1119"/>
      <c r="J46" s="1119"/>
      <c r="K46" s="1119"/>
      <c r="L46" s="1119"/>
      <c r="M46" s="1120">
        <f>QUARTILE(M12:M40,1)</f>
        <v>73052.231999999989</v>
      </c>
      <c r="N46" s="1120"/>
      <c r="O46" s="1121">
        <f>QUARTILE(O12:O40,1)</f>
        <v>122552.23199999999</v>
      </c>
      <c r="P46" s="1122">
        <f t="shared" ref="P46:Y46" si="23">QUARTILE(P12:P40,3)</f>
        <v>48786000</v>
      </c>
      <c r="Q46" s="1122">
        <f t="shared" si="23"/>
        <v>62887920</v>
      </c>
      <c r="R46" s="1123">
        <f t="shared" si="23"/>
        <v>1.5941030619921758E-2</v>
      </c>
      <c r="S46" s="1124">
        <f t="shared" si="23"/>
        <v>1.373973814011231E-2</v>
      </c>
      <c r="T46" s="1122">
        <f t="shared" si="23"/>
        <v>335839.81699999992</v>
      </c>
      <c r="U46" s="1123">
        <f t="shared" si="23"/>
        <v>1.554027401178918E-2</v>
      </c>
      <c r="V46" s="1123">
        <f t="shared" si="23"/>
        <v>1.3794677636090671E-2</v>
      </c>
      <c r="W46" s="1122">
        <f t="shared" si="23"/>
        <v>498437530</v>
      </c>
      <c r="X46" s="1123">
        <f t="shared" si="23"/>
        <v>23.713360644779765</v>
      </c>
      <c r="Y46" s="1124">
        <f t="shared" si="23"/>
        <v>21.648384924479245</v>
      </c>
      <c r="Z46" s="1074"/>
      <c r="AA46" s="1121">
        <f>QUARTILE(AA12:AA40,1)</f>
        <v>92842.11510000001</v>
      </c>
    </row>
    <row r="47" spans="2:38" s="964" customFormat="1" ht="14.85" customHeight="1">
      <c r="B47" s="1125" t="s">
        <v>112</v>
      </c>
      <c r="C47" s="1126"/>
      <c r="D47" s="1126"/>
      <c r="E47" s="1127"/>
      <c r="F47" s="1127"/>
      <c r="G47" s="1127"/>
      <c r="H47" s="1127"/>
      <c r="I47" s="1127"/>
      <c r="J47" s="1127"/>
      <c r="K47" s="1127"/>
      <c r="L47" s="1127"/>
      <c r="M47" s="1128">
        <f>MIN(M12:M40)</f>
        <v>22946.118999999999</v>
      </c>
      <c r="N47" s="1128"/>
      <c r="O47" s="1129">
        <f>MIN(O12:O40)</f>
        <v>32956.118999999999</v>
      </c>
      <c r="P47" s="1130">
        <f t="shared" ref="P47:Y47" si="24">MAX(P12:P40)</f>
        <v>155584000</v>
      </c>
      <c r="Q47" s="1130">
        <f t="shared" si="24"/>
        <v>186350000</v>
      </c>
      <c r="R47" s="1131">
        <f t="shared" si="24"/>
        <v>0.12765135913421755</v>
      </c>
      <c r="S47" s="1132">
        <f t="shared" si="24"/>
        <v>0.39154067731629388</v>
      </c>
      <c r="T47" s="1130">
        <f t="shared" si="24"/>
        <v>864395.11</v>
      </c>
      <c r="U47" s="1131">
        <f t="shared" si="24"/>
        <v>0.13756822993044573</v>
      </c>
      <c r="V47" s="1131">
        <f t="shared" si="24"/>
        <v>0.44892086900958461</v>
      </c>
      <c r="W47" s="1130">
        <f t="shared" si="24"/>
        <v>1300279390</v>
      </c>
      <c r="X47" s="1131">
        <f t="shared" si="24"/>
        <v>168.34637031696747</v>
      </c>
      <c r="Y47" s="1132">
        <f t="shared" si="24"/>
        <v>454.17456869009584</v>
      </c>
      <c r="Z47" s="1074"/>
      <c r="AA47" s="1129">
        <f>MIN(AA12:AA40)</f>
        <v>18520.796050000001</v>
      </c>
    </row>
    <row r="48" spans="2:38" s="964" customFormat="1" ht="14.85" customHeight="1">
      <c r="B48" s="1133"/>
      <c r="C48" s="1133"/>
      <c r="D48" s="1133"/>
      <c r="E48" s="1134"/>
      <c r="F48" s="1134"/>
      <c r="G48" s="1134"/>
      <c r="H48" s="1134"/>
      <c r="I48" s="1134"/>
      <c r="J48" s="1134"/>
      <c r="K48" s="1134"/>
      <c r="L48" s="1134"/>
      <c r="M48" s="1134"/>
      <c r="N48" s="1134"/>
      <c r="O48" s="1059"/>
      <c r="P48" s="1059"/>
      <c r="Q48" s="1059"/>
      <c r="R48" s="1059"/>
      <c r="S48" s="1059"/>
      <c r="T48" s="1059"/>
      <c r="U48" s="1059"/>
      <c r="V48" s="1059"/>
      <c r="W48" s="1059"/>
      <c r="X48" s="1059"/>
      <c r="Y48" s="1059"/>
      <c r="Z48" s="1074"/>
      <c r="AA48" s="1134"/>
    </row>
    <row r="49" spans="2:27" s="964" customFormat="1" ht="14.85" customHeight="1">
      <c r="B49" s="295" t="s">
        <v>116</v>
      </c>
      <c r="E49" s="1064"/>
      <c r="F49" s="1064"/>
      <c r="G49" s="1064"/>
      <c r="H49" s="1064"/>
      <c r="I49" s="1064"/>
      <c r="J49" s="1064"/>
      <c r="K49" s="1064"/>
      <c r="L49" s="1059"/>
      <c r="M49" s="1064"/>
      <c r="N49" s="1064"/>
      <c r="O49" s="1059"/>
      <c r="P49" s="1064"/>
      <c r="Q49" s="1064"/>
      <c r="R49" s="1064"/>
      <c r="S49" s="1064"/>
      <c r="T49" s="1059"/>
      <c r="U49" s="1064"/>
      <c r="V49" s="1064"/>
      <c r="W49" s="1064"/>
      <c r="X49" s="1064"/>
      <c r="Y49" s="1064"/>
      <c r="Z49" s="1064"/>
      <c r="AA49" s="1059"/>
    </row>
    <row r="50" spans="2:27" ht="14.85" customHeight="1"/>
    <row r="51" spans="2:27" ht="14.85" customHeight="1"/>
    <row r="52" spans="2:27" ht="14.85" customHeight="1"/>
    <row r="53" spans="2:27" ht="14.85" customHeight="1"/>
    <row r="54" spans="2:27" ht="14.85" customHeight="1"/>
    <row r="55" spans="2:27" ht="14.85" customHeight="1"/>
    <row r="56" spans="2:27" ht="14.85" customHeight="1"/>
    <row r="57" spans="2:27" ht="14.85" customHeight="1"/>
    <row r="58" spans="2:27" ht="14.85" customHeight="1"/>
    <row r="59" spans="2:27" ht="14.85" customHeight="1"/>
    <row r="60" spans="2:27" ht="14.85" customHeight="1"/>
    <row r="61" spans="2:27" ht="14.85" customHeight="1"/>
    <row r="62" spans="2:27" ht="14.85" customHeight="1"/>
    <row r="63" spans="2:27" ht="14.85" customHeight="1"/>
    <row r="64" spans="2:27"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mergeCells count="20">
    <mergeCell ref="E9:E10"/>
    <mergeCell ref="J9:J10"/>
    <mergeCell ref="N9:N10"/>
    <mergeCell ref="O9:O10"/>
    <mergeCell ref="AC9:AC10"/>
    <mergeCell ref="AF9:AF10"/>
    <mergeCell ref="F9:F10"/>
    <mergeCell ref="G9:H9"/>
    <mergeCell ref="I9:I10"/>
    <mergeCell ref="K9:K10"/>
    <mergeCell ref="AA9:AA10"/>
    <mergeCell ref="AB9:AB10"/>
    <mergeCell ref="L9:L10"/>
    <mergeCell ref="M9:M10"/>
    <mergeCell ref="AE9:AE10"/>
    <mergeCell ref="AH9:AH10"/>
    <mergeCell ref="AI9:AI10"/>
    <mergeCell ref="AJ9:AJ10"/>
    <mergeCell ref="AK9:AK10"/>
    <mergeCell ref="AL9:AL10"/>
  </mergeCells>
  <conditionalFormatting sqref="C4:D4">
    <cfRule type="cellIs" dxfId="56" priority="8" stopIfTrue="1" operator="equal">
      <formula>"input"</formula>
    </cfRule>
  </conditionalFormatting>
  <conditionalFormatting sqref="E4:F4">
    <cfRule type="cellIs" dxfId="55" priority="7" stopIfTrue="1" operator="equal">
      <formula>"input"</formula>
    </cfRule>
  </conditionalFormatting>
  <conditionalFormatting sqref="G4:H5">
    <cfRule type="cellIs" dxfId="54" priority="6" stopIfTrue="1" operator="equal">
      <formula>"input"</formula>
    </cfRule>
  </conditionalFormatting>
  <conditionalFormatting sqref="I4:J5">
    <cfRule type="cellIs" dxfId="53" priority="5" stopIfTrue="1" operator="equal">
      <formula>"input"</formula>
    </cfRule>
  </conditionalFormatting>
  <conditionalFormatting sqref="K4:L5">
    <cfRule type="cellIs" dxfId="52" priority="4" stopIfTrue="1" operator="equal">
      <formula>"input"</formula>
    </cfRule>
  </conditionalFormatting>
  <conditionalFormatting sqref="M4:N5">
    <cfRule type="cellIs" dxfId="51" priority="3" stopIfTrue="1" operator="equal">
      <formula>"input"</formula>
    </cfRule>
  </conditionalFormatting>
  <conditionalFormatting sqref="O4:O5">
    <cfRule type="cellIs" dxfId="50" priority="2" stopIfTrue="1" operator="equal">
      <formula>"input"</formula>
    </cfRule>
  </conditionalFormatting>
  <conditionalFormatting sqref="B4">
    <cfRule type="cellIs" dxfId="49" priority="1" stopIfTrue="1" operator="equal">
      <formula>"input"</formula>
    </cfRule>
  </conditionalFormatting>
  <pageMargins left="0.5" right="0.5" top="0.5" bottom="0.5" header="0.5" footer="0.5"/>
  <pageSetup scale="92" fitToWidth="0" fitToHeight="0" orientation="landscape" r:id="rId1"/>
  <legacyDrawing r:id="rId2"/>
  <legacyDrawingHF r:id="rId3"/>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64"/>
  <dimension ref="A1:BM764"/>
  <sheetViews>
    <sheetView showGridLines="0" view="pageBreakPreview" zoomScale="80" zoomScaleNormal="100" zoomScaleSheetLayoutView="80" workbookViewId="0"/>
  </sheetViews>
  <sheetFormatPr defaultColWidth="10.6640625" defaultRowHeight="12.75" outlineLevelRow="1" outlineLevelCol="1"/>
  <cols>
    <col min="1" max="1" width="4.5" style="944" customWidth="1"/>
    <col min="2" max="2" width="42.33203125" style="944" customWidth="1"/>
    <col min="3" max="3" width="19.83203125" style="944" hidden="1" customWidth="1" outlineLevel="1"/>
    <col min="4" max="4" width="18.6640625" style="944" hidden="1" customWidth="1" outlineLevel="1" collapsed="1"/>
    <col min="5" max="5" width="15.5" style="944" hidden="1" customWidth="1" outlineLevel="1"/>
    <col min="6" max="6" width="12.83203125" style="946" bestFit="1" customWidth="1" collapsed="1"/>
    <col min="7" max="7" width="12" style="946" customWidth="1"/>
    <col min="8" max="9" width="14" style="946" hidden="1" customWidth="1" outlineLevel="1"/>
    <col min="10" max="10" width="15" style="946" customWidth="1" collapsed="1"/>
    <col min="11" max="13" width="16.83203125" style="946" customWidth="1"/>
    <col min="14" max="14" width="18.33203125" style="946" customWidth="1"/>
    <col min="15" max="15" width="16.83203125" style="946" customWidth="1"/>
    <col min="16" max="16" width="18.33203125" style="946" customWidth="1"/>
    <col min="17" max="17" width="4.5" style="946" customWidth="1"/>
    <col min="18" max="18" width="29.1640625" style="946" bestFit="1" customWidth="1"/>
    <col min="19" max="19" width="16.33203125" style="944" customWidth="1"/>
    <col min="20" max="20" width="13.6640625" style="944" customWidth="1"/>
    <col min="21" max="21" width="14.83203125" style="944" customWidth="1"/>
    <col min="22" max="22" width="13.5" style="944" bestFit="1" customWidth="1"/>
    <col min="23" max="23" width="16.5" style="944" bestFit="1" customWidth="1"/>
    <col min="24" max="24" width="12.5" style="944" bestFit="1" customWidth="1"/>
    <col min="25" max="25" width="13.6640625" style="944" bestFit="1" customWidth="1"/>
    <col min="26" max="26" width="13.6640625" style="944" customWidth="1"/>
    <col min="27" max="27" width="12.5" style="944" bestFit="1" customWidth="1"/>
    <col min="28" max="28" width="13.1640625" style="944" bestFit="1" customWidth="1"/>
    <col min="29" max="29" width="13" style="944" bestFit="1" customWidth="1"/>
    <col min="30" max="30" width="15.6640625" style="944" bestFit="1" customWidth="1"/>
    <col min="31" max="31" width="11" style="944" bestFit="1" customWidth="1"/>
    <col min="32" max="34" width="10.6640625" style="944"/>
    <col min="35" max="36" width="12.5" style="944" bestFit="1" customWidth="1"/>
    <col min="37" max="37" width="14" style="944" bestFit="1" customWidth="1"/>
    <col min="38" max="38" width="10.6640625" style="944"/>
    <col min="39" max="40" width="11" style="944" bestFit="1" customWidth="1"/>
    <col min="41" max="41" width="12.5" style="944" bestFit="1" customWidth="1"/>
    <col min="42" max="42" width="12.33203125" style="944" bestFit="1" customWidth="1"/>
    <col min="43" max="43" width="14" style="944" bestFit="1" customWidth="1"/>
    <col min="44" max="44" width="14.33203125" style="944" bestFit="1" customWidth="1"/>
    <col min="45" max="45" width="11" style="944" bestFit="1" customWidth="1"/>
    <col min="46" max="46" width="18" style="944" bestFit="1" customWidth="1"/>
    <col min="47" max="47" width="14" style="944" bestFit="1" customWidth="1"/>
    <col min="48" max="48" width="18" style="944" bestFit="1" customWidth="1"/>
    <col min="49" max="51" width="11" style="944" bestFit="1" customWidth="1"/>
    <col min="52" max="52" width="14" style="944" bestFit="1" customWidth="1"/>
    <col min="53" max="53" width="11" style="944" bestFit="1" customWidth="1"/>
    <col min="54" max="54" width="18.1640625" style="944" bestFit="1" customWidth="1"/>
    <col min="55" max="55" width="10.6640625" style="944"/>
    <col min="56" max="56" width="14" style="944" bestFit="1" customWidth="1"/>
    <col min="57" max="57" width="11" style="944" bestFit="1" customWidth="1"/>
    <col min="58" max="58" width="12" style="944" bestFit="1" customWidth="1"/>
    <col min="59" max="59" width="15.5" style="944" bestFit="1" customWidth="1"/>
    <col min="60" max="60" width="12" style="944" bestFit="1" customWidth="1"/>
    <col min="61" max="64" width="10.6640625" style="944"/>
    <col min="65" max="65" width="11" style="944" bestFit="1" customWidth="1"/>
    <col min="66" max="16384" width="10.6640625" style="944"/>
  </cols>
  <sheetData>
    <row r="1" spans="1:36" ht="11.25" customHeight="1" thickBot="1">
      <c r="A1" s="943"/>
      <c r="F1" s="945"/>
      <c r="G1" s="945"/>
      <c r="H1" s="945"/>
      <c r="I1" s="945"/>
      <c r="J1" s="945"/>
      <c r="K1" s="945"/>
      <c r="L1" s="945"/>
      <c r="M1" s="945"/>
      <c r="N1" s="945"/>
      <c r="R1" s="944"/>
      <c r="S1" s="947"/>
      <c r="T1" s="948"/>
      <c r="W1" s="944" t="s">
        <v>378</v>
      </c>
      <c r="X1" s="944" t="s">
        <v>380</v>
      </c>
      <c r="AJ1" s="949"/>
    </row>
    <row r="2" spans="1:36" ht="15" thickTop="1">
      <c r="A2" s="950"/>
      <c r="B2" s="216" t="str">
        <f>'MASTER PubCo Inputs'!$C$5</f>
        <v>Medikine, Inc.</v>
      </c>
      <c r="C2" s="216"/>
      <c r="D2" s="216"/>
      <c r="E2" s="216"/>
      <c r="F2" s="216"/>
      <c r="G2" s="216"/>
      <c r="H2" s="216"/>
      <c r="I2" s="216"/>
      <c r="J2" s="216"/>
      <c r="K2" s="216"/>
      <c r="L2" s="216"/>
      <c r="M2" s="216"/>
      <c r="N2" s="216"/>
      <c r="O2" s="216"/>
      <c r="P2" s="216"/>
      <c r="Q2" s="951"/>
      <c r="R2" s="952"/>
      <c r="S2" s="953" t="s">
        <v>1406</v>
      </c>
      <c r="T2" s="954">
        <v>42837</v>
      </c>
      <c r="U2" s="944" t="s">
        <v>1692</v>
      </c>
      <c r="W2" s="944" t="s">
        <v>702</v>
      </c>
      <c r="X2" s="944" t="s">
        <v>703</v>
      </c>
    </row>
    <row r="3" spans="1:36" ht="14.25">
      <c r="A3" s="950"/>
      <c r="B3" s="217" t="e">
        <f>VLOOKUP(B4,Outline!$E$8:$G$79,COLUMNS(Outline!$E$8:$G$8),FALSE)</f>
        <v>#N/A</v>
      </c>
      <c r="C3" s="217"/>
      <c r="D3" s="217"/>
      <c r="E3" s="217"/>
      <c r="F3" s="217"/>
      <c r="G3" s="217"/>
      <c r="H3" s="217"/>
      <c r="I3" s="217"/>
      <c r="J3" s="217"/>
      <c r="K3" s="217"/>
      <c r="L3" s="217"/>
      <c r="M3" s="217"/>
      <c r="N3" s="217"/>
      <c r="O3" s="217"/>
      <c r="P3" s="217"/>
      <c r="Q3" s="951"/>
      <c r="R3" s="952"/>
      <c r="S3" s="1067"/>
      <c r="T3" s="956"/>
      <c r="W3" s="944" t="s">
        <v>379</v>
      </c>
      <c r="X3" s="944" t="s">
        <v>381</v>
      </c>
    </row>
    <row r="4" spans="1:36" ht="15" thickBot="1">
      <c r="B4" s="444" t="s">
        <v>1023</v>
      </c>
      <c r="C4" s="444"/>
      <c r="D4" s="444"/>
      <c r="E4" s="444"/>
      <c r="F4" s="444"/>
      <c r="G4" s="444"/>
      <c r="H4" s="444"/>
      <c r="I4" s="444"/>
      <c r="J4" s="444"/>
      <c r="K4" s="444"/>
      <c r="L4" s="444"/>
      <c r="M4" s="444"/>
      <c r="N4" s="444"/>
      <c r="O4" s="444"/>
      <c r="P4" s="445" t="str">
        <f>'MASTER PubCo Inputs'!C20</f>
        <v>(in thousands of USD and shares, except price per share)</v>
      </c>
      <c r="Q4" s="951"/>
      <c r="R4" s="944"/>
      <c r="W4" s="944" t="s">
        <v>89</v>
      </c>
      <c r="X4" s="944" t="s">
        <v>90</v>
      </c>
    </row>
    <row r="5" spans="1:36" ht="14.85" customHeight="1" thickTop="1">
      <c r="B5" s="957" t="s">
        <v>1741</v>
      </c>
      <c r="C5" s="958"/>
      <c r="D5" s="957"/>
      <c r="E5" s="957"/>
      <c r="F5" s="959"/>
      <c r="G5" s="959"/>
      <c r="H5" s="959"/>
      <c r="I5" s="959"/>
      <c r="J5" s="959"/>
      <c r="K5" s="945"/>
      <c r="L5" s="945"/>
      <c r="M5" s="945"/>
      <c r="N5" s="945"/>
      <c r="Q5" s="951"/>
      <c r="R5" s="944"/>
    </row>
    <row r="6" spans="1:36" ht="14.85" customHeight="1">
      <c r="B6" s="960"/>
      <c r="C6" s="950"/>
      <c r="D6" s="960"/>
      <c r="E6" s="960"/>
      <c r="F6" s="945"/>
      <c r="G6" s="945"/>
      <c r="H6" s="945"/>
      <c r="I6" s="945"/>
      <c r="J6" s="945"/>
      <c r="K6" s="945"/>
      <c r="L6" s="961"/>
      <c r="M6" s="945"/>
      <c r="N6" s="962"/>
      <c r="P6" s="963"/>
    </row>
    <row r="7" spans="1:36" s="964" customFormat="1" ht="14.85" customHeight="1">
      <c r="B7" s="578" t="s">
        <v>1655</v>
      </c>
      <c r="C7" s="1072"/>
      <c r="D7" s="1072"/>
      <c r="E7" s="1072"/>
      <c r="F7" s="1072"/>
      <c r="G7" s="1072"/>
      <c r="H7" s="1072"/>
      <c r="I7" s="1072"/>
      <c r="J7" s="1072"/>
      <c r="K7" s="1072"/>
      <c r="L7" s="1072"/>
      <c r="M7" s="1072"/>
      <c r="N7" s="1072"/>
      <c r="O7" s="1072"/>
      <c r="P7" s="1073"/>
      <c r="Q7" s="968"/>
      <c r="R7" s="969"/>
    </row>
    <row r="8" spans="1:36" s="970" customFormat="1" ht="25.5">
      <c r="B8" s="1135"/>
      <c r="C8" s="1086"/>
      <c r="D8" s="1086" t="s">
        <v>1025</v>
      </c>
      <c r="E8" s="1086" t="s">
        <v>1026</v>
      </c>
      <c r="F8" s="1946" t="s">
        <v>1550</v>
      </c>
      <c r="G8" s="1945" t="s">
        <v>1027</v>
      </c>
      <c r="H8" s="1945" t="s">
        <v>1028</v>
      </c>
      <c r="I8" s="1945"/>
      <c r="J8" s="1945" t="s">
        <v>1029</v>
      </c>
      <c r="K8" s="1947" t="s">
        <v>1737</v>
      </c>
      <c r="L8" s="1945" t="s">
        <v>1030</v>
      </c>
      <c r="M8" s="1945" t="s">
        <v>1031</v>
      </c>
      <c r="N8" s="1945" t="s">
        <v>1032</v>
      </c>
      <c r="O8" s="1947" t="s">
        <v>1738</v>
      </c>
      <c r="P8" s="1948" t="s">
        <v>1740</v>
      </c>
      <c r="Q8" s="968"/>
      <c r="R8" s="1929" t="s">
        <v>1033</v>
      </c>
      <c r="S8" s="1929" t="s">
        <v>1034</v>
      </c>
      <c r="T8" s="1929" t="s">
        <v>1035</v>
      </c>
      <c r="U8" s="1929" t="s">
        <v>1036</v>
      </c>
      <c r="W8" s="978" t="s">
        <v>1037</v>
      </c>
      <c r="X8" s="1929" t="s">
        <v>685</v>
      </c>
      <c r="Z8" s="1930" t="s">
        <v>146</v>
      </c>
      <c r="AA8" s="1930" t="s">
        <v>1743</v>
      </c>
      <c r="AB8" s="1930" t="s">
        <v>1744</v>
      </c>
      <c r="AC8" s="1930" t="s">
        <v>1745</v>
      </c>
      <c r="AD8" s="1930" t="s">
        <v>1746</v>
      </c>
    </row>
    <row r="9" spans="1:36" s="970" customFormat="1" ht="25.5">
      <c r="B9" s="974" t="s">
        <v>1038</v>
      </c>
      <c r="C9" s="975" t="s">
        <v>1039</v>
      </c>
      <c r="D9" s="975" t="s">
        <v>496</v>
      </c>
      <c r="E9" s="975" t="s">
        <v>1040</v>
      </c>
      <c r="F9" s="1932"/>
      <c r="G9" s="1934"/>
      <c r="H9" s="976" t="s">
        <v>112</v>
      </c>
      <c r="I9" s="976" t="s">
        <v>111</v>
      </c>
      <c r="J9" s="1934"/>
      <c r="K9" s="1934"/>
      <c r="L9" s="1934"/>
      <c r="M9" s="1934"/>
      <c r="N9" s="1934"/>
      <c r="O9" s="1934"/>
      <c r="P9" s="1936"/>
      <c r="Q9" s="968"/>
      <c r="R9" s="1929"/>
      <c r="S9" s="1929"/>
      <c r="T9" s="1929"/>
      <c r="U9" s="1929"/>
      <c r="X9" s="1929"/>
      <c r="Y9" s="978" t="s">
        <v>95</v>
      </c>
      <c r="Z9" s="1930"/>
      <c r="AA9" s="1930"/>
      <c r="AB9" s="1930"/>
      <c r="AC9" s="1930"/>
      <c r="AD9" s="1930"/>
    </row>
    <row r="10" spans="1:36" s="979" customFormat="1" ht="14.85" customHeight="1">
      <c r="B10" s="980"/>
      <c r="C10" s="980"/>
      <c r="D10" s="980"/>
      <c r="E10" s="980"/>
      <c r="F10" s="980"/>
      <c r="G10" s="980"/>
      <c r="H10" s="980"/>
      <c r="I10" s="980"/>
      <c r="J10" s="980"/>
      <c r="K10" s="1136"/>
      <c r="L10" s="980"/>
      <c r="M10" s="980"/>
      <c r="N10" s="980"/>
      <c r="O10" s="980"/>
      <c r="P10" s="980"/>
      <c r="Q10" s="968"/>
      <c r="R10" s="981"/>
      <c r="S10" s="981"/>
      <c r="T10" s="981"/>
      <c r="AE10" s="979" t="s">
        <v>110</v>
      </c>
    </row>
    <row r="11" spans="1:36" s="979" customFormat="1" ht="14.85" customHeight="1">
      <c r="B11" s="986" t="s">
        <v>1656</v>
      </c>
      <c r="C11" s="987" t="s">
        <v>1657</v>
      </c>
      <c r="D11" s="988" t="s">
        <v>13</v>
      </c>
      <c r="E11" s="989" t="s">
        <v>1658</v>
      </c>
      <c r="F11" s="990">
        <v>42641</v>
      </c>
      <c r="G11" s="1137">
        <v>9</v>
      </c>
      <c r="H11" s="991">
        <v>12</v>
      </c>
      <c r="I11" s="991">
        <v>14</v>
      </c>
      <c r="J11" s="1137">
        <v>9.09</v>
      </c>
      <c r="K11" s="1138">
        <f>M11-L11</f>
        <v>12846.256000000001</v>
      </c>
      <c r="L11" s="1102">
        <v>4200</v>
      </c>
      <c r="M11" s="438">
        <v>17046.256000000001</v>
      </c>
      <c r="N11" s="1094">
        <f>+K11*G11</f>
        <v>115616.304</v>
      </c>
      <c r="O11" s="1102">
        <v>37800</v>
      </c>
      <c r="P11" s="1100">
        <f>N11+O11</f>
        <v>153416.304</v>
      </c>
      <c r="Q11" s="1094"/>
      <c r="R11" s="1139">
        <f>M11*J11</f>
        <v>154950.46704000002</v>
      </c>
      <c r="S11" s="1140">
        <v>42642</v>
      </c>
      <c r="T11" s="1140">
        <v>42672</v>
      </c>
      <c r="U11" s="997" t="s">
        <v>1659</v>
      </c>
      <c r="V11" s="998" t="s">
        <v>1660</v>
      </c>
      <c r="W11" s="999">
        <f>+N11+O11</f>
        <v>153416.304</v>
      </c>
      <c r="X11" s="1141">
        <v>16060</v>
      </c>
      <c r="Y11" s="1141">
        <v>0</v>
      </c>
      <c r="Z11" s="1141">
        <f>W11+Y11-X11</f>
        <v>137356.304</v>
      </c>
      <c r="AA11" s="1141">
        <v>13218</v>
      </c>
      <c r="AB11" s="1141">
        <v>-5000</v>
      </c>
      <c r="AC11" s="1141">
        <f>Z11/AA11</f>
        <v>10.391610228476321</v>
      </c>
      <c r="AD11" s="1141">
        <f>Z11/AB11</f>
        <v>-27.4712608</v>
      </c>
      <c r="AE11" s="1004">
        <f t="shared" ref="AE11:AE19" si="0">+P11-W11</f>
        <v>0</v>
      </c>
    </row>
    <row r="12" spans="1:36" s="979" customFormat="1" ht="14.85" customHeight="1">
      <c r="B12" s="986" t="s">
        <v>1661</v>
      </c>
      <c r="C12" s="987" t="s">
        <v>1662</v>
      </c>
      <c r="D12" s="988" t="s">
        <v>13</v>
      </c>
      <c r="E12" s="989" t="s">
        <v>1663</v>
      </c>
      <c r="F12" s="990">
        <v>42522</v>
      </c>
      <c r="G12" s="1137">
        <v>14</v>
      </c>
      <c r="H12" s="991">
        <v>12.5</v>
      </c>
      <c r="I12" s="991">
        <v>15.5</v>
      </c>
      <c r="J12" s="1137">
        <v>12.87</v>
      </c>
      <c r="K12" s="1138">
        <f t="shared" ref="K12:K19" si="1">M12-L12</f>
        <v>111345.825</v>
      </c>
      <c r="L12" s="1102">
        <v>6500</v>
      </c>
      <c r="M12" s="438">
        <v>117845.825</v>
      </c>
      <c r="N12" s="1094">
        <f t="shared" ref="N12:N19" si="2">+K12*G12</f>
        <v>1558841.55</v>
      </c>
      <c r="O12" s="1102">
        <v>91000</v>
      </c>
      <c r="P12" s="1100">
        <f t="shared" ref="P12:P19" si="3">N12+O12</f>
        <v>1649841.55</v>
      </c>
      <c r="Q12" s="1094"/>
      <c r="R12" s="1139">
        <f t="shared" ref="R12:R19" si="4">M12*J12</f>
        <v>1516675.7677499999</v>
      </c>
      <c r="S12" s="1140">
        <v>42523</v>
      </c>
      <c r="T12" s="1140">
        <v>42553</v>
      </c>
      <c r="U12" s="997" t="s">
        <v>1664</v>
      </c>
      <c r="V12" s="998" t="s">
        <v>1665</v>
      </c>
      <c r="W12" s="999">
        <f t="shared" ref="W12:W19" si="5">+N12+O12</f>
        <v>1649841.55</v>
      </c>
      <c r="X12" s="1141">
        <v>24560</v>
      </c>
      <c r="Y12" s="1141">
        <v>152666</v>
      </c>
      <c r="Z12" s="1141">
        <f t="shared" ref="Z12:Z19" si="6">W12+Y12-X12</f>
        <v>1777947.55</v>
      </c>
      <c r="AA12" s="1141">
        <v>66012</v>
      </c>
      <c r="AB12" s="1141">
        <v>-81859</v>
      </c>
      <c r="AC12" s="1141">
        <f t="shared" ref="AC12:AC19" si="7">Z12/AA12</f>
        <v>26.933702205659579</v>
      </c>
      <c r="AD12" s="1141">
        <f t="shared" ref="AD12:AD19" si="8">Z12/AB12</f>
        <v>-21.719634371296987</v>
      </c>
      <c r="AE12" s="1004">
        <f t="shared" si="0"/>
        <v>0</v>
      </c>
    </row>
    <row r="13" spans="1:36" s="979" customFormat="1" ht="14.85" customHeight="1">
      <c r="B13" s="1142" t="s">
        <v>1666</v>
      </c>
      <c r="C13" s="987" t="s">
        <v>1667</v>
      </c>
      <c r="D13" s="988" t="s">
        <v>13</v>
      </c>
      <c r="E13" s="989" t="s">
        <v>1668</v>
      </c>
      <c r="F13" s="990">
        <v>42129</v>
      </c>
      <c r="G13" s="1137">
        <v>14</v>
      </c>
      <c r="H13" s="991">
        <v>13</v>
      </c>
      <c r="I13" s="991">
        <v>15</v>
      </c>
      <c r="J13" s="1137">
        <v>15.61</v>
      </c>
      <c r="K13" s="1138">
        <f t="shared" si="1"/>
        <v>3164.6130000000003</v>
      </c>
      <c r="L13" s="1102">
        <v>3570</v>
      </c>
      <c r="M13" s="438">
        <v>6734.6130000000003</v>
      </c>
      <c r="N13" s="1094">
        <f t="shared" si="2"/>
        <v>44304.582000000002</v>
      </c>
      <c r="O13" s="1102">
        <v>49980</v>
      </c>
      <c r="P13" s="1100">
        <f t="shared" si="3"/>
        <v>94284.581999999995</v>
      </c>
      <c r="Q13" s="1094"/>
      <c r="R13" s="1139">
        <f t="shared" si="4"/>
        <v>105127.30893</v>
      </c>
      <c r="S13" s="1140">
        <v>42131</v>
      </c>
      <c r="T13" s="1140">
        <v>42161</v>
      </c>
      <c r="U13" s="997" t="s">
        <v>1669</v>
      </c>
      <c r="V13" s="998" t="s">
        <v>1670</v>
      </c>
      <c r="W13" s="999">
        <f t="shared" si="5"/>
        <v>94284.581999999995</v>
      </c>
      <c r="X13" s="1141">
        <v>3613.39</v>
      </c>
      <c r="Y13" s="1141">
        <v>10519.37</v>
      </c>
      <c r="Z13" s="1141">
        <f t="shared" si="6"/>
        <v>101190.56199999999</v>
      </c>
      <c r="AA13" s="1141">
        <v>3328.96</v>
      </c>
      <c r="AB13" s="1141">
        <v>-12367.85</v>
      </c>
      <c r="AC13" s="1141">
        <f t="shared" si="7"/>
        <v>30.39704952898202</v>
      </c>
      <c r="AD13" s="1141">
        <f t="shared" si="8"/>
        <v>-8.1817423400186762</v>
      </c>
      <c r="AE13" s="1004">
        <f t="shared" si="0"/>
        <v>0</v>
      </c>
    </row>
    <row r="14" spans="1:36" s="979" customFormat="1" ht="14.85" customHeight="1">
      <c r="B14" s="986" t="s">
        <v>1671</v>
      </c>
      <c r="C14" s="987" t="s">
        <v>1672</v>
      </c>
      <c r="D14" s="988" t="s">
        <v>13</v>
      </c>
      <c r="E14" s="989" t="s">
        <v>1673</v>
      </c>
      <c r="F14" s="990">
        <v>41955</v>
      </c>
      <c r="G14" s="1137">
        <v>6.5</v>
      </c>
      <c r="H14" s="991">
        <v>0</v>
      </c>
      <c r="I14" s="991">
        <v>0</v>
      </c>
      <c r="J14" s="1137">
        <v>2.5</v>
      </c>
      <c r="K14" s="1138">
        <f t="shared" si="1"/>
        <v>4822.67</v>
      </c>
      <c r="L14" s="1102">
        <v>1550</v>
      </c>
      <c r="M14" s="438">
        <v>6372.67</v>
      </c>
      <c r="N14" s="1094">
        <f t="shared" si="2"/>
        <v>31347.355</v>
      </c>
      <c r="O14" s="1102">
        <v>10075</v>
      </c>
      <c r="P14" s="1100">
        <f t="shared" si="3"/>
        <v>41422.354999999996</v>
      </c>
      <c r="Q14" s="1094"/>
      <c r="R14" s="1139">
        <f t="shared" si="4"/>
        <v>15931.674999999999</v>
      </c>
      <c r="S14" s="1140">
        <v>41957</v>
      </c>
      <c r="T14" s="1140">
        <v>41987</v>
      </c>
      <c r="U14" s="997" t="s">
        <v>1674</v>
      </c>
      <c r="V14" s="998" t="s">
        <v>1675</v>
      </c>
      <c r="W14" s="999">
        <f t="shared" si="5"/>
        <v>41422.354999999996</v>
      </c>
      <c r="X14" s="1141" t="e">
        <v>#VALUE!</v>
      </c>
      <c r="Y14" s="1141" t="e">
        <v>#VALUE!</v>
      </c>
      <c r="Z14" s="1141" t="e">
        <f t="shared" si="6"/>
        <v>#VALUE!</v>
      </c>
      <c r="AA14" s="1141" t="e">
        <v>#VALUE!</v>
      </c>
      <c r="AB14" s="1141" t="e">
        <v>#VALUE!</v>
      </c>
      <c r="AC14" s="1141" t="e">
        <f t="shared" si="7"/>
        <v>#VALUE!</v>
      </c>
      <c r="AD14" s="1141" t="e">
        <f t="shared" si="8"/>
        <v>#VALUE!</v>
      </c>
      <c r="AE14" s="1004">
        <f t="shared" si="0"/>
        <v>0</v>
      </c>
    </row>
    <row r="15" spans="1:36" s="979" customFormat="1" ht="14.85" customHeight="1">
      <c r="B15" s="986" t="s">
        <v>1676</v>
      </c>
      <c r="C15" s="987" t="s">
        <v>1677</v>
      </c>
      <c r="D15" s="988" t="s">
        <v>13</v>
      </c>
      <c r="E15" s="989" t="s">
        <v>1678</v>
      </c>
      <c r="F15" s="990">
        <v>41857</v>
      </c>
      <c r="G15" s="1137">
        <v>11</v>
      </c>
      <c r="H15" s="991">
        <v>15</v>
      </c>
      <c r="I15" s="991">
        <v>17</v>
      </c>
      <c r="J15" s="1137">
        <v>19.66</v>
      </c>
      <c r="K15" s="1138">
        <f t="shared" si="1"/>
        <v>14021.603999999999</v>
      </c>
      <c r="L15" s="1102">
        <v>4000</v>
      </c>
      <c r="M15" s="438">
        <v>18021.603999999999</v>
      </c>
      <c r="N15" s="1094">
        <f t="shared" si="2"/>
        <v>154237.644</v>
      </c>
      <c r="O15" s="1102">
        <v>44000</v>
      </c>
      <c r="P15" s="1100">
        <f>N15+O15</f>
        <v>198237.644</v>
      </c>
      <c r="Q15" s="1094"/>
      <c r="R15" s="1139">
        <f t="shared" si="4"/>
        <v>354304.73463999998</v>
      </c>
      <c r="S15" s="1140">
        <v>41858</v>
      </c>
      <c r="T15" s="1140">
        <v>41888</v>
      </c>
      <c r="U15" s="997" t="s">
        <v>1679</v>
      </c>
      <c r="V15" s="998" t="s">
        <v>1680</v>
      </c>
      <c r="W15" s="999">
        <f t="shared" si="5"/>
        <v>198237.644</v>
      </c>
      <c r="X15" s="1141">
        <v>23698</v>
      </c>
      <c r="Y15" s="1141">
        <v>4619</v>
      </c>
      <c r="Z15" s="1141">
        <f t="shared" si="6"/>
        <v>179158.644</v>
      </c>
      <c r="AA15" s="1141">
        <v>266</v>
      </c>
      <c r="AB15" s="1141">
        <v>-21409</v>
      </c>
      <c r="AC15" s="1141">
        <f t="shared" si="7"/>
        <v>673.52873684210522</v>
      </c>
      <c r="AD15" s="1141">
        <f t="shared" si="8"/>
        <v>-8.3683798402540983</v>
      </c>
      <c r="AE15" s="1004">
        <f t="shared" si="0"/>
        <v>0</v>
      </c>
    </row>
    <row r="16" spans="1:36" s="979" customFormat="1" ht="14.85" customHeight="1">
      <c r="B16" s="986" t="s">
        <v>1335</v>
      </c>
      <c r="C16" s="987" t="s">
        <v>1336</v>
      </c>
      <c r="D16" s="988" t="s">
        <v>13</v>
      </c>
      <c r="E16" s="989" t="s">
        <v>1337</v>
      </c>
      <c r="F16" s="990">
        <v>41836</v>
      </c>
      <c r="G16" s="1137">
        <v>10</v>
      </c>
      <c r="H16" s="991">
        <v>15</v>
      </c>
      <c r="I16" s="991">
        <v>17</v>
      </c>
      <c r="J16" s="1137">
        <v>10.02</v>
      </c>
      <c r="K16" s="1138">
        <f t="shared" si="1"/>
        <v>7379.3019999999997</v>
      </c>
      <c r="L16" s="1102">
        <v>3125</v>
      </c>
      <c r="M16" s="438">
        <v>10504.302</v>
      </c>
      <c r="N16" s="1094">
        <f t="shared" si="2"/>
        <v>73793.01999999999</v>
      </c>
      <c r="O16" s="1102">
        <v>31250</v>
      </c>
      <c r="P16" s="1100">
        <f t="shared" si="3"/>
        <v>105043.01999999999</v>
      </c>
      <c r="Q16" s="1094"/>
      <c r="R16" s="1139">
        <f t="shared" si="4"/>
        <v>105253.10604</v>
      </c>
      <c r="S16" s="1140">
        <v>41838</v>
      </c>
      <c r="T16" s="1140">
        <v>41868</v>
      </c>
      <c r="U16" s="997" t="s">
        <v>1338</v>
      </c>
      <c r="V16" s="998" t="s">
        <v>1339</v>
      </c>
      <c r="W16" s="999">
        <f t="shared" si="5"/>
        <v>105043.01999999999</v>
      </c>
      <c r="X16" s="1141">
        <v>4837</v>
      </c>
      <c r="Y16" s="1141">
        <v>15114</v>
      </c>
      <c r="Z16" s="1141">
        <f t="shared" si="6"/>
        <v>115320.01999999999</v>
      </c>
      <c r="AA16" s="1141">
        <v>23041</v>
      </c>
      <c r="AB16" s="1141">
        <v>59</v>
      </c>
      <c r="AC16" s="1141">
        <f t="shared" si="7"/>
        <v>5.0049919708345989</v>
      </c>
      <c r="AD16" s="1141">
        <f t="shared" si="8"/>
        <v>1954.5766101694915</v>
      </c>
      <c r="AE16" s="1004">
        <f t="shared" si="0"/>
        <v>0</v>
      </c>
    </row>
    <row r="17" spans="1:31" s="979" customFormat="1" ht="14.85" customHeight="1">
      <c r="B17" s="986" t="s">
        <v>1649</v>
      </c>
      <c r="C17" s="987" t="s">
        <v>1650</v>
      </c>
      <c r="D17" s="988" t="s">
        <v>13</v>
      </c>
      <c r="E17" s="989" t="s">
        <v>1651</v>
      </c>
      <c r="F17" s="990">
        <v>41577</v>
      </c>
      <c r="G17" s="1137">
        <v>13</v>
      </c>
      <c r="H17" s="991">
        <v>13</v>
      </c>
      <c r="I17" s="991">
        <v>15</v>
      </c>
      <c r="J17" s="1137">
        <v>12.98</v>
      </c>
      <c r="K17" s="1138">
        <f t="shared" si="1"/>
        <v>15989.89</v>
      </c>
      <c r="L17" s="1102">
        <v>4700</v>
      </c>
      <c r="M17" s="438">
        <v>20689.89</v>
      </c>
      <c r="N17" s="1094">
        <f t="shared" si="2"/>
        <v>207868.57</v>
      </c>
      <c r="O17" s="1102">
        <v>61100</v>
      </c>
      <c r="P17" s="1100">
        <f t="shared" si="3"/>
        <v>268968.57</v>
      </c>
      <c r="Q17" s="1094"/>
      <c r="R17" s="1139">
        <f t="shared" si="4"/>
        <v>268554.77220000001</v>
      </c>
      <c r="S17" s="1140">
        <v>41577</v>
      </c>
      <c r="T17" s="1140">
        <v>41607</v>
      </c>
      <c r="U17" s="997" t="s">
        <v>1652</v>
      </c>
      <c r="V17" s="998" t="s">
        <v>1681</v>
      </c>
      <c r="W17" s="999">
        <f t="shared" si="5"/>
        <v>268968.57</v>
      </c>
      <c r="X17" s="1141">
        <v>20683</v>
      </c>
      <c r="Y17" s="1141">
        <v>4826</v>
      </c>
      <c r="Z17" s="1141">
        <f t="shared" si="6"/>
        <v>253111.57</v>
      </c>
      <c r="AA17" s="1141">
        <v>17133</v>
      </c>
      <c r="AB17" s="1141">
        <v>-20627</v>
      </c>
      <c r="AC17" s="1141">
        <f t="shared" si="7"/>
        <v>14.773336251678048</v>
      </c>
      <c r="AD17" s="1141">
        <f t="shared" si="8"/>
        <v>-12.2708862170941</v>
      </c>
      <c r="AE17" s="1004">
        <f t="shared" si="0"/>
        <v>0</v>
      </c>
    </row>
    <row r="18" spans="1:31" s="979" customFormat="1" ht="14.85" customHeight="1">
      <c r="B18" s="986" t="s">
        <v>1682</v>
      </c>
      <c r="C18" s="987" t="s">
        <v>1683</v>
      </c>
      <c r="D18" s="988" t="s">
        <v>13</v>
      </c>
      <c r="E18" s="989" t="s">
        <v>1684</v>
      </c>
      <c r="F18" s="990">
        <v>41541</v>
      </c>
      <c r="G18" s="1137">
        <v>18</v>
      </c>
      <c r="H18" s="991">
        <v>14</v>
      </c>
      <c r="I18" s="991">
        <v>16</v>
      </c>
      <c r="J18" s="1137">
        <v>30.87</v>
      </c>
      <c r="K18" s="1138">
        <f t="shared" si="1"/>
        <v>21283.454000000002</v>
      </c>
      <c r="L18" s="1102">
        <v>5000</v>
      </c>
      <c r="M18" s="438">
        <v>26283.454000000002</v>
      </c>
      <c r="N18" s="1094">
        <f t="shared" si="2"/>
        <v>383102.17200000002</v>
      </c>
      <c r="O18" s="1102">
        <v>90000</v>
      </c>
      <c r="P18" s="1100">
        <f t="shared" si="3"/>
        <v>473102.17200000002</v>
      </c>
      <c r="Q18" s="1094"/>
      <c r="R18" s="1139">
        <f>M18*J18</f>
        <v>811370.22498000006</v>
      </c>
      <c r="S18" s="1140">
        <v>41542</v>
      </c>
      <c r="T18" s="1140">
        <v>41572</v>
      </c>
      <c r="U18" s="997" t="s">
        <v>1685</v>
      </c>
      <c r="V18" s="998" t="s">
        <v>1686</v>
      </c>
      <c r="W18" s="999">
        <f t="shared" si="5"/>
        <v>473102.17200000002</v>
      </c>
      <c r="X18" s="1141">
        <v>35965</v>
      </c>
      <c r="Y18" s="1141">
        <v>2346</v>
      </c>
      <c r="Z18" s="1141">
        <f t="shared" si="6"/>
        <v>439483.17200000002</v>
      </c>
      <c r="AA18" s="1141">
        <v>19336</v>
      </c>
      <c r="AB18" s="1141">
        <v>-24930</v>
      </c>
      <c r="AC18" s="1141">
        <f t="shared" si="7"/>
        <v>22.728753206454282</v>
      </c>
      <c r="AD18" s="1141">
        <f t="shared" si="8"/>
        <v>-17.62868720417168</v>
      </c>
      <c r="AE18" s="1004">
        <f t="shared" si="0"/>
        <v>0</v>
      </c>
    </row>
    <row r="19" spans="1:31" s="979" customFormat="1" ht="14.85" customHeight="1">
      <c r="B19" s="986" t="s">
        <v>1687</v>
      </c>
      <c r="C19" s="987" t="s">
        <v>1688</v>
      </c>
      <c r="D19" s="988" t="s">
        <v>13</v>
      </c>
      <c r="E19" s="989" t="s">
        <v>1689</v>
      </c>
      <c r="F19" s="990">
        <v>41493</v>
      </c>
      <c r="G19" s="1137">
        <v>16</v>
      </c>
      <c r="H19" s="991">
        <v>14</v>
      </c>
      <c r="I19" s="991">
        <v>16</v>
      </c>
      <c r="J19" s="1137">
        <v>25.54</v>
      </c>
      <c r="K19" s="1138">
        <f t="shared" si="1"/>
        <v>85486.074000000008</v>
      </c>
      <c r="L19" s="1102">
        <v>8333.3330000000005</v>
      </c>
      <c r="M19" s="438">
        <v>93819.407000000007</v>
      </c>
      <c r="N19" s="1094">
        <f t="shared" si="2"/>
        <v>1367777.1840000001</v>
      </c>
      <c r="O19" s="1102">
        <v>133333.32800000001</v>
      </c>
      <c r="P19" s="1100">
        <f t="shared" si="3"/>
        <v>1501110.5120000001</v>
      </c>
      <c r="Q19" s="1094"/>
      <c r="R19" s="1139">
        <f t="shared" si="4"/>
        <v>2396147.65478</v>
      </c>
      <c r="S19" s="1140">
        <v>41494</v>
      </c>
      <c r="T19" s="1140">
        <v>41524</v>
      </c>
      <c r="U19" s="997" t="s">
        <v>1690</v>
      </c>
      <c r="V19" s="998" t="s">
        <v>1691</v>
      </c>
      <c r="W19" s="999">
        <f t="shared" si="5"/>
        <v>1501110.5120000001</v>
      </c>
      <c r="X19" s="1141">
        <v>59724</v>
      </c>
      <c r="Y19" s="1141">
        <v>2288</v>
      </c>
      <c r="Z19" s="1141">
        <f t="shared" si="6"/>
        <v>1443674.5120000001</v>
      </c>
      <c r="AA19" s="1141">
        <v>16283.000000000002</v>
      </c>
      <c r="AB19" s="1141">
        <v>-56078</v>
      </c>
      <c r="AC19" s="1141">
        <f t="shared" si="7"/>
        <v>88.661457470982</v>
      </c>
      <c r="AD19" s="1141">
        <f t="shared" si="8"/>
        <v>-25.744044224116411</v>
      </c>
      <c r="AE19" s="1004">
        <f t="shared" si="0"/>
        <v>0</v>
      </c>
    </row>
    <row r="20" spans="1:31" s="979" customFormat="1" ht="14.85" customHeight="1">
      <c r="B20" s="980"/>
      <c r="C20" s="980"/>
      <c r="D20" s="980"/>
      <c r="E20" s="980"/>
      <c r="F20" s="980"/>
      <c r="G20" s="980"/>
      <c r="H20" s="980"/>
      <c r="I20" s="980"/>
      <c r="J20" s="980"/>
      <c r="K20" s="980"/>
      <c r="L20" s="980"/>
      <c r="M20" s="980"/>
      <c r="N20" s="980"/>
      <c r="O20" s="980"/>
      <c r="P20" s="980"/>
      <c r="Q20" s="968"/>
      <c r="R20" s="981"/>
      <c r="S20" s="981"/>
      <c r="T20" s="981"/>
    </row>
    <row r="21" spans="1:31" s="979" customFormat="1" ht="14.85" customHeight="1" outlineLevel="1">
      <c r="B21" s="983" t="s">
        <v>1491</v>
      </c>
      <c r="C21" s="980"/>
      <c r="D21" s="980"/>
      <c r="E21" s="980"/>
      <c r="F21" s="980"/>
      <c r="G21" s="980"/>
      <c r="H21" s="980"/>
      <c r="I21" s="980"/>
      <c r="J21" s="980"/>
      <c r="K21" s="980"/>
      <c r="L21" s="985"/>
      <c r="M21" s="980"/>
      <c r="N21" s="980"/>
      <c r="O21" s="980"/>
      <c r="P21" s="980"/>
      <c r="Q21" s="968"/>
      <c r="R21" s="968"/>
      <c r="S21" s="981"/>
      <c r="T21" s="981"/>
    </row>
    <row r="22" spans="1:31" s="979" customFormat="1" ht="14.85" customHeight="1" outlineLevel="1">
      <c r="B22" s="983"/>
      <c r="C22" s="980"/>
      <c r="D22" s="980"/>
      <c r="E22" s="980"/>
      <c r="F22" s="980"/>
      <c r="G22" s="980"/>
      <c r="H22" s="980"/>
      <c r="I22" s="980"/>
      <c r="J22" s="980"/>
      <c r="K22" s="980"/>
      <c r="L22" s="985"/>
      <c r="M22" s="980"/>
      <c r="N22" s="980"/>
      <c r="O22" s="980"/>
      <c r="P22" s="980"/>
      <c r="Q22" s="968"/>
      <c r="R22" s="968"/>
      <c r="S22" s="981"/>
      <c r="T22" s="981"/>
    </row>
    <row r="23" spans="1:31" s="979" customFormat="1" ht="14.85" customHeight="1" outlineLevel="1">
      <c r="B23" s="986" t="s">
        <v>739</v>
      </c>
      <c r="C23" s="987" t="s">
        <v>737</v>
      </c>
      <c r="D23" s="988" t="s">
        <v>868</v>
      </c>
      <c r="E23" s="989" t="s">
        <v>1046</v>
      </c>
      <c r="F23" s="990">
        <v>42661</v>
      </c>
      <c r="G23" s="1137">
        <v>14</v>
      </c>
      <c r="H23" s="991">
        <v>15</v>
      </c>
      <c r="I23" s="991">
        <v>17</v>
      </c>
      <c r="J23" s="1137">
        <v>20.5</v>
      </c>
      <c r="K23" s="1018">
        <f t="shared" ref="K23:K38" si="9">+M23-L23</f>
        <v>35360.633999999998</v>
      </c>
      <c r="L23" s="985">
        <v>4000</v>
      </c>
      <c r="M23" s="985">
        <v>39360.633999999998</v>
      </c>
      <c r="N23" s="992">
        <f t="shared" ref="N23:N38" si="10">+G23*K23</f>
        <v>495048.87599999999</v>
      </c>
      <c r="O23" s="994">
        <f t="shared" ref="O23:O38" si="11">+G23*L23</f>
        <v>56000</v>
      </c>
      <c r="P23" s="992">
        <f t="shared" ref="P23:P38" si="12">+N23+O23</f>
        <v>551048.87599999993</v>
      </c>
      <c r="Q23" s="968"/>
      <c r="R23" s="991">
        <v>20.5</v>
      </c>
      <c r="S23" s="995">
        <f t="shared" ref="S23:S38" si="13">R23*M23</f>
        <v>806892.99699999997</v>
      </c>
      <c r="T23" s="996">
        <f t="shared" ref="T23:T38" si="14">S23/P23-1</f>
        <v>0.46428571428571441</v>
      </c>
      <c r="U23" s="997" t="s">
        <v>738</v>
      </c>
      <c r="V23" s="998" t="s">
        <v>740</v>
      </c>
      <c r="W23" s="999">
        <f t="shared" ref="W23:W38" si="15">+N23+O23</f>
        <v>551048.87599999993</v>
      </c>
      <c r="X23" s="1004">
        <f t="shared" ref="X23:X38" si="16">+P23-W23</f>
        <v>0</v>
      </c>
    </row>
    <row r="24" spans="1:31" s="979" customFormat="1" ht="14.85" customHeight="1" outlineLevel="1">
      <c r="A24" s="1005"/>
      <c r="B24" s="986" t="s">
        <v>763</v>
      </c>
      <c r="C24" s="987" t="s">
        <v>761</v>
      </c>
      <c r="D24" s="988" t="s">
        <v>732</v>
      </c>
      <c r="E24" s="989" t="s">
        <v>1072</v>
      </c>
      <c r="F24" s="990">
        <v>42571</v>
      </c>
      <c r="G24" s="1017">
        <v>15</v>
      </c>
      <c r="H24" s="1006">
        <v>14</v>
      </c>
      <c r="I24" s="1006">
        <v>16</v>
      </c>
      <c r="J24" s="1017">
        <v>14.4</v>
      </c>
      <c r="K24" s="1018">
        <f t="shared" si="9"/>
        <v>16020.378000000001</v>
      </c>
      <c r="L24" s="985">
        <v>5000</v>
      </c>
      <c r="M24" s="985">
        <v>21020.378000000001</v>
      </c>
      <c r="N24" s="992">
        <f t="shared" si="10"/>
        <v>240305.67</v>
      </c>
      <c r="O24" s="994">
        <f t="shared" si="11"/>
        <v>75000</v>
      </c>
      <c r="P24" s="992">
        <f t="shared" si="12"/>
        <v>315305.67000000004</v>
      </c>
      <c r="Q24" s="992"/>
      <c r="R24" s="991">
        <v>14.4</v>
      </c>
      <c r="S24" s="995">
        <f t="shared" si="13"/>
        <v>302693.44320000004</v>
      </c>
      <c r="T24" s="996">
        <f t="shared" si="14"/>
        <v>-4.0000000000000036E-2</v>
      </c>
      <c r="U24" s="1007" t="s">
        <v>762</v>
      </c>
      <c r="V24" s="998" t="s">
        <v>764</v>
      </c>
      <c r="W24" s="999">
        <f t="shared" si="15"/>
        <v>315305.67000000004</v>
      </c>
      <c r="X24" s="1004">
        <f t="shared" si="16"/>
        <v>0</v>
      </c>
      <c r="Y24" s="1009"/>
    </row>
    <row r="25" spans="1:31" s="979" customFormat="1" ht="14.85" customHeight="1" outlineLevel="1">
      <c r="A25" s="1005"/>
      <c r="B25" s="986" t="s">
        <v>1079</v>
      </c>
      <c r="C25" s="987" t="s">
        <v>1080</v>
      </c>
      <c r="D25" s="988" t="s">
        <v>732</v>
      </c>
      <c r="E25" s="989" t="s">
        <v>1081</v>
      </c>
      <c r="F25" s="990">
        <v>42522</v>
      </c>
      <c r="G25" s="1017">
        <v>6</v>
      </c>
      <c r="H25" s="1006">
        <v>5</v>
      </c>
      <c r="I25" s="1006">
        <v>6</v>
      </c>
      <c r="J25" s="1017">
        <v>7.0350000000000001</v>
      </c>
      <c r="K25" s="1018">
        <f t="shared" si="9"/>
        <v>6895.2960000000003</v>
      </c>
      <c r="L25" s="985">
        <v>1540.0260000000001</v>
      </c>
      <c r="M25" s="985">
        <v>8435.3220000000001</v>
      </c>
      <c r="N25" s="992">
        <f t="shared" si="10"/>
        <v>41371.775999999998</v>
      </c>
      <c r="O25" s="994">
        <f t="shared" si="11"/>
        <v>9240.1560000000009</v>
      </c>
      <c r="P25" s="992">
        <f t="shared" si="12"/>
        <v>50611.932000000001</v>
      </c>
      <c r="Q25" s="992"/>
      <c r="R25" s="991">
        <v>7.0350000000000001</v>
      </c>
      <c r="S25" s="995">
        <f t="shared" si="13"/>
        <v>59342.490270000002</v>
      </c>
      <c r="T25" s="996">
        <f t="shared" si="14"/>
        <v>0.1725000000000001</v>
      </c>
      <c r="U25" s="1007" t="s">
        <v>1082</v>
      </c>
      <c r="V25" s="998" t="s">
        <v>1083</v>
      </c>
      <c r="W25" s="999">
        <f t="shared" si="15"/>
        <v>50611.932000000001</v>
      </c>
      <c r="X25" s="1004">
        <f t="shared" si="16"/>
        <v>0</v>
      </c>
      <c r="Y25" s="1009"/>
    </row>
    <row r="26" spans="1:31" s="1009" customFormat="1" ht="14.85" customHeight="1" outlineLevel="1">
      <c r="A26" s="1005"/>
      <c r="B26" s="986" t="s">
        <v>773</v>
      </c>
      <c r="C26" s="989" t="s">
        <v>771</v>
      </c>
      <c r="D26" s="988" t="s">
        <v>732</v>
      </c>
      <c r="E26" s="989" t="s">
        <v>1094</v>
      </c>
      <c r="F26" s="990">
        <v>42507</v>
      </c>
      <c r="G26" s="1017">
        <v>5</v>
      </c>
      <c r="H26" s="1006">
        <v>0</v>
      </c>
      <c r="I26" s="1006">
        <v>0</v>
      </c>
      <c r="J26" s="1017">
        <v>5.18</v>
      </c>
      <c r="K26" s="1018">
        <f t="shared" si="9"/>
        <v>7883.2340000000004</v>
      </c>
      <c r="L26" s="985">
        <v>3700</v>
      </c>
      <c r="M26" s="985">
        <v>11583.234</v>
      </c>
      <c r="N26" s="992">
        <f t="shared" si="10"/>
        <v>39416.17</v>
      </c>
      <c r="O26" s="994">
        <f t="shared" si="11"/>
        <v>18500</v>
      </c>
      <c r="P26" s="992">
        <f t="shared" si="12"/>
        <v>57916.17</v>
      </c>
      <c r="Q26" s="992"/>
      <c r="R26" s="991">
        <v>5.18</v>
      </c>
      <c r="S26" s="995">
        <f t="shared" si="13"/>
        <v>60001.152119999999</v>
      </c>
      <c r="T26" s="996">
        <f t="shared" si="14"/>
        <v>3.6000000000000032E-2</v>
      </c>
      <c r="U26" s="1007" t="s">
        <v>772</v>
      </c>
      <c r="V26" s="998" t="s">
        <v>774</v>
      </c>
      <c r="W26" s="999">
        <f t="shared" si="15"/>
        <v>57916.17</v>
      </c>
      <c r="X26" s="1004">
        <f t="shared" si="16"/>
        <v>0</v>
      </c>
      <c r="Y26" s="979"/>
      <c r="AC26" s="1004"/>
      <c r="AD26" s="1010"/>
    </row>
    <row r="27" spans="1:31" s="979" customFormat="1" ht="14.85" customHeight="1" outlineLevel="1">
      <c r="A27" s="1005"/>
      <c r="B27" s="986" t="s">
        <v>759</v>
      </c>
      <c r="C27" s="989" t="s">
        <v>757</v>
      </c>
      <c r="D27" s="988" t="s">
        <v>868</v>
      </c>
      <c r="E27" s="989" t="s">
        <v>1100</v>
      </c>
      <c r="F27" s="990">
        <v>42495</v>
      </c>
      <c r="G27" s="1017">
        <v>18</v>
      </c>
      <c r="H27" s="1006">
        <v>16</v>
      </c>
      <c r="I27" s="1006">
        <v>18</v>
      </c>
      <c r="J27" s="1017">
        <v>28.8</v>
      </c>
      <c r="K27" s="1018">
        <f t="shared" si="9"/>
        <v>29096.264999999999</v>
      </c>
      <c r="L27" s="985">
        <v>6000</v>
      </c>
      <c r="M27" s="985">
        <v>35096.264999999999</v>
      </c>
      <c r="N27" s="992">
        <f t="shared" si="10"/>
        <v>523732.77</v>
      </c>
      <c r="O27" s="994">
        <f t="shared" si="11"/>
        <v>108000</v>
      </c>
      <c r="P27" s="992">
        <f t="shared" si="12"/>
        <v>631732.77</v>
      </c>
      <c r="Q27" s="992"/>
      <c r="R27" s="991">
        <v>28.8</v>
      </c>
      <c r="S27" s="995">
        <f t="shared" si="13"/>
        <v>1010772.432</v>
      </c>
      <c r="T27" s="996">
        <f t="shared" si="14"/>
        <v>0.60000000000000009</v>
      </c>
      <c r="U27" s="1007" t="s">
        <v>758</v>
      </c>
      <c r="V27" s="998" t="s">
        <v>760</v>
      </c>
      <c r="W27" s="999">
        <f t="shared" si="15"/>
        <v>631732.77</v>
      </c>
      <c r="X27" s="1004">
        <f t="shared" si="16"/>
        <v>0</v>
      </c>
      <c r="AC27" s="1004"/>
      <c r="AD27" s="1010"/>
      <c r="AE27" s="1009"/>
    </row>
    <row r="28" spans="1:31" s="979" customFormat="1" ht="14.85" customHeight="1" outlineLevel="1">
      <c r="A28" s="1005"/>
      <c r="B28" s="986" t="s">
        <v>1105</v>
      </c>
      <c r="C28" s="989" t="s">
        <v>1106</v>
      </c>
      <c r="D28" s="988" t="s">
        <v>1492</v>
      </c>
      <c r="E28" s="989" t="s">
        <v>1107</v>
      </c>
      <c r="F28" s="990">
        <v>42466</v>
      </c>
      <c r="G28" s="1017">
        <v>10</v>
      </c>
      <c r="H28" s="1006">
        <v>16</v>
      </c>
      <c r="I28" s="1006">
        <v>18</v>
      </c>
      <c r="J28" s="1017">
        <v>8.7100000000000009</v>
      </c>
      <c r="K28" s="1018">
        <f t="shared" si="9"/>
        <v>7929.8320000000003</v>
      </c>
      <c r="L28" s="985">
        <v>5000</v>
      </c>
      <c r="M28" s="985">
        <v>12929.832</v>
      </c>
      <c r="N28" s="992">
        <f t="shared" si="10"/>
        <v>79298.320000000007</v>
      </c>
      <c r="O28" s="994">
        <f t="shared" si="11"/>
        <v>50000</v>
      </c>
      <c r="P28" s="992">
        <f t="shared" si="12"/>
        <v>129298.32</v>
      </c>
      <c r="Q28" s="992"/>
      <c r="R28" s="991">
        <v>8.7100000000000009</v>
      </c>
      <c r="S28" s="995">
        <f t="shared" si="13"/>
        <v>112618.83672000002</v>
      </c>
      <c r="T28" s="996">
        <f t="shared" si="14"/>
        <v>-0.12899999999999989</v>
      </c>
      <c r="U28" s="997" t="s">
        <v>1108</v>
      </c>
      <c r="V28" s="998" t="s">
        <v>1109</v>
      </c>
      <c r="W28" s="999">
        <f t="shared" si="15"/>
        <v>129298.32</v>
      </c>
      <c r="X28" s="1004">
        <f t="shared" si="16"/>
        <v>0</v>
      </c>
      <c r="AC28" s="994"/>
      <c r="AD28" s="1010"/>
      <c r="AE28" s="1009"/>
    </row>
    <row r="29" spans="1:31" s="964" customFormat="1" ht="14.85" customHeight="1" outlineLevel="1">
      <c r="A29" s="1005"/>
      <c r="B29" s="986" t="s">
        <v>1124</v>
      </c>
      <c r="C29" s="989" t="s">
        <v>1125</v>
      </c>
      <c r="D29" s="988" t="s">
        <v>1492</v>
      </c>
      <c r="E29" s="989" t="s">
        <v>1126</v>
      </c>
      <c r="F29" s="990">
        <v>42410</v>
      </c>
      <c r="G29" s="1017">
        <v>8</v>
      </c>
      <c r="H29" s="1006">
        <v>12</v>
      </c>
      <c r="I29" s="1006">
        <v>14</v>
      </c>
      <c r="J29" s="1017">
        <v>8.9600000000000009</v>
      </c>
      <c r="K29" s="1018">
        <f t="shared" si="9"/>
        <v>12861.478999999999</v>
      </c>
      <c r="L29" s="985">
        <v>6250</v>
      </c>
      <c r="M29" s="985">
        <v>19111.478999999999</v>
      </c>
      <c r="N29" s="992">
        <f t="shared" si="10"/>
        <v>102891.83199999999</v>
      </c>
      <c r="O29" s="994">
        <f t="shared" si="11"/>
        <v>50000</v>
      </c>
      <c r="P29" s="992">
        <f t="shared" si="12"/>
        <v>152891.83199999999</v>
      </c>
      <c r="Q29" s="992"/>
      <c r="R29" s="991">
        <v>8.9600000000000009</v>
      </c>
      <c r="S29" s="995">
        <f t="shared" si="13"/>
        <v>171238.85184000002</v>
      </c>
      <c r="T29" s="996">
        <f t="shared" si="14"/>
        <v>0.12000000000000011</v>
      </c>
      <c r="U29" s="997" t="s">
        <v>1127</v>
      </c>
      <c r="V29" s="998" t="s">
        <v>1128</v>
      </c>
      <c r="W29" s="999">
        <f t="shared" si="15"/>
        <v>152891.83199999999</v>
      </c>
      <c r="X29" s="1004">
        <f t="shared" si="16"/>
        <v>0</v>
      </c>
      <c r="Y29" s="979"/>
      <c r="AC29" s="994"/>
      <c r="AD29" s="1010"/>
      <c r="AE29" s="1009"/>
    </row>
    <row r="30" spans="1:31" s="964" customFormat="1" ht="14.85" customHeight="1" outlineLevel="1">
      <c r="A30" s="1005"/>
      <c r="B30" s="986" t="s">
        <v>751</v>
      </c>
      <c r="C30" s="989" t="s">
        <v>749</v>
      </c>
      <c r="D30" s="988" t="s">
        <v>732</v>
      </c>
      <c r="E30" s="989" t="s">
        <v>1129</v>
      </c>
      <c r="F30" s="990">
        <v>42402</v>
      </c>
      <c r="G30" s="1017">
        <v>16</v>
      </c>
      <c r="H30" s="1006">
        <v>16</v>
      </c>
      <c r="I30" s="1006">
        <v>18</v>
      </c>
      <c r="J30" s="1017">
        <v>35.56</v>
      </c>
      <c r="K30" s="1018">
        <f t="shared" si="9"/>
        <v>29799.538</v>
      </c>
      <c r="L30" s="985">
        <v>5900</v>
      </c>
      <c r="M30" s="985">
        <v>35699.538</v>
      </c>
      <c r="N30" s="992">
        <f t="shared" si="10"/>
        <v>476792.60800000001</v>
      </c>
      <c r="O30" s="994">
        <f t="shared" si="11"/>
        <v>94400</v>
      </c>
      <c r="P30" s="992">
        <f t="shared" si="12"/>
        <v>571192.60800000001</v>
      </c>
      <c r="Q30" s="992"/>
      <c r="R30" s="991">
        <v>35.56</v>
      </c>
      <c r="S30" s="995">
        <f t="shared" si="13"/>
        <v>1269475.57128</v>
      </c>
      <c r="T30" s="996">
        <f t="shared" si="14"/>
        <v>1.2225000000000001</v>
      </c>
      <c r="U30" s="997" t="s">
        <v>750</v>
      </c>
      <c r="V30" s="998" t="s">
        <v>752</v>
      </c>
      <c r="W30" s="999">
        <f t="shared" si="15"/>
        <v>571192.60800000001</v>
      </c>
      <c r="X30" s="1004">
        <f t="shared" si="16"/>
        <v>0</v>
      </c>
      <c r="Y30" s="979"/>
      <c r="AC30" s="994"/>
      <c r="AD30" s="1010"/>
      <c r="AE30" s="1009"/>
    </row>
    <row r="31" spans="1:31" s="964" customFormat="1" ht="14.85" customHeight="1" outlineLevel="1">
      <c r="A31" s="1005"/>
      <c r="B31" s="986" t="s">
        <v>743</v>
      </c>
      <c r="C31" s="989" t="s">
        <v>741</v>
      </c>
      <c r="D31" s="988" t="s">
        <v>732</v>
      </c>
      <c r="E31" s="989" t="s">
        <v>1138</v>
      </c>
      <c r="F31" s="990">
        <v>42318</v>
      </c>
      <c r="G31" s="1017">
        <v>16</v>
      </c>
      <c r="H31" s="1006">
        <v>15</v>
      </c>
      <c r="I31" s="1006">
        <v>17</v>
      </c>
      <c r="J31" s="1017">
        <v>13.785</v>
      </c>
      <c r="K31" s="1018">
        <f t="shared" si="9"/>
        <v>14558.296999999999</v>
      </c>
      <c r="L31" s="985">
        <v>6375</v>
      </c>
      <c r="M31" s="985">
        <v>20933.296999999999</v>
      </c>
      <c r="N31" s="992">
        <f t="shared" si="10"/>
        <v>232932.75199999998</v>
      </c>
      <c r="O31" s="994">
        <f t="shared" si="11"/>
        <v>102000</v>
      </c>
      <c r="P31" s="992">
        <f t="shared" si="12"/>
        <v>334932.75199999998</v>
      </c>
      <c r="Q31" s="992"/>
      <c r="R31" s="991">
        <v>13.785</v>
      </c>
      <c r="S31" s="995">
        <f t="shared" si="13"/>
        <v>288565.49914500001</v>
      </c>
      <c r="T31" s="996">
        <f t="shared" si="14"/>
        <v>-0.13843749999999988</v>
      </c>
      <c r="U31" s="997" t="s">
        <v>742</v>
      </c>
      <c r="V31" s="998" t="s">
        <v>744</v>
      </c>
      <c r="W31" s="999">
        <f t="shared" si="15"/>
        <v>334932.75199999998</v>
      </c>
      <c r="X31" s="1004">
        <f t="shared" si="16"/>
        <v>0</v>
      </c>
      <c r="Y31" s="979"/>
      <c r="AC31" s="994"/>
      <c r="AD31" s="1010"/>
      <c r="AE31" s="1009"/>
    </row>
    <row r="32" spans="1:31" s="964" customFormat="1" ht="14.85" customHeight="1" outlineLevel="1">
      <c r="A32" s="1005"/>
      <c r="B32" s="986" t="s">
        <v>1155</v>
      </c>
      <c r="C32" s="989" t="s">
        <v>1156</v>
      </c>
      <c r="D32" s="988" t="s">
        <v>732</v>
      </c>
      <c r="E32" s="989" t="s">
        <v>1157</v>
      </c>
      <c r="F32" s="990">
        <v>42284</v>
      </c>
      <c r="G32" s="1017">
        <v>12</v>
      </c>
      <c r="H32" s="1006">
        <v>14</v>
      </c>
      <c r="I32" s="1006">
        <v>16</v>
      </c>
      <c r="J32" s="1017">
        <v>11.42</v>
      </c>
      <c r="K32" s="1018">
        <f t="shared" si="9"/>
        <v>28253.925999999999</v>
      </c>
      <c r="L32" s="985">
        <v>6666.6670000000004</v>
      </c>
      <c r="M32" s="985">
        <v>34920.593000000001</v>
      </c>
      <c r="N32" s="992">
        <f t="shared" si="10"/>
        <v>339047.11199999996</v>
      </c>
      <c r="O32" s="994">
        <f t="shared" si="11"/>
        <v>80000.004000000001</v>
      </c>
      <c r="P32" s="992">
        <f t="shared" si="12"/>
        <v>419047.11599999998</v>
      </c>
      <c r="Q32" s="992"/>
      <c r="R32" s="991">
        <v>11.42</v>
      </c>
      <c r="S32" s="995">
        <f t="shared" si="13"/>
        <v>398793.17206000001</v>
      </c>
      <c r="T32" s="996">
        <f t="shared" si="14"/>
        <v>-4.8333333333333228E-2</v>
      </c>
      <c r="U32" s="997" t="s">
        <v>1158</v>
      </c>
      <c r="V32" s="998" t="s">
        <v>1159</v>
      </c>
      <c r="W32" s="999">
        <f t="shared" si="15"/>
        <v>419047.11599999998</v>
      </c>
      <c r="X32" s="1004">
        <f t="shared" si="16"/>
        <v>0</v>
      </c>
      <c r="Y32" s="979"/>
      <c r="AC32" s="994"/>
      <c r="AD32" s="1010"/>
      <c r="AE32" s="1009"/>
    </row>
    <row r="33" spans="1:34" s="964" customFormat="1" ht="14.85" customHeight="1" outlineLevel="1">
      <c r="A33" s="1005"/>
      <c r="B33" s="986" t="s">
        <v>747</v>
      </c>
      <c r="C33" s="989" t="s">
        <v>745</v>
      </c>
      <c r="D33" s="988" t="s">
        <v>732</v>
      </c>
      <c r="E33" s="989" t="s">
        <v>1174</v>
      </c>
      <c r="F33" s="990">
        <v>42263</v>
      </c>
      <c r="G33" s="1017">
        <v>22</v>
      </c>
      <c r="H33" s="1006">
        <v>17</v>
      </c>
      <c r="I33" s="1006">
        <v>19</v>
      </c>
      <c r="J33" s="1017">
        <v>18.55</v>
      </c>
      <c r="K33" s="1018">
        <f t="shared" si="9"/>
        <v>19050.707999999999</v>
      </c>
      <c r="L33" s="985">
        <v>6300</v>
      </c>
      <c r="M33" s="985">
        <v>25350.707999999999</v>
      </c>
      <c r="N33" s="992">
        <f t="shared" si="10"/>
        <v>419115.576</v>
      </c>
      <c r="O33" s="994">
        <f t="shared" si="11"/>
        <v>138600</v>
      </c>
      <c r="P33" s="992">
        <f t="shared" si="12"/>
        <v>557715.576</v>
      </c>
      <c r="Q33" s="992"/>
      <c r="R33" s="991">
        <v>18.55</v>
      </c>
      <c r="S33" s="995">
        <f t="shared" si="13"/>
        <v>470255.63339999999</v>
      </c>
      <c r="T33" s="996">
        <f t="shared" si="14"/>
        <v>-0.15681818181818186</v>
      </c>
      <c r="U33" s="1011" t="s">
        <v>746</v>
      </c>
      <c r="V33" s="998" t="s">
        <v>748</v>
      </c>
      <c r="W33" s="999">
        <f t="shared" si="15"/>
        <v>557715.576</v>
      </c>
      <c r="X33" s="1004">
        <f t="shared" si="16"/>
        <v>0</v>
      </c>
      <c r="Y33" s="1012"/>
      <c r="Z33" s="1012"/>
      <c r="AA33" s="1012"/>
      <c r="AB33" s="1012"/>
      <c r="AC33" s="1013"/>
      <c r="AD33" s="1010"/>
      <c r="AE33" s="1009"/>
      <c r="AF33" s="1012"/>
      <c r="AG33" s="1012"/>
      <c r="AH33" s="1012"/>
    </row>
    <row r="34" spans="1:34" s="964" customFormat="1" ht="14.85" customHeight="1" outlineLevel="1">
      <c r="A34" s="1005"/>
      <c r="B34" s="986" t="s">
        <v>1185</v>
      </c>
      <c r="C34" s="989" t="s">
        <v>1186</v>
      </c>
      <c r="D34" s="988" t="s">
        <v>732</v>
      </c>
      <c r="E34" s="989" t="s">
        <v>1187</v>
      </c>
      <c r="F34" s="990">
        <v>42220</v>
      </c>
      <c r="G34" s="1017">
        <v>14</v>
      </c>
      <c r="H34" s="1006">
        <v>13</v>
      </c>
      <c r="I34" s="1006">
        <v>15</v>
      </c>
      <c r="J34" s="1017">
        <v>28.8</v>
      </c>
      <c r="K34" s="1018">
        <f t="shared" si="9"/>
        <v>5733.9629999999997</v>
      </c>
      <c r="L34" s="985">
        <v>3000</v>
      </c>
      <c r="M34" s="985">
        <v>8733.9629999999997</v>
      </c>
      <c r="N34" s="992">
        <f t="shared" si="10"/>
        <v>80275.481999999989</v>
      </c>
      <c r="O34" s="994">
        <f t="shared" si="11"/>
        <v>42000</v>
      </c>
      <c r="P34" s="992">
        <f t="shared" si="12"/>
        <v>122275.48199999999</v>
      </c>
      <c r="Q34" s="992"/>
      <c r="R34" s="991">
        <v>28.8</v>
      </c>
      <c r="S34" s="995">
        <f t="shared" si="13"/>
        <v>251538.13440000001</v>
      </c>
      <c r="T34" s="996">
        <f t="shared" si="14"/>
        <v>1.0571428571428574</v>
      </c>
      <c r="U34" s="1011" t="s">
        <v>1188</v>
      </c>
      <c r="V34" s="998" t="s">
        <v>1189</v>
      </c>
      <c r="W34" s="999">
        <f t="shared" si="15"/>
        <v>122275.48199999999</v>
      </c>
      <c r="X34" s="1004">
        <f t="shared" si="16"/>
        <v>0</v>
      </c>
      <c r="Y34" s="1014"/>
      <c r="Z34" s="1013"/>
      <c r="AA34" s="1014"/>
      <c r="AB34" s="1015"/>
      <c r="AC34" s="1013"/>
      <c r="AD34" s="1010"/>
      <c r="AE34" s="1009"/>
      <c r="AF34" s="1011"/>
      <c r="AG34" s="1016"/>
      <c r="AH34" s="1016"/>
    </row>
    <row r="35" spans="1:34" s="1012" customFormat="1" ht="14.85" customHeight="1" outlineLevel="1">
      <c r="A35" s="1005"/>
      <c r="B35" s="986" t="s">
        <v>1236</v>
      </c>
      <c r="C35" s="989" t="s">
        <v>1237</v>
      </c>
      <c r="D35" s="988" t="s">
        <v>732</v>
      </c>
      <c r="E35" s="989" t="s">
        <v>1238</v>
      </c>
      <c r="F35" s="990">
        <v>42125</v>
      </c>
      <c r="G35" s="1017">
        <v>3.0585200000000001</v>
      </c>
      <c r="H35" s="1006">
        <v>0</v>
      </c>
      <c r="I35" s="1006">
        <v>0</v>
      </c>
      <c r="J35" s="1017">
        <v>3.2423000000000002</v>
      </c>
      <c r="K35" s="1018">
        <f t="shared" si="9"/>
        <v>117170.86200000002</v>
      </c>
      <c r="L35" s="985">
        <v>32569.046999999999</v>
      </c>
      <c r="M35" s="985">
        <v>149739.90900000001</v>
      </c>
      <c r="N35" s="992">
        <f t="shared" si="10"/>
        <v>358369.42484424007</v>
      </c>
      <c r="O35" s="994">
        <f t="shared" si="11"/>
        <v>99613.081630440007</v>
      </c>
      <c r="P35" s="992">
        <f t="shared" si="12"/>
        <v>457982.50647468009</v>
      </c>
      <c r="Q35" s="992"/>
      <c r="R35" s="991">
        <v>3.2423000000000002</v>
      </c>
      <c r="S35" s="995">
        <f t="shared" si="13"/>
        <v>485501.70695070009</v>
      </c>
      <c r="T35" s="996">
        <f t="shared" si="14"/>
        <v>6.0087885644036998E-2</v>
      </c>
      <c r="U35" s="997" t="s">
        <v>1239</v>
      </c>
      <c r="V35" s="998" t="s">
        <v>1240</v>
      </c>
      <c r="W35" s="999">
        <f t="shared" si="15"/>
        <v>457982.50647468009</v>
      </c>
      <c r="X35" s="1004">
        <f t="shared" si="16"/>
        <v>0</v>
      </c>
      <c r="Y35" s="979"/>
      <c r="Z35" s="964"/>
      <c r="AA35" s="964"/>
      <c r="AB35" s="964"/>
      <c r="AC35" s="994"/>
      <c r="AD35" s="1010"/>
      <c r="AE35" s="1009"/>
      <c r="AF35" s="964"/>
      <c r="AG35" s="964"/>
      <c r="AH35" s="964"/>
    </row>
    <row r="36" spans="1:34" s="1012" customFormat="1" ht="14.85" customHeight="1" outlineLevel="1">
      <c r="A36" s="1005"/>
      <c r="B36" s="986" t="s">
        <v>1006</v>
      </c>
      <c r="C36" s="989" t="s">
        <v>1241</v>
      </c>
      <c r="D36" s="988" t="s">
        <v>1493</v>
      </c>
      <c r="E36" s="989" t="s">
        <v>1242</v>
      </c>
      <c r="F36" s="990">
        <v>42123</v>
      </c>
      <c r="G36" s="1017">
        <v>18</v>
      </c>
      <c r="H36" s="1006">
        <v>15</v>
      </c>
      <c r="I36" s="1006">
        <v>17</v>
      </c>
      <c r="J36" s="1017">
        <v>28.69</v>
      </c>
      <c r="K36" s="1018">
        <f t="shared" si="9"/>
        <v>17686.131000000001</v>
      </c>
      <c r="L36" s="985">
        <v>8145.8339999999998</v>
      </c>
      <c r="M36" s="985">
        <v>25831.965</v>
      </c>
      <c r="N36" s="992">
        <f t="shared" si="10"/>
        <v>318350.35800000001</v>
      </c>
      <c r="O36" s="994">
        <f t="shared" si="11"/>
        <v>146625.01199999999</v>
      </c>
      <c r="P36" s="992">
        <f t="shared" si="12"/>
        <v>464975.37</v>
      </c>
      <c r="Q36" s="992"/>
      <c r="R36" s="991">
        <v>28.69</v>
      </c>
      <c r="S36" s="995">
        <f t="shared" si="13"/>
        <v>741119.07585000002</v>
      </c>
      <c r="T36" s="996">
        <f t="shared" si="14"/>
        <v>0.59388888888888891</v>
      </c>
      <c r="U36" s="1011" t="s">
        <v>1243</v>
      </c>
      <c r="V36" s="998" t="s">
        <v>1494</v>
      </c>
      <c r="W36" s="999">
        <f t="shared" si="15"/>
        <v>464975.37</v>
      </c>
      <c r="X36" s="1004">
        <f t="shared" si="16"/>
        <v>0</v>
      </c>
      <c r="AC36" s="1013"/>
      <c r="AD36" s="1010"/>
      <c r="AE36" s="1009"/>
    </row>
    <row r="37" spans="1:34" s="1012" customFormat="1" ht="14.85" customHeight="1" outlineLevel="1">
      <c r="A37" s="1005"/>
      <c r="B37" s="986" t="s">
        <v>1254</v>
      </c>
      <c r="C37" s="989" t="s">
        <v>1255</v>
      </c>
      <c r="D37" s="988" t="s">
        <v>732</v>
      </c>
      <c r="E37" s="989" t="s">
        <v>1256</v>
      </c>
      <c r="F37" s="990">
        <v>42108</v>
      </c>
      <c r="G37" s="1017">
        <v>16</v>
      </c>
      <c r="H37" s="1006">
        <v>14</v>
      </c>
      <c r="I37" s="1006">
        <v>16</v>
      </c>
      <c r="J37" s="1017">
        <v>16.32</v>
      </c>
      <c r="K37" s="1018">
        <f t="shared" si="9"/>
        <v>8694.1180000000004</v>
      </c>
      <c r="L37" s="985">
        <v>4800</v>
      </c>
      <c r="M37" s="985">
        <v>13494.118</v>
      </c>
      <c r="N37" s="992">
        <f t="shared" si="10"/>
        <v>139105.88800000001</v>
      </c>
      <c r="O37" s="994">
        <f t="shared" si="11"/>
        <v>76800</v>
      </c>
      <c r="P37" s="992">
        <f t="shared" si="12"/>
        <v>215905.88800000001</v>
      </c>
      <c r="Q37" s="992"/>
      <c r="R37" s="991">
        <v>16.32</v>
      </c>
      <c r="S37" s="995">
        <f t="shared" si="13"/>
        <v>220224.00576</v>
      </c>
      <c r="T37" s="996">
        <f t="shared" si="14"/>
        <v>2.0000000000000018E-2</v>
      </c>
      <c r="U37" s="998" t="s">
        <v>1257</v>
      </c>
      <c r="V37" s="998" t="s">
        <v>1258</v>
      </c>
      <c r="W37" s="999">
        <f t="shared" si="15"/>
        <v>215905.88800000001</v>
      </c>
      <c r="X37" s="1004">
        <f t="shared" si="16"/>
        <v>0</v>
      </c>
      <c r="Y37" s="964"/>
      <c r="Z37" s="964"/>
      <c r="AA37" s="964"/>
      <c r="AB37" s="994"/>
      <c r="AC37" s="1010"/>
      <c r="AD37" s="1009"/>
      <c r="AE37" s="964"/>
      <c r="AF37" s="964"/>
      <c r="AG37" s="964"/>
    </row>
    <row r="38" spans="1:34" s="1012" customFormat="1" ht="14.85" customHeight="1" outlineLevel="1">
      <c r="A38" s="1005"/>
      <c r="B38" s="986" t="s">
        <v>1288</v>
      </c>
      <c r="C38" s="989" t="s">
        <v>1289</v>
      </c>
      <c r="D38" s="988" t="s">
        <v>732</v>
      </c>
      <c r="E38" s="989" t="s">
        <v>1290</v>
      </c>
      <c r="F38" s="990">
        <v>42032</v>
      </c>
      <c r="G38" s="1017">
        <v>16</v>
      </c>
      <c r="H38" s="1006">
        <v>12</v>
      </c>
      <c r="I38" s="1006">
        <v>14</v>
      </c>
      <c r="J38" s="1017">
        <v>17.385000000000002</v>
      </c>
      <c r="K38" s="1018">
        <f t="shared" si="9"/>
        <v>12405.409</v>
      </c>
      <c r="L38" s="985">
        <v>5400</v>
      </c>
      <c r="M38" s="985">
        <v>17805.409</v>
      </c>
      <c r="N38" s="992">
        <f t="shared" si="10"/>
        <v>198486.54399999999</v>
      </c>
      <c r="O38" s="994">
        <f t="shared" si="11"/>
        <v>86400</v>
      </c>
      <c r="P38" s="992">
        <f t="shared" si="12"/>
        <v>284886.54399999999</v>
      </c>
      <c r="Q38" s="992"/>
      <c r="R38" s="991">
        <v>17.385000000000002</v>
      </c>
      <c r="S38" s="995">
        <f t="shared" si="13"/>
        <v>309547.03546500002</v>
      </c>
      <c r="T38" s="996">
        <f t="shared" si="14"/>
        <v>8.6562500000000098E-2</v>
      </c>
      <c r="U38" s="998" t="s">
        <v>1291</v>
      </c>
      <c r="V38" s="998" t="s">
        <v>1495</v>
      </c>
      <c r="W38" s="999">
        <f t="shared" si="15"/>
        <v>284886.54399999999</v>
      </c>
      <c r="X38" s="1004">
        <f t="shared" si="16"/>
        <v>0</v>
      </c>
      <c r="Y38" s="964"/>
      <c r="Z38" s="964"/>
      <c r="AA38" s="964"/>
      <c r="AB38" s="994"/>
      <c r="AC38" s="1010"/>
      <c r="AD38" s="1009"/>
      <c r="AE38" s="964"/>
      <c r="AF38" s="964"/>
      <c r="AG38" s="964"/>
    </row>
    <row r="39" spans="1:34" s="1012" customFormat="1" ht="14.85" customHeight="1" outlineLevel="1">
      <c r="A39" s="1047"/>
      <c r="B39" s="986" t="s">
        <v>1343</v>
      </c>
      <c r="C39" s="989" t="s">
        <v>1344</v>
      </c>
      <c r="D39" s="988" t="s">
        <v>494</v>
      </c>
      <c r="E39" s="989" t="s">
        <v>1345</v>
      </c>
      <c r="F39" s="990">
        <v>41810</v>
      </c>
      <c r="G39" s="1017">
        <v>17</v>
      </c>
      <c r="H39" s="1006">
        <v>12</v>
      </c>
      <c r="I39" s="1006">
        <v>14</v>
      </c>
      <c r="J39" s="1017">
        <v>22.84</v>
      </c>
      <c r="K39" s="1018">
        <f>+M39-L39</f>
        <v>29366.629000000001</v>
      </c>
      <c r="L39" s="985">
        <v>8625</v>
      </c>
      <c r="M39" s="985">
        <v>37991.629000000001</v>
      </c>
      <c r="N39" s="992">
        <f>+G39*K39</f>
        <v>499232.69300000003</v>
      </c>
      <c r="O39" s="994">
        <f>+G39*L39</f>
        <v>146625</v>
      </c>
      <c r="P39" s="992">
        <f>+N39+O39</f>
        <v>645857.69299999997</v>
      </c>
      <c r="Q39" s="992"/>
      <c r="R39" s="1017">
        <v>22.84</v>
      </c>
      <c r="S39" s="995">
        <f>R39*M39</f>
        <v>867728.80636000005</v>
      </c>
      <c r="T39" s="996">
        <f>S39/P39-1</f>
        <v>0.34352941176470608</v>
      </c>
      <c r="U39" s="998" t="s">
        <v>1346</v>
      </c>
      <c r="V39" s="998" t="s">
        <v>1347</v>
      </c>
      <c r="W39" s="999">
        <f>+N39+O39</f>
        <v>645857.69299999997</v>
      </c>
      <c r="X39" s="1004">
        <f>+P39-W39</f>
        <v>0</v>
      </c>
      <c r="Y39" s="964"/>
      <c r="Z39" s="964"/>
      <c r="AA39" s="964"/>
      <c r="AB39" s="994"/>
      <c r="AC39" s="1010"/>
      <c r="AD39" s="1009"/>
      <c r="AE39" s="964"/>
      <c r="AF39" s="964"/>
      <c r="AG39" s="964"/>
    </row>
    <row r="40" spans="1:34" s="1012" customFormat="1" ht="14.85" customHeight="1" outlineLevel="1">
      <c r="A40" s="1005"/>
      <c r="B40" s="986"/>
      <c r="C40" s="989"/>
      <c r="D40" s="988"/>
      <c r="E40" s="989"/>
      <c r="F40" s="990"/>
      <c r="G40" s="1017"/>
      <c r="H40" s="1006"/>
      <c r="I40" s="1006"/>
      <c r="J40" s="1017"/>
      <c r="K40" s="1018"/>
      <c r="L40" s="994"/>
      <c r="M40" s="994"/>
      <c r="N40" s="992"/>
      <c r="O40" s="994"/>
      <c r="P40" s="992"/>
      <c r="Q40" s="992"/>
      <c r="R40" s="991"/>
      <c r="S40" s="995"/>
      <c r="T40" s="996"/>
      <c r="U40" s="998"/>
      <c r="V40" s="998"/>
      <c r="W40" s="999"/>
      <c r="X40" s="1004"/>
      <c r="Y40" s="964"/>
      <c r="Z40" s="964"/>
      <c r="AA40" s="964"/>
      <c r="AB40" s="994"/>
      <c r="AC40" s="1010"/>
      <c r="AD40" s="1009"/>
      <c r="AE40" s="964"/>
      <c r="AF40" s="964"/>
      <c r="AG40" s="964"/>
    </row>
    <row r="41" spans="1:34" s="1012" customFormat="1" ht="14.85" customHeight="1" outlineLevel="1">
      <c r="A41" s="1005"/>
      <c r="B41" s="1143" t="s">
        <v>111</v>
      </c>
      <c r="C41" s="1144"/>
      <c r="D41" s="1144"/>
      <c r="E41" s="1144"/>
      <c r="F41" s="1144"/>
      <c r="G41" s="1144"/>
      <c r="H41" s="1144"/>
      <c r="I41" s="1144"/>
      <c r="J41" s="1144"/>
      <c r="K41" s="1144"/>
      <c r="L41" s="1144"/>
      <c r="M41" s="1144"/>
      <c r="N41" s="1145">
        <f>MAX(N23:N39)</f>
        <v>523732.77</v>
      </c>
      <c r="O41" s="1145"/>
      <c r="P41" s="1146">
        <f>MAX(P23:P39)</f>
        <v>645857.69299999997</v>
      </c>
      <c r="Q41" s="992"/>
      <c r="R41" s="1147">
        <f>MAX(R23:R38)</f>
        <v>35.56</v>
      </c>
      <c r="S41" s="995"/>
      <c r="T41" s="996"/>
      <c r="U41" s="998"/>
      <c r="V41" s="998"/>
      <c r="W41" s="999"/>
      <c r="X41" s="1004"/>
      <c r="Y41" s="964"/>
      <c r="Z41" s="964"/>
      <c r="AA41" s="964"/>
      <c r="AB41" s="994"/>
      <c r="AC41" s="1010"/>
      <c r="AD41" s="1009"/>
      <c r="AE41" s="964"/>
      <c r="AF41" s="964"/>
      <c r="AG41" s="964"/>
    </row>
    <row r="42" spans="1:34" s="1012" customFormat="1" ht="14.85" customHeight="1" outlineLevel="1">
      <c r="A42" s="1005"/>
      <c r="B42" s="1024" t="s">
        <v>115</v>
      </c>
      <c r="C42" s="1025"/>
      <c r="D42" s="1025"/>
      <c r="E42" s="1025"/>
      <c r="F42" s="1025"/>
      <c r="G42" s="1025"/>
      <c r="H42" s="1025"/>
      <c r="I42" s="1025"/>
      <c r="J42" s="1025"/>
      <c r="K42" s="1025"/>
      <c r="L42" s="1025"/>
      <c r="M42" s="1025"/>
      <c r="N42" s="940">
        <f>_xlfn.QUARTILE.INC(N23:N39,3)</f>
        <v>419115.576</v>
      </c>
      <c r="O42" s="940"/>
      <c r="P42" s="1026">
        <f>_xlfn.QUARTILE.INC(P23:P39,3)</f>
        <v>551048.87599999993</v>
      </c>
      <c r="Q42" s="992"/>
      <c r="R42" s="1027">
        <f>_xlfn.QUARTILE.INC(R23:R38,3)</f>
        <v>22.547499999999999</v>
      </c>
      <c r="S42" s="995"/>
      <c r="T42" s="996"/>
      <c r="U42" s="998"/>
      <c r="V42" s="998"/>
      <c r="W42" s="999"/>
      <c r="X42" s="1004"/>
      <c r="Y42" s="964"/>
      <c r="Z42" s="964"/>
      <c r="AA42" s="964"/>
      <c r="AB42" s="994"/>
      <c r="AC42" s="1010"/>
      <c r="AD42" s="1009"/>
      <c r="AE42" s="964"/>
      <c r="AF42" s="964"/>
      <c r="AG42" s="964"/>
    </row>
    <row r="43" spans="1:34" s="1012" customFormat="1" ht="14.85" customHeight="1" outlineLevel="1">
      <c r="A43" s="1005"/>
      <c r="B43" s="1024" t="s">
        <v>43</v>
      </c>
      <c r="C43" s="1025"/>
      <c r="D43" s="1025"/>
      <c r="E43" s="1025"/>
      <c r="F43" s="1025"/>
      <c r="G43" s="1025"/>
      <c r="H43" s="1025"/>
      <c r="I43" s="1025"/>
      <c r="J43" s="1025"/>
      <c r="K43" s="1025"/>
      <c r="L43" s="1025"/>
      <c r="M43" s="1025"/>
      <c r="N43" s="940">
        <f>AVERAGE(N23:N39)</f>
        <v>269633.75599083764</v>
      </c>
      <c r="O43" s="940"/>
      <c r="P43" s="1026">
        <f>AVERAGE(P23:P39)</f>
        <v>350798.65326321643</v>
      </c>
      <c r="Q43" s="992"/>
      <c r="R43" s="1027">
        <f>AVERAGE(R23:R38)</f>
        <v>16.708581250000002</v>
      </c>
      <c r="S43" s="995"/>
      <c r="T43" s="996"/>
      <c r="U43" s="998"/>
      <c r="V43" s="998"/>
      <c r="W43" s="999"/>
      <c r="X43" s="1004"/>
      <c r="Y43" s="964"/>
      <c r="Z43" s="964"/>
      <c r="AA43" s="964"/>
      <c r="AB43" s="994"/>
      <c r="AC43" s="1010"/>
      <c r="AD43" s="1009"/>
      <c r="AE43" s="964"/>
      <c r="AF43" s="964"/>
      <c r="AG43" s="964"/>
    </row>
    <row r="44" spans="1:34" s="1012" customFormat="1" ht="14.85" customHeight="1" outlineLevel="1">
      <c r="A44" s="1005"/>
      <c r="B44" s="1024" t="s">
        <v>44</v>
      </c>
      <c r="C44" s="1025"/>
      <c r="D44" s="1025"/>
      <c r="E44" s="1025"/>
      <c r="F44" s="1025"/>
      <c r="G44" s="1025"/>
      <c r="H44" s="1025"/>
      <c r="I44" s="1025"/>
      <c r="J44" s="1025"/>
      <c r="K44" s="1025"/>
      <c r="L44" s="1025"/>
      <c r="M44" s="1025"/>
      <c r="N44" s="940">
        <f>MEDIAN(N23:N39)</f>
        <v>240305.67</v>
      </c>
      <c r="O44" s="940"/>
      <c r="P44" s="1026">
        <f>MEDIAN(P23:P39)</f>
        <v>334932.75199999998</v>
      </c>
      <c r="Q44" s="992"/>
      <c r="R44" s="1027">
        <f>MEDIAN(R23:R38)</f>
        <v>15.36</v>
      </c>
      <c r="S44" s="995"/>
      <c r="T44" s="996"/>
      <c r="U44" s="998"/>
      <c r="V44" s="998"/>
      <c r="W44" s="999"/>
      <c r="X44" s="1004"/>
      <c r="Y44" s="964"/>
      <c r="Z44" s="964"/>
      <c r="AA44" s="964"/>
      <c r="AB44" s="994"/>
      <c r="AC44" s="1010"/>
      <c r="AD44" s="1009"/>
      <c r="AE44" s="964"/>
      <c r="AF44" s="964"/>
      <c r="AG44" s="964"/>
    </row>
    <row r="45" spans="1:34" s="1012" customFormat="1" ht="14.85" customHeight="1" outlineLevel="1">
      <c r="A45" s="1005"/>
      <c r="B45" s="1024" t="s">
        <v>114</v>
      </c>
      <c r="C45" s="1025"/>
      <c r="D45" s="1025"/>
      <c r="E45" s="1025"/>
      <c r="F45" s="1025"/>
      <c r="G45" s="1025"/>
      <c r="H45" s="1025"/>
      <c r="I45" s="1025"/>
      <c r="J45" s="1025"/>
      <c r="K45" s="1025"/>
      <c r="L45" s="1025"/>
      <c r="M45" s="1025"/>
      <c r="N45" s="940">
        <f>_xlfn.QUARTILE.INC(N23:N39,1)</f>
        <v>102891.83199999999</v>
      </c>
      <c r="O45" s="940"/>
      <c r="P45" s="1026">
        <f>_xlfn.QUARTILE.INC(P23:P39,1)</f>
        <v>152891.83199999999</v>
      </c>
      <c r="Q45" s="992"/>
      <c r="R45" s="1027">
        <f>_xlfn.QUARTILE.INC(R23:R38,1)</f>
        <v>8.8975000000000009</v>
      </c>
      <c r="S45" s="995"/>
      <c r="T45" s="996"/>
      <c r="U45" s="998"/>
      <c r="V45" s="998"/>
      <c r="W45" s="999"/>
      <c r="X45" s="1004"/>
      <c r="Y45" s="964"/>
      <c r="Z45" s="964"/>
      <c r="AA45" s="964"/>
      <c r="AB45" s="994"/>
      <c r="AC45" s="1010"/>
      <c r="AD45" s="1009"/>
      <c r="AE45" s="964"/>
      <c r="AF45" s="964"/>
      <c r="AG45" s="964"/>
    </row>
    <row r="46" spans="1:34" s="1012" customFormat="1" ht="14.85" customHeight="1" outlineLevel="1">
      <c r="A46" s="1005"/>
      <c r="B46" s="1028" t="s">
        <v>112</v>
      </c>
      <c r="C46" s="1029"/>
      <c r="D46" s="1029"/>
      <c r="E46" s="1029"/>
      <c r="F46" s="1029"/>
      <c r="G46" s="1029"/>
      <c r="H46" s="1029"/>
      <c r="I46" s="1029"/>
      <c r="J46" s="1029"/>
      <c r="K46" s="1029"/>
      <c r="L46" s="1029"/>
      <c r="M46" s="1029"/>
      <c r="N46" s="942">
        <f>MIN(N23:N39)</f>
        <v>39416.17</v>
      </c>
      <c r="O46" s="942"/>
      <c r="P46" s="1030">
        <f>MIN(P23:P39)</f>
        <v>50611.932000000001</v>
      </c>
      <c r="Q46" s="992"/>
      <c r="R46" s="1031">
        <f>MIN(R23:R38)</f>
        <v>3.2423000000000002</v>
      </c>
      <c r="S46" s="995"/>
      <c r="T46" s="996"/>
      <c r="U46" s="998"/>
      <c r="V46" s="998"/>
      <c r="W46" s="999"/>
      <c r="X46" s="1004"/>
      <c r="Y46" s="964"/>
      <c r="Z46" s="964"/>
      <c r="AA46" s="964"/>
      <c r="AB46" s="994"/>
      <c r="AC46" s="1010"/>
      <c r="AD46" s="1009"/>
      <c r="AE46" s="964"/>
      <c r="AF46" s="964"/>
      <c r="AG46" s="964"/>
    </row>
    <row r="47" spans="1:34" s="1012" customFormat="1" ht="14.85" customHeight="1" outlineLevel="1">
      <c r="A47" s="1005"/>
      <c r="B47" s="986"/>
      <c r="C47" s="989"/>
      <c r="D47" s="988"/>
      <c r="E47" s="989"/>
      <c r="F47" s="990"/>
      <c r="G47" s="1017"/>
      <c r="H47" s="1006"/>
      <c r="I47" s="1006"/>
      <c r="J47" s="1017"/>
      <c r="K47" s="1018"/>
      <c r="L47" s="994"/>
      <c r="M47" s="994"/>
      <c r="N47" s="992"/>
      <c r="O47" s="994"/>
      <c r="P47" s="992"/>
      <c r="Q47" s="992"/>
      <c r="R47" s="991"/>
      <c r="S47" s="995"/>
      <c r="T47" s="996"/>
      <c r="U47" s="998"/>
      <c r="V47" s="998"/>
      <c r="W47" s="1004"/>
      <c r="X47" s="979"/>
      <c r="Y47" s="964"/>
      <c r="Z47" s="964"/>
      <c r="AA47" s="964"/>
      <c r="AB47" s="994"/>
      <c r="AC47" s="1010"/>
      <c r="AD47" s="1009"/>
      <c r="AE47" s="964"/>
      <c r="AF47" s="964"/>
      <c r="AG47" s="964"/>
    </row>
    <row r="48" spans="1:34" s="1012" customFormat="1" ht="14.85" customHeight="1" outlineLevel="1">
      <c r="A48" s="1005"/>
      <c r="B48" s="1032" t="s">
        <v>1496</v>
      </c>
      <c r="C48" s="989"/>
      <c r="D48" s="988"/>
      <c r="E48" s="989"/>
      <c r="F48" s="990"/>
      <c r="G48" s="1017"/>
      <c r="H48" s="1006"/>
      <c r="I48" s="1006"/>
      <c r="J48" s="1017"/>
      <c r="K48" s="1018"/>
      <c r="L48" s="994"/>
      <c r="M48" s="994"/>
      <c r="N48" s="992"/>
      <c r="O48" s="994"/>
      <c r="P48" s="992"/>
      <c r="Q48" s="992"/>
      <c r="R48" s="991"/>
      <c r="S48" s="995"/>
      <c r="T48" s="996"/>
      <c r="U48" s="998"/>
      <c r="V48" s="998"/>
      <c r="W48" s="1004"/>
      <c r="X48" s="979"/>
      <c r="Y48" s="964"/>
      <c r="Z48" s="964"/>
      <c r="AA48" s="964"/>
      <c r="AB48" s="994"/>
      <c r="AC48" s="1010"/>
      <c r="AD48" s="1009"/>
      <c r="AE48" s="964"/>
      <c r="AF48" s="964"/>
      <c r="AG48" s="964"/>
    </row>
    <row r="49" spans="1:34" s="1012" customFormat="1" ht="14.85" customHeight="1" outlineLevel="1">
      <c r="A49" s="1005"/>
      <c r="B49" s="986" t="s">
        <v>1497</v>
      </c>
      <c r="C49" s="989" t="s">
        <v>1498</v>
      </c>
      <c r="D49" s="988" t="s">
        <v>1146</v>
      </c>
      <c r="E49" s="989" t="s">
        <v>1499</v>
      </c>
      <c r="F49" s="990">
        <v>42761</v>
      </c>
      <c r="G49" s="1017">
        <v>16</v>
      </c>
      <c r="H49" s="1006">
        <v>13</v>
      </c>
      <c r="I49" s="1006">
        <v>15</v>
      </c>
      <c r="J49" s="1017">
        <v>19.84</v>
      </c>
      <c r="K49" s="1018">
        <f t="shared" ref="K49:K67" si="17">+M49-L49</f>
        <v>24802.026000000002</v>
      </c>
      <c r="L49" s="994">
        <f>5360000/1000</f>
        <v>5360</v>
      </c>
      <c r="M49" s="994">
        <f>30162026/1000</f>
        <v>30162.026000000002</v>
      </c>
      <c r="N49" s="992">
        <f t="shared" ref="N49:N67" si="18">+G49*K49</f>
        <v>396832.41600000003</v>
      </c>
      <c r="O49" s="994">
        <f t="shared" ref="O49:O70" si="19">+G49*L49</f>
        <v>85760</v>
      </c>
      <c r="P49" s="992">
        <f t="shared" ref="P49:P70" si="20">+N49+O49</f>
        <v>482592.41600000003</v>
      </c>
      <c r="Q49" s="992"/>
      <c r="R49" s="991">
        <v>19.84</v>
      </c>
      <c r="S49" s="995">
        <f>598414595.84/1000</f>
        <v>598414.59584000008</v>
      </c>
      <c r="T49" s="996">
        <v>0.24</v>
      </c>
      <c r="U49" s="997" t="s">
        <v>1499</v>
      </c>
      <c r="V49" s="998"/>
      <c r="W49" s="999">
        <f t="shared" ref="W49:W70" si="21">+N49+O49</f>
        <v>482592.41600000003</v>
      </c>
      <c r="X49" s="1004">
        <f t="shared" ref="X49:X70" si="22">+P49-W49</f>
        <v>0</v>
      </c>
      <c r="Y49" s="964"/>
      <c r="Z49" s="964"/>
      <c r="AA49" s="964"/>
      <c r="AB49" s="994"/>
      <c r="AC49" s="1010"/>
      <c r="AD49" s="1009"/>
      <c r="AE49" s="964"/>
      <c r="AF49" s="964"/>
      <c r="AG49" s="964"/>
    </row>
    <row r="50" spans="1:34" s="979" customFormat="1" ht="14.85" customHeight="1" outlineLevel="1">
      <c r="B50" s="986" t="s">
        <v>1500</v>
      </c>
      <c r="C50" s="989" t="s">
        <v>1501</v>
      </c>
      <c r="D50" s="988" t="s">
        <v>501</v>
      </c>
      <c r="E50" s="989" t="s">
        <v>1502</v>
      </c>
      <c r="F50" s="990">
        <v>42760</v>
      </c>
      <c r="G50" s="1137">
        <v>15</v>
      </c>
      <c r="H50" s="991">
        <v>14</v>
      </c>
      <c r="I50" s="991">
        <v>16</v>
      </c>
      <c r="J50" s="1137">
        <v>24.6</v>
      </c>
      <c r="K50" s="1018">
        <f t="shared" si="17"/>
        <v>14159.332999999999</v>
      </c>
      <c r="L50" s="985">
        <f>4000000/1000</f>
        <v>4000</v>
      </c>
      <c r="M50" s="985">
        <f>18159333/1000</f>
        <v>18159.332999999999</v>
      </c>
      <c r="N50" s="992">
        <f t="shared" si="18"/>
        <v>212389.995</v>
      </c>
      <c r="O50" s="994">
        <f t="shared" si="19"/>
        <v>60000</v>
      </c>
      <c r="P50" s="992">
        <f t="shared" si="20"/>
        <v>272389.995</v>
      </c>
      <c r="Q50" s="968"/>
      <c r="R50" s="991">
        <v>24.6</v>
      </c>
      <c r="S50" s="995">
        <f>446719591.8/1000</f>
        <v>446719.59179999999</v>
      </c>
      <c r="T50" s="996">
        <v>0.64000000000000012</v>
      </c>
      <c r="U50" s="997" t="s">
        <v>1503</v>
      </c>
      <c r="V50" s="998"/>
      <c r="W50" s="999">
        <f t="shared" si="21"/>
        <v>272389.995</v>
      </c>
      <c r="X50" s="1004">
        <f t="shared" si="22"/>
        <v>0</v>
      </c>
    </row>
    <row r="51" spans="1:34" s="979" customFormat="1" ht="14.85" customHeight="1" outlineLevel="1">
      <c r="B51" s="986" t="s">
        <v>1041</v>
      </c>
      <c r="C51" s="989" t="s">
        <v>1042</v>
      </c>
      <c r="D51" s="988" t="s">
        <v>501</v>
      </c>
      <c r="E51" s="989" t="s">
        <v>1043</v>
      </c>
      <c r="F51" s="990">
        <v>42668</v>
      </c>
      <c r="G51" s="1137">
        <v>13</v>
      </c>
      <c r="H51" s="991">
        <v>12</v>
      </c>
      <c r="I51" s="991">
        <v>14</v>
      </c>
      <c r="J51" s="1137">
        <v>13.14</v>
      </c>
      <c r="K51" s="1018">
        <f t="shared" si="17"/>
        <v>14439.55</v>
      </c>
      <c r="L51" s="985">
        <v>7049.23</v>
      </c>
      <c r="M51" s="985">
        <v>21488.78</v>
      </c>
      <c r="N51" s="992">
        <f t="shared" si="18"/>
        <v>187714.15</v>
      </c>
      <c r="O51" s="994">
        <f t="shared" si="19"/>
        <v>91639.989999999991</v>
      </c>
      <c r="P51" s="992">
        <f t="shared" si="20"/>
        <v>279354.14</v>
      </c>
      <c r="Q51" s="968"/>
      <c r="R51" s="991">
        <v>13.14</v>
      </c>
      <c r="S51" s="995">
        <f t="shared" ref="S51:S70" si="23">R51*M51</f>
        <v>282362.56919999997</v>
      </c>
      <c r="T51" s="996">
        <f t="shared" ref="T51:T70" si="24">S51/P51-1</f>
        <v>1.0769230769230642E-2</v>
      </c>
      <c r="U51" s="997" t="s">
        <v>1044</v>
      </c>
      <c r="V51" s="998" t="s">
        <v>1045</v>
      </c>
      <c r="W51" s="999">
        <f t="shared" si="21"/>
        <v>279354.14</v>
      </c>
      <c r="X51" s="1004">
        <f t="shared" si="22"/>
        <v>0</v>
      </c>
    </row>
    <row r="52" spans="1:34" s="979" customFormat="1" ht="14.85" customHeight="1" outlineLevel="1">
      <c r="A52" s="1005"/>
      <c r="B52" s="986" t="s">
        <v>1047</v>
      </c>
      <c r="C52" s="989" t="s">
        <v>1048</v>
      </c>
      <c r="D52" s="988" t="s">
        <v>1504</v>
      </c>
      <c r="E52" s="989" t="s">
        <v>1049</v>
      </c>
      <c r="F52" s="990">
        <v>42654</v>
      </c>
      <c r="G52" s="1137">
        <v>5.5</v>
      </c>
      <c r="H52" s="991">
        <v>6</v>
      </c>
      <c r="I52" s="991">
        <v>8</v>
      </c>
      <c r="J52" s="1137">
        <v>4.74</v>
      </c>
      <c r="K52" s="1018">
        <f t="shared" si="17"/>
        <v>8671.0879999999997</v>
      </c>
      <c r="L52" s="985">
        <v>960</v>
      </c>
      <c r="M52" s="985">
        <v>9631.0879999999997</v>
      </c>
      <c r="N52" s="992">
        <f t="shared" si="18"/>
        <v>47690.983999999997</v>
      </c>
      <c r="O52" s="994">
        <f t="shared" si="19"/>
        <v>5280</v>
      </c>
      <c r="P52" s="992">
        <f t="shared" si="20"/>
        <v>52970.983999999997</v>
      </c>
      <c r="Q52" s="992"/>
      <c r="R52" s="991">
        <v>4.74</v>
      </c>
      <c r="S52" s="995">
        <f t="shared" si="23"/>
        <v>45651.357120000001</v>
      </c>
      <c r="T52" s="996">
        <f t="shared" si="24"/>
        <v>-0.13818181818181807</v>
      </c>
      <c r="U52" s="997" t="s">
        <v>1050</v>
      </c>
      <c r="V52" s="998" t="s">
        <v>1051</v>
      </c>
      <c r="W52" s="999">
        <f t="shared" si="21"/>
        <v>52970.983999999997</v>
      </c>
      <c r="X52" s="1004">
        <f t="shared" si="22"/>
        <v>0</v>
      </c>
    </row>
    <row r="53" spans="1:34" s="979" customFormat="1" ht="14.85" customHeight="1" outlineLevel="1">
      <c r="A53" s="1005"/>
      <c r="B53" s="986" t="s">
        <v>1057</v>
      </c>
      <c r="C53" s="989" t="s">
        <v>1058</v>
      </c>
      <c r="D53" s="988" t="s">
        <v>501</v>
      </c>
      <c r="E53" s="989" t="s">
        <v>1059</v>
      </c>
      <c r="F53" s="990">
        <v>42592</v>
      </c>
      <c r="G53" s="1137">
        <v>12</v>
      </c>
      <c r="H53" s="991">
        <v>11</v>
      </c>
      <c r="I53" s="991">
        <v>13</v>
      </c>
      <c r="J53" s="1137">
        <v>12.4</v>
      </c>
      <c r="K53" s="1018">
        <f t="shared" si="17"/>
        <v>8823.5509999999995</v>
      </c>
      <c r="L53" s="985">
        <v>7500</v>
      </c>
      <c r="M53" s="985">
        <v>16323.550999999999</v>
      </c>
      <c r="N53" s="992">
        <f t="shared" si="18"/>
        <v>105882.61199999999</v>
      </c>
      <c r="O53" s="994">
        <f t="shared" si="19"/>
        <v>90000</v>
      </c>
      <c r="P53" s="992">
        <f t="shared" si="20"/>
        <v>195882.61199999999</v>
      </c>
      <c r="Q53" s="992"/>
      <c r="R53" s="991">
        <v>12.4</v>
      </c>
      <c r="S53" s="995">
        <f t="shared" si="23"/>
        <v>202412.0324</v>
      </c>
      <c r="T53" s="996">
        <f t="shared" si="24"/>
        <v>3.3333333333333437E-2</v>
      </c>
      <c r="U53" s="1007" t="s">
        <v>1060</v>
      </c>
      <c r="V53" s="998" t="s">
        <v>1061</v>
      </c>
      <c r="W53" s="999">
        <f t="shared" si="21"/>
        <v>195882.61199999999</v>
      </c>
      <c r="X53" s="1004">
        <f t="shared" si="22"/>
        <v>0</v>
      </c>
      <c r="Y53" s="1009"/>
    </row>
    <row r="54" spans="1:34" s="979" customFormat="1" ht="14.85" customHeight="1" outlineLevel="1">
      <c r="A54" s="1005"/>
      <c r="B54" s="986" t="s">
        <v>767</v>
      </c>
      <c r="C54" s="989" t="s">
        <v>765</v>
      </c>
      <c r="D54" s="988" t="s">
        <v>501</v>
      </c>
      <c r="E54" s="989" t="s">
        <v>1073</v>
      </c>
      <c r="F54" s="990">
        <v>42550</v>
      </c>
      <c r="G54" s="1017">
        <v>12.5</v>
      </c>
      <c r="H54" s="1006">
        <v>14</v>
      </c>
      <c r="I54" s="1006">
        <v>16</v>
      </c>
      <c r="J54" s="1017">
        <v>11.58</v>
      </c>
      <c r="K54" s="1018">
        <f t="shared" si="17"/>
        <v>18760.161</v>
      </c>
      <c r="L54" s="985">
        <v>4000</v>
      </c>
      <c r="M54" s="985">
        <v>22760.161</v>
      </c>
      <c r="N54" s="992">
        <f t="shared" si="18"/>
        <v>234502.01250000001</v>
      </c>
      <c r="O54" s="994">
        <f t="shared" si="19"/>
        <v>50000</v>
      </c>
      <c r="P54" s="992">
        <f t="shared" si="20"/>
        <v>284502.01250000001</v>
      </c>
      <c r="Q54" s="992"/>
      <c r="R54" s="991">
        <v>11.58</v>
      </c>
      <c r="S54" s="995">
        <f t="shared" si="23"/>
        <v>263562.66438000003</v>
      </c>
      <c r="T54" s="996">
        <f t="shared" si="24"/>
        <v>-7.3599999999999888E-2</v>
      </c>
      <c r="U54" s="1007" t="s">
        <v>766</v>
      </c>
      <c r="V54" s="998" t="s">
        <v>768</v>
      </c>
      <c r="W54" s="999">
        <f t="shared" si="21"/>
        <v>284502.01250000001</v>
      </c>
      <c r="X54" s="1004">
        <f t="shared" si="22"/>
        <v>0</v>
      </c>
      <c r="Y54" s="1009"/>
    </row>
    <row r="55" spans="1:34" s="979" customFormat="1" ht="14.85" customHeight="1" outlineLevel="1">
      <c r="A55" s="1005"/>
      <c r="B55" s="986" t="s">
        <v>1074</v>
      </c>
      <c r="C55" s="989" t="s">
        <v>1075</v>
      </c>
      <c r="D55" s="988" t="s">
        <v>501</v>
      </c>
      <c r="E55" s="989" t="s">
        <v>1076</v>
      </c>
      <c r="F55" s="990">
        <v>42542</v>
      </c>
      <c r="G55" s="1017">
        <v>14</v>
      </c>
      <c r="H55" s="1006">
        <v>14</v>
      </c>
      <c r="I55" s="1006">
        <v>16</v>
      </c>
      <c r="J55" s="1017">
        <v>13.77</v>
      </c>
      <c r="K55" s="1018">
        <f t="shared" si="17"/>
        <v>12899.585999999999</v>
      </c>
      <c r="L55" s="985">
        <v>5000</v>
      </c>
      <c r="M55" s="985">
        <v>17899.585999999999</v>
      </c>
      <c r="N55" s="992">
        <f t="shared" si="18"/>
        <v>180594.204</v>
      </c>
      <c r="O55" s="994">
        <f t="shared" si="19"/>
        <v>70000</v>
      </c>
      <c r="P55" s="992">
        <f t="shared" si="20"/>
        <v>250594.204</v>
      </c>
      <c r="Q55" s="992"/>
      <c r="R55" s="991">
        <v>13.77</v>
      </c>
      <c r="S55" s="995">
        <f t="shared" si="23"/>
        <v>246477.29921999999</v>
      </c>
      <c r="T55" s="996">
        <f t="shared" si="24"/>
        <v>-1.6428571428571459E-2</v>
      </c>
      <c r="U55" s="1007" t="s">
        <v>1077</v>
      </c>
      <c r="V55" s="998" t="s">
        <v>1078</v>
      </c>
      <c r="W55" s="999">
        <f t="shared" si="21"/>
        <v>250594.204</v>
      </c>
      <c r="X55" s="1004">
        <f t="shared" si="22"/>
        <v>0</v>
      </c>
      <c r="Y55" s="1009"/>
    </row>
    <row r="56" spans="1:34" s="979" customFormat="1" ht="14.85" customHeight="1" outlineLevel="1">
      <c r="A56" s="1005"/>
      <c r="B56" s="986" t="s">
        <v>1089</v>
      </c>
      <c r="C56" s="989" t="s">
        <v>1090</v>
      </c>
      <c r="D56" s="988" t="s">
        <v>1146</v>
      </c>
      <c r="E56" s="989" t="s">
        <v>1091</v>
      </c>
      <c r="F56" s="990">
        <v>42508</v>
      </c>
      <c r="G56" s="1017">
        <v>10</v>
      </c>
      <c r="H56" s="1006">
        <v>14</v>
      </c>
      <c r="I56" s="1006">
        <v>16</v>
      </c>
      <c r="J56" s="1017">
        <v>9.1691500000000001</v>
      </c>
      <c r="K56" s="1018">
        <f t="shared" si="17"/>
        <v>8740.4410000000007</v>
      </c>
      <c r="L56" s="985">
        <v>5500</v>
      </c>
      <c r="M56" s="985">
        <v>14240.441000000001</v>
      </c>
      <c r="N56" s="992">
        <f t="shared" si="18"/>
        <v>87404.41</v>
      </c>
      <c r="O56" s="994">
        <f t="shared" si="19"/>
        <v>55000</v>
      </c>
      <c r="P56" s="992">
        <f t="shared" si="20"/>
        <v>142404.41</v>
      </c>
      <c r="Q56" s="992"/>
      <c r="R56" s="991">
        <v>9.1691500000000001</v>
      </c>
      <c r="S56" s="995">
        <f t="shared" si="23"/>
        <v>130572.73959515001</v>
      </c>
      <c r="T56" s="996">
        <f t="shared" si="24"/>
        <v>-8.3084999999999964E-2</v>
      </c>
      <c r="U56" s="1007" t="s">
        <v>1092</v>
      </c>
      <c r="V56" s="998" t="s">
        <v>1093</v>
      </c>
      <c r="W56" s="999">
        <f t="shared" si="21"/>
        <v>142404.41</v>
      </c>
      <c r="X56" s="1004">
        <f t="shared" si="22"/>
        <v>0</v>
      </c>
      <c r="Y56" s="1009"/>
    </row>
    <row r="57" spans="1:34" s="979" customFormat="1" ht="14.85" customHeight="1" outlineLevel="1">
      <c r="A57" s="1005"/>
      <c r="B57" s="986" t="s">
        <v>1095</v>
      </c>
      <c r="C57" s="989" t="s">
        <v>1096</v>
      </c>
      <c r="D57" s="988" t="s">
        <v>501</v>
      </c>
      <c r="E57" s="989" t="s">
        <v>1097</v>
      </c>
      <c r="F57" s="990">
        <v>42502</v>
      </c>
      <c r="G57" s="1017">
        <v>6</v>
      </c>
      <c r="H57" s="1006">
        <v>11</v>
      </c>
      <c r="I57" s="1006">
        <v>13</v>
      </c>
      <c r="J57" s="1017">
        <v>3.35</v>
      </c>
      <c r="K57" s="1018">
        <f t="shared" si="17"/>
        <v>16969.444</v>
      </c>
      <c r="L57" s="985">
        <v>5833.3339999999998</v>
      </c>
      <c r="M57" s="985">
        <v>22802.777999999998</v>
      </c>
      <c r="N57" s="992">
        <f t="shared" si="18"/>
        <v>101816.66399999999</v>
      </c>
      <c r="O57" s="994">
        <f t="shared" si="19"/>
        <v>35000.004000000001</v>
      </c>
      <c r="P57" s="992">
        <f t="shared" si="20"/>
        <v>136816.66800000001</v>
      </c>
      <c r="Q57" s="992"/>
      <c r="R57" s="991">
        <v>3.35</v>
      </c>
      <c r="S57" s="995">
        <f t="shared" si="23"/>
        <v>76389.306299999997</v>
      </c>
      <c r="T57" s="996">
        <f t="shared" si="24"/>
        <v>-0.44166666666666676</v>
      </c>
      <c r="U57" s="1007" t="s">
        <v>1098</v>
      </c>
      <c r="V57" s="998" t="s">
        <v>1099</v>
      </c>
      <c r="W57" s="999">
        <f t="shared" si="21"/>
        <v>136816.66800000001</v>
      </c>
      <c r="X57" s="1004">
        <f t="shared" si="22"/>
        <v>0</v>
      </c>
      <c r="AC57" s="1004"/>
      <c r="AD57" s="1010"/>
      <c r="AE57" s="1009"/>
    </row>
    <row r="58" spans="1:34" s="964" customFormat="1" ht="14.85" customHeight="1" outlineLevel="1">
      <c r="A58" s="1005"/>
      <c r="B58" s="986" t="s">
        <v>936</v>
      </c>
      <c r="C58" s="989" t="s">
        <v>1110</v>
      </c>
      <c r="D58" s="988" t="s">
        <v>1111</v>
      </c>
      <c r="E58" s="989" t="s">
        <v>1112</v>
      </c>
      <c r="F58" s="990">
        <v>42451</v>
      </c>
      <c r="G58" s="1017">
        <v>15</v>
      </c>
      <c r="H58" s="1006">
        <v>15</v>
      </c>
      <c r="I58" s="1006">
        <v>17</v>
      </c>
      <c r="J58" s="1017">
        <v>15.13</v>
      </c>
      <c r="K58" s="1018">
        <f t="shared" si="17"/>
        <v>15706.356</v>
      </c>
      <c r="L58" s="985">
        <v>4700</v>
      </c>
      <c r="M58" s="985">
        <v>20406.356</v>
      </c>
      <c r="N58" s="992">
        <f t="shared" si="18"/>
        <v>235595.34</v>
      </c>
      <c r="O58" s="994">
        <f t="shared" si="19"/>
        <v>70500</v>
      </c>
      <c r="P58" s="992">
        <f t="shared" si="20"/>
        <v>306095.33999999997</v>
      </c>
      <c r="Q58" s="992"/>
      <c r="R58" s="991">
        <v>15.13</v>
      </c>
      <c r="S58" s="995">
        <f t="shared" si="23"/>
        <v>308748.16628</v>
      </c>
      <c r="T58" s="996">
        <f t="shared" si="24"/>
        <v>8.6666666666668224E-3</v>
      </c>
      <c r="U58" s="997" t="s">
        <v>1113</v>
      </c>
      <c r="V58" s="998" t="s">
        <v>1114</v>
      </c>
      <c r="W58" s="999">
        <f t="shared" si="21"/>
        <v>306095.33999999997</v>
      </c>
      <c r="X58" s="1004">
        <f t="shared" si="22"/>
        <v>0</v>
      </c>
      <c r="Y58" s="979"/>
      <c r="AC58" s="994"/>
      <c r="AD58" s="1010"/>
      <c r="AE58" s="1009"/>
    </row>
    <row r="59" spans="1:34" s="964" customFormat="1" ht="14.85" customHeight="1" outlineLevel="1">
      <c r="A59" s="1005"/>
      <c r="B59" s="986" t="s">
        <v>940</v>
      </c>
      <c r="C59" s="989" t="s">
        <v>1115</v>
      </c>
      <c r="D59" s="988" t="s">
        <v>1222</v>
      </c>
      <c r="E59" s="989" t="s">
        <v>1116</v>
      </c>
      <c r="F59" s="990">
        <v>42431</v>
      </c>
      <c r="G59" s="1017">
        <v>12</v>
      </c>
      <c r="H59" s="1006">
        <v>14</v>
      </c>
      <c r="I59" s="1006">
        <v>16</v>
      </c>
      <c r="J59" s="1017">
        <v>13.11</v>
      </c>
      <c r="K59" s="1018">
        <f t="shared" si="17"/>
        <v>12972.674999999999</v>
      </c>
      <c r="L59" s="985">
        <v>4400</v>
      </c>
      <c r="M59" s="985">
        <v>17372.674999999999</v>
      </c>
      <c r="N59" s="992">
        <f t="shared" si="18"/>
        <v>155672.09999999998</v>
      </c>
      <c r="O59" s="994">
        <f t="shared" si="19"/>
        <v>52800</v>
      </c>
      <c r="P59" s="992">
        <f t="shared" si="20"/>
        <v>208472.09999999998</v>
      </c>
      <c r="Q59" s="992"/>
      <c r="R59" s="991">
        <v>13.11</v>
      </c>
      <c r="S59" s="995">
        <f t="shared" si="23"/>
        <v>227755.76924999998</v>
      </c>
      <c r="T59" s="996">
        <f t="shared" si="24"/>
        <v>9.2500000000000027E-2</v>
      </c>
      <c r="U59" s="997" t="s">
        <v>1117</v>
      </c>
      <c r="V59" s="998" t="s">
        <v>1118</v>
      </c>
      <c r="W59" s="999">
        <f t="shared" si="21"/>
        <v>208472.09999999998</v>
      </c>
      <c r="X59" s="1004">
        <f t="shared" si="22"/>
        <v>0</v>
      </c>
      <c r="Y59" s="979"/>
      <c r="AC59" s="994"/>
      <c r="AD59" s="1010"/>
      <c r="AE59" s="1009"/>
    </row>
    <row r="60" spans="1:34" s="964" customFormat="1" ht="14.85" customHeight="1" outlineLevel="1">
      <c r="A60" s="1005"/>
      <c r="B60" s="986" t="s">
        <v>1119</v>
      </c>
      <c r="C60" s="989" t="s">
        <v>1120</v>
      </c>
      <c r="D60" s="988" t="s">
        <v>501</v>
      </c>
      <c r="E60" s="989" t="s">
        <v>1121</v>
      </c>
      <c r="F60" s="990">
        <v>42410</v>
      </c>
      <c r="G60" s="1017">
        <v>20</v>
      </c>
      <c r="H60" s="1006">
        <v>19</v>
      </c>
      <c r="I60" s="1006">
        <v>21</v>
      </c>
      <c r="J60" s="1017">
        <v>21.15</v>
      </c>
      <c r="K60" s="1018">
        <f t="shared" si="17"/>
        <v>17650.57</v>
      </c>
      <c r="L60" s="985">
        <v>4750</v>
      </c>
      <c r="M60" s="985">
        <v>22400.57</v>
      </c>
      <c r="N60" s="992">
        <f t="shared" si="18"/>
        <v>353011.4</v>
      </c>
      <c r="O60" s="994">
        <f t="shared" si="19"/>
        <v>95000</v>
      </c>
      <c r="P60" s="992">
        <f t="shared" si="20"/>
        <v>448011.4</v>
      </c>
      <c r="Q60" s="992"/>
      <c r="R60" s="991">
        <v>21.15</v>
      </c>
      <c r="S60" s="995">
        <f t="shared" si="23"/>
        <v>473772.05549999996</v>
      </c>
      <c r="T60" s="996">
        <f t="shared" si="24"/>
        <v>5.7499999999999885E-2</v>
      </c>
      <c r="U60" s="997" t="s">
        <v>1122</v>
      </c>
      <c r="V60" s="998" t="s">
        <v>1123</v>
      </c>
      <c r="W60" s="999">
        <f t="shared" si="21"/>
        <v>448011.4</v>
      </c>
      <c r="X60" s="1004">
        <f t="shared" si="22"/>
        <v>0</v>
      </c>
      <c r="Y60" s="979"/>
      <c r="AC60" s="994"/>
      <c r="AD60" s="1010"/>
      <c r="AE60" s="1009"/>
    </row>
    <row r="61" spans="1:34" s="964" customFormat="1" ht="14.85" customHeight="1" outlineLevel="1">
      <c r="A61" s="1005"/>
      <c r="B61" s="986" t="s">
        <v>679</v>
      </c>
      <c r="C61" s="989" t="s">
        <v>1135</v>
      </c>
      <c r="D61" s="988" t="s">
        <v>493</v>
      </c>
      <c r="E61" s="989" t="s">
        <v>1136</v>
      </c>
      <c r="F61" s="990">
        <v>42318</v>
      </c>
      <c r="G61" s="1017">
        <v>14</v>
      </c>
      <c r="H61" s="1006">
        <v>15</v>
      </c>
      <c r="I61" s="1006">
        <v>17</v>
      </c>
      <c r="J61" s="1017">
        <v>23.72</v>
      </c>
      <c r="K61" s="1018">
        <f t="shared" si="17"/>
        <v>21034.71</v>
      </c>
      <c r="L61" s="985">
        <v>5000</v>
      </c>
      <c r="M61" s="985">
        <v>26034.71</v>
      </c>
      <c r="N61" s="992">
        <f t="shared" si="18"/>
        <v>294485.94</v>
      </c>
      <c r="O61" s="994">
        <f t="shared" si="19"/>
        <v>70000</v>
      </c>
      <c r="P61" s="992">
        <f t="shared" si="20"/>
        <v>364485.94</v>
      </c>
      <c r="Q61" s="992"/>
      <c r="R61" s="991">
        <v>23.72</v>
      </c>
      <c r="S61" s="995">
        <f t="shared" si="23"/>
        <v>617543.32120000001</v>
      </c>
      <c r="T61" s="996">
        <f t="shared" si="24"/>
        <v>0.69428571428571439</v>
      </c>
      <c r="U61" s="1011" t="s">
        <v>1137</v>
      </c>
      <c r="V61" s="998" t="s">
        <v>1505</v>
      </c>
      <c r="W61" s="999">
        <f t="shared" si="21"/>
        <v>364485.94</v>
      </c>
      <c r="X61" s="1004">
        <f t="shared" si="22"/>
        <v>0</v>
      </c>
      <c r="Y61" s="1014"/>
      <c r="Z61" s="1013"/>
      <c r="AA61" s="1014"/>
      <c r="AB61" s="1014"/>
      <c r="AC61" s="1013"/>
      <c r="AD61" s="1010"/>
      <c r="AE61" s="1009"/>
      <c r="AF61" s="1011"/>
      <c r="AG61" s="1016"/>
      <c r="AH61" s="1016"/>
    </row>
    <row r="62" spans="1:34" s="964" customFormat="1" ht="14.85" customHeight="1" outlineLevel="1">
      <c r="A62" s="1005"/>
      <c r="B62" s="1046" t="s">
        <v>1139</v>
      </c>
      <c r="C62" s="989" t="s">
        <v>1140</v>
      </c>
      <c r="D62" s="988" t="s">
        <v>501</v>
      </c>
      <c r="E62" s="989" t="s">
        <v>1141</v>
      </c>
      <c r="F62" s="990">
        <v>42305</v>
      </c>
      <c r="G62" s="1017">
        <v>10</v>
      </c>
      <c r="H62" s="1006">
        <v>15</v>
      </c>
      <c r="I62" s="1006">
        <v>17</v>
      </c>
      <c r="J62" s="1017">
        <v>12.4</v>
      </c>
      <c r="K62" s="1018">
        <f t="shared" si="17"/>
        <v>20805.473000000002</v>
      </c>
      <c r="L62" s="985">
        <v>5437.5</v>
      </c>
      <c r="M62" s="985">
        <v>26242.973000000002</v>
      </c>
      <c r="N62" s="992">
        <f t="shared" si="18"/>
        <v>208054.73</v>
      </c>
      <c r="O62" s="994">
        <f t="shared" si="19"/>
        <v>54375</v>
      </c>
      <c r="P62" s="992">
        <f t="shared" si="20"/>
        <v>262429.73</v>
      </c>
      <c r="Q62" s="992"/>
      <c r="R62" s="991">
        <v>12.4</v>
      </c>
      <c r="S62" s="995">
        <f t="shared" si="23"/>
        <v>325412.86520000006</v>
      </c>
      <c r="T62" s="996">
        <f t="shared" si="24"/>
        <v>0.24000000000000021</v>
      </c>
      <c r="U62" s="1011" t="s">
        <v>1142</v>
      </c>
      <c r="V62" s="998" t="s">
        <v>1143</v>
      </c>
      <c r="W62" s="999">
        <f t="shared" si="21"/>
        <v>262429.73</v>
      </c>
      <c r="X62" s="1004">
        <f t="shared" si="22"/>
        <v>0</v>
      </c>
      <c r="Y62" s="1014"/>
      <c r="Z62" s="1013"/>
      <c r="AA62" s="1014"/>
      <c r="AB62" s="1014"/>
      <c r="AC62" s="1013"/>
      <c r="AD62" s="1010"/>
      <c r="AE62" s="1009"/>
      <c r="AF62" s="1011"/>
      <c r="AG62" s="1016"/>
      <c r="AH62" s="1016"/>
    </row>
    <row r="63" spans="1:34" s="964" customFormat="1" ht="14.85" customHeight="1" outlineLevel="1">
      <c r="A63" s="1005"/>
      <c r="B63" s="986" t="s">
        <v>1144</v>
      </c>
      <c r="C63" s="989" t="s">
        <v>1145</v>
      </c>
      <c r="D63" s="988" t="s">
        <v>501</v>
      </c>
      <c r="E63" s="989" t="s">
        <v>1147</v>
      </c>
      <c r="F63" s="990">
        <v>42298</v>
      </c>
      <c r="G63" s="1017">
        <v>13</v>
      </c>
      <c r="H63" s="1006">
        <v>14</v>
      </c>
      <c r="I63" s="1006">
        <v>16</v>
      </c>
      <c r="J63" s="1017">
        <v>13.45</v>
      </c>
      <c r="K63" s="1018">
        <f t="shared" si="17"/>
        <v>19379.574000000001</v>
      </c>
      <c r="L63" s="985">
        <v>5500</v>
      </c>
      <c r="M63" s="985">
        <v>24879.574000000001</v>
      </c>
      <c r="N63" s="992">
        <f t="shared" si="18"/>
        <v>251934.462</v>
      </c>
      <c r="O63" s="994">
        <f t="shared" si="19"/>
        <v>71500</v>
      </c>
      <c r="P63" s="992">
        <f t="shared" si="20"/>
        <v>323434.462</v>
      </c>
      <c r="Q63" s="992"/>
      <c r="R63" s="991">
        <v>13.45</v>
      </c>
      <c r="S63" s="995">
        <f t="shared" si="23"/>
        <v>334630.27029999997</v>
      </c>
      <c r="T63" s="996">
        <f t="shared" si="24"/>
        <v>3.4615384615384492E-2</v>
      </c>
      <c r="U63" s="997" t="s">
        <v>1148</v>
      </c>
      <c r="V63" s="998" t="s">
        <v>1149</v>
      </c>
      <c r="W63" s="999">
        <f t="shared" si="21"/>
        <v>323434.462</v>
      </c>
      <c r="X63" s="1004">
        <f t="shared" si="22"/>
        <v>0</v>
      </c>
      <c r="Y63" s="979"/>
      <c r="AC63" s="994"/>
      <c r="AD63" s="1010"/>
      <c r="AE63" s="1009"/>
    </row>
    <row r="64" spans="1:34" s="964" customFormat="1" ht="14.85" customHeight="1" outlineLevel="1">
      <c r="A64" s="1005"/>
      <c r="B64" s="986" t="s">
        <v>1165</v>
      </c>
      <c r="C64" s="989" t="s">
        <v>1166</v>
      </c>
      <c r="D64" s="988" t="s">
        <v>501</v>
      </c>
      <c r="E64" s="989" t="s">
        <v>1167</v>
      </c>
      <c r="F64" s="990">
        <v>42277</v>
      </c>
      <c r="G64" s="1017">
        <v>7</v>
      </c>
      <c r="H64" s="1006">
        <v>13</v>
      </c>
      <c r="I64" s="1006">
        <v>15</v>
      </c>
      <c r="J64" s="1017">
        <v>5.78</v>
      </c>
      <c r="K64" s="1018">
        <f t="shared" si="17"/>
        <v>13806.725999999999</v>
      </c>
      <c r="L64" s="985">
        <v>6250</v>
      </c>
      <c r="M64" s="985">
        <v>20056.725999999999</v>
      </c>
      <c r="N64" s="992">
        <f t="shared" si="18"/>
        <v>96647.081999999995</v>
      </c>
      <c r="O64" s="994">
        <f t="shared" si="19"/>
        <v>43750</v>
      </c>
      <c r="P64" s="992">
        <f t="shared" si="20"/>
        <v>140397.08199999999</v>
      </c>
      <c r="Q64" s="992"/>
      <c r="R64" s="991">
        <v>5.78</v>
      </c>
      <c r="S64" s="995">
        <f t="shared" si="23"/>
        <v>115927.87628</v>
      </c>
      <c r="T64" s="996">
        <f t="shared" si="24"/>
        <v>-0.17428571428571427</v>
      </c>
      <c r="U64" s="997" t="s">
        <v>1168</v>
      </c>
      <c r="V64" s="998" t="s">
        <v>1506</v>
      </c>
      <c r="W64" s="999">
        <f t="shared" si="21"/>
        <v>140397.08199999999</v>
      </c>
      <c r="X64" s="1004">
        <f t="shared" si="22"/>
        <v>0</v>
      </c>
      <c r="Y64" s="979"/>
      <c r="AC64" s="994"/>
      <c r="AD64" s="1010"/>
      <c r="AE64" s="1009"/>
    </row>
    <row r="65" spans="1:65" s="964" customFormat="1" ht="14.85" customHeight="1" outlineLevel="1">
      <c r="A65" s="1005"/>
      <c r="B65" s="986" t="s">
        <v>1206</v>
      </c>
      <c r="C65" s="989" t="s">
        <v>1207</v>
      </c>
      <c r="D65" s="988" t="s">
        <v>1146</v>
      </c>
      <c r="E65" s="989" t="s">
        <v>1208</v>
      </c>
      <c r="F65" s="990">
        <v>42179</v>
      </c>
      <c r="G65" s="1017">
        <v>12</v>
      </c>
      <c r="H65" s="1006">
        <v>13</v>
      </c>
      <c r="I65" s="1006">
        <v>15</v>
      </c>
      <c r="J65" s="1017">
        <v>13.9</v>
      </c>
      <c r="K65" s="1018">
        <f t="shared" si="17"/>
        <v>9547.7960000000003</v>
      </c>
      <c r="L65" s="985">
        <v>5000</v>
      </c>
      <c r="M65" s="985">
        <v>14547.796</v>
      </c>
      <c r="N65" s="992">
        <f t="shared" si="18"/>
        <v>114573.552</v>
      </c>
      <c r="O65" s="994">
        <f t="shared" si="19"/>
        <v>60000</v>
      </c>
      <c r="P65" s="992">
        <f t="shared" si="20"/>
        <v>174573.552</v>
      </c>
      <c r="Q65" s="992"/>
      <c r="R65" s="991">
        <v>13.9</v>
      </c>
      <c r="S65" s="995">
        <f t="shared" si="23"/>
        <v>202214.36440000002</v>
      </c>
      <c r="T65" s="996">
        <f t="shared" si="24"/>
        <v>0.15833333333333344</v>
      </c>
      <c r="U65" s="1011" t="s">
        <v>1209</v>
      </c>
      <c r="V65" s="998" t="s">
        <v>1507</v>
      </c>
      <c r="W65" s="999">
        <f t="shared" si="21"/>
        <v>174573.552</v>
      </c>
      <c r="X65" s="1004">
        <f t="shared" si="22"/>
        <v>0</v>
      </c>
      <c r="Y65" s="1014"/>
      <c r="Z65" s="1013"/>
      <c r="AA65" s="1014"/>
      <c r="AB65" s="1015"/>
      <c r="AC65" s="1013"/>
      <c r="AD65" s="1010"/>
      <c r="AE65" s="1009"/>
      <c r="AF65" s="1011"/>
      <c r="AG65" s="1016"/>
      <c r="AH65" s="1016"/>
    </row>
    <row r="66" spans="1:65" s="1012" customFormat="1" ht="14.85" customHeight="1" outlineLevel="1">
      <c r="A66" s="1005"/>
      <c r="B66" s="986" t="s">
        <v>1216</v>
      </c>
      <c r="C66" s="989" t="s">
        <v>1217</v>
      </c>
      <c r="D66" s="988" t="s">
        <v>493</v>
      </c>
      <c r="E66" s="989" t="s">
        <v>1218</v>
      </c>
      <c r="F66" s="990">
        <v>42171</v>
      </c>
      <c r="G66" s="1017">
        <v>14</v>
      </c>
      <c r="H66" s="1006">
        <v>13</v>
      </c>
      <c r="I66" s="1006">
        <v>15</v>
      </c>
      <c r="J66" s="1017">
        <v>19.010000000000002</v>
      </c>
      <c r="K66" s="1018">
        <f t="shared" si="17"/>
        <v>9126.6830000000009</v>
      </c>
      <c r="L66" s="985">
        <v>5500</v>
      </c>
      <c r="M66" s="985">
        <v>14626.683000000001</v>
      </c>
      <c r="N66" s="992">
        <f t="shared" si="18"/>
        <v>127773.56200000001</v>
      </c>
      <c r="O66" s="994">
        <f t="shared" si="19"/>
        <v>77000</v>
      </c>
      <c r="P66" s="992">
        <f t="shared" si="20"/>
        <v>204773.56200000001</v>
      </c>
      <c r="Q66" s="992"/>
      <c r="R66" s="991">
        <v>19.010000000000002</v>
      </c>
      <c r="S66" s="995">
        <f t="shared" si="23"/>
        <v>278053.24383000005</v>
      </c>
      <c r="T66" s="996">
        <f t="shared" si="24"/>
        <v>0.3578571428571431</v>
      </c>
      <c r="U66" s="997" t="s">
        <v>1219</v>
      </c>
      <c r="V66" s="998" t="s">
        <v>1220</v>
      </c>
      <c r="W66" s="999">
        <f t="shared" si="21"/>
        <v>204773.56200000001</v>
      </c>
      <c r="X66" s="1004">
        <f t="shared" si="22"/>
        <v>0</v>
      </c>
      <c r="Y66" s="979"/>
      <c r="Z66" s="964"/>
      <c r="AA66" s="964"/>
      <c r="AB66" s="964"/>
      <c r="AC66" s="994"/>
      <c r="AD66" s="1010"/>
      <c r="AE66" s="1009"/>
      <c r="AF66" s="964"/>
      <c r="AG66" s="964"/>
      <c r="AH66" s="964"/>
    </row>
    <row r="67" spans="1:65" s="1012" customFormat="1" ht="14.85" customHeight="1" outlineLevel="1">
      <c r="A67" s="1005"/>
      <c r="B67" s="986" t="s">
        <v>1508</v>
      </c>
      <c r="C67" s="989" t="s">
        <v>1221</v>
      </c>
      <c r="D67" s="988" t="s">
        <v>1222</v>
      </c>
      <c r="E67" s="989" t="s">
        <v>1223</v>
      </c>
      <c r="F67" s="990">
        <v>42130</v>
      </c>
      <c r="G67" s="1017">
        <v>14</v>
      </c>
      <c r="H67" s="1006">
        <v>13</v>
      </c>
      <c r="I67" s="1006">
        <v>15</v>
      </c>
      <c r="J67" s="1017">
        <v>25.87</v>
      </c>
      <c r="K67" s="1018">
        <f t="shared" si="17"/>
        <v>17189.739000000001</v>
      </c>
      <c r="L67" s="985">
        <v>5360</v>
      </c>
      <c r="M67" s="985">
        <v>22549.739000000001</v>
      </c>
      <c r="N67" s="992">
        <f t="shared" si="18"/>
        <v>240656.34600000002</v>
      </c>
      <c r="O67" s="994">
        <f t="shared" si="19"/>
        <v>75040</v>
      </c>
      <c r="P67" s="992">
        <f t="shared" si="20"/>
        <v>315696.34600000002</v>
      </c>
      <c r="Q67" s="992"/>
      <c r="R67" s="991">
        <v>25.87</v>
      </c>
      <c r="S67" s="995">
        <f t="shared" si="23"/>
        <v>583361.74793000007</v>
      </c>
      <c r="T67" s="996">
        <f t="shared" si="24"/>
        <v>0.84785714285714286</v>
      </c>
      <c r="U67" s="997" t="s">
        <v>1224</v>
      </c>
      <c r="V67" s="998" t="s">
        <v>1225</v>
      </c>
      <c r="W67" s="999">
        <f t="shared" si="21"/>
        <v>315696.34600000002</v>
      </c>
      <c r="X67" s="1004">
        <f t="shared" si="22"/>
        <v>0</v>
      </c>
      <c r="Y67" s="979"/>
      <c r="Z67" s="964"/>
      <c r="AA67" s="964"/>
      <c r="AB67" s="964"/>
      <c r="AC67" s="994"/>
      <c r="AD67" s="1010"/>
      <c r="AE67" s="1009"/>
      <c r="AF67" s="964"/>
      <c r="AG67" s="964"/>
      <c r="AH67" s="964"/>
    </row>
    <row r="68" spans="1:65" s="1012" customFormat="1" ht="14.85" customHeight="1" outlineLevel="1">
      <c r="A68" s="1047"/>
      <c r="B68" s="986" t="s">
        <v>1509</v>
      </c>
      <c r="C68" s="989" t="s">
        <v>1510</v>
      </c>
      <c r="D68" s="988" t="s">
        <v>1146</v>
      </c>
      <c r="E68" s="989" t="s">
        <v>1511</v>
      </c>
      <c r="F68" s="990">
        <v>42130</v>
      </c>
      <c r="G68" s="1017">
        <v>17</v>
      </c>
      <c r="H68" s="1006">
        <v>15</v>
      </c>
      <c r="I68" s="1006">
        <v>17</v>
      </c>
      <c r="J68" s="1017">
        <v>15.34</v>
      </c>
      <c r="K68" s="1018">
        <v>59535316.666666672</v>
      </c>
      <c r="L68" s="985">
        <v>9375</v>
      </c>
      <c r="M68" s="985">
        <v>68910.316666666695</v>
      </c>
      <c r="N68" s="992">
        <v>1012100.38333333</v>
      </c>
      <c r="O68" s="994">
        <f t="shared" si="19"/>
        <v>159375</v>
      </c>
      <c r="P68" s="992">
        <f t="shared" si="20"/>
        <v>1171475.38333333</v>
      </c>
      <c r="Q68" s="992"/>
      <c r="R68" s="991">
        <v>15.34</v>
      </c>
      <c r="S68" s="995">
        <f t="shared" si="23"/>
        <v>1057084.257666667</v>
      </c>
      <c r="T68" s="996">
        <f t="shared" si="24"/>
        <v>-9.7647058823526645E-2</v>
      </c>
      <c r="U68" s="997" t="s">
        <v>1512</v>
      </c>
      <c r="V68" s="998" t="s">
        <v>1513</v>
      </c>
      <c r="W68" s="999">
        <f t="shared" si="21"/>
        <v>1171475.38333333</v>
      </c>
      <c r="X68" s="1004">
        <f t="shared" si="22"/>
        <v>0</v>
      </c>
      <c r="Y68" s="979"/>
      <c r="Z68" s="964"/>
      <c r="AA68" s="964"/>
      <c r="AB68" s="964"/>
      <c r="AC68" s="994"/>
      <c r="AD68" s="1010"/>
      <c r="AE68" s="1009"/>
      <c r="AF68" s="964"/>
      <c r="AG68" s="964"/>
      <c r="AH68" s="964"/>
    </row>
    <row r="69" spans="1:65" s="1012" customFormat="1" ht="14.85" customHeight="1" outlineLevel="1">
      <c r="A69" s="1005"/>
      <c r="B69" s="986" t="s">
        <v>1244</v>
      </c>
      <c r="C69" s="989" t="s">
        <v>1245</v>
      </c>
      <c r="D69" s="988" t="s">
        <v>501</v>
      </c>
      <c r="E69" s="989" t="s">
        <v>1246</v>
      </c>
      <c r="F69" s="990">
        <v>42122</v>
      </c>
      <c r="G69" s="1017">
        <v>8</v>
      </c>
      <c r="H69" s="1006">
        <v>10</v>
      </c>
      <c r="I69" s="1006">
        <v>12</v>
      </c>
      <c r="J69" s="1017">
        <v>8.23</v>
      </c>
      <c r="K69" s="1018">
        <f>+M69-L69</f>
        <v>6154.3289999999997</v>
      </c>
      <c r="L69" s="985">
        <v>3000</v>
      </c>
      <c r="M69" s="985">
        <v>9154.3289999999997</v>
      </c>
      <c r="N69" s="992">
        <f>+G69*K69</f>
        <v>49234.631999999998</v>
      </c>
      <c r="O69" s="994">
        <f t="shared" si="19"/>
        <v>24000</v>
      </c>
      <c r="P69" s="992">
        <f t="shared" si="20"/>
        <v>73234.631999999998</v>
      </c>
      <c r="Q69" s="992"/>
      <c r="R69" s="991">
        <v>8.23</v>
      </c>
      <c r="S69" s="995">
        <f t="shared" si="23"/>
        <v>75340.127670000002</v>
      </c>
      <c r="T69" s="996">
        <f t="shared" si="24"/>
        <v>2.8750000000000053E-2</v>
      </c>
      <c r="U69" s="1011" t="s">
        <v>1247</v>
      </c>
      <c r="V69" s="998" t="s">
        <v>1248</v>
      </c>
      <c r="W69" s="999">
        <f t="shared" si="21"/>
        <v>73234.631999999998</v>
      </c>
      <c r="X69" s="1004">
        <f t="shared" si="22"/>
        <v>0</v>
      </c>
      <c r="AC69" s="1013"/>
      <c r="AD69" s="1010"/>
      <c r="AE69" s="1009"/>
    </row>
    <row r="70" spans="1:65" s="1012" customFormat="1" ht="14.85" customHeight="1" outlineLevel="1">
      <c r="A70" s="1047"/>
      <c r="B70" s="986" t="s">
        <v>1302</v>
      </c>
      <c r="C70" s="989" t="s">
        <v>1303</v>
      </c>
      <c r="D70" s="988" t="s">
        <v>1146</v>
      </c>
      <c r="E70" s="989" t="s">
        <v>1304</v>
      </c>
      <c r="F70" s="990">
        <v>41991</v>
      </c>
      <c r="G70" s="1017">
        <v>24</v>
      </c>
      <c r="H70" s="1006">
        <v>15</v>
      </c>
      <c r="I70" s="1006">
        <v>18</v>
      </c>
      <c r="J70" s="1017">
        <v>50.14</v>
      </c>
      <c r="K70" s="1018">
        <f>+M70-L70</f>
        <v>65143.189000000006</v>
      </c>
      <c r="L70" s="985">
        <v>12676.353999999999</v>
      </c>
      <c r="M70" s="985">
        <v>77819.543000000005</v>
      </c>
      <c r="N70" s="992">
        <f>+G70*K70</f>
        <v>1563436.5360000001</v>
      </c>
      <c r="O70" s="994">
        <f t="shared" si="19"/>
        <v>304232.49599999998</v>
      </c>
      <c r="P70" s="992">
        <f t="shared" si="20"/>
        <v>1867669.0320000001</v>
      </c>
      <c r="Q70" s="992"/>
      <c r="R70" s="1017">
        <v>50.14</v>
      </c>
      <c r="S70" s="1051">
        <f t="shared" si="23"/>
        <v>3901871.8860200001</v>
      </c>
      <c r="T70" s="996">
        <f t="shared" si="24"/>
        <v>1.0891666666666664</v>
      </c>
      <c r="U70" s="998" t="s">
        <v>1305</v>
      </c>
      <c r="V70" s="998" t="s">
        <v>1306</v>
      </c>
      <c r="W70" s="999">
        <f t="shared" si="21"/>
        <v>1867669.0320000001</v>
      </c>
      <c r="X70" s="1004">
        <f t="shared" si="22"/>
        <v>0</v>
      </c>
      <c r="AC70" s="1013"/>
      <c r="AD70" s="1010"/>
      <c r="AE70" s="1009"/>
    </row>
    <row r="71" spans="1:65" s="1012" customFormat="1" ht="14.85" customHeight="1" outlineLevel="1">
      <c r="A71" s="1005"/>
      <c r="B71" s="986"/>
      <c r="C71" s="989"/>
      <c r="D71" s="988"/>
      <c r="E71" s="989"/>
      <c r="F71" s="990"/>
      <c r="G71" s="1017"/>
      <c r="H71" s="1006"/>
      <c r="I71" s="1006"/>
      <c r="J71" s="1017"/>
      <c r="K71" s="1018"/>
      <c r="L71" s="994"/>
      <c r="M71" s="994"/>
      <c r="N71" s="992"/>
      <c r="O71" s="994"/>
      <c r="P71" s="992"/>
      <c r="Q71" s="992"/>
      <c r="R71" s="991"/>
      <c r="S71" s="995"/>
      <c r="T71" s="996"/>
      <c r="U71" s="1011"/>
      <c r="V71" s="998"/>
      <c r="W71" s="999"/>
      <c r="X71" s="1004"/>
      <c r="AC71" s="1013"/>
      <c r="AD71" s="1010"/>
      <c r="AE71" s="1009"/>
    </row>
    <row r="72" spans="1:65" s="1012" customFormat="1" ht="14.85" customHeight="1" outlineLevel="1">
      <c r="A72" s="1005"/>
      <c r="B72" s="1143" t="s">
        <v>111</v>
      </c>
      <c r="C72" s="1144"/>
      <c r="D72" s="1144"/>
      <c r="E72" s="1144"/>
      <c r="F72" s="1144"/>
      <c r="G72" s="1144"/>
      <c r="H72" s="1144"/>
      <c r="I72" s="1144"/>
      <c r="J72" s="1144"/>
      <c r="K72" s="1144"/>
      <c r="L72" s="1144"/>
      <c r="M72" s="1144"/>
      <c r="N72" s="1145">
        <f>MAX(N49:N70)</f>
        <v>1563436.5360000001</v>
      </c>
      <c r="O72" s="1145"/>
      <c r="P72" s="1146">
        <f>MAX(P49:P70)</f>
        <v>1867669.0320000001</v>
      </c>
      <c r="Q72" s="992"/>
      <c r="R72" s="1147">
        <f>MAX(R51:R69)</f>
        <v>25.87</v>
      </c>
      <c r="S72" s="995"/>
      <c r="T72" s="996"/>
      <c r="U72" s="1011"/>
      <c r="V72" s="998"/>
      <c r="W72" s="999"/>
      <c r="X72" s="1004"/>
      <c r="AC72" s="1013"/>
      <c r="AD72" s="1010"/>
      <c r="AE72" s="1009"/>
    </row>
    <row r="73" spans="1:65" s="1012" customFormat="1" ht="14.85" customHeight="1" outlineLevel="1">
      <c r="A73" s="1005"/>
      <c r="B73" s="1024" t="s">
        <v>115</v>
      </c>
      <c r="C73" s="1025"/>
      <c r="D73" s="1025"/>
      <c r="E73" s="1025"/>
      <c r="F73" s="1025"/>
      <c r="G73" s="1025"/>
      <c r="H73" s="1025"/>
      <c r="I73" s="1025"/>
      <c r="J73" s="1025"/>
      <c r="K73" s="1025"/>
      <c r="L73" s="1025"/>
      <c r="M73" s="1025"/>
      <c r="N73" s="940">
        <f>_xlfn.QUARTILE.INC(N49:N70,3)</f>
        <v>249114.93300000002</v>
      </c>
      <c r="O73" s="940"/>
      <c r="P73" s="1026">
        <f>_xlfn.QUARTILE.INC(P49:P70,3)</f>
        <v>321499.93300000002</v>
      </c>
      <c r="Q73" s="992"/>
      <c r="R73" s="1027">
        <f>_xlfn.QUARTILE.INC(R51:R69,3)</f>
        <v>15.234999999999999</v>
      </c>
      <c r="S73" s="995"/>
      <c r="T73" s="996"/>
      <c r="U73" s="1011"/>
      <c r="V73" s="998"/>
      <c r="W73" s="999"/>
      <c r="X73" s="1004"/>
      <c r="AC73" s="1013"/>
      <c r="AD73" s="1010"/>
      <c r="AE73" s="1009"/>
    </row>
    <row r="74" spans="1:65" s="1012" customFormat="1" ht="14.85" customHeight="1" outlineLevel="1">
      <c r="A74" s="1005"/>
      <c r="B74" s="1024" t="s">
        <v>43</v>
      </c>
      <c r="C74" s="1025"/>
      <c r="D74" s="1025"/>
      <c r="E74" s="1025"/>
      <c r="F74" s="1025"/>
      <c r="G74" s="1025"/>
      <c r="H74" s="1025"/>
      <c r="I74" s="1025"/>
      <c r="J74" s="1025"/>
      <c r="K74" s="1025"/>
      <c r="L74" s="1025"/>
      <c r="M74" s="1025"/>
      <c r="N74" s="940">
        <f>AVERAGE(N49:N70)</f>
        <v>284454.70512878773</v>
      </c>
      <c r="O74" s="940"/>
      <c r="P74" s="1026">
        <f>AVERAGE(P49:P70)</f>
        <v>361738.90921969677</v>
      </c>
      <c r="Q74" s="992"/>
      <c r="R74" s="1027">
        <f>AVERAGE(R51:R69)</f>
        <v>13.43363947368421</v>
      </c>
      <c r="S74" s="995"/>
      <c r="T74" s="996"/>
      <c r="U74" s="1011"/>
      <c r="V74" s="998"/>
      <c r="W74" s="999"/>
      <c r="X74" s="1004"/>
      <c r="AC74" s="1013"/>
      <c r="AD74" s="1010"/>
      <c r="AE74" s="1009"/>
    </row>
    <row r="75" spans="1:65" s="1012" customFormat="1" ht="14.85" customHeight="1" outlineLevel="1">
      <c r="A75" s="1005"/>
      <c r="B75" s="1024" t="s">
        <v>44</v>
      </c>
      <c r="C75" s="1025"/>
      <c r="D75" s="1025"/>
      <c r="E75" s="1025"/>
      <c r="F75" s="1025"/>
      <c r="G75" s="1025"/>
      <c r="H75" s="1025"/>
      <c r="I75" s="1025"/>
      <c r="J75" s="1025"/>
      <c r="K75" s="1025"/>
      <c r="L75" s="1025"/>
      <c r="M75" s="1025"/>
      <c r="N75" s="940">
        <f>MEDIAN(N49:N70)</f>
        <v>197884.44</v>
      </c>
      <c r="O75" s="940"/>
      <c r="P75" s="1026">
        <f>MEDIAN(P49:P70)</f>
        <v>267409.86249999999</v>
      </c>
      <c r="Q75" s="992"/>
      <c r="R75" s="1027">
        <f>MEDIAN(R51:R69)</f>
        <v>13.14</v>
      </c>
      <c r="S75" s="995"/>
      <c r="T75" s="996"/>
      <c r="U75" s="1011"/>
      <c r="V75" s="998"/>
      <c r="W75" s="999"/>
      <c r="X75" s="1004"/>
      <c r="AC75" s="1013"/>
      <c r="AD75" s="1010"/>
      <c r="AE75" s="1009"/>
    </row>
    <row r="76" spans="1:65" s="1012" customFormat="1" ht="14.85" customHeight="1" outlineLevel="1">
      <c r="A76" s="1005"/>
      <c r="B76" s="1024" t="s">
        <v>114</v>
      </c>
      <c r="C76" s="1025"/>
      <c r="D76" s="1025"/>
      <c r="E76" s="1025"/>
      <c r="F76" s="1025"/>
      <c r="G76" s="1025"/>
      <c r="H76" s="1025"/>
      <c r="I76" s="1025"/>
      <c r="J76" s="1025"/>
      <c r="K76" s="1025"/>
      <c r="L76" s="1025"/>
      <c r="M76" s="1025"/>
      <c r="N76" s="940">
        <f>_xlfn.QUARTILE.INC(N49:N70,1)</f>
        <v>108055.34699999999</v>
      </c>
      <c r="O76" s="940"/>
      <c r="P76" s="1026">
        <f>_xlfn.QUARTILE.INC(P49:P70,1)</f>
        <v>179900.81699999998</v>
      </c>
      <c r="Q76" s="992"/>
      <c r="R76" s="1027">
        <f>_xlfn.QUARTILE.INC(R51:R69,1)</f>
        <v>10.374575</v>
      </c>
      <c r="S76" s="995"/>
      <c r="T76" s="996"/>
      <c r="U76" s="1011"/>
      <c r="V76" s="998"/>
      <c r="W76" s="999"/>
      <c r="X76" s="1004"/>
      <c r="AC76" s="1013"/>
      <c r="AD76" s="1010"/>
      <c r="AE76" s="1009"/>
    </row>
    <row r="77" spans="1:65" s="1012" customFormat="1" ht="14.85" customHeight="1" outlineLevel="1">
      <c r="A77" s="1005"/>
      <c r="B77" s="1028" t="s">
        <v>112</v>
      </c>
      <c r="C77" s="1029"/>
      <c r="D77" s="1029"/>
      <c r="E77" s="1029"/>
      <c r="F77" s="1029"/>
      <c r="G77" s="1029"/>
      <c r="H77" s="1029"/>
      <c r="I77" s="1029"/>
      <c r="J77" s="1029"/>
      <c r="K77" s="1029"/>
      <c r="L77" s="1029"/>
      <c r="M77" s="1029"/>
      <c r="N77" s="942">
        <f>MIN(N49:N70)</f>
        <v>47690.983999999997</v>
      </c>
      <c r="O77" s="942"/>
      <c r="P77" s="1030">
        <f>MIN(P49:P70)</f>
        <v>52970.983999999997</v>
      </c>
      <c r="Q77" s="992"/>
      <c r="R77" s="1031">
        <f>MIN(R51:R69)</f>
        <v>3.35</v>
      </c>
      <c r="S77" s="995"/>
      <c r="T77" s="996"/>
      <c r="U77" s="1011"/>
      <c r="V77" s="998"/>
      <c r="W77" s="999"/>
      <c r="X77" s="1004"/>
      <c r="AC77" s="1013"/>
      <c r="AD77" s="1010"/>
      <c r="AE77" s="1009"/>
    </row>
    <row r="78" spans="1:65" s="1012" customFormat="1" ht="14.85" customHeight="1" outlineLevel="1">
      <c r="A78" s="1005"/>
      <c r="B78" s="986"/>
      <c r="C78" s="989"/>
      <c r="D78" s="988"/>
      <c r="E78" s="989"/>
      <c r="F78" s="990"/>
      <c r="G78" s="1017"/>
      <c r="H78" s="1006"/>
      <c r="I78" s="1006"/>
      <c r="J78" s="1017"/>
      <c r="K78" s="1018"/>
      <c r="L78" s="994"/>
      <c r="M78" s="994"/>
      <c r="N78" s="992"/>
      <c r="O78" s="994"/>
      <c r="P78" s="992"/>
      <c r="Q78" s="992"/>
      <c r="R78" s="991"/>
      <c r="S78" s="995"/>
      <c r="T78" s="996"/>
      <c r="U78" s="1011"/>
      <c r="V78" s="998"/>
      <c r="W78" s="999"/>
      <c r="X78" s="1004"/>
      <c r="AC78" s="1013"/>
      <c r="AD78" s="1010"/>
      <c r="AE78" s="1009"/>
    </row>
    <row r="79" spans="1:65" s="1012" customFormat="1" ht="14.85" customHeight="1" outlineLevel="1">
      <c r="A79" s="1005"/>
      <c r="B79" s="1032" t="s">
        <v>1514</v>
      </c>
      <c r="C79" s="989"/>
      <c r="D79" s="988"/>
      <c r="E79" s="989"/>
      <c r="F79" s="990"/>
      <c r="G79" s="1017"/>
      <c r="H79" s="1006"/>
      <c r="I79" s="1006"/>
      <c r="J79" s="1017"/>
      <c r="K79" s="1018"/>
      <c r="L79" s="994"/>
      <c r="M79" s="994"/>
      <c r="N79" s="992"/>
      <c r="O79" s="994"/>
      <c r="P79" s="992"/>
      <c r="Q79" s="992"/>
      <c r="R79" s="991"/>
      <c r="S79" s="995"/>
      <c r="T79" s="996"/>
      <c r="U79" s="1011"/>
      <c r="V79" s="998"/>
      <c r="W79" s="999"/>
      <c r="X79" s="1004"/>
      <c r="AC79" s="1013"/>
      <c r="AD79" s="1010"/>
      <c r="AE79" s="1009"/>
    </row>
    <row r="80" spans="1:65" s="979" customFormat="1" ht="14.85" customHeight="1" outlineLevel="1">
      <c r="A80" s="1005"/>
      <c r="B80" s="986" t="s">
        <v>1521</v>
      </c>
      <c r="C80" s="989" t="s">
        <v>1522</v>
      </c>
      <c r="D80" s="988" t="s">
        <v>1212</v>
      </c>
      <c r="E80" s="989" t="s">
        <v>1523</v>
      </c>
      <c r="F80" s="990">
        <v>42760</v>
      </c>
      <c r="G80" s="1137">
        <v>15</v>
      </c>
      <c r="H80" s="991">
        <v>14</v>
      </c>
      <c r="I80" s="991">
        <v>16</v>
      </c>
      <c r="J80" s="1137">
        <v>13.99</v>
      </c>
      <c r="K80" s="1018">
        <f t="shared" ref="K80:K98" si="25">+M80-L80</f>
        <v>23181.261999999999</v>
      </c>
      <c r="L80" s="985">
        <f>6450000/1000</f>
        <v>6450</v>
      </c>
      <c r="M80" s="985">
        <f>29631262/1000</f>
        <v>29631.261999999999</v>
      </c>
      <c r="N80" s="992">
        <f t="shared" ref="N80:N98" si="26">+G80*K80</f>
        <v>347718.93</v>
      </c>
      <c r="O80" s="994">
        <f>96750000/1000</f>
        <v>96750</v>
      </c>
      <c r="P80" s="992">
        <f t="shared" ref="P80:P99" si="27">+N80+O80</f>
        <v>444468.93</v>
      </c>
      <c r="Q80" s="992"/>
      <c r="R80" s="991">
        <v>13.99</v>
      </c>
      <c r="S80" s="995">
        <f>414541355.38/1000</f>
        <v>414541.35538000002</v>
      </c>
      <c r="T80" s="996">
        <v>-6.7333333333333356E-2</v>
      </c>
      <c r="U80" s="1007" t="s">
        <v>1523</v>
      </c>
      <c r="V80" s="998"/>
      <c r="W80" s="999">
        <f t="shared" ref="W80:W99" si="28">+N80+O80</f>
        <v>444468.93</v>
      </c>
      <c r="X80" s="1004">
        <f t="shared" ref="X80:X99" si="29">+P80-W80</f>
        <v>0</v>
      </c>
      <c r="Y80" s="1009"/>
      <c r="AE80" s="979" t="s">
        <v>1525</v>
      </c>
      <c r="AF80" s="979" t="s">
        <v>1526</v>
      </c>
      <c r="AG80" s="979" t="s">
        <v>1527</v>
      </c>
      <c r="AI80" s="979">
        <v>6450000</v>
      </c>
      <c r="AJ80" s="979">
        <v>6450000</v>
      </c>
      <c r="AK80" s="979">
        <v>29631262</v>
      </c>
      <c r="AM80" s="979">
        <f>AI80-AO80</f>
        <v>0</v>
      </c>
      <c r="AN80" s="979">
        <f>AK80-AQ80</f>
        <v>0</v>
      </c>
      <c r="AO80" s="979">
        <v>6450000</v>
      </c>
      <c r="AP80" s="979">
        <f>AO80+AS80</f>
        <v>7417500</v>
      </c>
      <c r="AQ80" s="979">
        <v>29631262</v>
      </c>
      <c r="AR80" s="979">
        <f>AQ80+AS80</f>
        <v>30598762</v>
      </c>
      <c r="AS80" s="979">
        <v>967500</v>
      </c>
      <c r="AT80" s="979">
        <f>AU80*J80</f>
        <v>414541327.40000004</v>
      </c>
      <c r="AU80" s="979">
        <v>29631260</v>
      </c>
      <c r="AV80" s="979">
        <f>+J80*M80</f>
        <v>414541.35537999996</v>
      </c>
      <c r="AW80" s="979">
        <v>42761</v>
      </c>
      <c r="AX80" s="979">
        <f>+AW80+30</f>
        <v>42791</v>
      </c>
      <c r="AY80" s="979">
        <f>AW80+90</f>
        <v>42851</v>
      </c>
      <c r="AZ80" s="979">
        <v>29631260</v>
      </c>
      <c r="BA80" s="979">
        <v>13.62</v>
      </c>
      <c r="BB80" s="979">
        <f>BA80*AZ80</f>
        <v>403577761.19999999</v>
      </c>
      <c r="BC80" s="979" t="s">
        <v>1528</v>
      </c>
      <c r="BD80" s="979">
        <v>38910000</v>
      </c>
      <c r="BE80" s="979">
        <v>0</v>
      </c>
      <c r="BF80" s="979" t="e">
        <f ca="1">_xll.ciqfunctions.udf.CIQ(C80, "IQ_MARKETCAP", $BF$1)*1000000</f>
        <v>#NAME?</v>
      </c>
      <c r="BG80" s="979">
        <v>123139750</v>
      </c>
      <c r="BH80" s="979" t="e">
        <f ca="1">(BF80-BG80)/BF80</f>
        <v>#NAME?</v>
      </c>
      <c r="BJ80" s="979" t="s">
        <v>1529</v>
      </c>
      <c r="BM80" s="979" t="b">
        <f>IF(ABS(O80-P80)&lt;100,TRUE,FALSE)</f>
        <v>0</v>
      </c>
    </row>
    <row r="81" spans="1:34" s="979" customFormat="1" ht="14.85" customHeight="1" outlineLevel="1">
      <c r="A81" s="1005"/>
      <c r="B81" s="986" t="s">
        <v>1062</v>
      </c>
      <c r="C81" s="989" t="s">
        <v>1063</v>
      </c>
      <c r="D81" s="988" t="s">
        <v>494</v>
      </c>
      <c r="E81" s="989" t="s">
        <v>1064</v>
      </c>
      <c r="F81" s="990">
        <v>42586</v>
      </c>
      <c r="G81" s="1137">
        <v>10</v>
      </c>
      <c r="H81" s="991">
        <v>11</v>
      </c>
      <c r="I81" s="991">
        <v>13</v>
      </c>
      <c r="J81" s="1137">
        <v>13.23</v>
      </c>
      <c r="K81" s="1018">
        <f t="shared" si="25"/>
        <v>5431.6149999999998</v>
      </c>
      <c r="L81" s="985">
        <v>3000</v>
      </c>
      <c r="M81" s="985">
        <v>8431.6149999999998</v>
      </c>
      <c r="N81" s="992">
        <f t="shared" si="26"/>
        <v>54316.149999999994</v>
      </c>
      <c r="O81" s="994">
        <f t="shared" ref="O81:O99" si="30">+G81*L81</f>
        <v>30000</v>
      </c>
      <c r="P81" s="992">
        <f t="shared" si="27"/>
        <v>84316.15</v>
      </c>
      <c r="Q81" s="992"/>
      <c r="R81" s="991">
        <v>13.23</v>
      </c>
      <c r="S81" s="995">
        <f t="shared" ref="S81:S99" si="31">R81*M81</f>
        <v>111550.26645</v>
      </c>
      <c r="T81" s="996">
        <f t="shared" ref="T81:T99" si="32">S81/P81-1</f>
        <v>0.32299999999999995</v>
      </c>
      <c r="U81" s="1007" t="s">
        <v>1065</v>
      </c>
      <c r="V81" s="998" t="s">
        <v>1066</v>
      </c>
      <c r="W81" s="999">
        <f t="shared" si="28"/>
        <v>84316.15</v>
      </c>
      <c r="X81" s="1004">
        <f t="shared" si="29"/>
        <v>0</v>
      </c>
      <c r="Y81" s="1009"/>
    </row>
    <row r="82" spans="1:34" s="979" customFormat="1" ht="14.85" customHeight="1" outlineLevel="1">
      <c r="A82" s="1005"/>
      <c r="B82" s="986" t="s">
        <v>1067</v>
      </c>
      <c r="C82" s="989" t="s">
        <v>1068</v>
      </c>
      <c r="D82" s="988" t="s">
        <v>494</v>
      </c>
      <c r="E82" s="989" t="s">
        <v>1069</v>
      </c>
      <c r="F82" s="990">
        <v>42577</v>
      </c>
      <c r="G82" s="1017">
        <v>12</v>
      </c>
      <c r="H82" s="1006">
        <v>0</v>
      </c>
      <c r="I82" s="1006">
        <v>0</v>
      </c>
      <c r="J82" s="1017">
        <v>10.06</v>
      </c>
      <c r="K82" s="1018">
        <f t="shared" si="25"/>
        <v>38620.332000000002</v>
      </c>
      <c r="L82" s="985">
        <v>6250</v>
      </c>
      <c r="M82" s="985">
        <v>44870.332000000002</v>
      </c>
      <c r="N82" s="992">
        <f t="shared" si="26"/>
        <v>463443.98400000005</v>
      </c>
      <c r="O82" s="994">
        <f t="shared" si="30"/>
        <v>75000</v>
      </c>
      <c r="P82" s="992">
        <f t="shared" si="27"/>
        <v>538443.98400000005</v>
      </c>
      <c r="Q82" s="992"/>
      <c r="R82" s="991">
        <v>10.06</v>
      </c>
      <c r="S82" s="995">
        <f t="shared" si="31"/>
        <v>451395.53992000007</v>
      </c>
      <c r="T82" s="996">
        <f t="shared" si="32"/>
        <v>-0.16166666666666663</v>
      </c>
      <c r="U82" s="1007" t="s">
        <v>1070</v>
      </c>
      <c r="V82" s="998" t="s">
        <v>1071</v>
      </c>
      <c r="W82" s="999">
        <f t="shared" si="28"/>
        <v>538443.98400000005</v>
      </c>
      <c r="X82" s="1004">
        <f t="shared" si="29"/>
        <v>0</v>
      </c>
      <c r="Y82" s="1009"/>
    </row>
    <row r="83" spans="1:34" s="979" customFormat="1" ht="14.85" customHeight="1" outlineLevel="1">
      <c r="A83" s="1005"/>
      <c r="B83" s="1048" t="s">
        <v>1101</v>
      </c>
      <c r="C83" s="989" t="s">
        <v>1102</v>
      </c>
      <c r="D83" s="988" t="s">
        <v>494</v>
      </c>
      <c r="E83" s="989" t="s">
        <v>1103</v>
      </c>
      <c r="F83" s="990">
        <v>42495</v>
      </c>
      <c r="G83" s="1017">
        <v>12</v>
      </c>
      <c r="H83" s="1006">
        <v>13</v>
      </c>
      <c r="I83" s="1006">
        <v>15</v>
      </c>
      <c r="J83" s="1017">
        <v>11.2</v>
      </c>
      <c r="K83" s="1018">
        <f t="shared" si="25"/>
        <v>6171.0910000000003</v>
      </c>
      <c r="L83" s="985">
        <v>920</v>
      </c>
      <c r="M83" s="985">
        <v>7091.0910000000003</v>
      </c>
      <c r="N83" s="992">
        <f t="shared" si="26"/>
        <v>74053.092000000004</v>
      </c>
      <c r="O83" s="994">
        <f t="shared" si="30"/>
        <v>11040</v>
      </c>
      <c r="P83" s="992">
        <f t="shared" si="27"/>
        <v>85093.092000000004</v>
      </c>
      <c r="Q83" s="992"/>
      <c r="R83" s="991">
        <v>11.2</v>
      </c>
      <c r="S83" s="995">
        <f t="shared" si="31"/>
        <v>79420.219199999992</v>
      </c>
      <c r="T83" s="996">
        <f t="shared" si="32"/>
        <v>-6.6666666666666763E-2</v>
      </c>
      <c r="U83" s="997" t="s">
        <v>1104</v>
      </c>
      <c r="V83" s="998" t="s">
        <v>1530</v>
      </c>
      <c r="W83" s="999">
        <f t="shared" si="28"/>
        <v>85093.092000000004</v>
      </c>
      <c r="X83" s="1004">
        <f t="shared" si="29"/>
        <v>0</v>
      </c>
      <c r="AC83" s="994"/>
      <c r="AD83" s="1010"/>
      <c r="AE83" s="1009"/>
    </row>
    <row r="84" spans="1:34" s="964" customFormat="1" ht="14.85" customHeight="1" outlineLevel="1">
      <c r="A84" s="1005"/>
      <c r="B84" s="986" t="s">
        <v>1150</v>
      </c>
      <c r="C84" s="989" t="s">
        <v>1151</v>
      </c>
      <c r="D84" s="988" t="s">
        <v>494</v>
      </c>
      <c r="E84" s="989" t="s">
        <v>1152</v>
      </c>
      <c r="F84" s="990">
        <v>42291</v>
      </c>
      <c r="G84" s="1017">
        <v>6.5</v>
      </c>
      <c r="H84" s="1006">
        <v>6</v>
      </c>
      <c r="I84" s="1006">
        <v>7</v>
      </c>
      <c r="J84" s="1017">
        <v>3.13</v>
      </c>
      <c r="K84" s="1018">
        <f t="shared" si="25"/>
        <v>4630.143</v>
      </c>
      <c r="L84" s="985">
        <v>4000</v>
      </c>
      <c r="M84" s="985">
        <v>8630.143</v>
      </c>
      <c r="N84" s="992">
        <f t="shared" si="26"/>
        <v>30095.929499999998</v>
      </c>
      <c r="O84" s="994">
        <f t="shared" si="30"/>
        <v>26000</v>
      </c>
      <c r="P84" s="992">
        <f t="shared" si="27"/>
        <v>56095.929499999998</v>
      </c>
      <c r="Q84" s="992"/>
      <c r="R84" s="991">
        <v>3.13</v>
      </c>
      <c r="S84" s="995">
        <f t="shared" si="31"/>
        <v>27012.347589999998</v>
      </c>
      <c r="T84" s="996">
        <f t="shared" si="32"/>
        <v>-0.51846153846153853</v>
      </c>
      <c r="U84" s="997" t="s">
        <v>1153</v>
      </c>
      <c r="V84" s="998" t="s">
        <v>1154</v>
      </c>
      <c r="W84" s="999">
        <f t="shared" si="28"/>
        <v>56095.929499999998</v>
      </c>
      <c r="X84" s="1004">
        <f t="shared" si="29"/>
        <v>0</v>
      </c>
      <c r="Y84" s="979"/>
      <c r="AC84" s="994"/>
      <c r="AD84" s="1010"/>
      <c r="AE84" s="1009"/>
    </row>
    <row r="85" spans="1:34" s="964" customFormat="1" ht="14.85" customHeight="1" outlineLevel="1">
      <c r="A85" s="1005"/>
      <c r="B85" s="986" t="s">
        <v>1160</v>
      </c>
      <c r="C85" s="989" t="s">
        <v>1161</v>
      </c>
      <c r="D85" s="988" t="s">
        <v>494</v>
      </c>
      <c r="E85" s="989" t="s">
        <v>1162</v>
      </c>
      <c r="F85" s="990">
        <v>42283</v>
      </c>
      <c r="G85" s="1017">
        <v>11</v>
      </c>
      <c r="H85" s="1006">
        <v>14</v>
      </c>
      <c r="I85" s="1006">
        <v>16</v>
      </c>
      <c r="J85" s="1017">
        <v>14.67</v>
      </c>
      <c r="K85" s="1018">
        <f t="shared" si="25"/>
        <v>14407.503000000001</v>
      </c>
      <c r="L85" s="985">
        <v>5000</v>
      </c>
      <c r="M85" s="985">
        <v>19407.503000000001</v>
      </c>
      <c r="N85" s="992">
        <f t="shared" si="26"/>
        <v>158482.533</v>
      </c>
      <c r="O85" s="994">
        <f t="shared" si="30"/>
        <v>55000</v>
      </c>
      <c r="P85" s="992">
        <f t="shared" si="27"/>
        <v>213482.533</v>
      </c>
      <c r="Q85" s="992"/>
      <c r="R85" s="991">
        <v>14.67</v>
      </c>
      <c r="S85" s="995">
        <f t="shared" si="31"/>
        <v>284708.06901000004</v>
      </c>
      <c r="T85" s="996">
        <f t="shared" si="32"/>
        <v>0.33363636363636373</v>
      </c>
      <c r="U85" s="997" t="s">
        <v>1163</v>
      </c>
      <c r="V85" s="998" t="s">
        <v>1164</v>
      </c>
      <c r="W85" s="999">
        <f t="shared" si="28"/>
        <v>213482.533</v>
      </c>
      <c r="X85" s="1004">
        <f t="shared" si="29"/>
        <v>0</v>
      </c>
      <c r="Y85" s="979"/>
      <c r="AC85" s="994"/>
      <c r="AD85" s="1010"/>
      <c r="AE85" s="1009"/>
    </row>
    <row r="86" spans="1:34" s="964" customFormat="1" ht="14.85" customHeight="1" outlineLevel="1">
      <c r="A86" s="1005"/>
      <c r="B86" s="986" t="s">
        <v>1169</v>
      </c>
      <c r="C86" s="989" t="s">
        <v>1170</v>
      </c>
      <c r="D86" s="988" t="s">
        <v>494</v>
      </c>
      <c r="E86" s="989" t="s">
        <v>1171</v>
      </c>
      <c r="F86" s="990">
        <v>42277</v>
      </c>
      <c r="G86" s="1017">
        <v>11</v>
      </c>
      <c r="H86" s="1006">
        <v>14</v>
      </c>
      <c r="I86" s="1006">
        <v>16</v>
      </c>
      <c r="J86" s="1017">
        <v>17.88</v>
      </c>
      <c r="K86" s="1018">
        <f t="shared" si="25"/>
        <v>20181.25</v>
      </c>
      <c r="L86" s="985">
        <v>7315.1509999999998</v>
      </c>
      <c r="M86" s="985">
        <v>27496.401000000002</v>
      </c>
      <c r="N86" s="992">
        <f t="shared" si="26"/>
        <v>221993.75</v>
      </c>
      <c r="O86" s="994">
        <f t="shared" si="30"/>
        <v>80466.660999999993</v>
      </c>
      <c r="P86" s="992">
        <f t="shared" si="27"/>
        <v>302460.41099999996</v>
      </c>
      <c r="Q86" s="992"/>
      <c r="R86" s="991">
        <v>17.88</v>
      </c>
      <c r="S86" s="995">
        <f t="shared" si="31"/>
        <v>491635.64987999998</v>
      </c>
      <c r="T86" s="996">
        <f t="shared" si="32"/>
        <v>0.62545454545454549</v>
      </c>
      <c r="U86" s="997" t="s">
        <v>1172</v>
      </c>
      <c r="V86" s="998" t="s">
        <v>1173</v>
      </c>
      <c r="W86" s="999">
        <f t="shared" si="28"/>
        <v>302460.41099999996</v>
      </c>
      <c r="X86" s="1004">
        <f t="shared" si="29"/>
        <v>0</v>
      </c>
      <c r="Y86" s="979"/>
      <c r="AC86" s="994"/>
      <c r="AD86" s="1010"/>
      <c r="AE86" s="1009"/>
    </row>
    <row r="87" spans="1:34" s="964" customFormat="1" ht="14.85" customHeight="1" outlineLevel="1">
      <c r="A87" s="1005"/>
      <c r="B87" s="1046" t="s">
        <v>1175</v>
      </c>
      <c r="C87" s="989" t="s">
        <v>1176</v>
      </c>
      <c r="D87" s="988" t="s">
        <v>494</v>
      </c>
      <c r="E87" s="989" t="s">
        <v>1177</v>
      </c>
      <c r="F87" s="990">
        <v>42227</v>
      </c>
      <c r="G87" s="1017">
        <v>20</v>
      </c>
      <c r="H87" s="1006">
        <v>16</v>
      </c>
      <c r="I87" s="1006">
        <v>18</v>
      </c>
      <c r="J87" s="1017">
        <v>52.72</v>
      </c>
      <c r="K87" s="1018">
        <f t="shared" si="25"/>
        <v>21808.456999999999</v>
      </c>
      <c r="L87" s="985">
        <v>6000</v>
      </c>
      <c r="M87" s="985">
        <v>27808.456999999999</v>
      </c>
      <c r="N87" s="992">
        <f t="shared" si="26"/>
        <v>436169.13999999996</v>
      </c>
      <c r="O87" s="994">
        <f t="shared" si="30"/>
        <v>120000</v>
      </c>
      <c r="P87" s="992">
        <f t="shared" si="27"/>
        <v>556169.1399999999</v>
      </c>
      <c r="Q87" s="992"/>
      <c r="R87" s="991">
        <v>52.72</v>
      </c>
      <c r="S87" s="995">
        <f t="shared" si="31"/>
        <v>1466061.85304</v>
      </c>
      <c r="T87" s="996">
        <f t="shared" si="32"/>
        <v>1.6360000000000006</v>
      </c>
      <c r="U87" s="1011" t="s">
        <v>1178</v>
      </c>
      <c r="V87" s="998" t="s">
        <v>1179</v>
      </c>
      <c r="W87" s="999">
        <f t="shared" si="28"/>
        <v>556169.1399999999</v>
      </c>
      <c r="X87" s="1004">
        <f t="shared" si="29"/>
        <v>0</v>
      </c>
      <c r="Y87" s="1014"/>
      <c r="Z87" s="1013"/>
      <c r="AA87" s="1014"/>
      <c r="AB87" s="1014"/>
      <c r="AC87" s="1013"/>
      <c r="AD87" s="1010"/>
      <c r="AE87" s="1009"/>
      <c r="AF87" s="1011"/>
      <c r="AG87" s="1016"/>
      <c r="AH87" s="1016"/>
    </row>
    <row r="88" spans="1:34" s="964" customFormat="1" ht="14.85" customHeight="1" outlineLevel="1">
      <c r="A88" s="1005"/>
      <c r="B88" s="986" t="s">
        <v>1180</v>
      </c>
      <c r="C88" s="989" t="s">
        <v>1181</v>
      </c>
      <c r="D88" s="988" t="s">
        <v>494</v>
      </c>
      <c r="E88" s="989" t="s">
        <v>1182</v>
      </c>
      <c r="F88" s="990">
        <v>42221</v>
      </c>
      <c r="G88" s="1017">
        <v>16</v>
      </c>
      <c r="H88" s="1006">
        <v>14</v>
      </c>
      <c r="I88" s="1006">
        <v>16</v>
      </c>
      <c r="J88" s="1017">
        <v>22.59</v>
      </c>
      <c r="K88" s="1018">
        <f t="shared" si="25"/>
        <v>30679.538</v>
      </c>
      <c r="L88" s="985">
        <v>10000</v>
      </c>
      <c r="M88" s="985">
        <v>40679.538</v>
      </c>
      <c r="N88" s="992">
        <f t="shared" si="26"/>
        <v>490872.60800000001</v>
      </c>
      <c r="O88" s="994">
        <f t="shared" si="30"/>
        <v>160000</v>
      </c>
      <c r="P88" s="992">
        <f t="shared" si="27"/>
        <v>650872.60800000001</v>
      </c>
      <c r="Q88" s="992"/>
      <c r="R88" s="991">
        <v>22.59</v>
      </c>
      <c r="S88" s="995">
        <f t="shared" si="31"/>
        <v>918950.76341999997</v>
      </c>
      <c r="T88" s="996">
        <f t="shared" si="32"/>
        <v>0.41187499999999999</v>
      </c>
      <c r="U88" s="997" t="s">
        <v>1183</v>
      </c>
      <c r="V88" s="998" t="s">
        <v>1184</v>
      </c>
      <c r="W88" s="999">
        <f t="shared" si="28"/>
        <v>650872.60800000001</v>
      </c>
      <c r="X88" s="1004">
        <f t="shared" si="29"/>
        <v>0</v>
      </c>
      <c r="Y88" s="979"/>
      <c r="AC88" s="994"/>
      <c r="AD88" s="1010"/>
      <c r="AE88" s="1009"/>
    </row>
    <row r="89" spans="1:34" s="964" customFormat="1" ht="14.85" customHeight="1" outlineLevel="1">
      <c r="A89" s="1047"/>
      <c r="B89" s="986" t="s">
        <v>755</v>
      </c>
      <c r="C89" s="989" t="s">
        <v>753</v>
      </c>
      <c r="D89" s="988" t="s">
        <v>494</v>
      </c>
      <c r="E89" s="989" t="s">
        <v>1190</v>
      </c>
      <c r="F89" s="990">
        <v>42213</v>
      </c>
      <c r="G89" s="1017">
        <v>25</v>
      </c>
      <c r="H89" s="1006">
        <v>20</v>
      </c>
      <c r="I89" s="1006">
        <v>23</v>
      </c>
      <c r="J89" s="1017">
        <v>19.510000000000002</v>
      </c>
      <c r="K89" s="1018">
        <f t="shared" si="25"/>
        <v>70643.631999999998</v>
      </c>
      <c r="L89" s="985">
        <v>8288</v>
      </c>
      <c r="M89" s="985">
        <v>78931.631999999998</v>
      </c>
      <c r="N89" s="992">
        <f t="shared" si="26"/>
        <v>1766090.8</v>
      </c>
      <c r="O89" s="994">
        <f t="shared" si="30"/>
        <v>207200</v>
      </c>
      <c r="P89" s="992">
        <f t="shared" si="27"/>
        <v>1973290.8</v>
      </c>
      <c r="Q89" s="992"/>
      <c r="R89" s="991">
        <v>19.510000000000002</v>
      </c>
      <c r="S89" s="995">
        <f t="shared" si="31"/>
        <v>1539956.14032</v>
      </c>
      <c r="T89" s="996">
        <f t="shared" si="32"/>
        <v>-0.21960000000000002</v>
      </c>
      <c r="U89" s="997" t="s">
        <v>754</v>
      </c>
      <c r="V89" s="998" t="s">
        <v>756</v>
      </c>
      <c r="W89" s="999">
        <f t="shared" si="28"/>
        <v>1973290.8</v>
      </c>
      <c r="X89" s="1004">
        <f t="shared" si="29"/>
        <v>0</v>
      </c>
      <c r="Y89" s="979"/>
      <c r="AC89" s="994"/>
      <c r="AD89" s="1010"/>
      <c r="AE89" s="1009"/>
    </row>
    <row r="90" spans="1:34" s="964" customFormat="1" ht="14.85" customHeight="1" outlineLevel="1">
      <c r="A90" s="1005"/>
      <c r="B90" s="986" t="s">
        <v>1201</v>
      </c>
      <c r="C90" s="989" t="s">
        <v>1202</v>
      </c>
      <c r="D90" s="988" t="s">
        <v>494</v>
      </c>
      <c r="E90" s="989" t="s">
        <v>1203</v>
      </c>
      <c r="F90" s="990">
        <v>42180</v>
      </c>
      <c r="G90" s="1017">
        <v>18</v>
      </c>
      <c r="H90" s="1006">
        <v>15</v>
      </c>
      <c r="I90" s="1006">
        <v>17</v>
      </c>
      <c r="J90" s="1017">
        <v>38.200000000000003</v>
      </c>
      <c r="K90" s="1018">
        <f t="shared" si="25"/>
        <v>30403.502</v>
      </c>
      <c r="L90" s="985">
        <v>7430.5550000000003</v>
      </c>
      <c r="M90" s="985">
        <v>37834.057000000001</v>
      </c>
      <c r="N90" s="992">
        <f t="shared" si="26"/>
        <v>547263.03599999996</v>
      </c>
      <c r="O90" s="994">
        <f t="shared" si="30"/>
        <v>133749.99</v>
      </c>
      <c r="P90" s="992">
        <f t="shared" si="27"/>
        <v>681013.02599999995</v>
      </c>
      <c r="Q90" s="992"/>
      <c r="R90" s="991">
        <v>38.200000000000003</v>
      </c>
      <c r="S90" s="995">
        <f t="shared" si="31"/>
        <v>1445260.9774000002</v>
      </c>
      <c r="T90" s="996">
        <f t="shared" si="32"/>
        <v>1.1222222222222227</v>
      </c>
      <c r="U90" s="1011" t="s">
        <v>1204</v>
      </c>
      <c r="V90" s="998" t="s">
        <v>1205</v>
      </c>
      <c r="W90" s="999">
        <f t="shared" si="28"/>
        <v>681013.02599999995</v>
      </c>
      <c r="X90" s="1004">
        <f t="shared" si="29"/>
        <v>0</v>
      </c>
      <c r="Y90" s="1014"/>
      <c r="Z90" s="1013"/>
      <c r="AA90" s="1014"/>
      <c r="AB90" s="1015"/>
      <c r="AC90" s="1013"/>
      <c r="AD90" s="1010"/>
      <c r="AE90" s="1009"/>
      <c r="AF90" s="1011"/>
      <c r="AG90" s="1016"/>
      <c r="AH90" s="1016"/>
    </row>
    <row r="91" spans="1:34" s="964" customFormat="1" ht="14.85" customHeight="1" outlineLevel="1">
      <c r="A91" s="1005"/>
      <c r="B91" s="986" t="s">
        <v>1210</v>
      </c>
      <c r="C91" s="989" t="s">
        <v>1211</v>
      </c>
      <c r="D91" s="988" t="s">
        <v>1307</v>
      </c>
      <c r="E91" s="989" t="s">
        <v>1213</v>
      </c>
      <c r="F91" s="990">
        <v>42179</v>
      </c>
      <c r="G91" s="1017">
        <v>5</v>
      </c>
      <c r="H91" s="1006">
        <v>0</v>
      </c>
      <c r="I91" s="1006">
        <v>0</v>
      </c>
      <c r="J91" s="1017">
        <v>4.1599000000000004</v>
      </c>
      <c r="K91" s="1018">
        <f t="shared" si="25"/>
        <v>3788.0600000000004</v>
      </c>
      <c r="L91" s="985">
        <v>4000</v>
      </c>
      <c r="M91" s="985">
        <v>7788.06</v>
      </c>
      <c r="N91" s="992">
        <f t="shared" si="26"/>
        <v>18940.300000000003</v>
      </c>
      <c r="O91" s="994">
        <f t="shared" si="30"/>
        <v>20000</v>
      </c>
      <c r="P91" s="992">
        <f t="shared" si="27"/>
        <v>38940.300000000003</v>
      </c>
      <c r="Q91" s="992"/>
      <c r="R91" s="991">
        <v>4.1599000000000004</v>
      </c>
      <c r="S91" s="995">
        <f t="shared" si="31"/>
        <v>32397.550794000006</v>
      </c>
      <c r="T91" s="996">
        <f t="shared" si="32"/>
        <v>-0.16801999999999995</v>
      </c>
      <c r="U91" s="997" t="s">
        <v>1214</v>
      </c>
      <c r="V91" s="998" t="s">
        <v>1215</v>
      </c>
      <c r="W91" s="999">
        <f t="shared" si="28"/>
        <v>38940.300000000003</v>
      </c>
      <c r="X91" s="1004">
        <f t="shared" si="29"/>
        <v>0</v>
      </c>
      <c r="Y91" s="979"/>
      <c r="AC91" s="994"/>
      <c r="AD91" s="1010"/>
      <c r="AE91" s="1009"/>
    </row>
    <row r="92" spans="1:34" s="1012" customFormat="1" ht="14.85" customHeight="1" outlineLevel="1">
      <c r="A92" s="1005"/>
      <c r="B92" s="986" t="s">
        <v>1249</v>
      </c>
      <c r="C92" s="989" t="s">
        <v>1250</v>
      </c>
      <c r="D92" s="988" t="s">
        <v>494</v>
      </c>
      <c r="E92" s="989" t="s">
        <v>1251</v>
      </c>
      <c r="F92" s="990">
        <v>42109</v>
      </c>
      <c r="G92" s="1017">
        <v>11</v>
      </c>
      <c r="H92" s="1006">
        <v>12</v>
      </c>
      <c r="I92" s="1006">
        <v>14</v>
      </c>
      <c r="J92" s="1017">
        <v>12.5</v>
      </c>
      <c r="K92" s="1018">
        <f t="shared" si="25"/>
        <v>8371.7650000000012</v>
      </c>
      <c r="L92" s="985">
        <v>5090.9089999999997</v>
      </c>
      <c r="M92" s="985">
        <v>13462.674000000001</v>
      </c>
      <c r="N92" s="992">
        <f t="shared" si="26"/>
        <v>92089.415000000008</v>
      </c>
      <c r="O92" s="994">
        <f t="shared" si="30"/>
        <v>55999.998999999996</v>
      </c>
      <c r="P92" s="992">
        <f t="shared" si="27"/>
        <v>148089.41399999999</v>
      </c>
      <c r="Q92" s="992"/>
      <c r="R92" s="991">
        <v>12.5</v>
      </c>
      <c r="S92" s="995">
        <f t="shared" si="31"/>
        <v>168283.42500000002</v>
      </c>
      <c r="T92" s="996">
        <f t="shared" si="32"/>
        <v>0.13636363636363646</v>
      </c>
      <c r="U92" s="1011" t="s">
        <v>1252</v>
      </c>
      <c r="V92" s="998" t="s">
        <v>1253</v>
      </c>
      <c r="W92" s="999">
        <f t="shared" si="28"/>
        <v>148089.41399999999</v>
      </c>
      <c r="X92" s="1004">
        <f t="shared" si="29"/>
        <v>0</v>
      </c>
      <c r="AC92" s="1013"/>
      <c r="AD92" s="1010"/>
      <c r="AE92" s="1009"/>
    </row>
    <row r="93" spans="1:34" s="1012" customFormat="1" ht="14.85" customHeight="1" outlineLevel="1">
      <c r="A93" s="1005"/>
      <c r="B93" s="986" t="s">
        <v>1259</v>
      </c>
      <c r="C93" s="989" t="s">
        <v>1260</v>
      </c>
      <c r="D93" s="988" t="s">
        <v>1212</v>
      </c>
      <c r="E93" s="989" t="s">
        <v>1261</v>
      </c>
      <c r="F93" s="990">
        <v>42108</v>
      </c>
      <c r="G93" s="1017">
        <v>17</v>
      </c>
      <c r="H93" s="1006">
        <v>14</v>
      </c>
      <c r="I93" s="1006">
        <v>16</v>
      </c>
      <c r="J93" s="1017">
        <v>31.47</v>
      </c>
      <c r="K93" s="1018">
        <f t="shared" si="25"/>
        <v>51950.504000000001</v>
      </c>
      <c r="L93" s="985">
        <v>7000</v>
      </c>
      <c r="M93" s="985">
        <v>58950.504000000001</v>
      </c>
      <c r="N93" s="992">
        <f t="shared" si="26"/>
        <v>883158.56799999997</v>
      </c>
      <c r="O93" s="994">
        <f t="shared" si="30"/>
        <v>119000</v>
      </c>
      <c r="P93" s="992">
        <f t="shared" si="27"/>
        <v>1002158.568</v>
      </c>
      <c r="Q93" s="992"/>
      <c r="R93" s="991">
        <v>31.47</v>
      </c>
      <c r="S93" s="995">
        <f t="shared" si="31"/>
        <v>1855172.3608800001</v>
      </c>
      <c r="T93" s="996">
        <f t="shared" si="32"/>
        <v>0.85117647058823542</v>
      </c>
      <c r="U93" s="998" t="s">
        <v>1262</v>
      </c>
      <c r="V93" s="998" t="s">
        <v>1531</v>
      </c>
      <c r="W93" s="999">
        <f t="shared" si="28"/>
        <v>1002158.568</v>
      </c>
      <c r="X93" s="1004">
        <f t="shared" si="29"/>
        <v>0</v>
      </c>
      <c r="Y93" s="964"/>
      <c r="Z93" s="964"/>
      <c r="AA93" s="1049"/>
      <c r="AB93" s="994"/>
      <c r="AC93" s="1010"/>
      <c r="AD93" s="1009"/>
      <c r="AE93" s="964"/>
      <c r="AF93" s="964"/>
      <c r="AG93" s="964"/>
    </row>
    <row r="94" spans="1:34" s="1012" customFormat="1" ht="14.85" customHeight="1" outlineLevel="1">
      <c r="A94" s="1005"/>
      <c r="B94" s="986" t="s">
        <v>1268</v>
      </c>
      <c r="C94" s="989" t="s">
        <v>1269</v>
      </c>
      <c r="D94" s="988" t="s">
        <v>494</v>
      </c>
      <c r="E94" s="989" t="s">
        <v>1270</v>
      </c>
      <c r="F94" s="990">
        <v>42053</v>
      </c>
      <c r="G94" s="1017">
        <v>6</v>
      </c>
      <c r="H94" s="1006">
        <v>13</v>
      </c>
      <c r="I94" s="1006">
        <v>15</v>
      </c>
      <c r="J94" s="1017">
        <v>5.75</v>
      </c>
      <c r="K94" s="1018">
        <f t="shared" si="25"/>
        <v>9210.49</v>
      </c>
      <c r="L94" s="985">
        <v>6667</v>
      </c>
      <c r="M94" s="985">
        <v>15877.49</v>
      </c>
      <c r="N94" s="992">
        <f t="shared" si="26"/>
        <v>55262.94</v>
      </c>
      <c r="O94" s="994">
        <f t="shared" si="30"/>
        <v>40002</v>
      </c>
      <c r="P94" s="992">
        <f t="shared" si="27"/>
        <v>95264.94</v>
      </c>
      <c r="Q94" s="992"/>
      <c r="R94" s="991">
        <v>5.75</v>
      </c>
      <c r="S94" s="995">
        <f t="shared" si="31"/>
        <v>91295.567500000005</v>
      </c>
      <c r="T94" s="996">
        <f t="shared" si="32"/>
        <v>-4.166666666666663E-2</v>
      </c>
      <c r="U94" s="998" t="s">
        <v>1271</v>
      </c>
      <c r="V94" s="998" t="s">
        <v>1272</v>
      </c>
      <c r="W94" s="999">
        <f t="shared" si="28"/>
        <v>95264.94</v>
      </c>
      <c r="X94" s="1004">
        <f t="shared" si="29"/>
        <v>0</v>
      </c>
      <c r="Y94" s="964"/>
      <c r="Z94" s="964"/>
      <c r="AA94" s="1049"/>
      <c r="AB94" s="994"/>
      <c r="AC94" s="1010"/>
      <c r="AD94" s="1009"/>
      <c r="AE94" s="964"/>
      <c r="AF94" s="964"/>
      <c r="AG94" s="964"/>
    </row>
    <row r="95" spans="1:34" s="1012" customFormat="1" ht="14.85" customHeight="1" outlineLevel="1">
      <c r="A95" s="1005"/>
      <c r="B95" s="986" t="s">
        <v>1273</v>
      </c>
      <c r="C95" s="989" t="s">
        <v>1274</v>
      </c>
      <c r="D95" s="988" t="s">
        <v>494</v>
      </c>
      <c r="E95" s="989" t="s">
        <v>1275</v>
      </c>
      <c r="F95" s="990">
        <v>42048</v>
      </c>
      <c r="G95" s="1017">
        <v>12</v>
      </c>
      <c r="H95" s="1006">
        <v>14</v>
      </c>
      <c r="I95" s="1006">
        <v>16</v>
      </c>
      <c r="J95" s="1017">
        <v>9.75</v>
      </c>
      <c r="K95" s="1018">
        <f t="shared" si="25"/>
        <v>7905.3259999999991</v>
      </c>
      <c r="L95" s="985">
        <v>5000</v>
      </c>
      <c r="M95" s="985">
        <v>12905.325999999999</v>
      </c>
      <c r="N95" s="992">
        <f t="shared" si="26"/>
        <v>94863.911999999982</v>
      </c>
      <c r="O95" s="994">
        <f t="shared" si="30"/>
        <v>60000</v>
      </c>
      <c r="P95" s="992">
        <f t="shared" si="27"/>
        <v>154863.91199999998</v>
      </c>
      <c r="Q95" s="992"/>
      <c r="R95" s="991">
        <v>9.75</v>
      </c>
      <c r="S95" s="995">
        <f t="shared" si="31"/>
        <v>125826.92849999999</v>
      </c>
      <c r="T95" s="996">
        <f t="shared" si="32"/>
        <v>-0.18749999999999989</v>
      </c>
      <c r="U95" s="998" t="s">
        <v>1276</v>
      </c>
      <c r="V95" s="998" t="s">
        <v>1277</v>
      </c>
      <c r="W95" s="999">
        <f t="shared" si="28"/>
        <v>154863.91199999998</v>
      </c>
      <c r="X95" s="1004">
        <f t="shared" si="29"/>
        <v>0</v>
      </c>
      <c r="Y95" s="964"/>
      <c r="Z95" s="964"/>
      <c r="AA95" s="1049"/>
      <c r="AB95" s="994"/>
      <c r="AC95" s="1010"/>
      <c r="AD95" s="1009"/>
      <c r="AE95" s="964"/>
      <c r="AF95" s="964"/>
      <c r="AG95" s="964"/>
    </row>
    <row r="96" spans="1:34" s="1012" customFormat="1" ht="14.85" customHeight="1" outlineLevel="1">
      <c r="A96" s="1005"/>
      <c r="B96" s="986" t="s">
        <v>805</v>
      </c>
      <c r="C96" s="989" t="s">
        <v>1284</v>
      </c>
      <c r="D96" s="988" t="s">
        <v>494</v>
      </c>
      <c r="E96" s="989" t="s">
        <v>1285</v>
      </c>
      <c r="F96" s="990">
        <v>42033</v>
      </c>
      <c r="G96" s="1017">
        <v>10</v>
      </c>
      <c r="H96" s="1006">
        <v>12</v>
      </c>
      <c r="I96" s="1006">
        <v>14</v>
      </c>
      <c r="J96" s="1017">
        <v>13.43</v>
      </c>
      <c r="K96" s="1018">
        <f t="shared" si="25"/>
        <v>8492.8060000000005</v>
      </c>
      <c r="L96" s="985">
        <v>3600</v>
      </c>
      <c r="M96" s="985">
        <v>12092.806</v>
      </c>
      <c r="N96" s="992">
        <f t="shared" si="26"/>
        <v>84928.06</v>
      </c>
      <c r="O96" s="994">
        <f t="shared" si="30"/>
        <v>36000</v>
      </c>
      <c r="P96" s="992">
        <f t="shared" si="27"/>
        <v>120928.06</v>
      </c>
      <c r="Q96" s="992"/>
      <c r="R96" s="991">
        <v>13.43</v>
      </c>
      <c r="S96" s="995">
        <f t="shared" si="31"/>
        <v>162406.38458000001</v>
      </c>
      <c r="T96" s="996">
        <f t="shared" si="32"/>
        <v>0.34300000000000019</v>
      </c>
      <c r="U96" s="998" t="s">
        <v>1286</v>
      </c>
      <c r="V96" s="998" t="s">
        <v>1287</v>
      </c>
      <c r="W96" s="999">
        <f t="shared" si="28"/>
        <v>120928.06</v>
      </c>
      <c r="X96" s="1004">
        <f t="shared" si="29"/>
        <v>0</v>
      </c>
      <c r="AA96" s="1050"/>
      <c r="AB96" s="1013"/>
      <c r="AC96" s="1010"/>
      <c r="AD96" s="1009"/>
    </row>
    <row r="97" spans="1:33" s="1012" customFormat="1" ht="14.85" customHeight="1" outlineLevel="1">
      <c r="A97" s="1005"/>
      <c r="B97" s="986" t="s">
        <v>1292</v>
      </c>
      <c r="C97" s="989" t="s">
        <v>1293</v>
      </c>
      <c r="D97" s="988" t="s">
        <v>494</v>
      </c>
      <c r="E97" s="989" t="s">
        <v>1294</v>
      </c>
      <c r="F97" s="990">
        <v>42030</v>
      </c>
      <c r="G97" s="1017">
        <v>11</v>
      </c>
      <c r="H97" s="1006">
        <v>10</v>
      </c>
      <c r="I97" s="1006">
        <v>12</v>
      </c>
      <c r="J97" s="1017">
        <v>11.04</v>
      </c>
      <c r="K97" s="1018">
        <f t="shared" si="25"/>
        <v>7316.1119999999992</v>
      </c>
      <c r="L97" s="985">
        <v>4500</v>
      </c>
      <c r="M97" s="985">
        <v>11816.111999999999</v>
      </c>
      <c r="N97" s="992">
        <f t="shared" si="26"/>
        <v>80477.231999999989</v>
      </c>
      <c r="O97" s="994">
        <f t="shared" si="30"/>
        <v>49500</v>
      </c>
      <c r="P97" s="992">
        <f t="shared" si="27"/>
        <v>129977.23199999999</v>
      </c>
      <c r="Q97" s="992"/>
      <c r="R97" s="991">
        <v>11.04</v>
      </c>
      <c r="S97" s="995">
        <f t="shared" si="31"/>
        <v>130449.87647999998</v>
      </c>
      <c r="T97" s="996">
        <f t="shared" si="32"/>
        <v>3.6363636363634377E-3</v>
      </c>
      <c r="U97" s="998" t="s">
        <v>1295</v>
      </c>
      <c r="V97" s="998" t="s">
        <v>1296</v>
      </c>
      <c r="W97" s="999">
        <f t="shared" si="28"/>
        <v>129977.23199999999</v>
      </c>
      <c r="X97" s="1004">
        <f t="shared" si="29"/>
        <v>0</v>
      </c>
      <c r="Y97" s="964"/>
      <c r="Z97" s="964"/>
      <c r="AA97" s="964"/>
      <c r="AB97" s="994"/>
      <c r="AC97" s="1010"/>
      <c r="AD97" s="1009"/>
      <c r="AE97" s="964"/>
      <c r="AF97" s="964"/>
      <c r="AG97" s="964"/>
    </row>
    <row r="98" spans="1:33" s="1012" customFormat="1" ht="14.85" customHeight="1" outlineLevel="1">
      <c r="A98" s="1047"/>
      <c r="B98" s="986" t="s">
        <v>1297</v>
      </c>
      <c r="C98" s="989" t="s">
        <v>1298</v>
      </c>
      <c r="D98" s="988" t="s">
        <v>494</v>
      </c>
      <c r="E98" s="989" t="s">
        <v>1299</v>
      </c>
      <c r="F98" s="990">
        <v>41991</v>
      </c>
      <c r="G98" s="1017">
        <v>19</v>
      </c>
      <c r="H98" s="1006">
        <v>15</v>
      </c>
      <c r="I98" s="1006">
        <v>17</v>
      </c>
      <c r="J98" s="1017">
        <v>29.13</v>
      </c>
      <c r="K98" s="1018">
        <f t="shared" si="25"/>
        <v>18499.571</v>
      </c>
      <c r="L98" s="985">
        <v>8452.5</v>
      </c>
      <c r="M98" s="985">
        <v>26952.071</v>
      </c>
      <c r="N98" s="992">
        <f t="shared" si="26"/>
        <v>351491.84899999999</v>
      </c>
      <c r="O98" s="994">
        <f t="shared" si="30"/>
        <v>160597.5</v>
      </c>
      <c r="P98" s="992">
        <f t="shared" si="27"/>
        <v>512089.34899999999</v>
      </c>
      <c r="Q98" s="992"/>
      <c r="R98" s="991">
        <v>29.13</v>
      </c>
      <c r="S98" s="995">
        <f t="shared" si="31"/>
        <v>785113.82822999998</v>
      </c>
      <c r="T98" s="996">
        <f t="shared" si="32"/>
        <v>0.53315789473684205</v>
      </c>
      <c r="U98" s="998" t="s">
        <v>1300</v>
      </c>
      <c r="V98" s="998" t="s">
        <v>1301</v>
      </c>
      <c r="W98" s="999">
        <f t="shared" si="28"/>
        <v>512089.34899999999</v>
      </c>
      <c r="X98" s="1004">
        <f t="shared" si="29"/>
        <v>0</v>
      </c>
      <c r="Y98" s="964"/>
      <c r="Z98" s="964"/>
      <c r="AA98" s="964"/>
      <c r="AB98" s="994"/>
      <c r="AC98" s="1010"/>
      <c r="AD98" s="1009"/>
      <c r="AE98" s="964"/>
      <c r="AF98" s="964"/>
      <c r="AG98" s="964"/>
    </row>
    <row r="99" spans="1:33" s="1012" customFormat="1" ht="14.85" customHeight="1" outlineLevel="1">
      <c r="A99" s="1047"/>
      <c r="B99" s="986" t="s">
        <v>678</v>
      </c>
      <c r="C99" s="989" t="s">
        <v>1532</v>
      </c>
      <c r="D99" s="988" t="s">
        <v>1517</v>
      </c>
      <c r="E99" s="989" t="s">
        <v>1533</v>
      </c>
      <c r="F99" s="990">
        <v>41443</v>
      </c>
      <c r="G99" s="1017">
        <v>17</v>
      </c>
      <c r="H99" s="1006">
        <v>14</v>
      </c>
      <c r="I99" s="1006">
        <v>16</v>
      </c>
      <c r="J99" s="1017">
        <v>33.99</v>
      </c>
      <c r="K99" s="1018">
        <v>16869488</v>
      </c>
      <c r="L99" s="985">
        <v>5000</v>
      </c>
      <c r="M99" s="985">
        <v>21869.488000000001</v>
      </c>
      <c r="N99" s="992">
        <v>286781.29599999997</v>
      </c>
      <c r="O99" s="994">
        <f t="shared" si="30"/>
        <v>85000</v>
      </c>
      <c r="P99" s="992">
        <f t="shared" si="27"/>
        <v>371781.29599999997</v>
      </c>
      <c r="Q99" s="992"/>
      <c r="R99" s="991">
        <v>33.99</v>
      </c>
      <c r="S99" s="995">
        <f t="shared" si="31"/>
        <v>743343.8971200001</v>
      </c>
      <c r="T99" s="996">
        <f t="shared" si="32"/>
        <v>0.99941176470588267</v>
      </c>
      <c r="U99" s="998" t="s">
        <v>1534</v>
      </c>
      <c r="V99" s="998" t="s">
        <v>1535</v>
      </c>
      <c r="W99" s="999">
        <f t="shared" si="28"/>
        <v>371781.29599999997</v>
      </c>
      <c r="X99" s="1004">
        <f t="shared" si="29"/>
        <v>0</v>
      </c>
      <c r="Y99" s="964"/>
      <c r="Z99" s="964"/>
      <c r="AA99" s="964"/>
      <c r="AB99" s="994"/>
      <c r="AC99" s="1010"/>
      <c r="AD99" s="1009"/>
      <c r="AE99" s="964"/>
      <c r="AF99" s="964"/>
      <c r="AG99" s="964"/>
    </row>
    <row r="100" spans="1:33" s="1046" customFormat="1" ht="14.85" customHeight="1" outlineLevel="1">
      <c r="A100" s="1005"/>
      <c r="B100" s="986"/>
      <c r="C100" s="989"/>
      <c r="D100" s="988"/>
      <c r="E100" s="989"/>
      <c r="F100" s="990"/>
      <c r="G100" s="1017"/>
      <c r="H100" s="1006"/>
      <c r="I100" s="1006"/>
      <c r="J100" s="1017"/>
      <c r="K100" s="1018"/>
      <c r="L100" s="994"/>
      <c r="M100" s="994"/>
      <c r="N100" s="992"/>
      <c r="O100" s="994"/>
      <c r="P100" s="992"/>
      <c r="Q100" s="992"/>
      <c r="R100" s="991"/>
      <c r="S100" s="1051"/>
      <c r="T100" s="1052"/>
      <c r="U100" s="1053"/>
      <c r="V100" s="1053"/>
      <c r="W100" s="994"/>
      <c r="X100" s="1005"/>
      <c r="AB100" s="994"/>
      <c r="AC100" s="989"/>
      <c r="AD100" s="1005"/>
    </row>
    <row r="101" spans="1:33" s="1012" customFormat="1" ht="14.85" customHeight="1" outlineLevel="1">
      <c r="A101" s="1005"/>
      <c r="B101" s="1143" t="s">
        <v>111</v>
      </c>
      <c r="C101" s="1144"/>
      <c r="D101" s="1144"/>
      <c r="E101" s="1144"/>
      <c r="F101" s="1144"/>
      <c r="G101" s="1144"/>
      <c r="H101" s="1144"/>
      <c r="I101" s="1144"/>
      <c r="J101" s="1144"/>
      <c r="K101" s="1144"/>
      <c r="L101" s="1144"/>
      <c r="M101" s="1144"/>
      <c r="N101" s="1145">
        <f>MAX(N80:N99)</f>
        <v>1766090.8</v>
      </c>
      <c r="O101" s="1145"/>
      <c r="P101" s="1146">
        <f>MAX(P80:P99)</f>
        <v>1973290.8</v>
      </c>
      <c r="Q101" s="992"/>
      <c r="R101" s="1147">
        <f>MAX(R81:R97)</f>
        <v>52.72</v>
      </c>
      <c r="S101" s="995"/>
      <c r="T101" s="996"/>
      <c r="U101" s="1011"/>
      <c r="V101" s="998"/>
      <c r="W101" s="999"/>
      <c r="X101" s="1004"/>
      <c r="AC101" s="1013"/>
      <c r="AD101" s="1010"/>
      <c r="AE101" s="1009"/>
    </row>
    <row r="102" spans="1:33" s="1012" customFormat="1" ht="14.85" customHeight="1" outlineLevel="1">
      <c r="A102" s="1005"/>
      <c r="B102" s="1024" t="s">
        <v>115</v>
      </c>
      <c r="C102" s="1025"/>
      <c r="D102" s="1025"/>
      <c r="E102" s="1025"/>
      <c r="F102" s="1025"/>
      <c r="G102" s="1025"/>
      <c r="H102" s="1025"/>
      <c r="I102" s="1025"/>
      <c r="J102" s="1025"/>
      <c r="K102" s="1025"/>
      <c r="L102" s="1025"/>
      <c r="M102" s="1025"/>
      <c r="N102" s="940">
        <f>_xlfn.QUARTILE.INC(N80:N99,3)</f>
        <v>442987.85099999997</v>
      </c>
      <c r="O102" s="940"/>
      <c r="P102" s="1026">
        <f>_xlfn.QUARTILE.INC(P80:P99,3)</f>
        <v>542875.27300000004</v>
      </c>
      <c r="Q102" s="992"/>
      <c r="R102" s="1027">
        <f>_xlfn.QUARTILE.INC(R81:R97,3)</f>
        <v>19.510000000000002</v>
      </c>
      <c r="S102" s="995"/>
      <c r="T102" s="996"/>
      <c r="U102" s="1011"/>
      <c r="V102" s="998"/>
      <c r="W102" s="999"/>
      <c r="X102" s="1004"/>
      <c r="AC102" s="1013"/>
      <c r="AD102" s="1010"/>
      <c r="AE102" s="1009"/>
    </row>
    <row r="103" spans="1:33" s="1012" customFormat="1" ht="14.85" customHeight="1" outlineLevel="1">
      <c r="A103" s="1005"/>
      <c r="B103" s="1024" t="s">
        <v>43</v>
      </c>
      <c r="C103" s="1025"/>
      <c r="D103" s="1025"/>
      <c r="E103" s="1025"/>
      <c r="F103" s="1025"/>
      <c r="G103" s="1025"/>
      <c r="H103" s="1025"/>
      <c r="I103" s="1025"/>
      <c r="J103" s="1025"/>
      <c r="K103" s="1025"/>
      <c r="L103" s="1025"/>
      <c r="M103" s="1025"/>
      <c r="N103" s="940">
        <f>AVERAGE(N80:N99)</f>
        <v>326924.67622499994</v>
      </c>
      <c r="O103" s="940"/>
      <c r="P103" s="1026">
        <f>AVERAGE(P80:P99)</f>
        <v>407989.98372499994</v>
      </c>
      <c r="Q103" s="992"/>
      <c r="R103" s="1027">
        <f>AVERAGE(R81:R97)</f>
        <v>17.134699999999999</v>
      </c>
      <c r="S103" s="995"/>
      <c r="T103" s="996"/>
      <c r="U103" s="1011"/>
      <c r="V103" s="998"/>
      <c r="W103" s="999"/>
      <c r="X103" s="1004"/>
      <c r="AC103" s="1013"/>
      <c r="AD103" s="1010"/>
      <c r="AE103" s="1009"/>
    </row>
    <row r="104" spans="1:33" s="1012" customFormat="1" ht="14.85" customHeight="1" outlineLevel="1">
      <c r="A104" s="1005"/>
      <c r="B104" s="1024" t="s">
        <v>44</v>
      </c>
      <c r="C104" s="1025"/>
      <c r="D104" s="1025"/>
      <c r="E104" s="1025"/>
      <c r="F104" s="1025"/>
      <c r="G104" s="1025"/>
      <c r="H104" s="1025"/>
      <c r="I104" s="1025"/>
      <c r="J104" s="1025"/>
      <c r="K104" s="1025"/>
      <c r="L104" s="1025"/>
      <c r="M104" s="1025"/>
      <c r="N104" s="940">
        <f>MEDIAN(N80:N99)</f>
        <v>190238.1415</v>
      </c>
      <c r="O104" s="940"/>
      <c r="P104" s="1026">
        <f>MEDIAN(P80:P99)</f>
        <v>257971.47199999998</v>
      </c>
      <c r="Q104" s="992"/>
      <c r="R104" s="1027">
        <f>MEDIAN(R81:R97)</f>
        <v>13.23</v>
      </c>
      <c r="S104" s="995"/>
      <c r="T104" s="996"/>
      <c r="U104" s="1011"/>
      <c r="V104" s="998"/>
      <c r="W104" s="999"/>
      <c r="X104" s="1004"/>
      <c r="AC104" s="1013"/>
      <c r="AD104" s="1010"/>
      <c r="AE104" s="1009"/>
    </row>
    <row r="105" spans="1:33" s="1012" customFormat="1" ht="14.85" customHeight="1" outlineLevel="1">
      <c r="A105" s="1005"/>
      <c r="B105" s="1024" t="s">
        <v>114</v>
      </c>
      <c r="C105" s="1025"/>
      <c r="D105" s="1025"/>
      <c r="E105" s="1025"/>
      <c r="F105" s="1025"/>
      <c r="G105" s="1025"/>
      <c r="H105" s="1025"/>
      <c r="I105" s="1025"/>
      <c r="J105" s="1025"/>
      <c r="K105" s="1025"/>
      <c r="L105" s="1025"/>
      <c r="M105" s="1025"/>
      <c r="N105" s="940">
        <f>_xlfn.QUARTILE.INC(N80:N99,1)</f>
        <v>78871.196999999986</v>
      </c>
      <c r="O105" s="940"/>
      <c r="P105" s="1026">
        <f>_xlfn.QUARTILE.INC(P80:P99,1)</f>
        <v>114512.28</v>
      </c>
      <c r="Q105" s="992"/>
      <c r="R105" s="1027">
        <f>_xlfn.QUARTILE.INC(R81:R97,1)</f>
        <v>10.06</v>
      </c>
      <c r="S105" s="995"/>
      <c r="T105" s="996"/>
      <c r="U105" s="1011"/>
      <c r="V105" s="998"/>
      <c r="W105" s="999"/>
      <c r="X105" s="1004"/>
      <c r="AC105" s="1013"/>
      <c r="AD105" s="1010"/>
      <c r="AE105" s="1009"/>
    </row>
    <row r="106" spans="1:33" s="1012" customFormat="1" ht="14.85" customHeight="1" outlineLevel="1">
      <c r="A106" s="1005"/>
      <c r="B106" s="1028" t="s">
        <v>112</v>
      </c>
      <c r="C106" s="1029"/>
      <c r="D106" s="1029"/>
      <c r="E106" s="1029"/>
      <c r="F106" s="1029"/>
      <c r="G106" s="1029"/>
      <c r="H106" s="1029"/>
      <c r="I106" s="1029"/>
      <c r="J106" s="1029"/>
      <c r="K106" s="1029"/>
      <c r="L106" s="1029"/>
      <c r="M106" s="1029"/>
      <c r="N106" s="942">
        <f>MIN(N80:N99)</f>
        <v>18940.300000000003</v>
      </c>
      <c r="O106" s="942"/>
      <c r="P106" s="1030">
        <f>MIN(P80:P99)</f>
        <v>38940.300000000003</v>
      </c>
      <c r="Q106" s="992"/>
      <c r="R106" s="1031">
        <f>MIN(R81:R97)</f>
        <v>3.13</v>
      </c>
      <c r="S106" s="995"/>
      <c r="T106" s="996"/>
      <c r="U106" s="1011"/>
      <c r="V106" s="998"/>
      <c r="W106" s="999"/>
      <c r="X106" s="1004"/>
      <c r="AC106" s="1013"/>
      <c r="AD106" s="1010"/>
      <c r="AE106" s="1009"/>
    </row>
    <row r="107" spans="1:33" s="1012" customFormat="1" ht="14.85" customHeight="1" outlineLevel="1">
      <c r="A107" s="1005"/>
      <c r="B107" s="986"/>
      <c r="C107" s="989"/>
      <c r="D107" s="988"/>
      <c r="E107" s="989"/>
      <c r="F107" s="990"/>
      <c r="G107" s="1017"/>
      <c r="H107" s="1006"/>
      <c r="I107" s="1006"/>
      <c r="J107" s="1017"/>
      <c r="K107" s="1018"/>
      <c r="L107" s="994"/>
      <c r="M107" s="994"/>
      <c r="N107" s="992"/>
      <c r="O107" s="994"/>
      <c r="P107" s="992"/>
      <c r="Q107" s="992"/>
      <c r="R107" s="991"/>
      <c r="S107" s="995"/>
      <c r="T107" s="996"/>
      <c r="U107" s="1011"/>
      <c r="V107" s="998"/>
      <c r="W107" s="999"/>
      <c r="X107" s="1004"/>
      <c r="AC107" s="1013"/>
      <c r="AD107" s="1010"/>
      <c r="AE107" s="1009"/>
    </row>
    <row r="108" spans="1:33" s="1012" customFormat="1" ht="14.85" customHeight="1" outlineLevel="1">
      <c r="A108" s="1005"/>
      <c r="B108" s="1032" t="s">
        <v>1536</v>
      </c>
      <c r="C108" s="989"/>
      <c r="D108" s="988"/>
      <c r="E108" s="989"/>
      <c r="F108" s="990"/>
      <c r="G108" s="1017"/>
      <c r="H108" s="1006"/>
      <c r="I108" s="1006"/>
      <c r="J108" s="1017"/>
      <c r="K108" s="1018"/>
      <c r="L108" s="994"/>
      <c r="M108" s="994"/>
      <c r="N108" s="992"/>
      <c r="O108" s="994"/>
      <c r="P108" s="992"/>
      <c r="Q108" s="992"/>
      <c r="R108" s="991"/>
      <c r="S108" s="995"/>
      <c r="T108" s="996"/>
      <c r="U108" s="998"/>
      <c r="V108" s="998"/>
      <c r="W108" s="1004"/>
      <c r="X108" s="979"/>
      <c r="Y108" s="964"/>
      <c r="Z108" s="964"/>
      <c r="AA108" s="964"/>
      <c r="AB108" s="994"/>
      <c r="AC108" s="1010"/>
      <c r="AD108" s="1009"/>
      <c r="AE108" s="964"/>
      <c r="AF108" s="964"/>
      <c r="AG108" s="964"/>
    </row>
    <row r="109" spans="1:33" s="979" customFormat="1" ht="14.85" customHeight="1" outlineLevel="1">
      <c r="A109" s="1005"/>
      <c r="B109" s="986" t="s">
        <v>1537</v>
      </c>
      <c r="C109" s="987" t="s">
        <v>1538</v>
      </c>
      <c r="D109" s="988" t="s">
        <v>502</v>
      </c>
      <c r="E109" s="989" t="s">
        <v>1539</v>
      </c>
      <c r="F109" s="990">
        <v>42802</v>
      </c>
      <c r="G109" s="1137">
        <v>20</v>
      </c>
      <c r="H109" s="991">
        <v>20</v>
      </c>
      <c r="I109" s="991">
        <v>22</v>
      </c>
      <c r="J109" s="991" t="s">
        <v>13</v>
      </c>
      <c r="K109" s="1018">
        <f t="shared" ref="K109:K120" si="33">+M109-L109</f>
        <v>21381.206999999999</v>
      </c>
      <c r="L109" s="985">
        <v>174.286</v>
      </c>
      <c r="M109" s="985">
        <v>21555.492999999999</v>
      </c>
      <c r="N109" s="992">
        <f t="shared" ref="N109:N120" si="34">+G109*K109</f>
        <v>427624.13999999996</v>
      </c>
      <c r="O109" s="994">
        <f t="shared" ref="O109:O120" si="35">+G109*L109</f>
        <v>3485.7200000000003</v>
      </c>
      <c r="P109" s="992">
        <f t="shared" ref="P109:P120" si="36">+N109+O109</f>
        <v>431109.85999999993</v>
      </c>
      <c r="Q109" s="992"/>
      <c r="R109" s="991" t="s">
        <v>13</v>
      </c>
      <c r="S109" s="995" t="s">
        <v>13</v>
      </c>
      <c r="T109" s="996" t="str">
        <f>IFERROR(S109/P109-1,"n/a")</f>
        <v>n/a</v>
      </c>
      <c r="U109" s="997" t="s">
        <v>1540</v>
      </c>
      <c r="V109" s="998" t="s">
        <v>1541</v>
      </c>
      <c r="W109" s="999">
        <f>+N109+O109</f>
        <v>431109.85999999993</v>
      </c>
      <c r="X109" s="1004"/>
      <c r="Z109" s="1054" t="s">
        <v>1542</v>
      </c>
    </row>
    <row r="110" spans="1:33" s="979" customFormat="1" ht="14.85" customHeight="1" outlineLevel="1">
      <c r="A110" s="1005"/>
      <c r="B110" s="986" t="s">
        <v>1052</v>
      </c>
      <c r="C110" s="987" t="s">
        <v>1053</v>
      </c>
      <c r="D110" s="988" t="s">
        <v>502</v>
      </c>
      <c r="E110" s="989" t="s">
        <v>1054</v>
      </c>
      <c r="F110" s="990">
        <v>42633</v>
      </c>
      <c r="G110" s="1137">
        <v>11</v>
      </c>
      <c r="H110" s="991">
        <v>11</v>
      </c>
      <c r="I110" s="991">
        <v>13</v>
      </c>
      <c r="J110" s="1137">
        <v>20.59</v>
      </c>
      <c r="K110" s="1018">
        <f t="shared" si="33"/>
        <v>11223.659</v>
      </c>
      <c r="L110" s="985">
        <v>4100</v>
      </c>
      <c r="M110" s="985">
        <v>15323.659</v>
      </c>
      <c r="N110" s="992">
        <f t="shared" si="34"/>
        <v>123460.249</v>
      </c>
      <c r="O110" s="994">
        <f t="shared" si="35"/>
        <v>45100</v>
      </c>
      <c r="P110" s="992">
        <f t="shared" si="36"/>
        <v>168560.24900000001</v>
      </c>
      <c r="Q110" s="992"/>
      <c r="R110" s="991">
        <v>20.59</v>
      </c>
      <c r="S110" s="995">
        <f>R110*M110</f>
        <v>315514.13880999997</v>
      </c>
      <c r="T110" s="996">
        <f>S110/P110-1</f>
        <v>0.8718181818181816</v>
      </c>
      <c r="U110" s="997" t="s">
        <v>1055</v>
      </c>
      <c r="V110" s="998" t="s">
        <v>1056</v>
      </c>
      <c r="W110" s="999">
        <f>+N110+O110</f>
        <v>168560.24900000001</v>
      </c>
      <c r="X110" s="1004">
        <f>+P110-W110</f>
        <v>0</v>
      </c>
    </row>
    <row r="111" spans="1:33" s="1005" customFormat="1" ht="14.85" customHeight="1" outlineLevel="1">
      <c r="B111" s="986" t="s">
        <v>1543</v>
      </c>
      <c r="C111" s="989" t="s">
        <v>1544</v>
      </c>
      <c r="D111" s="988" t="s">
        <v>502</v>
      </c>
      <c r="E111" s="989" t="s">
        <v>1545</v>
      </c>
      <c r="F111" s="990">
        <v>42522</v>
      </c>
      <c r="G111" s="1137">
        <v>7</v>
      </c>
      <c r="H111" s="991">
        <v>14</v>
      </c>
      <c r="I111" s="991">
        <v>16</v>
      </c>
      <c r="J111" s="1137">
        <v>6.78</v>
      </c>
      <c r="K111" s="1018">
        <f t="shared" si="33"/>
        <v>12251.079</v>
      </c>
      <c r="L111" s="985">
        <f>4000000/1000</f>
        <v>4000</v>
      </c>
      <c r="M111" s="985">
        <f>16251079/1000</f>
        <v>16251.079</v>
      </c>
      <c r="N111" s="992">
        <f t="shared" si="34"/>
        <v>85757.553</v>
      </c>
      <c r="O111" s="994">
        <f t="shared" si="35"/>
        <v>28000</v>
      </c>
      <c r="P111" s="992">
        <f t="shared" si="36"/>
        <v>113757.553</v>
      </c>
      <c r="Q111" s="992"/>
      <c r="R111" s="991">
        <v>6.78</v>
      </c>
      <c r="S111" s="1051">
        <v>110182315.62</v>
      </c>
      <c r="T111" s="1052">
        <v>-3.1428571428571361E-2</v>
      </c>
      <c r="U111" s="1055" t="s">
        <v>1545</v>
      </c>
      <c r="V111" s="1053" t="s">
        <v>1546</v>
      </c>
      <c r="W111" s="1056">
        <f>+N111+O111</f>
        <v>113757.553</v>
      </c>
      <c r="X111" s="994"/>
    </row>
    <row r="112" spans="1:33" s="979" customFormat="1" ht="14.85" customHeight="1" outlineLevel="1">
      <c r="A112" s="1005"/>
      <c r="B112" s="986" t="s">
        <v>1084</v>
      </c>
      <c r="C112" s="987" t="s">
        <v>1085</v>
      </c>
      <c r="D112" s="988" t="s">
        <v>502</v>
      </c>
      <c r="E112" s="989" t="s">
        <v>1086</v>
      </c>
      <c r="F112" s="990">
        <v>42515</v>
      </c>
      <c r="G112" s="1017">
        <v>11</v>
      </c>
      <c r="H112" s="1006">
        <v>14</v>
      </c>
      <c r="I112" s="1006">
        <v>16</v>
      </c>
      <c r="J112" s="1017">
        <v>20.14</v>
      </c>
      <c r="K112" s="1018">
        <f t="shared" si="33"/>
        <v>15998.106</v>
      </c>
      <c r="L112" s="985">
        <v>5500</v>
      </c>
      <c r="M112" s="985">
        <v>21498.106</v>
      </c>
      <c r="N112" s="992">
        <f t="shared" si="34"/>
        <v>175979.166</v>
      </c>
      <c r="O112" s="994">
        <f t="shared" si="35"/>
        <v>60500</v>
      </c>
      <c r="P112" s="992">
        <f t="shared" si="36"/>
        <v>236479.166</v>
      </c>
      <c r="Q112" s="992"/>
      <c r="R112" s="991">
        <v>20.14</v>
      </c>
      <c r="S112" s="995">
        <f t="shared" ref="S112:S120" si="37">R112*M112</f>
        <v>432971.85483999999</v>
      </c>
      <c r="T112" s="996">
        <f t="shared" ref="T112:T120" si="38">S112/P112-1</f>
        <v>0.83090909090909082</v>
      </c>
      <c r="U112" s="1007" t="s">
        <v>1087</v>
      </c>
      <c r="V112" s="998" t="s">
        <v>1088</v>
      </c>
      <c r="W112" s="999">
        <f t="shared" ref="W112:W120" si="39">+N112+O112</f>
        <v>236479.166</v>
      </c>
      <c r="X112" s="1004">
        <f t="shared" ref="X112:X120" si="40">+P112-W112</f>
        <v>0</v>
      </c>
      <c r="Y112" s="1009"/>
    </row>
    <row r="113" spans="1:34" s="964" customFormat="1" ht="14.85" customHeight="1" outlineLevel="1">
      <c r="A113" s="1005"/>
      <c r="B113" s="986" t="s">
        <v>1130</v>
      </c>
      <c r="C113" s="989" t="s">
        <v>1131</v>
      </c>
      <c r="D113" s="988" t="s">
        <v>502</v>
      </c>
      <c r="E113" s="989" t="s">
        <v>1132</v>
      </c>
      <c r="F113" s="990">
        <v>42327</v>
      </c>
      <c r="G113" s="1017">
        <v>9</v>
      </c>
      <c r="H113" s="1006">
        <v>11</v>
      </c>
      <c r="I113" s="1006">
        <v>13</v>
      </c>
      <c r="J113" s="1017">
        <v>9.11</v>
      </c>
      <c r="K113" s="1018">
        <f t="shared" si="33"/>
        <v>13470.476999999999</v>
      </c>
      <c r="L113" s="985">
        <v>5666.6670000000004</v>
      </c>
      <c r="M113" s="985">
        <v>19137.144</v>
      </c>
      <c r="N113" s="992">
        <f t="shared" si="34"/>
        <v>121234.29299999999</v>
      </c>
      <c r="O113" s="994">
        <f t="shared" si="35"/>
        <v>51000.003000000004</v>
      </c>
      <c r="P113" s="992">
        <f t="shared" si="36"/>
        <v>172234.296</v>
      </c>
      <c r="Q113" s="992"/>
      <c r="R113" s="991">
        <v>9.11</v>
      </c>
      <c r="S113" s="995">
        <f t="shared" si="37"/>
        <v>174339.38183999999</v>
      </c>
      <c r="T113" s="996">
        <f t="shared" si="38"/>
        <v>1.2222222222222134E-2</v>
      </c>
      <c r="U113" s="1011" t="s">
        <v>1133</v>
      </c>
      <c r="V113" s="998" t="s">
        <v>1134</v>
      </c>
      <c r="W113" s="999">
        <f t="shared" si="39"/>
        <v>172234.296</v>
      </c>
      <c r="X113" s="1004">
        <f t="shared" si="40"/>
        <v>0</v>
      </c>
      <c r="Y113" s="1012"/>
      <c r="Z113" s="1012"/>
      <c r="AA113" s="1012"/>
      <c r="AB113" s="1012"/>
      <c r="AC113" s="1013"/>
      <c r="AD113" s="1010"/>
      <c r="AE113" s="1009"/>
      <c r="AF113" s="1012"/>
      <c r="AG113" s="1012"/>
      <c r="AH113" s="1012"/>
    </row>
    <row r="114" spans="1:34" s="964" customFormat="1" ht="14.85" customHeight="1" outlineLevel="1">
      <c r="A114" s="1005"/>
      <c r="B114" s="986" t="s">
        <v>1191</v>
      </c>
      <c r="C114" s="989" t="s">
        <v>1192</v>
      </c>
      <c r="D114" s="988" t="s">
        <v>502</v>
      </c>
      <c r="E114" s="989" t="s">
        <v>1193</v>
      </c>
      <c r="F114" s="990">
        <v>42208</v>
      </c>
      <c r="G114" s="1017">
        <v>15</v>
      </c>
      <c r="H114" s="1006">
        <v>14</v>
      </c>
      <c r="I114" s="1006">
        <v>16</v>
      </c>
      <c r="J114" s="1017">
        <v>24.9</v>
      </c>
      <c r="K114" s="1018">
        <f t="shared" si="33"/>
        <v>9688.7160000000003</v>
      </c>
      <c r="L114" s="985">
        <v>4800</v>
      </c>
      <c r="M114" s="985">
        <v>14488.716</v>
      </c>
      <c r="N114" s="992">
        <f t="shared" si="34"/>
        <v>145330.74</v>
      </c>
      <c r="O114" s="994">
        <f t="shared" si="35"/>
        <v>72000</v>
      </c>
      <c r="P114" s="992">
        <f t="shared" si="36"/>
        <v>217330.74</v>
      </c>
      <c r="Q114" s="992"/>
      <c r="R114" s="991">
        <v>24.9</v>
      </c>
      <c r="S114" s="995">
        <f t="shared" si="37"/>
        <v>360769.02840000001</v>
      </c>
      <c r="T114" s="996">
        <f t="shared" si="38"/>
        <v>0.66000000000000014</v>
      </c>
      <c r="U114" s="997" t="s">
        <v>1194</v>
      </c>
      <c r="V114" s="998" t="s">
        <v>1195</v>
      </c>
      <c r="W114" s="999">
        <f t="shared" si="39"/>
        <v>217330.74</v>
      </c>
      <c r="X114" s="1004">
        <f t="shared" si="40"/>
        <v>0</v>
      </c>
      <c r="Y114" s="979"/>
      <c r="AC114" s="994"/>
      <c r="AD114" s="1010"/>
      <c r="AE114" s="1009"/>
    </row>
    <row r="115" spans="1:34" s="1012" customFormat="1" ht="14.85" customHeight="1" outlineLevel="1">
      <c r="A115" s="1005"/>
      <c r="B115" s="986" t="s">
        <v>1231</v>
      </c>
      <c r="C115" s="989" t="s">
        <v>1232</v>
      </c>
      <c r="D115" s="988" t="s">
        <v>502</v>
      </c>
      <c r="E115" s="989" t="s">
        <v>1233</v>
      </c>
      <c r="F115" s="990">
        <v>42129</v>
      </c>
      <c r="G115" s="1017">
        <v>10</v>
      </c>
      <c r="H115" s="1006">
        <v>13</v>
      </c>
      <c r="I115" s="1006">
        <v>15</v>
      </c>
      <c r="J115" s="1017">
        <v>8.4499999999999993</v>
      </c>
      <c r="K115" s="1018">
        <f t="shared" si="33"/>
        <v>9638.9889999999996</v>
      </c>
      <c r="L115" s="985">
        <v>5500</v>
      </c>
      <c r="M115" s="985">
        <v>15138.989</v>
      </c>
      <c r="N115" s="992">
        <f t="shared" si="34"/>
        <v>96389.89</v>
      </c>
      <c r="O115" s="994">
        <f t="shared" si="35"/>
        <v>55000</v>
      </c>
      <c r="P115" s="992">
        <f t="shared" si="36"/>
        <v>151389.89000000001</v>
      </c>
      <c r="Q115" s="992"/>
      <c r="R115" s="991">
        <v>8.4499999999999993</v>
      </c>
      <c r="S115" s="995">
        <f t="shared" si="37"/>
        <v>127924.45704999998</v>
      </c>
      <c r="T115" s="996">
        <f t="shared" si="38"/>
        <v>-0.15500000000000014</v>
      </c>
      <c r="U115" s="1011" t="s">
        <v>1234</v>
      </c>
      <c r="V115" s="998" t="s">
        <v>1235</v>
      </c>
      <c r="W115" s="999">
        <f t="shared" si="39"/>
        <v>151389.89000000001</v>
      </c>
      <c r="X115" s="1004">
        <f t="shared" si="40"/>
        <v>0</v>
      </c>
      <c r="AC115" s="1057"/>
      <c r="AD115" s="1010"/>
      <c r="AE115" s="1009"/>
    </row>
    <row r="116" spans="1:34" s="1012" customFormat="1" ht="14.85" customHeight="1" outlineLevel="1">
      <c r="A116" s="1005"/>
      <c r="B116" s="986" t="s">
        <v>1263</v>
      </c>
      <c r="C116" s="989" t="s">
        <v>1264</v>
      </c>
      <c r="D116" s="988" t="s">
        <v>502</v>
      </c>
      <c r="E116" s="989" t="s">
        <v>1265</v>
      </c>
      <c r="F116" s="990">
        <v>42108</v>
      </c>
      <c r="G116" s="1017">
        <v>19</v>
      </c>
      <c r="H116" s="1006">
        <v>18</v>
      </c>
      <c r="I116" s="1006">
        <v>20</v>
      </c>
      <c r="J116" s="1017">
        <v>19.93</v>
      </c>
      <c r="K116" s="1018">
        <f t="shared" si="33"/>
        <v>27716.631000000001</v>
      </c>
      <c r="L116" s="985">
        <v>4000</v>
      </c>
      <c r="M116" s="985">
        <v>31716.631000000001</v>
      </c>
      <c r="N116" s="992">
        <f t="shared" si="34"/>
        <v>526615.98900000006</v>
      </c>
      <c r="O116" s="994">
        <f t="shared" si="35"/>
        <v>76000</v>
      </c>
      <c r="P116" s="992">
        <f t="shared" si="36"/>
        <v>602615.98900000006</v>
      </c>
      <c r="Q116" s="992"/>
      <c r="R116" s="991">
        <v>19.93</v>
      </c>
      <c r="S116" s="995">
        <f t="shared" si="37"/>
        <v>632112.45582999999</v>
      </c>
      <c r="T116" s="996">
        <f t="shared" si="38"/>
        <v>4.8947368421052406E-2</v>
      </c>
      <c r="U116" s="998" t="s">
        <v>1266</v>
      </c>
      <c r="V116" s="998" t="s">
        <v>1267</v>
      </c>
      <c r="W116" s="999">
        <f t="shared" si="39"/>
        <v>602615.98900000006</v>
      </c>
      <c r="X116" s="1004">
        <f t="shared" si="40"/>
        <v>0</v>
      </c>
      <c r="Y116" s="964"/>
      <c r="Z116" s="964"/>
      <c r="AA116" s="1049"/>
      <c r="AB116" s="994"/>
      <c r="AC116" s="1010"/>
      <c r="AD116" s="1009"/>
      <c r="AE116" s="964"/>
      <c r="AF116" s="964"/>
      <c r="AG116" s="964"/>
    </row>
    <row r="117" spans="1:34" s="1012" customFormat="1" ht="14.85" customHeight="1" outlineLevel="1">
      <c r="A117" s="1005"/>
      <c r="B117" s="986" t="s">
        <v>1278</v>
      </c>
      <c r="C117" s="989" t="s">
        <v>1279</v>
      </c>
      <c r="D117" s="988" t="s">
        <v>502</v>
      </c>
      <c r="E117" s="989" t="s">
        <v>1280</v>
      </c>
      <c r="F117" s="990">
        <v>42047</v>
      </c>
      <c r="G117" s="1017">
        <v>6</v>
      </c>
      <c r="H117" s="1006">
        <v>12</v>
      </c>
      <c r="I117" s="1006">
        <v>14</v>
      </c>
      <c r="J117" s="1017">
        <v>3.1</v>
      </c>
      <c r="K117" s="1018">
        <f t="shared" si="33"/>
        <v>5645.3540000000003</v>
      </c>
      <c r="L117" s="985">
        <v>683.25</v>
      </c>
      <c r="M117" s="985">
        <v>6328.6040000000003</v>
      </c>
      <c r="N117" s="992">
        <f t="shared" si="34"/>
        <v>33872.124000000003</v>
      </c>
      <c r="O117" s="994">
        <f t="shared" si="35"/>
        <v>4099.5</v>
      </c>
      <c r="P117" s="992">
        <f t="shared" si="36"/>
        <v>37971.624000000003</v>
      </c>
      <c r="Q117" s="992"/>
      <c r="R117" s="991">
        <v>3.1</v>
      </c>
      <c r="S117" s="995">
        <f t="shared" si="37"/>
        <v>19618.672400000003</v>
      </c>
      <c r="T117" s="996">
        <f t="shared" si="38"/>
        <v>-0.48333333333333328</v>
      </c>
      <c r="U117" s="998" t="s">
        <v>1281</v>
      </c>
      <c r="V117" s="998" t="s">
        <v>1282</v>
      </c>
      <c r="W117" s="999">
        <f t="shared" si="39"/>
        <v>37971.624000000003</v>
      </c>
      <c r="X117" s="1004">
        <f t="shared" si="40"/>
        <v>0</v>
      </c>
      <c r="AB117" s="1013"/>
      <c r="AC117" s="1010"/>
      <c r="AD117" s="1009"/>
    </row>
    <row r="118" spans="1:34" s="1012" customFormat="1" ht="14.85" customHeight="1" outlineLevel="1">
      <c r="A118" s="1005"/>
      <c r="B118" s="986" t="s">
        <v>735</v>
      </c>
      <c r="C118" s="989" t="s">
        <v>733</v>
      </c>
      <c r="D118" s="988" t="s">
        <v>502</v>
      </c>
      <c r="E118" s="989" t="s">
        <v>1283</v>
      </c>
      <c r="F118" s="990">
        <v>42033</v>
      </c>
      <c r="G118" s="1017">
        <v>23</v>
      </c>
      <c r="H118" s="1006">
        <v>15</v>
      </c>
      <c r="I118" s="1006">
        <v>17</v>
      </c>
      <c r="J118" s="1017">
        <v>57.59</v>
      </c>
      <c r="K118" s="1018">
        <f t="shared" si="33"/>
        <v>16490.366999999998</v>
      </c>
      <c r="L118" s="985">
        <v>7000</v>
      </c>
      <c r="M118" s="985">
        <v>23490.366999999998</v>
      </c>
      <c r="N118" s="992">
        <f t="shared" si="34"/>
        <v>379278.44099999999</v>
      </c>
      <c r="O118" s="994">
        <f t="shared" si="35"/>
        <v>161000</v>
      </c>
      <c r="P118" s="992">
        <f t="shared" si="36"/>
        <v>540278.44099999999</v>
      </c>
      <c r="Q118" s="992"/>
      <c r="R118" s="991">
        <v>57.59</v>
      </c>
      <c r="S118" s="995">
        <f t="shared" si="37"/>
        <v>1352810.2355299999</v>
      </c>
      <c r="T118" s="996">
        <f t="shared" si="38"/>
        <v>1.5039130434782608</v>
      </c>
      <c r="U118" s="998" t="s">
        <v>734</v>
      </c>
      <c r="V118" s="998" t="s">
        <v>736</v>
      </c>
      <c r="W118" s="999">
        <f t="shared" si="39"/>
        <v>540278.44099999999</v>
      </c>
      <c r="X118" s="1004">
        <f t="shared" si="40"/>
        <v>0</v>
      </c>
      <c r="Y118" s="964"/>
      <c r="Z118" s="964"/>
      <c r="AA118" s="964"/>
      <c r="AB118" s="994"/>
      <c r="AC118" s="1010"/>
      <c r="AD118" s="1009"/>
      <c r="AE118" s="964"/>
      <c r="AF118" s="964"/>
      <c r="AG118" s="964"/>
    </row>
    <row r="119" spans="1:34" s="964" customFormat="1" ht="14.85" customHeight="1" outlineLevel="1">
      <c r="A119" s="1005"/>
      <c r="B119" s="986" t="s">
        <v>1196</v>
      </c>
      <c r="C119" s="989" t="s">
        <v>1197</v>
      </c>
      <c r="D119" s="988" t="s">
        <v>1547</v>
      </c>
      <c r="E119" s="989" t="s">
        <v>1198</v>
      </c>
      <c r="F119" s="990">
        <v>42200</v>
      </c>
      <c r="G119" s="1017">
        <v>16</v>
      </c>
      <c r="H119" s="1006">
        <v>13</v>
      </c>
      <c r="I119" s="1006">
        <v>15</v>
      </c>
      <c r="J119" s="1017">
        <v>28.27</v>
      </c>
      <c r="K119" s="1018">
        <f t="shared" si="33"/>
        <v>16609.642</v>
      </c>
      <c r="L119" s="985">
        <v>6365</v>
      </c>
      <c r="M119" s="985">
        <v>22974.642</v>
      </c>
      <c r="N119" s="992">
        <f t="shared" si="34"/>
        <v>265754.272</v>
      </c>
      <c r="O119" s="994">
        <f t="shared" si="35"/>
        <v>101840</v>
      </c>
      <c r="P119" s="992">
        <f t="shared" si="36"/>
        <v>367594.272</v>
      </c>
      <c r="Q119" s="992"/>
      <c r="R119" s="991">
        <v>28.27</v>
      </c>
      <c r="S119" s="995">
        <f t="shared" si="37"/>
        <v>649493.12933999998</v>
      </c>
      <c r="T119" s="996">
        <f t="shared" si="38"/>
        <v>0.76687499999999997</v>
      </c>
      <c r="U119" s="1011" t="s">
        <v>1199</v>
      </c>
      <c r="V119" s="998" t="s">
        <v>1200</v>
      </c>
      <c r="W119" s="999">
        <f t="shared" si="39"/>
        <v>367594.272</v>
      </c>
      <c r="X119" s="1004">
        <f t="shared" si="40"/>
        <v>0</v>
      </c>
      <c r="Y119" s="1014"/>
      <c r="Z119" s="1013"/>
      <c r="AA119" s="1014"/>
      <c r="AB119" s="1015"/>
      <c r="AC119" s="1013"/>
      <c r="AD119" s="1010"/>
      <c r="AE119" s="1009"/>
      <c r="AF119" s="1011"/>
      <c r="AG119" s="1016"/>
      <c r="AH119" s="1016"/>
    </row>
    <row r="120" spans="1:34" s="1012" customFormat="1" ht="14.85" customHeight="1" outlineLevel="1">
      <c r="A120" s="1005"/>
      <c r="B120" s="986" t="s">
        <v>1226</v>
      </c>
      <c r="C120" s="989" t="s">
        <v>1227</v>
      </c>
      <c r="D120" s="988" t="s">
        <v>1547</v>
      </c>
      <c r="E120" s="989" t="s">
        <v>1228</v>
      </c>
      <c r="F120" s="990">
        <v>42130</v>
      </c>
      <c r="G120" s="1017">
        <v>12</v>
      </c>
      <c r="H120" s="1006">
        <v>12</v>
      </c>
      <c r="I120" s="1006">
        <v>14</v>
      </c>
      <c r="J120" s="1017">
        <v>19.079999999999998</v>
      </c>
      <c r="K120" s="1018">
        <f t="shared" si="33"/>
        <v>13907.935000000001</v>
      </c>
      <c r="L120" s="985">
        <v>5800</v>
      </c>
      <c r="M120" s="985">
        <v>19707.935000000001</v>
      </c>
      <c r="N120" s="992">
        <f t="shared" si="34"/>
        <v>166895.22000000003</v>
      </c>
      <c r="O120" s="994">
        <f t="shared" si="35"/>
        <v>69600</v>
      </c>
      <c r="P120" s="992">
        <f t="shared" si="36"/>
        <v>236495.22000000003</v>
      </c>
      <c r="Q120" s="992"/>
      <c r="R120" s="991">
        <v>19.079999999999998</v>
      </c>
      <c r="S120" s="995">
        <f t="shared" si="37"/>
        <v>376027.39980000001</v>
      </c>
      <c r="T120" s="996">
        <f t="shared" si="38"/>
        <v>0.58999999999999986</v>
      </c>
      <c r="U120" s="997" t="s">
        <v>1229</v>
      </c>
      <c r="V120" s="998" t="s">
        <v>1230</v>
      </c>
      <c r="W120" s="999">
        <f t="shared" si="39"/>
        <v>236495.22000000003</v>
      </c>
      <c r="X120" s="1004">
        <f t="shared" si="40"/>
        <v>0</v>
      </c>
      <c r="Y120" s="979"/>
      <c r="Z120" s="964"/>
      <c r="AA120" s="964"/>
      <c r="AB120" s="964"/>
      <c r="AC120" s="994"/>
      <c r="AD120" s="1010"/>
      <c r="AE120" s="1009"/>
      <c r="AF120" s="964"/>
      <c r="AG120" s="964"/>
      <c r="AH120" s="964"/>
    </row>
    <row r="121" spans="1:34" s="964" customFormat="1" ht="14.85" customHeight="1" outlineLevel="1">
      <c r="A121" s="1046"/>
      <c r="B121" s="986"/>
      <c r="C121" s="986"/>
      <c r="D121" s="986"/>
      <c r="E121" s="986"/>
      <c r="F121" s="1058"/>
      <c r="G121" s="1058"/>
      <c r="H121" s="1058"/>
      <c r="I121" s="1058"/>
      <c r="J121" s="1058"/>
      <c r="K121" s="1058"/>
      <c r="L121" s="1058"/>
      <c r="M121" s="1058"/>
      <c r="N121" s="1058"/>
      <c r="O121" s="1058"/>
      <c r="P121" s="1058"/>
      <c r="Q121" s="992"/>
      <c r="R121" s="1059"/>
    </row>
    <row r="122" spans="1:34" s="964" customFormat="1" ht="14.85" customHeight="1" outlineLevel="1">
      <c r="B122" s="1143" t="s">
        <v>111</v>
      </c>
      <c r="C122" s="1144"/>
      <c r="D122" s="1144"/>
      <c r="E122" s="1144"/>
      <c r="F122" s="1144"/>
      <c r="G122" s="1144"/>
      <c r="H122" s="1144"/>
      <c r="I122" s="1144"/>
      <c r="J122" s="1144"/>
      <c r="K122" s="1144"/>
      <c r="L122" s="1144"/>
      <c r="M122" s="1144"/>
      <c r="N122" s="1145">
        <f>MAX(N109:N120)</f>
        <v>526615.98900000006</v>
      </c>
      <c r="O122" s="1145"/>
      <c r="P122" s="1146">
        <f>MAX(P109:P120)</f>
        <v>602615.98900000006</v>
      </c>
      <c r="Q122" s="968"/>
      <c r="R122" s="1148">
        <f>MAX(R110:R120)</f>
        <v>57.59</v>
      </c>
    </row>
    <row r="123" spans="1:34" s="964" customFormat="1" ht="14.85" customHeight="1" outlineLevel="1">
      <c r="B123" s="1024" t="s">
        <v>115</v>
      </c>
      <c r="C123" s="1025"/>
      <c r="D123" s="1025"/>
      <c r="E123" s="1025"/>
      <c r="F123" s="1025"/>
      <c r="G123" s="1025"/>
      <c r="H123" s="1025"/>
      <c r="I123" s="1025"/>
      <c r="J123" s="1025"/>
      <c r="K123" s="1025"/>
      <c r="L123" s="1025"/>
      <c r="M123" s="1025"/>
      <c r="N123" s="940">
        <f>QUARTILE(N109:N120,3)</f>
        <v>294135.31425</v>
      </c>
      <c r="O123" s="940"/>
      <c r="P123" s="1026">
        <f>QUARTILE(P109:P120,3)</f>
        <v>383473.16899999999</v>
      </c>
      <c r="Q123" s="968"/>
      <c r="R123" s="1061">
        <f>QUARTILE(R110:R120,3)</f>
        <v>22.744999999999997</v>
      </c>
    </row>
    <row r="124" spans="1:34" s="964" customFormat="1" ht="14.85" customHeight="1" outlineLevel="1">
      <c r="B124" s="1024" t="s">
        <v>43</v>
      </c>
      <c r="C124" s="1025"/>
      <c r="D124" s="1025"/>
      <c r="E124" s="1025"/>
      <c r="F124" s="1025"/>
      <c r="G124" s="1025"/>
      <c r="H124" s="1025"/>
      <c r="I124" s="1025"/>
      <c r="J124" s="1025"/>
      <c r="K124" s="1025"/>
      <c r="L124" s="1025"/>
      <c r="M124" s="1025"/>
      <c r="N124" s="940">
        <f>AVERAGE(N109:N120)</f>
        <v>212349.33975000001</v>
      </c>
      <c r="O124" s="940"/>
      <c r="P124" s="1026">
        <f>AVERAGE(P109:P120)</f>
        <v>272984.77499999997</v>
      </c>
      <c r="Q124" s="968"/>
      <c r="R124" s="1061">
        <f>AVERAGE(R110:R120)</f>
        <v>19.812727272727273</v>
      </c>
    </row>
    <row r="125" spans="1:34" s="964" customFormat="1" ht="14.85" customHeight="1" outlineLevel="1">
      <c r="B125" s="1024" t="s">
        <v>44</v>
      </c>
      <c r="C125" s="1025"/>
      <c r="D125" s="1025"/>
      <c r="E125" s="1025"/>
      <c r="F125" s="1025"/>
      <c r="G125" s="1025"/>
      <c r="H125" s="1025"/>
      <c r="I125" s="1025"/>
      <c r="J125" s="1025"/>
      <c r="K125" s="1025"/>
      <c r="L125" s="1025"/>
      <c r="M125" s="1025"/>
      <c r="N125" s="940">
        <f>MEDIAN(N109:N120)</f>
        <v>156112.98000000001</v>
      </c>
      <c r="O125" s="940"/>
      <c r="P125" s="1026">
        <f>MEDIAN(P109:P120)</f>
        <v>226904.95299999998</v>
      </c>
      <c r="Q125" s="968"/>
      <c r="R125" s="1061">
        <f>MEDIAN(R110:R120)</f>
        <v>19.93</v>
      </c>
    </row>
    <row r="126" spans="1:34" s="964" customFormat="1" ht="14.85" customHeight="1" outlineLevel="1">
      <c r="B126" s="1024" t="s">
        <v>114</v>
      </c>
      <c r="C126" s="1025"/>
      <c r="D126" s="1025"/>
      <c r="E126" s="1025"/>
      <c r="F126" s="1025"/>
      <c r="G126" s="1025"/>
      <c r="H126" s="1025"/>
      <c r="I126" s="1025"/>
      <c r="J126" s="1025"/>
      <c r="K126" s="1025"/>
      <c r="L126" s="1025"/>
      <c r="M126" s="1025"/>
      <c r="N126" s="940">
        <f>QUARTILE(N109:N120,1)</f>
        <v>115023.19224999999</v>
      </c>
      <c r="O126" s="940"/>
      <c r="P126" s="1026">
        <f>QUARTILE(P109:P120,1)</f>
        <v>164267.65925000003</v>
      </c>
      <c r="Q126" s="968"/>
      <c r="R126" s="1061">
        <f>QUARTILE(R110:R120,1)</f>
        <v>8.7799999999999994</v>
      </c>
    </row>
    <row r="127" spans="1:34" s="964" customFormat="1" ht="14.85" customHeight="1" outlineLevel="1">
      <c r="B127" s="1028" t="s">
        <v>112</v>
      </c>
      <c r="C127" s="1029"/>
      <c r="D127" s="1029"/>
      <c r="E127" s="1029"/>
      <c r="F127" s="1029"/>
      <c r="G127" s="1029"/>
      <c r="H127" s="1029"/>
      <c r="I127" s="1029"/>
      <c r="J127" s="1029"/>
      <c r="K127" s="1029"/>
      <c r="L127" s="1029"/>
      <c r="M127" s="1029"/>
      <c r="N127" s="942">
        <f>MIN(N109:N120)</f>
        <v>33872.124000000003</v>
      </c>
      <c r="O127" s="942"/>
      <c r="P127" s="1030">
        <f>MIN(P109:P120)</f>
        <v>37971.624000000003</v>
      </c>
      <c r="Q127" s="968"/>
      <c r="R127" s="1062">
        <f>MIN(R110:R120)</f>
        <v>3.1</v>
      </c>
    </row>
    <row r="128" spans="1:34" s="964" customFormat="1" ht="14.85" customHeight="1" outlineLevel="1">
      <c r="B128" s="1049"/>
      <c r="C128" s="1049"/>
      <c r="D128" s="1049"/>
      <c r="E128" s="1049"/>
      <c r="F128" s="1059"/>
      <c r="G128" s="1059"/>
      <c r="H128" s="1059"/>
      <c r="I128" s="1059"/>
      <c r="J128" s="1059"/>
      <c r="K128" s="1059"/>
      <c r="L128" s="1059"/>
      <c r="M128" s="1059"/>
      <c r="N128" s="1059"/>
      <c r="O128" s="1059"/>
      <c r="P128" s="1059"/>
      <c r="Q128" s="968"/>
      <c r="R128" s="1059"/>
    </row>
    <row r="129" spans="2:18" s="964" customFormat="1" ht="14.85" customHeight="1" outlineLevel="1">
      <c r="B129" s="1063" t="s">
        <v>1548</v>
      </c>
      <c r="C129" s="1049"/>
      <c r="D129" s="1049"/>
      <c r="E129" s="1049"/>
      <c r="F129" s="1059"/>
      <c r="G129" s="1059"/>
      <c r="H129" s="1059"/>
      <c r="I129" s="1059"/>
      <c r="J129" s="1059"/>
      <c r="K129" s="1059"/>
      <c r="L129" s="1059"/>
      <c r="M129" s="1059"/>
      <c r="N129" s="1059"/>
      <c r="O129" s="1059"/>
      <c r="P129" s="1059"/>
      <c r="Q129" s="968"/>
      <c r="R129" s="1059"/>
    </row>
    <row r="130" spans="2:18" s="964" customFormat="1" ht="14.85" customHeight="1">
      <c r="B130" s="1143" t="s">
        <v>111</v>
      </c>
      <c r="C130" s="1144"/>
      <c r="D130" s="1144"/>
      <c r="E130" s="1144"/>
      <c r="F130" s="1144"/>
      <c r="G130" s="1144"/>
      <c r="H130" s="1144"/>
      <c r="I130" s="1144"/>
      <c r="J130" s="1144"/>
      <c r="K130" s="1144"/>
      <c r="L130" s="1144"/>
      <c r="M130" s="1144"/>
      <c r="N130" s="1149">
        <f>MAX(N11:N19)</f>
        <v>1558841.55</v>
      </c>
      <c r="O130" s="1149"/>
      <c r="P130" s="1150">
        <f>MAX(P11:P19)</f>
        <v>1649841.55</v>
      </c>
      <c r="Q130" s="968"/>
      <c r="R130" s="1151">
        <f>MAX(R11:R19)</f>
        <v>2396147.65478</v>
      </c>
    </row>
    <row r="131" spans="2:18" s="964" customFormat="1" ht="14.85" customHeight="1">
      <c r="B131" s="1024" t="s">
        <v>115</v>
      </c>
      <c r="C131" s="1025"/>
      <c r="D131" s="1025"/>
      <c r="E131" s="1025"/>
      <c r="F131" s="1025"/>
      <c r="G131" s="1025"/>
      <c r="H131" s="1025"/>
      <c r="I131" s="1025"/>
      <c r="J131" s="1025"/>
      <c r="K131" s="1025"/>
      <c r="L131" s="1025"/>
      <c r="M131" s="1025"/>
      <c r="N131" s="1152">
        <f>QUARTILE(N11:N19,3)</f>
        <v>383102.17200000002</v>
      </c>
      <c r="O131" s="1152"/>
      <c r="P131" s="1153">
        <f>QUARTILE(P11:P19,3)</f>
        <v>473102.17200000002</v>
      </c>
      <c r="Q131" s="968"/>
      <c r="R131" s="1154">
        <f>QUARTILE(R11:R19,3)</f>
        <v>811370.22498000006</v>
      </c>
    </row>
    <row r="132" spans="2:18" s="964" customFormat="1" ht="14.85" customHeight="1">
      <c r="B132" s="1024" t="s">
        <v>43</v>
      </c>
      <c r="C132" s="1025"/>
      <c r="D132" s="1025"/>
      <c r="E132" s="1025"/>
      <c r="F132" s="1025"/>
      <c r="G132" s="1025"/>
      <c r="H132" s="1025"/>
      <c r="I132" s="1025"/>
      <c r="J132" s="1025"/>
      <c r="K132" s="1025"/>
      <c r="L132" s="1025"/>
      <c r="M132" s="1025"/>
      <c r="N132" s="1152">
        <f>AVERAGE(N11:N19)</f>
        <v>437432.04233333335</v>
      </c>
      <c r="O132" s="1152"/>
      <c r="P132" s="1153">
        <f>AVERAGE(P11:P19)</f>
        <v>498380.74544444442</v>
      </c>
      <c r="Q132" s="968"/>
      <c r="R132" s="1154">
        <f>AVERAGE(R11:R19)</f>
        <v>636479.52348444448</v>
      </c>
    </row>
    <row r="133" spans="2:18" s="964" customFormat="1" ht="14.85" customHeight="1">
      <c r="B133" s="1024" t="s">
        <v>44</v>
      </c>
      <c r="C133" s="1025"/>
      <c r="D133" s="1025"/>
      <c r="E133" s="1025"/>
      <c r="F133" s="1025"/>
      <c r="G133" s="1025"/>
      <c r="H133" s="1025"/>
      <c r="I133" s="1025"/>
      <c r="J133" s="1025"/>
      <c r="K133" s="1025"/>
      <c r="L133" s="1025"/>
      <c r="M133" s="1025"/>
      <c r="N133" s="1152">
        <f>MEDIAN(N11:N19)</f>
        <v>154237.644</v>
      </c>
      <c r="O133" s="1152"/>
      <c r="P133" s="1153">
        <f>MEDIAN(P11:P19)</f>
        <v>198237.644</v>
      </c>
      <c r="Q133" s="968"/>
      <c r="R133" s="1154">
        <f>MEDIAN(R11:R19)</f>
        <v>268554.77220000001</v>
      </c>
    </row>
    <row r="134" spans="2:18" s="964" customFormat="1" ht="14.85" customHeight="1">
      <c r="B134" s="1024" t="s">
        <v>114</v>
      </c>
      <c r="C134" s="1025"/>
      <c r="D134" s="1025"/>
      <c r="E134" s="1025"/>
      <c r="F134" s="1025"/>
      <c r="G134" s="1025"/>
      <c r="H134" s="1025"/>
      <c r="I134" s="1025"/>
      <c r="J134" s="1025"/>
      <c r="K134" s="1025"/>
      <c r="L134" s="1025"/>
      <c r="M134" s="1025"/>
      <c r="N134" s="1152">
        <f>QUARTILE(N11:N19,1)</f>
        <v>73793.01999999999</v>
      </c>
      <c r="O134" s="1152"/>
      <c r="P134" s="1153">
        <f>QUARTILE(P11:P19,1)</f>
        <v>105043.01999999999</v>
      </c>
      <c r="Q134" s="968"/>
      <c r="R134" s="1154">
        <f>QUARTILE(R11:R19,1)</f>
        <v>105253.10604</v>
      </c>
    </row>
    <row r="135" spans="2:18" s="964" customFormat="1" ht="14.85" customHeight="1">
      <c r="B135" s="1028" t="s">
        <v>112</v>
      </c>
      <c r="C135" s="1029"/>
      <c r="D135" s="1029"/>
      <c r="E135" s="1029"/>
      <c r="F135" s="1029"/>
      <c r="G135" s="1029"/>
      <c r="H135" s="1029"/>
      <c r="I135" s="1029"/>
      <c r="J135" s="1029"/>
      <c r="K135" s="1029"/>
      <c r="L135" s="1029"/>
      <c r="M135" s="1029"/>
      <c r="N135" s="1155">
        <f>MIN(N11:N19)</f>
        <v>31347.355</v>
      </c>
      <c r="O135" s="1155"/>
      <c r="P135" s="1156">
        <f>MIN(P11:P19)</f>
        <v>41422.354999999996</v>
      </c>
      <c r="Q135" s="968"/>
      <c r="R135" s="1157">
        <f>MIN(R11:R19)</f>
        <v>15931.674999999999</v>
      </c>
    </row>
    <row r="136" spans="2:18" ht="14.85" customHeight="1">
      <c r="B136" s="1158"/>
      <c r="C136" s="1158"/>
      <c r="D136" s="1158"/>
      <c r="E136" s="1158"/>
      <c r="F136" s="1159"/>
      <c r="G136" s="1159"/>
      <c r="H136" s="1159"/>
      <c r="I136" s="1159"/>
      <c r="J136" s="1159"/>
      <c r="K136" s="1159"/>
      <c r="L136" s="1159"/>
      <c r="M136" s="1159"/>
      <c r="N136" s="1159"/>
      <c r="O136" s="1159"/>
      <c r="P136" s="1159"/>
      <c r="Q136" s="951"/>
      <c r="R136" s="1160"/>
    </row>
    <row r="137" spans="2:18" ht="14.85" customHeight="1">
      <c r="B137" s="295" t="s">
        <v>116</v>
      </c>
      <c r="R137" s="1159"/>
    </row>
    <row r="138" spans="2:18" ht="14.85" customHeight="1">
      <c r="C138" s="944" t="s">
        <v>1308</v>
      </c>
    </row>
    <row r="139" spans="2:18" ht="14.85" customHeight="1">
      <c r="C139" s="944" t="s">
        <v>1309</v>
      </c>
    </row>
    <row r="140" spans="2:18" ht="14.85" customHeight="1">
      <c r="C140" s="944" t="s">
        <v>1310</v>
      </c>
    </row>
    <row r="141" spans="2:18" ht="14.85" customHeight="1">
      <c r="C141" s="944" t="s">
        <v>1311</v>
      </c>
    </row>
    <row r="142" spans="2:18" ht="14.85" customHeight="1">
      <c r="C142" s="944" t="s">
        <v>1312</v>
      </c>
    </row>
    <row r="143" spans="2:18" ht="14.85" customHeight="1">
      <c r="C143" s="944" t="s">
        <v>1313</v>
      </c>
    </row>
    <row r="144" spans="2:18" ht="14.85" customHeight="1">
      <c r="C144" s="944" t="s">
        <v>1366</v>
      </c>
    </row>
    <row r="145" spans="3:3" ht="14.85" customHeight="1">
      <c r="C145" s="944" t="s">
        <v>1314</v>
      </c>
    </row>
    <row r="146" spans="3:3" ht="14.85" customHeight="1">
      <c r="C146" s="944" t="s">
        <v>1315</v>
      </c>
    </row>
    <row r="147" spans="3:3" ht="14.85" customHeight="1">
      <c r="C147" s="944" t="s">
        <v>1316</v>
      </c>
    </row>
    <row r="148" spans="3:3" ht="14.85" customHeight="1">
      <c r="C148" s="944" t="s">
        <v>1317</v>
      </c>
    </row>
    <row r="149" spans="3:3" ht="14.85" customHeight="1">
      <c r="C149" s="944" t="s">
        <v>1318</v>
      </c>
    </row>
    <row r="150" spans="3:3" ht="14.85" customHeight="1">
      <c r="C150" s="944" t="s">
        <v>1319</v>
      </c>
    </row>
    <row r="151" spans="3:3" ht="14.85" customHeight="1">
      <c r="C151" s="944" t="s">
        <v>1320</v>
      </c>
    </row>
    <row r="152" spans="3:3" ht="14.85" customHeight="1">
      <c r="C152" s="944" t="s">
        <v>1321</v>
      </c>
    </row>
    <row r="153" spans="3:3" ht="14.85" customHeight="1">
      <c r="C153" s="944" t="s">
        <v>1322</v>
      </c>
    </row>
    <row r="154" spans="3:3" ht="14.85" customHeight="1">
      <c r="C154" s="944" t="s">
        <v>1367</v>
      </c>
    </row>
    <row r="155" spans="3:3" ht="14.85" customHeight="1">
      <c r="C155" s="944" t="s">
        <v>1368</v>
      </c>
    </row>
    <row r="156" spans="3:3" ht="14.85" customHeight="1">
      <c r="C156" s="944" t="s">
        <v>1323</v>
      </c>
    </row>
    <row r="157" spans="3:3" ht="14.85" customHeight="1">
      <c r="C157" s="944" t="s">
        <v>769</v>
      </c>
    </row>
    <row r="158" spans="3:3" ht="14.85" customHeight="1">
      <c r="C158" s="944" t="s">
        <v>1324</v>
      </c>
    </row>
    <row r="159" spans="3:3" ht="14.85" customHeight="1">
      <c r="C159" s="944" t="s">
        <v>1325</v>
      </c>
    </row>
    <row r="160" spans="3:3" ht="14.85" customHeight="1">
      <c r="C160" s="944" t="s">
        <v>1327</v>
      </c>
    </row>
    <row r="161" spans="3:3" ht="14.85" customHeight="1">
      <c r="C161" s="944" t="s">
        <v>1330</v>
      </c>
    </row>
    <row r="162" spans="3:3" ht="14.85" customHeight="1">
      <c r="C162" s="944" t="s">
        <v>1332</v>
      </c>
    </row>
    <row r="163" spans="3:3" ht="14.85" customHeight="1">
      <c r="C163" s="944" t="s">
        <v>1336</v>
      </c>
    </row>
    <row r="164" spans="3:3" ht="14.85" customHeight="1">
      <c r="C164" s="944" t="s">
        <v>1340</v>
      </c>
    </row>
    <row r="165" spans="3:3" ht="14.85" customHeight="1">
      <c r="C165" s="944" t="s">
        <v>1341</v>
      </c>
    </row>
    <row r="166" spans="3:3" ht="14.85" customHeight="1">
      <c r="C166" s="944" t="s">
        <v>1342</v>
      </c>
    </row>
    <row r="167" spans="3:3" ht="14.85" customHeight="1">
      <c r="C167" s="944" t="s">
        <v>1344</v>
      </c>
    </row>
    <row r="168" spans="3:3" ht="14.85" customHeight="1">
      <c r="C168" s="944" t="s">
        <v>1348</v>
      </c>
    </row>
    <row r="169" spans="3:3" ht="14.85" customHeight="1">
      <c r="C169" s="944" t="s">
        <v>1349</v>
      </c>
    </row>
    <row r="170" spans="3:3" ht="14.85" customHeight="1">
      <c r="C170" s="944" t="s">
        <v>1350</v>
      </c>
    </row>
    <row r="171" spans="3:3" ht="14.85" customHeight="1">
      <c r="C171" s="1158" t="s">
        <v>1369</v>
      </c>
    </row>
    <row r="172" spans="3:3" ht="14.85" customHeight="1">
      <c r="C172" s="944" t="s">
        <v>1351</v>
      </c>
    </row>
    <row r="173" spans="3:3" ht="14.85" customHeight="1">
      <c r="C173" s="944" t="s">
        <v>1352</v>
      </c>
    </row>
    <row r="174" spans="3:3" ht="14.85" customHeight="1">
      <c r="C174" s="944" t="s">
        <v>1353</v>
      </c>
    </row>
    <row r="175" spans="3:3" ht="14.85" customHeight="1">
      <c r="C175" s="944" t="s">
        <v>1354</v>
      </c>
    </row>
    <row r="176" spans="3:3" ht="14.85" customHeight="1">
      <c r="C176" s="944" t="s">
        <v>1355</v>
      </c>
    </row>
    <row r="177" spans="3:3" ht="14.85" customHeight="1">
      <c r="C177" s="944" t="s">
        <v>1356</v>
      </c>
    </row>
    <row r="178" spans="3:3" ht="14.85" customHeight="1">
      <c r="C178" s="944" t="s">
        <v>1357</v>
      </c>
    </row>
    <row r="179" spans="3:3" ht="14.85" customHeight="1">
      <c r="C179" s="944" t="s">
        <v>1358</v>
      </c>
    </row>
    <row r="180" spans="3:3" ht="14.85" customHeight="1">
      <c r="C180" s="944" t="s">
        <v>1359</v>
      </c>
    </row>
    <row r="181" spans="3:3" ht="14.85" customHeight="1">
      <c r="C181" s="944" t="s">
        <v>1360</v>
      </c>
    </row>
    <row r="182" spans="3:3" ht="14.85" customHeight="1">
      <c r="C182" s="944" t="s">
        <v>1361</v>
      </c>
    </row>
    <row r="183" spans="3:3" ht="14.85" customHeight="1">
      <c r="C183" s="944" t="s">
        <v>1362</v>
      </c>
    </row>
    <row r="184" spans="3:3" ht="14.85" customHeight="1">
      <c r="C184" s="944" t="s">
        <v>1363</v>
      </c>
    </row>
    <row r="185" spans="3:3" ht="14.85" customHeight="1">
      <c r="C185" s="944" t="s">
        <v>1364</v>
      </c>
    </row>
    <row r="186" spans="3:3" ht="14.85" customHeight="1">
      <c r="C186" s="944" t="s">
        <v>1365</v>
      </c>
    </row>
    <row r="187" spans="3:3" ht="14.85" customHeight="1"/>
    <row r="188" spans="3:3" ht="14.85" customHeight="1"/>
    <row r="189" spans="3:3" ht="14.85" customHeight="1"/>
    <row r="190" spans="3:3" ht="14.85" customHeight="1"/>
    <row r="191" spans="3:3" ht="14.85" customHeight="1"/>
    <row r="192" spans="3:3" ht="14.85" customHeight="1">
      <c r="C192" s="1158"/>
    </row>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mergeCells count="20">
    <mergeCell ref="F8:F9"/>
    <mergeCell ref="K8:K9"/>
    <mergeCell ref="O8:O9"/>
    <mergeCell ref="P8:P9"/>
    <mergeCell ref="R8:R9"/>
    <mergeCell ref="S8:S9"/>
    <mergeCell ref="T8:T9"/>
    <mergeCell ref="U8:U9"/>
    <mergeCell ref="G8:G9"/>
    <mergeCell ref="H8:I8"/>
    <mergeCell ref="J8:J9"/>
    <mergeCell ref="L8:L9"/>
    <mergeCell ref="M8:M9"/>
    <mergeCell ref="N8:N9"/>
    <mergeCell ref="AD8:AD9"/>
    <mergeCell ref="X8:X9"/>
    <mergeCell ref="Z8:Z9"/>
    <mergeCell ref="AA8:AA9"/>
    <mergeCell ref="AB8:AB9"/>
    <mergeCell ref="AC8:AC9"/>
  </mergeCells>
  <conditionalFormatting sqref="C4:E4">
    <cfRule type="cellIs" dxfId="48" priority="8" stopIfTrue="1" operator="equal">
      <formula>"input"</formula>
    </cfRule>
  </conditionalFormatting>
  <conditionalFormatting sqref="F4:G4">
    <cfRule type="cellIs" dxfId="47" priority="7" stopIfTrue="1" operator="equal">
      <formula>"input"</formula>
    </cfRule>
  </conditionalFormatting>
  <conditionalFormatting sqref="H4:I4">
    <cfRule type="cellIs" dxfId="46" priority="6" stopIfTrue="1" operator="equal">
      <formula>"input"</formula>
    </cfRule>
  </conditionalFormatting>
  <conditionalFormatting sqref="J4:K4">
    <cfRule type="cellIs" dxfId="45" priority="5" stopIfTrue="1" operator="equal">
      <formula>"input"</formula>
    </cfRule>
  </conditionalFormatting>
  <conditionalFormatting sqref="L4:M4">
    <cfRule type="cellIs" dxfId="44" priority="4" stopIfTrue="1" operator="equal">
      <formula>"input"</formula>
    </cfRule>
  </conditionalFormatting>
  <conditionalFormatting sqref="N4:O4">
    <cfRule type="cellIs" dxfId="43" priority="3" stopIfTrue="1" operator="equal">
      <formula>"input"</formula>
    </cfRule>
  </conditionalFormatting>
  <conditionalFormatting sqref="P4">
    <cfRule type="cellIs" dxfId="42" priority="2" stopIfTrue="1" operator="equal">
      <formula>"input"</formula>
    </cfRule>
  </conditionalFormatting>
  <conditionalFormatting sqref="B4">
    <cfRule type="cellIs" dxfId="41" priority="1" stopIfTrue="1" operator="equal">
      <formula>"input"</formula>
    </cfRule>
  </conditionalFormatting>
  <pageMargins left="0.5" right="0.5" top="0.5" bottom="0.5" header="0.5" footer="0.5"/>
  <pageSetup scale="78" fitToWidth="0" fitToHeight="0" orientation="landscape" r:id="rId1"/>
  <rowBreaks count="3" manualBreakCount="3">
    <brk id="46" max="16" man="1"/>
    <brk id="77" max="16" man="1"/>
    <brk id="107" max="16" man="1"/>
  </rowBreaks>
  <legacyDrawing r:id="rId2"/>
  <legacyDrawingHF r:id="rId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40">
    <pageSetUpPr fitToPage="1"/>
  </sheetPr>
  <dimension ref="B1:J764"/>
  <sheetViews>
    <sheetView showGridLines="0" view="pageBreakPreview" zoomScale="80" zoomScaleNormal="100" zoomScaleSheetLayoutView="80" workbookViewId="0"/>
  </sheetViews>
  <sheetFormatPr defaultRowHeight="12.75"/>
  <cols>
    <col min="1" max="1" width="2.83203125" style="208" customWidth="1"/>
    <col min="2" max="2" width="15" style="208" customWidth="1"/>
    <col min="3" max="5" width="12.5" style="208" customWidth="1"/>
    <col min="6" max="6" width="5" style="208" customWidth="1"/>
    <col min="7" max="10" width="12.5" style="208" customWidth="1"/>
    <col min="11" max="11" width="2.83203125" style="208" customWidth="1"/>
    <col min="12" max="16384" width="9.33203125" style="208"/>
  </cols>
  <sheetData>
    <row r="1" spans="2:10" ht="10.7" customHeight="1" thickBot="1"/>
    <row r="2" spans="2:10" ht="16.5" customHeight="1" thickTop="1">
      <c r="B2" s="216" t="str">
        <f>'MASTER PubCo Inputs'!$C$5</f>
        <v>Medikine, Inc.</v>
      </c>
      <c r="C2" s="216"/>
      <c r="D2" s="216"/>
      <c r="E2" s="216"/>
      <c r="F2" s="216"/>
      <c r="G2" s="216"/>
      <c r="H2" s="216"/>
      <c r="I2" s="216"/>
      <c r="J2" s="216"/>
    </row>
    <row r="3" spans="2:10" ht="15.75" customHeight="1">
      <c r="B3" s="217" t="e">
        <f>VLOOKUP(B4,Outline!$E$8:$G$79,COLUMNS(Outline!$E$8:$G$8),FALSE)</f>
        <v>#N/A</v>
      </c>
      <c r="C3" s="217"/>
      <c r="D3" s="217"/>
      <c r="E3" s="217"/>
      <c r="F3" s="217"/>
      <c r="G3" s="217"/>
      <c r="H3" s="217"/>
      <c r="I3" s="217"/>
      <c r="J3" s="217"/>
    </row>
    <row r="4" spans="2:10" ht="16.5" customHeight="1" thickBot="1">
      <c r="B4" s="444" t="s">
        <v>68</v>
      </c>
      <c r="C4" s="444"/>
      <c r="D4" s="444"/>
      <c r="E4" s="444"/>
      <c r="F4" s="444"/>
      <c r="G4" s="444"/>
      <c r="H4" s="444"/>
      <c r="I4" s="444"/>
      <c r="J4" s="445"/>
    </row>
    <row r="5" spans="2:10" ht="14.85" customHeight="1" thickTop="1"/>
    <row r="6" spans="2:10" ht="14.85" customHeight="1"/>
    <row r="7" spans="2:10" ht="14.85" customHeight="1">
      <c r="B7" s="1210" t="s">
        <v>398</v>
      </c>
      <c r="C7" s="1211"/>
      <c r="D7" s="1211"/>
      <c r="E7" s="1211"/>
      <c r="F7" s="1211"/>
      <c r="G7" s="1211"/>
      <c r="H7" s="1211"/>
      <c r="I7" s="1211"/>
      <c r="J7" s="1212"/>
    </row>
    <row r="8" spans="2:10" ht="14.85" customHeight="1">
      <c r="B8" s="304" t="s">
        <v>49</v>
      </c>
      <c r="C8" s="1213"/>
      <c r="D8" s="470"/>
      <c r="E8" s="1213" t="s">
        <v>50</v>
      </c>
      <c r="F8" s="470"/>
      <c r="G8" s="470" t="s">
        <v>49</v>
      </c>
      <c r="H8" s="1213"/>
      <c r="I8" s="470"/>
      <c r="J8" s="1214" t="s">
        <v>50</v>
      </c>
    </row>
    <row r="9" spans="2:10" ht="14.85" customHeight="1">
      <c r="B9" s="1215" t="s">
        <v>51</v>
      </c>
      <c r="C9" s="326"/>
      <c r="D9" s="326"/>
      <c r="E9" s="326"/>
      <c r="F9" s="326"/>
      <c r="G9" s="352" t="s">
        <v>52</v>
      </c>
      <c r="H9" s="326"/>
      <c r="I9" s="326"/>
      <c r="J9" s="327"/>
    </row>
    <row r="10" spans="2:10" ht="14.85" customHeight="1">
      <c r="B10" s="534" t="s">
        <v>53</v>
      </c>
      <c r="C10" s="1216"/>
      <c r="D10" s="1216"/>
      <c r="E10" s="1217">
        <v>0.25800000000000001</v>
      </c>
      <c r="F10" s="326"/>
      <c r="G10" s="326" t="s">
        <v>54</v>
      </c>
      <c r="H10" s="326"/>
      <c r="I10" s="326"/>
      <c r="J10" s="1218">
        <v>0.221</v>
      </c>
    </row>
    <row r="11" spans="2:10" ht="14.85" customHeight="1">
      <c r="B11" s="534" t="s">
        <v>55</v>
      </c>
      <c r="C11" s="1219"/>
      <c r="D11" s="1219"/>
      <c r="E11" s="1217">
        <v>0.33</v>
      </c>
      <c r="F11" s="326"/>
      <c r="G11" s="326" t="s">
        <v>56</v>
      </c>
      <c r="H11" s="326"/>
      <c r="I11" s="326"/>
      <c r="J11" s="1218">
        <v>0.27100000000000002</v>
      </c>
    </row>
    <row r="12" spans="2:10" ht="14.85" customHeight="1">
      <c r="B12" s="534" t="s">
        <v>57</v>
      </c>
      <c r="C12" s="1219"/>
      <c r="D12" s="1219"/>
      <c r="E12" s="1217">
        <v>0.33500000000000002</v>
      </c>
      <c r="F12" s="326"/>
      <c r="G12" s="326" t="s">
        <v>58</v>
      </c>
      <c r="H12" s="326"/>
      <c r="I12" s="326"/>
      <c r="J12" s="1218">
        <v>0.222</v>
      </c>
    </row>
    <row r="13" spans="2:10" ht="14.85" customHeight="1">
      <c r="B13" s="534" t="s">
        <v>59</v>
      </c>
      <c r="C13" s="1219"/>
      <c r="D13" s="1219"/>
      <c r="E13" s="1217">
        <v>0.35</v>
      </c>
      <c r="F13" s="326"/>
      <c r="G13" s="326" t="s">
        <v>60</v>
      </c>
      <c r="H13" s="326"/>
      <c r="I13" s="326"/>
      <c r="J13" s="1218">
        <v>0.2</v>
      </c>
    </row>
    <row r="14" spans="2:10" ht="14.85" customHeight="1">
      <c r="B14" s="534" t="s">
        <v>61</v>
      </c>
      <c r="C14" s="1220"/>
      <c r="D14" s="1220"/>
      <c r="E14" s="1217">
        <v>0.35399999999999998</v>
      </c>
      <c r="F14" s="326"/>
      <c r="G14" s="326" t="s">
        <v>62</v>
      </c>
      <c r="H14" s="326"/>
      <c r="I14" s="326"/>
      <c r="J14" s="1218">
        <v>0.21</v>
      </c>
    </row>
    <row r="15" spans="2:10" ht="14.85" customHeight="1">
      <c r="B15" s="534" t="s">
        <v>63</v>
      </c>
      <c r="C15" s="1220"/>
      <c r="D15" s="1220"/>
      <c r="E15" s="1217">
        <v>0.45</v>
      </c>
      <c r="F15" s="326"/>
      <c r="G15" s="326" t="s">
        <v>62</v>
      </c>
      <c r="H15" s="326"/>
      <c r="I15" s="326"/>
      <c r="J15" s="1218">
        <v>0.13</v>
      </c>
    </row>
    <row r="16" spans="2:10" ht="14.85" customHeight="1">
      <c r="B16" s="534" t="s">
        <v>64</v>
      </c>
      <c r="C16" s="1220"/>
      <c r="D16" s="1220"/>
      <c r="E16" s="1217">
        <v>0.33800000000000002</v>
      </c>
      <c r="F16" s="326"/>
      <c r="G16" s="326"/>
      <c r="H16" s="326"/>
      <c r="I16" s="326"/>
      <c r="J16" s="1221"/>
    </row>
    <row r="17" spans="2:10" ht="14.85" customHeight="1">
      <c r="B17" s="534" t="s">
        <v>65</v>
      </c>
      <c r="C17" s="1220"/>
      <c r="D17" s="1220"/>
      <c r="E17" s="1222">
        <v>0.312</v>
      </c>
      <c r="F17" s="326"/>
      <c r="G17" s="326"/>
      <c r="H17" s="326"/>
      <c r="I17" s="326"/>
      <c r="J17" s="1223"/>
    </row>
    <row r="18" spans="2:10" ht="14.85" customHeight="1" thickBot="1">
      <c r="B18" s="1224" t="s">
        <v>66</v>
      </c>
      <c r="C18" s="326"/>
      <c r="D18" s="326"/>
      <c r="E18" s="1225">
        <v>0.34100000000000003</v>
      </c>
      <c r="F18" s="326"/>
      <c r="G18" s="1226" t="s">
        <v>67</v>
      </c>
      <c r="H18" s="326"/>
      <c r="I18" s="326"/>
      <c r="J18" s="1227">
        <v>0.20899999999999999</v>
      </c>
    </row>
    <row r="19" spans="2:10" ht="14.85" customHeight="1" thickTop="1">
      <c r="B19" s="339"/>
      <c r="C19" s="419"/>
      <c r="D19" s="419"/>
      <c r="E19" s="419"/>
      <c r="F19" s="419"/>
      <c r="G19" s="419"/>
      <c r="H19" s="419"/>
      <c r="I19" s="419"/>
      <c r="J19" s="1228"/>
    </row>
    <row r="20" spans="2:10" ht="14.85" customHeight="1"/>
    <row r="21" spans="2:10" ht="14.85" customHeight="1"/>
    <row r="22" spans="2:10" ht="14.85" customHeight="1"/>
    <row r="23" spans="2:10" ht="14.85" customHeight="1"/>
    <row r="24" spans="2:10" ht="14.85" customHeight="1"/>
    <row r="25" spans="2:10" ht="14.85" customHeight="1"/>
    <row r="26" spans="2:10" ht="14.85" customHeight="1"/>
    <row r="27" spans="2:10" ht="14.85" customHeight="1"/>
    <row r="28" spans="2:10" ht="14.85" customHeight="1"/>
    <row r="29" spans="2:10" ht="14.85" customHeight="1"/>
    <row r="30" spans="2:10" ht="14.85" customHeight="1"/>
    <row r="31" spans="2:10" ht="14.85" customHeight="1"/>
    <row r="32" spans="2:10" ht="14.85" customHeight="1"/>
    <row r="33" ht="14.85" customHeight="1"/>
    <row r="34" ht="14.85" customHeight="1"/>
    <row r="35" ht="14.85" customHeight="1"/>
    <row r="36" ht="14.85" customHeight="1"/>
    <row r="37" ht="14.85" customHeight="1"/>
    <row r="38" ht="14.85" customHeight="1"/>
    <row r="39" ht="14.85" customHeight="1"/>
    <row r="40" ht="14.85" customHeight="1"/>
    <row r="41" ht="14.85" customHeight="1"/>
    <row r="42" ht="14.85" customHeight="1"/>
    <row r="43" ht="14.85" customHeight="1"/>
    <row r="44" ht="14.85" customHeight="1"/>
    <row r="45" ht="14.85" customHeight="1"/>
    <row r="46" ht="14.85" customHeight="1"/>
    <row r="47" ht="14.85" customHeight="1"/>
    <row r="48"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4:I4">
    <cfRule type="cellIs" dxfId="40" priority="3" stopIfTrue="1" operator="equal">
      <formula>"input"</formula>
    </cfRule>
  </conditionalFormatting>
  <conditionalFormatting sqref="J4">
    <cfRule type="cellIs" dxfId="39" priority="1" stopIfTrue="1" operator="equal">
      <formula>"input"</formula>
    </cfRule>
  </conditionalFormatting>
  <conditionalFormatting sqref="J4">
    <cfRule type="cellIs" dxfId="38" priority="2" stopIfTrue="1" operator="equal">
      <formula>"input"</formula>
    </cfRule>
  </conditionalFormatting>
  <pageMargins left="0.5" right="0.5" top="0.5" bottom="0.5" header="0.5" footer="0.5"/>
  <pageSetup orientation="landscape" r:id="rId1"/>
  <legacyDrawingHF r:id="rId2"/>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51"/>
  <dimension ref="B1:BQ764"/>
  <sheetViews>
    <sheetView showGridLines="0" view="pageBreakPreview" zoomScale="80" zoomScaleNormal="100" zoomScaleSheetLayoutView="80" workbookViewId="0"/>
  </sheetViews>
  <sheetFormatPr defaultRowHeight="12.75" outlineLevelCol="1"/>
  <cols>
    <col min="1" max="1" width="4.5" style="208" customWidth="1"/>
    <col min="2" max="2" width="45.5" style="208" customWidth="1"/>
    <col min="3" max="3" width="14.83203125" style="208" customWidth="1"/>
    <col min="4" max="4" width="2.83203125" style="208" customWidth="1"/>
    <col min="5" max="6" width="14.83203125" style="208" hidden="1" customWidth="1" outlineLevel="1"/>
    <col min="7" max="7" width="14.83203125" style="208" customWidth="1" collapsed="1"/>
    <col min="8" max="8" width="2.83203125" style="208" hidden="1" customWidth="1" outlineLevel="1"/>
    <col min="9" max="9" width="14.83203125" style="208" customWidth="1" collapsed="1"/>
    <col min="10" max="10" width="17.1640625" style="208" customWidth="1"/>
    <col min="11" max="11" width="2.83203125" style="208" customWidth="1"/>
    <col min="12" max="13" width="14.83203125" style="208" hidden="1" customWidth="1" outlineLevel="1"/>
    <col min="14" max="14" width="14.83203125" style="208" customWidth="1" collapsed="1"/>
    <col min="15" max="15" width="2.83203125" style="208" hidden="1" customWidth="1" outlineLevel="1"/>
    <col min="16" max="16" width="14.83203125" style="208" customWidth="1" collapsed="1"/>
    <col min="17" max="17" width="14.83203125" style="208" customWidth="1"/>
    <col min="18" max="18" width="4.5" style="208" customWidth="1"/>
    <col min="19" max="19" width="21.5" style="208" bestFit="1" customWidth="1"/>
    <col min="20" max="21" width="12.83203125" style="208" customWidth="1"/>
    <col min="22" max="22" width="5.83203125" style="208" customWidth="1"/>
    <col min="23" max="23" width="16.33203125" style="208" customWidth="1"/>
    <col min="24" max="26" width="12.83203125" style="208" customWidth="1"/>
    <col min="27" max="27" width="19.83203125" style="208" bestFit="1" customWidth="1"/>
    <col min="28" max="28" width="15.33203125" style="208" bestFit="1" customWidth="1"/>
    <col min="29" max="29" width="5.83203125" style="208" customWidth="1"/>
    <col min="30" max="30" width="17.83203125" style="208" bestFit="1" customWidth="1"/>
    <col min="31" max="31" width="10.6640625" style="208" bestFit="1" customWidth="1"/>
    <col min="32" max="32" width="9.33203125" style="208"/>
    <col min="33" max="39" width="14.83203125" style="208" customWidth="1"/>
    <col min="40" max="40" width="19.1640625" style="208" customWidth="1"/>
    <col min="41" max="41" width="9.33203125" style="208"/>
    <col min="42" max="42" width="14.5" style="208" customWidth="1"/>
    <col min="43" max="43" width="19.5" style="208" customWidth="1"/>
    <col min="44" max="16384" width="9.33203125" style="208"/>
  </cols>
  <sheetData>
    <row r="1" spans="2:69" ht="10.7" customHeight="1" thickBot="1"/>
    <row r="2" spans="2:69" ht="16.5" customHeight="1" thickTop="1">
      <c r="B2" s="216" t="str">
        <f>'MASTER PubCo Inputs'!$C$5</f>
        <v>Medikine, Inc.</v>
      </c>
      <c r="C2" s="216"/>
      <c r="D2" s="216"/>
      <c r="E2" s="216"/>
      <c r="F2" s="216"/>
      <c r="G2" s="216"/>
      <c r="H2" s="216"/>
      <c r="I2" s="216"/>
      <c r="J2" s="216"/>
      <c r="K2" s="216"/>
      <c r="L2" s="216"/>
      <c r="M2" s="216"/>
      <c r="N2" s="216"/>
      <c r="O2" s="216"/>
      <c r="P2" s="216"/>
      <c r="Q2" s="216"/>
      <c r="AO2" s="532" t="s">
        <v>87</v>
      </c>
      <c r="AP2" s="533">
        <f>'MASTER PubCo Inputs'!$C$6</f>
        <v>43496</v>
      </c>
    </row>
    <row r="3" spans="2:69" ht="15.75" customHeight="1">
      <c r="B3" s="217" t="e">
        <f>VLOOKUP(B4,Outline!$E$8:$G$79,COLUMNS(Outline!$E$8:$G$8),FALSE)</f>
        <v>#N/A</v>
      </c>
      <c r="C3" s="217"/>
      <c r="D3" s="217"/>
      <c r="E3" s="217"/>
      <c r="F3" s="217"/>
      <c r="G3" s="217"/>
      <c r="H3" s="217"/>
      <c r="I3" s="217"/>
      <c r="J3" s="217"/>
      <c r="K3" s="217"/>
      <c r="L3" s="217"/>
      <c r="M3" s="217"/>
      <c r="N3" s="217"/>
      <c r="O3" s="217"/>
      <c r="P3" s="217"/>
      <c r="Q3" s="217"/>
      <c r="AO3" s="534" t="s">
        <v>378</v>
      </c>
      <c r="AP3" s="601" t="s">
        <v>380</v>
      </c>
    </row>
    <row r="4" spans="2:69" ht="16.5" customHeight="1" thickBot="1">
      <c r="B4" s="444" t="s">
        <v>602</v>
      </c>
      <c r="C4" s="444"/>
      <c r="D4" s="1239"/>
      <c r="E4" s="444"/>
      <c r="F4" s="444"/>
      <c r="G4" s="444"/>
      <c r="H4" s="444"/>
      <c r="I4" s="444"/>
      <c r="J4" s="445"/>
      <c r="K4" s="445"/>
      <c r="L4" s="445"/>
      <c r="M4" s="445"/>
      <c r="N4" s="445"/>
      <c r="O4" s="445"/>
      <c r="P4" s="445"/>
      <c r="Q4" s="445" t="str">
        <f>+'MASTER PubCo Inputs'!$C$24</f>
        <v>(in millions of USD)</v>
      </c>
      <c r="AO4" s="534" t="s">
        <v>379</v>
      </c>
      <c r="AP4" s="601" t="s">
        <v>381</v>
      </c>
    </row>
    <row r="5" spans="2:69" ht="14.85" customHeight="1" thickTop="1">
      <c r="B5" s="577"/>
      <c r="C5" s="577"/>
      <c r="AO5" s="339" t="s">
        <v>89</v>
      </c>
      <c r="AP5" s="604" t="s">
        <v>90</v>
      </c>
    </row>
    <row r="6" spans="2:69" ht="14.85" customHeight="1">
      <c r="S6" s="326"/>
      <c r="T6" s="326"/>
      <c r="U6" s="326"/>
      <c r="V6" s="326"/>
      <c r="W6" s="326"/>
      <c r="X6" s="326"/>
      <c r="Y6" s="326"/>
      <c r="Z6" s="326"/>
      <c r="AA6" s="326"/>
      <c r="AB6" s="326"/>
      <c r="AC6" s="326"/>
      <c r="AD6" s="326"/>
      <c r="AE6" s="326"/>
      <c r="AF6" s="326"/>
      <c r="AG6" s="326"/>
      <c r="AH6" s="326"/>
      <c r="AI6" s="326"/>
      <c r="AJ6" s="326"/>
      <c r="AK6" s="326"/>
      <c r="AL6" s="326"/>
      <c r="AM6" s="326"/>
      <c r="AN6" s="326"/>
      <c r="AO6" s="326"/>
      <c r="AP6" s="326"/>
      <c r="AQ6" s="326"/>
      <c r="AR6" s="326"/>
      <c r="AS6" s="326"/>
      <c r="AT6" s="326"/>
      <c r="AU6" s="326"/>
      <c r="AV6" s="326"/>
      <c r="AW6" s="326"/>
      <c r="AX6" s="326"/>
      <c r="AY6" s="326"/>
      <c r="AZ6" s="326"/>
      <c r="BA6" s="326"/>
      <c r="BB6" s="326"/>
      <c r="BC6" s="326"/>
      <c r="BD6" s="326"/>
      <c r="BE6" s="326"/>
      <c r="BF6" s="326"/>
      <c r="BG6" s="326"/>
      <c r="BH6" s="326"/>
      <c r="BI6" s="326"/>
      <c r="BJ6" s="326"/>
      <c r="BK6" s="326"/>
      <c r="BL6" s="326"/>
      <c r="BM6" s="326"/>
      <c r="BN6" s="326"/>
      <c r="BO6" s="326"/>
      <c r="BP6" s="326"/>
      <c r="BQ6" s="326"/>
    </row>
    <row r="7" spans="2:69" ht="14.85" customHeight="1">
      <c r="E7" s="326"/>
      <c r="F7" s="326"/>
      <c r="G7" s="326"/>
      <c r="H7" s="326"/>
      <c r="I7" s="605" t="s">
        <v>286</v>
      </c>
      <c r="J7" s="607"/>
      <c r="K7" s="326"/>
      <c r="L7" s="326"/>
      <c r="M7" s="326"/>
      <c r="N7" s="326"/>
      <c r="O7" s="326"/>
      <c r="P7" s="605" t="s">
        <v>286</v>
      </c>
      <c r="Q7" s="607"/>
    </row>
    <row r="8" spans="2:69" ht="14.85" customHeight="1">
      <c r="E8" s="614" t="s">
        <v>592</v>
      </c>
      <c r="F8" s="450"/>
      <c r="G8" s="615" t="s">
        <v>591</v>
      </c>
      <c r="H8" s="452"/>
      <c r="I8" s="614" t="s">
        <v>591</v>
      </c>
      <c r="J8" s="450"/>
      <c r="K8" s="326"/>
      <c r="L8" s="614" t="s">
        <v>287</v>
      </c>
      <c r="M8" s="450"/>
      <c r="N8" s="615" t="s">
        <v>591</v>
      </c>
      <c r="O8" s="452"/>
      <c r="P8" s="614" t="s">
        <v>287</v>
      </c>
      <c r="Q8" s="450"/>
      <c r="AG8" s="587" t="s">
        <v>91</v>
      </c>
      <c r="AH8" s="588"/>
      <c r="AI8" s="588"/>
      <c r="AJ8" s="588"/>
      <c r="AK8" s="588"/>
      <c r="AL8" s="588"/>
      <c r="AM8" s="588"/>
      <c r="AN8" s="589"/>
    </row>
    <row r="9" spans="2:69" s="229" customFormat="1" ht="14.85" customHeight="1">
      <c r="B9" s="617" t="s">
        <v>597</v>
      </c>
      <c r="C9" s="546" t="s">
        <v>147</v>
      </c>
      <c r="D9" s="289"/>
      <c r="E9" s="620" t="s">
        <v>297</v>
      </c>
      <c r="F9" s="648" t="s">
        <v>284</v>
      </c>
      <c r="G9" s="622" t="s">
        <v>285</v>
      </c>
      <c r="H9" s="623"/>
      <c r="I9" s="626">
        <f>J9-1</f>
        <v>2017</v>
      </c>
      <c r="J9" s="1203">
        <f>YEAR($AP$2)-1</f>
        <v>2018</v>
      </c>
      <c r="K9" s="673"/>
      <c r="L9" s="620" t="str">
        <f>E9</f>
        <v>LTM-2</v>
      </c>
      <c r="M9" s="648" t="str">
        <f>F9</f>
        <v>LTM-1</v>
      </c>
      <c r="N9" s="592" t="str">
        <f>G9</f>
        <v>LTM</v>
      </c>
      <c r="O9" s="623"/>
      <c r="P9" s="626">
        <f>I9</f>
        <v>2017</v>
      </c>
      <c r="Q9" s="628">
        <f>J9</f>
        <v>2018</v>
      </c>
      <c r="AG9" s="629" t="s">
        <v>94</v>
      </c>
      <c r="AH9" s="630" t="s">
        <v>95</v>
      </c>
      <c r="AI9" s="630" t="s">
        <v>96</v>
      </c>
      <c r="AJ9" s="630" t="s">
        <v>97</v>
      </c>
      <c r="AK9" s="630" t="s">
        <v>98</v>
      </c>
      <c r="AL9" s="630" t="s">
        <v>99</v>
      </c>
      <c r="AM9" s="630" t="s">
        <v>100</v>
      </c>
      <c r="AN9" s="632" t="s">
        <v>101</v>
      </c>
      <c r="AP9" s="550" t="s">
        <v>108</v>
      </c>
    </row>
    <row r="10" spans="2:69" ht="14.85" customHeight="1"/>
    <row r="11" spans="2:69" ht="14.85" customHeight="1">
      <c r="C11" s="595"/>
      <c r="D11" s="338"/>
      <c r="E11" s="1204" t="s">
        <v>466</v>
      </c>
      <c r="F11" s="1205"/>
      <c r="G11" s="1204" t="s">
        <v>466</v>
      </c>
      <c r="H11" s="1205"/>
      <c r="I11" s="1206"/>
      <c r="J11" s="1207"/>
      <c r="K11" s="337"/>
      <c r="L11" s="1204" t="s">
        <v>504</v>
      </c>
      <c r="M11" s="1205"/>
      <c r="N11" s="1204" t="s">
        <v>504</v>
      </c>
      <c r="O11" s="1205"/>
      <c r="P11" s="1206"/>
      <c r="Q11" s="1207"/>
      <c r="S11" s="590" t="s">
        <v>505</v>
      </c>
      <c r="T11" s="590"/>
      <c r="U11" s="590"/>
      <c r="V11" s="590"/>
      <c r="W11" s="590"/>
      <c r="X11" s="590"/>
      <c r="Z11" s="590" t="s">
        <v>506</v>
      </c>
      <c r="AA11" s="590"/>
      <c r="AB11" s="590"/>
      <c r="AC11" s="590"/>
      <c r="AD11" s="590"/>
      <c r="AE11" s="590"/>
      <c r="AP11" s="559"/>
    </row>
    <row r="12" spans="2:69" s="560" customFormat="1" ht="14.85" customHeight="1">
      <c r="B12" s="354"/>
      <c r="C12" s="650"/>
      <c r="D12" s="354"/>
      <c r="E12" s="650"/>
      <c r="F12" s="650"/>
      <c r="G12" s="650"/>
      <c r="H12" s="650"/>
      <c r="I12" s="650"/>
      <c r="J12" s="650"/>
      <c r="L12" s="650"/>
      <c r="M12" s="650"/>
      <c r="N12" s="650"/>
      <c r="O12" s="354"/>
      <c r="P12" s="354"/>
      <c r="Q12" s="354"/>
      <c r="S12" s="232" t="str">
        <f>+E9</f>
        <v>LTM-2</v>
      </c>
      <c r="T12" s="232" t="str">
        <f>+F9</f>
        <v>LTM-1</v>
      </c>
      <c r="U12" s="232" t="str">
        <f>+G9</f>
        <v>LTM</v>
      </c>
      <c r="V12" s="1208"/>
      <c r="W12" s="232">
        <f>+I9</f>
        <v>2017</v>
      </c>
      <c r="X12" s="232">
        <f>+J9</f>
        <v>2018</v>
      </c>
      <c r="Z12" s="232" t="str">
        <f>+L9</f>
        <v>LTM-2</v>
      </c>
      <c r="AA12" s="232" t="str">
        <f>+M9</f>
        <v>LTM-1</v>
      </c>
      <c r="AB12" s="232" t="str">
        <f>+N9</f>
        <v>LTM</v>
      </c>
      <c r="AC12" s="1208"/>
      <c r="AD12" s="232">
        <f>+P9</f>
        <v>2017</v>
      </c>
      <c r="AE12" s="232">
        <f>+Q9</f>
        <v>2018</v>
      </c>
      <c r="AG12" s="208"/>
      <c r="AH12" s="208"/>
      <c r="AI12" s="208"/>
      <c r="AJ12" s="208"/>
      <c r="AK12" s="208"/>
      <c r="AL12" s="208"/>
      <c r="AM12" s="208"/>
      <c r="AN12" s="208"/>
    </row>
    <row r="13" spans="2:69" ht="14.85" customHeight="1">
      <c r="B13" s="208" t="str">
        <f>'Comp.1'!B12</f>
        <v>Nektar Therapeutics</v>
      </c>
      <c r="C13" s="378">
        <f>AG13</f>
        <v>7328.4</v>
      </c>
      <c r="E13" s="554" t="str">
        <f>IF(IF(ISERROR($AG13/S13),"n/a",$AG$13/S13)&lt;0,"n/a",IF(ISERROR($AG$13/S13),"n/a",$AG$13/S13))</f>
        <v>n/a</v>
      </c>
      <c r="F13" s="554" t="str">
        <f>IF(IF(ISERROR($AG13/T13),"n/a",$AG$13/T13)&lt;0,"n/a",IF(ISERROR($AG$13/T13),"n/a",$AG$13/T13))</f>
        <v>n/a</v>
      </c>
      <c r="G13" s="554">
        <f>IF(IF(ISERROR($AG13/U13),"n/a",$AG$13/U13)&lt;0,"n/a",IF(ISERROR($AG$13/U13),"n/a",$AG$13/U13))</f>
        <v>9.8275445889767994</v>
      </c>
      <c r="H13" s="283"/>
      <c r="I13" s="554" t="str">
        <f>IF(IF(ISERROR($AG13/W13),"n/a",$AG$13/W13)&lt;0,"n/a",IF(ISERROR($AG$13/W13),"n/a",$AG$13/W13))</f>
        <v>n/a</v>
      </c>
      <c r="J13" s="554" t="str">
        <f>IF(IF(ISERROR($AG13/X13),"n/a",$AG$13/X13)&lt;0,"n/a",IF(ISERROR($AG$13/X13),"n/a",$AG$13/X13))</f>
        <v>n/a</v>
      </c>
      <c r="L13" s="554" t="str">
        <f>IF(IF(ISERROR($AG13/Z13),"n/a",$AG$13/Z13)&lt;0,"n/a",IF(ISERROR($AG$13/Z13),"n/a",$AG$13/Z13))</f>
        <v>n/a</v>
      </c>
      <c r="M13" s="554">
        <f>IF(IF(ISERROR($AG13/AA13),"n/a",$AG$13/AA13)&lt;0,"n/a",IF(ISERROR($AG$13/AA13),"n/a",$AG$13/AA13))</f>
        <v>87.035629453681707</v>
      </c>
      <c r="N13" s="554">
        <f>IF(IF(ISERROR($AG13/AB13),"n/a",$AG$13/AB13)&lt;0,"n/a",IF(ISERROR($AG$13/AB13),"n/a",$AG$13/AB13))</f>
        <v>4.0938495056142115</v>
      </c>
      <c r="P13" s="554">
        <f>IF(IF(ISERROR($AG13/AD13),"n/a",$AG$13/AD13)&lt;0,"n/a",IF(ISERROR($AG$13/AD13),"n/a",$AG$13/AD13))</f>
        <v>83.466970387243734</v>
      </c>
      <c r="Q13" s="554" t="str">
        <f>IF(IF(ISERROR($AG13/AE13),"n/a",$AG$13/AE13)&lt;0,"n/a",IF(ISERROR($AG$13/AE13),"n/a",$AG$13/AE13))</f>
        <v>n/a</v>
      </c>
      <c r="S13" s="1209">
        <f>'Capital IQ Sheet-GPC'!AU13</f>
        <v>-165.5</v>
      </c>
      <c r="T13" s="1209">
        <f>'Capital IQ Sheet-GPC'!AV13</f>
        <v>-105.1</v>
      </c>
      <c r="U13" s="1209">
        <f>'Capital IQ Sheet-GPC'!AW13</f>
        <v>745.7</v>
      </c>
      <c r="V13" s="1209"/>
      <c r="W13" s="1209">
        <f>'Capital IQ Sheet-GPC'!AX13</f>
        <v>-96.7</v>
      </c>
      <c r="X13" s="1209" t="str">
        <f>'Capital IQ Sheet-GPC'!AY13</f>
        <v xml:space="preserve"> n/a </v>
      </c>
      <c r="Z13" s="1209">
        <f>'Capital IQ Sheet-GPC'!AZ13</f>
        <v>-67.900000000000006</v>
      </c>
      <c r="AA13" s="1209">
        <f>'Capital IQ Sheet-GPC'!BA13</f>
        <v>84.2</v>
      </c>
      <c r="AB13" s="1209">
        <f>'Capital IQ Sheet-GPC'!BB13</f>
        <v>1790.1</v>
      </c>
      <c r="AD13" s="1209">
        <f>'Capital IQ Sheet-GPC'!BC13</f>
        <v>87.8</v>
      </c>
      <c r="AE13" s="1209" t="str">
        <f>'Capital IQ Sheet-GPC'!BD13</f>
        <v xml:space="preserve"> n/a </v>
      </c>
      <c r="AG13" s="283">
        <f>'Beta Calc'!K10</f>
        <v>7328.4</v>
      </c>
      <c r="AH13" s="283">
        <f>'Beta Calc'!L10</f>
        <v>246.5</v>
      </c>
      <c r="AI13" s="283" t="str">
        <f>'Beta Calc'!M10</f>
        <v xml:space="preserve"> n/a </v>
      </c>
      <c r="AJ13" s="283" t="str">
        <f>'Beta Calc'!N10</f>
        <v xml:space="preserve"> n/a </v>
      </c>
      <c r="AK13" s="283">
        <f>SUM(AH13:AJ13)</f>
        <v>246.5</v>
      </c>
      <c r="AL13" s="283">
        <f>SUM(AG13:AJ13)</f>
        <v>7574.9</v>
      </c>
      <c r="AM13" s="283">
        <f>'Beta Calc'!Q10</f>
        <v>1420.4</v>
      </c>
      <c r="AN13" s="378">
        <f>IF(ISERROR(AL13-AM13), "n/a", AL13-AM13)</f>
        <v>6154.5</v>
      </c>
      <c r="AP13" s="557" t="str">
        <f>IF('MASTER PubCo Inputs'!C28="","",'MASTER PubCo Inputs'!C28)</f>
        <v>IQ29929</v>
      </c>
      <c r="AQ13" s="1183" t="str">
        <f>'Comp.1'!AL12</f>
        <v>Nektar Therapeutics, a research-based biopharmaceutical company, discovers and develops drug candidates for cancer, auto-immune disease, and chronic pain in the United States. The company offers ONZEALD, a topoisomerase I inhibitor that is in Phase III clinical trial for advanced metastatic breast cancer in patients with brain metastases; NKTR-181, an orally-available mu-opioid analgesic molecule, which is in Phase III clinical trial for moderate to severe chronic pain; NKTR-214, a cytokine immunostimulatory therapy that is in Phase I/II to treat cancer; NKTR-358, which is in Phase I to treat autoimmune diseases; and NKTR-262 for solid tumors, as well as NKTR-255 that is under research/preclinical stage for immuno-oncology. It is also developing MOVANTIK for opioid-induced constipation in adult patients with chronic non-cancer pain, and who have an inadequate response to laxatives; ADYNOVATE for hemophilia A; Somavert to treat acromegaly; and Neulasta for treating neutropenia. In addition, the company develops PEG-INTRON for the treatment of hepatitis-C; Macugen for age-related macular degeneration; CIMZIA to treat rheumatoid arthritis, Crohn’s disease, and psoriasis/ankylosing spondylitis; and MIRCERA for anemia related to chronic kidney disease in patients on and not on dialysis. Further, it is developing SEMPRANA to treat migraine; dapirolizumab pegol for systemic lupus erythematosus; PEGPH20 for ancreatic, non-small cell lung cancer, and other tumor types; and longer-acting blood clotting proteins for hemophilia. The company has collaboration agreement with AstraZeneca AB, Shire plc, Pfizer Inc., Amgen Inc., Merck &amp; Co., Inc., Valeant Pharmaceuticals International, Inc., UCB Pharma S.A., F. Hoffmann-La Roche Ltd, Allergan, Inc., Halozyme Therapeutics, Inc., Baxalta Incorporated, Bristol-Myers Squibb Company, and Takeda Pharmaceutical Company Limited. The company was founded in 1990 and is headquartered in San Francisco, California.</v>
      </c>
    </row>
    <row r="14" spans="2:69" ht="14.85" customHeight="1">
      <c r="B14" s="208" t="str">
        <f>'Comp.1'!B13</f>
        <v>Fate Therapeutics, Inc.</v>
      </c>
      <c r="C14" s="378">
        <f t="shared" ref="C14:C42" si="0">AG14</f>
        <v>978.1</v>
      </c>
      <c r="E14" s="554" t="str">
        <f t="shared" ref="E14:E42" si="1">IF(IF(ISERROR($AG14/S14),"n/a",$AG$13/S14)&lt;0,"n/a",IF(ISERROR($AG$13/S14),"n/a",$AG$13/S14))</f>
        <v>n/a</v>
      </c>
      <c r="F14" s="554" t="str">
        <f t="shared" ref="F14:F42" si="2">IF(IF(ISERROR($AG14/T14),"n/a",$AG$13/T14)&lt;0,"n/a",IF(ISERROR($AG$13/T14),"n/a",$AG$13/T14))</f>
        <v>n/a</v>
      </c>
      <c r="G14" s="554" t="str">
        <f t="shared" ref="G14:G42" si="3">IF(IF(ISERROR($AG14/U14),"n/a",$AG$13/U14)&lt;0,"n/a",IF(ISERROR($AG$13/U14),"n/a",$AG$13/U14))</f>
        <v>n/a</v>
      </c>
      <c r="H14" s="283"/>
      <c r="I14" s="554" t="str">
        <f t="shared" ref="I14:I42" si="4">IF(IF(ISERROR($AG14/W14),"n/a",$AG$13/W14)&lt;0,"n/a",IF(ISERROR($AG$13/W14),"n/a",$AG$13/W14))</f>
        <v>n/a</v>
      </c>
      <c r="J14" s="554" t="str">
        <f t="shared" ref="J14:J42" si="5">IF(IF(ISERROR($AG14/X14),"n/a",$AG$13/X14)&lt;0,"n/a",IF(ISERROR($AG$13/X14),"n/a",$AG$13/X14))</f>
        <v>n/a</v>
      </c>
      <c r="L14" s="554">
        <f t="shared" ref="L14:L42" si="6">IF(IF(ISERROR($AG14/Z14),"n/a",$AG$13/Z14)&lt;0,"n/a",IF(ISERROR($AG$13/Z14),"n/a",$AG$13/Z14))</f>
        <v>288.51968503937007</v>
      </c>
      <c r="M14" s="554">
        <f t="shared" ref="M14:M42" si="7">IF(IF(ISERROR($AG14/AA14),"n/a",$AG$13/AA14)&lt;0,"n/a",IF(ISERROR($AG$13/AA14),"n/a",$AG$13/AA14))</f>
        <v>160.3588621444201</v>
      </c>
      <c r="N14" s="554">
        <f t="shared" ref="N14:N42" si="8">IF(IF(ISERROR($AG14/AB14),"n/a",$AG$13/AB14)&lt;0,"n/a",IF(ISERROR($AG$13/AB14),"n/a",$AG$13/AB14))</f>
        <v>42.14146060954571</v>
      </c>
      <c r="P14" s="554">
        <f t="shared" ref="P14:P42" si="9">IF(IF(ISERROR($AG14/AD14),"n/a",$AG$13/AD14)&lt;0,"n/a",IF(ISERROR($AG$13/AD14),"n/a",$AG$13/AD14))</f>
        <v>94.927461139896366</v>
      </c>
      <c r="Q14" s="554" t="str">
        <f t="shared" ref="Q14:Q42" si="10">IF(IF(ISERROR($AG14/AE14),"n/a",$AG$13/AE14)&lt;0,"n/a",IF(ISERROR($AG$13/AE14),"n/a",$AG$13/AE14))</f>
        <v>n/a</v>
      </c>
      <c r="S14" s="1209">
        <f>'Capital IQ Sheet-GPC'!AU14</f>
        <v>-33</v>
      </c>
      <c r="T14" s="1209">
        <f>'Capital IQ Sheet-GPC'!AV14</f>
        <v>-38.4</v>
      </c>
      <c r="U14" s="1209">
        <f>'Capital IQ Sheet-GPC'!AW14</f>
        <v>-63.1</v>
      </c>
      <c r="V14" s="1209"/>
      <c r="W14" s="1209">
        <f>'Capital IQ Sheet-GPC'!AX14</f>
        <v>-43</v>
      </c>
      <c r="X14" s="1209" t="str">
        <f>'Capital IQ Sheet-GPC'!AY14</f>
        <v xml:space="preserve"> n/a </v>
      </c>
      <c r="Z14" s="1209">
        <f>'Capital IQ Sheet-GPC'!AZ14</f>
        <v>25.4</v>
      </c>
      <c r="AA14" s="1209">
        <f>'Capital IQ Sheet-GPC'!BA14</f>
        <v>45.7</v>
      </c>
      <c r="AB14" s="1209">
        <f>'Capital IQ Sheet-GPC'!BB14</f>
        <v>173.9</v>
      </c>
      <c r="AD14" s="1209">
        <f>'Capital IQ Sheet-GPC'!BC14</f>
        <v>77.2</v>
      </c>
      <c r="AE14" s="1209" t="str">
        <f>'Capital IQ Sheet-GPC'!BD14</f>
        <v xml:space="preserve"> n/a </v>
      </c>
      <c r="AG14" s="283">
        <f>'Beta Calc'!K11</f>
        <v>978.1</v>
      </c>
      <c r="AH14" s="283">
        <f>'Beta Calc'!L11</f>
        <v>14.9</v>
      </c>
      <c r="AI14" s="283">
        <f>'Beta Calc'!M11</f>
        <v>0</v>
      </c>
      <c r="AJ14" s="283" t="str">
        <f>'Beta Calc'!N11</f>
        <v xml:space="preserve"> n/a </v>
      </c>
      <c r="AK14" s="283">
        <f t="shared" ref="AK14:AK42" si="11">SUM(AH14:AJ14)</f>
        <v>14.9</v>
      </c>
      <c r="AL14" s="283">
        <f t="shared" ref="AL14:AL42" si="12">SUM(AG14:AJ14)</f>
        <v>993</v>
      </c>
      <c r="AM14" s="283">
        <f>'Beta Calc'!Q11</f>
        <v>211.2</v>
      </c>
      <c r="AN14" s="378">
        <f t="shared" ref="AN14:AN42" si="13">IF(ISERROR(AL14-AM14), "n/a", AL14-AM14)</f>
        <v>781.8</v>
      </c>
      <c r="AP14" s="557" t="str">
        <f>IF('MASTER PubCo Inputs'!C29="","",'MASTER PubCo Inputs'!C29)</f>
        <v>IQ39268712</v>
      </c>
      <c r="AQ14" s="1183" t="str">
        <f>'Comp.1'!AL13</f>
        <v>Fate Therapeutics, Inc., a clinical-stage biopharmaceutical company, develops programmed cellular immunotherapies for cancer and immune disorders worldwide. Its immuno-oncology product candidates include FATE-NK100, a natural killer (NK) cell cancer immunotherapy that consists of adaptive memory NK cells; FT500 induced pluripotent stem cells (iPSC)-derived NK cell product candidate for the treatment of advanced solid tumors; FT516 engineered iPSC-derived NK cell product candidate for the treatment of hematologic/solid tumors; and FT819 engineered chimeric antigen receptor 19 iPSC-derived T-cell product candidate for hematologic/solid tumors. The company’s immuno-regulation product candidates comprise ProTmune, an investigational programmed cellular immunotherapy for use as a next-generation allogeneic hematopoietic cell transplantation cell graft; ToleraCyte for the treatment of autoimmune and inflammatory diseases; and FT300 iPSC-derived myeloid derived suppressor cell product candidate for the treatment of autoimmune diseases. Fate Therapeutics, Inc. has a research collaboration and license agreement with Memorial Sloan Kettering Cancer Center to develop off-the-shelf engineered T-cell product candidates; a research collaboration partnership with the University of California San Diego to develop off-the-shelf chimeric antigen receptor-targeted natural killer cell cancer immunotherapies. It also has a strategic research collaboration and license agreement with Juno Therapeutics, Inc. to identify small molecule modulators that enhance the function of T cells; and a collaboration agreement with ONO Pharmaceutical Co., Ltd. for the development and commercialization of two off-the-shelf CAR-T cell product candidates. Fate Therapeutics, Inc. was founded in 2007 and is headquartered in San Diego, California.</v>
      </c>
    </row>
    <row r="15" spans="2:69" ht="14.85" customHeight="1">
      <c r="B15" s="208" t="str">
        <f>'Comp.1'!B14</f>
        <v>Synthorx, Inc.</v>
      </c>
      <c r="C15" s="378">
        <f t="shared" si="0"/>
        <v>441.9</v>
      </c>
      <c r="E15" s="554" t="str">
        <f t="shared" si="1"/>
        <v>n/a</v>
      </c>
      <c r="F15" s="554" t="str">
        <f t="shared" si="2"/>
        <v>n/a</v>
      </c>
      <c r="G15" s="554" t="str">
        <f t="shared" si="3"/>
        <v>n/a</v>
      </c>
      <c r="H15" s="283"/>
      <c r="I15" s="554" t="str">
        <f t="shared" si="4"/>
        <v>n/a</v>
      </c>
      <c r="J15" s="554" t="str">
        <f t="shared" si="5"/>
        <v>n/a</v>
      </c>
      <c r="L15" s="554" t="str">
        <f t="shared" si="6"/>
        <v>n/a</v>
      </c>
      <c r="M15" s="554">
        <f t="shared" si="7"/>
        <v>1704.2790697674418</v>
      </c>
      <c r="N15" s="554" t="str">
        <f t="shared" si="8"/>
        <v>n/a</v>
      </c>
      <c r="P15" s="554">
        <f t="shared" si="9"/>
        <v>2035.6666666666665</v>
      </c>
      <c r="Q15" s="554" t="str">
        <f t="shared" si="10"/>
        <v>n/a</v>
      </c>
      <c r="S15" s="1209" t="str">
        <f>'Capital IQ Sheet-GPC'!AU15</f>
        <v xml:space="preserve"> n/a </v>
      </c>
      <c r="T15" s="1209">
        <f>'Capital IQ Sheet-GPC'!AV15</f>
        <v>-3.1</v>
      </c>
      <c r="U15" s="1209">
        <f>'Capital IQ Sheet-GPC'!AW15</f>
        <v>-30.6</v>
      </c>
      <c r="V15" s="1209"/>
      <c r="W15" s="1209">
        <f>'Capital IQ Sheet-GPC'!AX15</f>
        <v>-5.9</v>
      </c>
      <c r="X15" s="1209" t="str">
        <f>'Capital IQ Sheet-GPC'!AY15</f>
        <v xml:space="preserve"> n/a </v>
      </c>
      <c r="Z15" s="1209" t="str">
        <f>'Capital IQ Sheet-GPC'!AZ15</f>
        <v xml:space="preserve"> n/a </v>
      </c>
      <c r="AA15" s="1209">
        <f>'Capital IQ Sheet-GPC'!BA15</f>
        <v>4.3</v>
      </c>
      <c r="AB15" s="1209">
        <f>'Capital IQ Sheet-GPC'!BB15</f>
        <v>-3.3</v>
      </c>
      <c r="AD15" s="1209">
        <f>'Capital IQ Sheet-GPC'!BC15</f>
        <v>3.6</v>
      </c>
      <c r="AE15" s="1209" t="str">
        <f>'Capital IQ Sheet-GPC'!BD15</f>
        <v xml:space="preserve"> n/a </v>
      </c>
      <c r="AG15" s="283">
        <f>'Beta Calc'!K12</f>
        <v>441.9</v>
      </c>
      <c r="AH15" s="283" t="str">
        <f>'Beta Calc'!L12</f>
        <v xml:space="preserve"> -   </v>
      </c>
      <c r="AI15" s="283">
        <f>'Beta Calc'!M12</f>
        <v>37.5</v>
      </c>
      <c r="AJ15" s="283" t="str">
        <f>'Beta Calc'!N12</f>
        <v xml:space="preserve"> n/a </v>
      </c>
      <c r="AK15" s="283">
        <f t="shared" si="11"/>
        <v>37.5</v>
      </c>
      <c r="AL15" s="283">
        <f t="shared" si="12"/>
        <v>479.4</v>
      </c>
      <c r="AM15" s="283">
        <f>'Beta Calc'!Q12</f>
        <v>20.6</v>
      </c>
      <c r="AN15" s="378">
        <f t="shared" si="13"/>
        <v>458.79999999999995</v>
      </c>
      <c r="AP15" s="557" t="str">
        <f>IF('MASTER PubCo Inputs'!C30="","",'MASTER PubCo Inputs'!C30)</f>
        <v>IQ263675832</v>
      </c>
      <c r="AQ15" s="1183" t="str">
        <f>'Comp.1'!AL14</f>
        <v>Synthorx, Inc., a biotechnology company, discovers and develops protein therapeutics. The company’s lead product candidate is THOR-707, a variant of IL-2 that is in development in various tumor types as a single agent and in combination with an immune checkpoint inhibitor. The company was founded in 2014 and is headquartered in La Jolla, California.</v>
      </c>
    </row>
    <row r="16" spans="2:69" ht="14.85" customHeight="1">
      <c r="B16" s="208" t="str">
        <f>'Comp.1'!B15</f>
        <v>ZIOPHARM Oncology, Inc.</v>
      </c>
      <c r="C16" s="378">
        <f t="shared" si="0"/>
        <v>316.3</v>
      </c>
      <c r="E16" s="554" t="str">
        <f t="shared" si="1"/>
        <v>n/a</v>
      </c>
      <c r="F16" s="554" t="str">
        <f t="shared" si="2"/>
        <v>n/a</v>
      </c>
      <c r="G16" s="554" t="str">
        <f t="shared" si="3"/>
        <v>n/a</v>
      </c>
      <c r="H16" s="283"/>
      <c r="I16" s="554" t="str">
        <f t="shared" si="4"/>
        <v>n/a</v>
      </c>
      <c r="J16" s="554" t="str">
        <f t="shared" si="5"/>
        <v>n/a</v>
      </c>
      <c r="L16" s="554">
        <f t="shared" si="6"/>
        <v>127.67247386759581</v>
      </c>
      <c r="M16" s="554">
        <f t="shared" si="7"/>
        <v>123.58178752107926</v>
      </c>
      <c r="N16" s="554">
        <f t="shared" si="8"/>
        <v>1832.1</v>
      </c>
      <c r="P16" s="554">
        <f t="shared" si="9"/>
        <v>155.26271186440675</v>
      </c>
      <c r="Q16" s="554" t="str">
        <f t="shared" si="10"/>
        <v>n/a</v>
      </c>
      <c r="S16" s="1209">
        <f>'Capital IQ Sheet-GPC'!AU16</f>
        <v>-163.5</v>
      </c>
      <c r="T16" s="1209">
        <f>'Capital IQ Sheet-GPC'!AV16</f>
        <v>-52.3</v>
      </c>
      <c r="U16" s="1209">
        <f>'Capital IQ Sheet-GPC'!AW16</f>
        <v>-53.9</v>
      </c>
      <c r="V16" s="1209"/>
      <c r="W16" s="1209">
        <f>'Capital IQ Sheet-GPC'!AX16</f>
        <v>-54.3</v>
      </c>
      <c r="X16" s="1209" t="str">
        <f>'Capital IQ Sheet-GPC'!AY16</f>
        <v xml:space="preserve"> n/a </v>
      </c>
      <c r="Z16" s="1209">
        <f>'Capital IQ Sheet-GPC'!AZ16</f>
        <v>57.4</v>
      </c>
      <c r="AA16" s="1209">
        <f>'Capital IQ Sheet-GPC'!BA16</f>
        <v>59.3</v>
      </c>
      <c r="AB16" s="1209">
        <f>'Capital IQ Sheet-GPC'!BB16</f>
        <v>4</v>
      </c>
      <c r="AD16" s="1209">
        <f>'Capital IQ Sheet-GPC'!BC16</f>
        <v>47.2</v>
      </c>
      <c r="AE16" s="1209" t="str">
        <f>'Capital IQ Sheet-GPC'!BD16</f>
        <v xml:space="preserve"> n/a </v>
      </c>
      <c r="AG16" s="283">
        <f>'Beta Calc'!K13</f>
        <v>316.3</v>
      </c>
      <c r="AH16" s="283" t="str">
        <f>'Beta Calc'!L13</f>
        <v xml:space="preserve"> -   </v>
      </c>
      <c r="AI16" s="283">
        <f>'Beta Calc'!M13</f>
        <v>160.4</v>
      </c>
      <c r="AJ16" s="283" t="str">
        <f>'Beta Calc'!N13</f>
        <v xml:space="preserve"> n/a </v>
      </c>
      <c r="AK16" s="283">
        <f t="shared" si="11"/>
        <v>160.4</v>
      </c>
      <c r="AL16" s="283">
        <f t="shared" si="12"/>
        <v>476.70000000000005</v>
      </c>
      <c r="AM16" s="283">
        <f>'Beta Calc'!Q13</f>
        <v>31.7</v>
      </c>
      <c r="AN16" s="378">
        <f t="shared" si="13"/>
        <v>445.00000000000006</v>
      </c>
      <c r="AP16" s="557" t="str">
        <f>IF('MASTER PubCo Inputs'!C31="","",'MASTER PubCo Inputs'!C31)</f>
        <v>IQ11686323</v>
      </c>
      <c r="AQ16" s="1183" t="str">
        <f>'Comp.1'!AL15</f>
        <v>ZIOPHARM Oncology, Inc., a biotechnology company, focuses on acquiring, developing, and commercializing a portfolio of immuno-oncology therapies for treating heterogenous solid tumors and unknown antigens. The company develops two immuno-oncology platform technologies, including Controlled IL-12, which delivers interleukin 12 or IL-12, a master regular of the immune system, in a controlled and safe manner to focus the patient’s immune system to cancer; and Sleeping Beauty (SB), which is based on the genetic engineering of T-cells using the (SB) system to rapidly reprogram T-cells outside of the body for infusion. Its lead gene therapy product candidate is Ad-RTS-hIL-12 plus veledimex, which is in Phase I clinical trial, a gene therapy product candidate to treat patients with recurrent glioblastoma. The company is also developing chimeric antigen receptor (CAR) T-cell and T-cell receptor T-cell therapies. ZIOPHARM Oncology, Inc. has collaboration agreements with Precigen, Inc., MD Anderson Cancer Center, the National Cancer Institute, and Ares Trading S.A. The company is headquartered in Boston, Massachusetts.</v>
      </c>
    </row>
    <row r="17" spans="2:43" ht="14.85" customHeight="1">
      <c r="B17" s="208" t="str">
        <f>'Comp.1'!B16</f>
        <v>Stemline Therapeutics, Inc.</v>
      </c>
      <c r="C17" s="378">
        <f t="shared" si="0"/>
        <v>434.2</v>
      </c>
      <c r="E17" s="554" t="str">
        <f t="shared" si="1"/>
        <v>n/a</v>
      </c>
      <c r="F17" s="554" t="str">
        <f t="shared" si="2"/>
        <v>n/a</v>
      </c>
      <c r="G17" s="554" t="str">
        <f t="shared" si="3"/>
        <v>n/a</v>
      </c>
      <c r="H17" s="283"/>
      <c r="I17" s="554" t="str">
        <f t="shared" si="4"/>
        <v>n/a</v>
      </c>
      <c r="J17" s="554" t="str">
        <f t="shared" si="5"/>
        <v>n/a</v>
      </c>
      <c r="L17" s="554">
        <f t="shared" si="6"/>
        <v>111.37386018237082</v>
      </c>
      <c r="M17" s="554">
        <f t="shared" si="7"/>
        <v>110.70090634441087</v>
      </c>
      <c r="N17" s="554">
        <f t="shared" si="8"/>
        <v>115.40787401574802</v>
      </c>
      <c r="P17" s="554">
        <f t="shared" si="9"/>
        <v>155.59235668789808</v>
      </c>
      <c r="Q17" s="554" t="str">
        <f t="shared" si="10"/>
        <v>n/a</v>
      </c>
      <c r="S17" s="1209">
        <f>'Capital IQ Sheet-GPC'!AU17</f>
        <v>-38.5</v>
      </c>
      <c r="T17" s="1209">
        <f>'Capital IQ Sheet-GPC'!AV17</f>
        <v>-56.1</v>
      </c>
      <c r="U17" s="1209">
        <f>'Capital IQ Sheet-GPC'!AW17</f>
        <v>-80.099999999999994</v>
      </c>
      <c r="V17" s="1209"/>
      <c r="W17" s="1209">
        <f>'Capital IQ Sheet-GPC'!AX17</f>
        <v>-67.8</v>
      </c>
      <c r="X17" s="1209" t="str">
        <f>'Capital IQ Sheet-GPC'!AY17</f>
        <v xml:space="preserve"> n/a </v>
      </c>
      <c r="Z17" s="1209">
        <f>'Capital IQ Sheet-GPC'!AZ17</f>
        <v>65.8</v>
      </c>
      <c r="AA17" s="1209">
        <f>'Capital IQ Sheet-GPC'!BA17</f>
        <v>66.2</v>
      </c>
      <c r="AB17" s="1209">
        <f>'Capital IQ Sheet-GPC'!BB17</f>
        <v>63.5</v>
      </c>
      <c r="AD17" s="1209">
        <f>'Capital IQ Sheet-GPC'!BC17</f>
        <v>47.1</v>
      </c>
      <c r="AE17" s="1209" t="str">
        <f>'Capital IQ Sheet-GPC'!BD17</f>
        <v xml:space="preserve"> n/a </v>
      </c>
      <c r="AG17" s="283">
        <f>'Beta Calc'!K14</f>
        <v>434.2</v>
      </c>
      <c r="AH17" s="283" t="str">
        <f>'Beta Calc'!L14</f>
        <v xml:space="preserve"> -   </v>
      </c>
      <c r="AI17" s="283" t="str">
        <f>'Beta Calc'!M14</f>
        <v xml:space="preserve"> n/a </v>
      </c>
      <c r="AJ17" s="283" t="str">
        <f>'Beta Calc'!N14</f>
        <v xml:space="preserve"> n/a </v>
      </c>
      <c r="AK17" s="283">
        <f t="shared" si="11"/>
        <v>0</v>
      </c>
      <c r="AL17" s="283">
        <f t="shared" si="12"/>
        <v>434.2</v>
      </c>
      <c r="AM17" s="283">
        <f>'Beta Calc'!Q14</f>
        <v>78.599999999999994</v>
      </c>
      <c r="AN17" s="378">
        <f t="shared" si="13"/>
        <v>355.6</v>
      </c>
      <c r="AP17" s="557" t="str">
        <f>IF('MASTER PubCo Inputs'!C32="","",'MASTER PubCo Inputs'!C32)</f>
        <v>IQ10332207</v>
      </c>
      <c r="AQ17" s="1183" t="str">
        <f>'Comp.1'!AL16</f>
        <v>Stemline Therapeutics, Inc., a clinical stage biopharmaceutical company, focuses on the discovery, acquisition, development, and commercialization of proprietary oncology therapeutics in the United States and internationally. The company develops SL-401, a targeted therapy directed to the interleukin-3 receptor (IL-3R), which has completed Phase II clinical trial for patients with blastic plasmacytoid dendritic cell neoplasm; is in Phase I/II clinical trials for patients with myeloproliferative neoplasms, chronic myelomonocytic leukemia, myelofibrosis, and acute myeloid leukemia; and is in Phase I clinical trial in combination with other agents for patients with relapsed/refractory multiple myeloma. It also develops SL-801, a novel oral small molecule reversible inhibitor of nuclear transport protein, which is in Phase I clinical trial for the treatment of solid and hematologic cancers; and SL-701, an immunotherapy that has completed Phase II clinical trial to attack brain cancer. The company's preclinical pipeline products include SL-501, a next generation IL-3R-targeted therapy; SL-101, a single chain monoclonal antibody fragment for the treatment of hematologic cancers; and SL-901, a small molecule kinase inhibitor. Stemline Therapeutics, Inc. was founded in 2003 and is based in New York, New York.</v>
      </c>
    </row>
    <row r="18" spans="2:43" ht="14.85" customHeight="1">
      <c r="B18" s="208" t="str">
        <f>'Comp.1'!B17</f>
        <v>TG Therapeutics, Inc.</v>
      </c>
      <c r="C18" s="378">
        <f t="shared" si="0"/>
        <v>315</v>
      </c>
      <c r="E18" s="554" t="str">
        <f t="shared" si="1"/>
        <v>n/a</v>
      </c>
      <c r="F18" s="554" t="str">
        <f t="shared" si="2"/>
        <v>n/a</v>
      </c>
      <c r="G18" s="554" t="str">
        <f t="shared" si="3"/>
        <v>n/a</v>
      </c>
      <c r="H18" s="283"/>
      <c r="I18" s="554" t="str">
        <f t="shared" si="4"/>
        <v>n/a</v>
      </c>
      <c r="J18" s="554" t="str">
        <f t="shared" si="5"/>
        <v>n/a</v>
      </c>
      <c r="L18" s="554">
        <f t="shared" si="6"/>
        <v>129.02112676056339</v>
      </c>
      <c r="M18" s="554">
        <f t="shared" si="7"/>
        <v>92.181132075471695</v>
      </c>
      <c r="N18" s="554">
        <f t="shared" si="8"/>
        <v>102.20920502092049</v>
      </c>
      <c r="P18" s="554">
        <f t="shared" si="9"/>
        <v>109.37910447761193</v>
      </c>
      <c r="Q18" s="554" t="str">
        <f t="shared" si="10"/>
        <v>n/a</v>
      </c>
      <c r="S18" s="1209">
        <f>'Capital IQ Sheet-GPC'!AU18</f>
        <v>-72.2</v>
      </c>
      <c r="T18" s="1209">
        <f>'Capital IQ Sheet-GPC'!AV18</f>
        <v>-111.3</v>
      </c>
      <c r="U18" s="1209">
        <f>'Capital IQ Sheet-GPC'!AW18</f>
        <v>-150.5</v>
      </c>
      <c r="V18" s="1209"/>
      <c r="W18" s="1209">
        <f>'Capital IQ Sheet-GPC'!AX18</f>
        <v>-118.5</v>
      </c>
      <c r="X18" s="1209" t="str">
        <f>'Capital IQ Sheet-GPC'!AY18</f>
        <v xml:space="preserve"> n/a </v>
      </c>
      <c r="Z18" s="1209">
        <f>'Capital IQ Sheet-GPC'!AZ18</f>
        <v>56.8</v>
      </c>
      <c r="AA18" s="1209">
        <f>'Capital IQ Sheet-GPC'!BA18</f>
        <v>79.5</v>
      </c>
      <c r="AB18" s="1209">
        <f>'Capital IQ Sheet-GPC'!BB18</f>
        <v>71.7</v>
      </c>
      <c r="AD18" s="1209">
        <f>'Capital IQ Sheet-GPC'!BC18</f>
        <v>67</v>
      </c>
      <c r="AE18" s="1209" t="str">
        <f>'Capital IQ Sheet-GPC'!BD18</f>
        <v xml:space="preserve"> n/a </v>
      </c>
      <c r="AG18" s="283">
        <f>'Beta Calc'!K15</f>
        <v>315</v>
      </c>
      <c r="AH18" s="283">
        <f>'Beta Calc'!L15</f>
        <v>0.1</v>
      </c>
      <c r="AI18" s="283" t="str">
        <f>'Beta Calc'!M15</f>
        <v xml:space="preserve"> n/a </v>
      </c>
      <c r="AJ18" s="283" t="str">
        <f>'Beta Calc'!N15</f>
        <v xml:space="preserve"> n/a </v>
      </c>
      <c r="AK18" s="283">
        <f t="shared" si="11"/>
        <v>0.1</v>
      </c>
      <c r="AL18" s="283">
        <f t="shared" si="12"/>
        <v>315.10000000000002</v>
      </c>
      <c r="AM18" s="283">
        <f>'Beta Calc'!Q15</f>
        <v>97.7</v>
      </c>
      <c r="AN18" s="378">
        <f t="shared" si="13"/>
        <v>217.40000000000003</v>
      </c>
      <c r="AP18" s="557" t="str">
        <f>IF('MASTER PubCo Inputs'!C33="","",'MASTER PubCo Inputs'!C33)</f>
        <v>IQ143627354</v>
      </c>
      <c r="AQ18" s="1183" t="str">
        <f>'Comp.1'!AL17</f>
        <v>TG Therapeutics, Inc., a biopharmaceutical company, focuses on the acquisition, development, and commercialization of novel treatments for B-cell malignancies and autoimmune diseases in the United States. It develops TG-1101 (ublituximab), a chimeric, glycoengineered monoclonal antibody that targets an epitope on the CD20 antigen found on the surface of B-lymphocytes developed to aid in the depletion of circulating B-cells; and TG-1101 in combination with TGR-1202 for relapsed/refractory chronic lymphocytic leukemia. The company also develops TGR-1202, an orally available phosphoinositide-3-kinase delta inhibitor with nanomolar potency to the delta isoform and high selectivity over the alpha, beta, and gamma isoforms, as well as for hematologic malignancies. In addition, it develops a pre-clinical program to develop interleukin-1 receptor-associated kinase 4 (IRAK4) inhibitors; bromodomain and extra terminal (BET) inhibitor program for cancer treatment; and anti-PD-L1 and anti-GITR antibody research programs that are in pre-clinical development stage in the field of hematological malignancies. The company has license agreements with LFB Biotechnologies S.A.S, GTC Biotherapeutics, LFB/GTC LLC, and Ildong Pharmaceutical Co. Ltd. for the development and commercialization of TG-1101 (ublituximab); Rhizen Pharmaceuticals, SA for the development and commercialization of TGR-1202; Ligand Pharmaceuticals Incorporated for the development and commercialization of IRAK4 inhibitor technology; Checkpoint Therapeutics, Inc. for the development and commercialization of anti-PD-L1 and anti-GITR antibody research programs; and Jubilant Biosys for the development and commercialization of BET inhibitor program. TG Therapeutics, Inc. was incorporated in 1993 and is headquartered in New York, New York.</v>
      </c>
    </row>
    <row r="19" spans="2:43" ht="14.85" customHeight="1">
      <c r="B19" s="208" t="str">
        <f>'Comp.1'!B18</f>
        <v>XOMA Corporation</v>
      </c>
      <c r="C19" s="378">
        <f t="shared" si="0"/>
        <v>104.8</v>
      </c>
      <c r="E19" s="554" t="str">
        <f t="shared" si="1"/>
        <v>n/a</v>
      </c>
      <c r="F19" s="554" t="str">
        <f t="shared" si="2"/>
        <v>n/a</v>
      </c>
      <c r="G19" s="554" t="str">
        <f t="shared" si="3"/>
        <v>n/a</v>
      </c>
      <c r="H19" s="283"/>
      <c r="I19" s="554">
        <f t="shared" si="4"/>
        <v>501.94520547945206</v>
      </c>
      <c r="J19" s="554" t="str">
        <f t="shared" si="5"/>
        <v>n/a</v>
      </c>
      <c r="L19" s="554" t="str">
        <f t="shared" si="6"/>
        <v>n/a</v>
      </c>
      <c r="M19" s="554">
        <f t="shared" si="7"/>
        <v>1787.4146341463415</v>
      </c>
      <c r="N19" s="554">
        <f t="shared" si="8"/>
        <v>6107</v>
      </c>
      <c r="P19" s="554">
        <f t="shared" si="9"/>
        <v>1263.5172413793102</v>
      </c>
      <c r="Q19" s="554" t="str">
        <f t="shared" si="10"/>
        <v>n/a</v>
      </c>
      <c r="S19" s="1209">
        <f>'Capital IQ Sheet-GPC'!AU19</f>
        <v>-10.7</v>
      </c>
      <c r="T19" s="1209">
        <f>'Capital IQ Sheet-GPC'!AV19</f>
        <v>-1.6</v>
      </c>
      <c r="U19" s="1209">
        <f>'Capital IQ Sheet-GPC'!AW19</f>
        <v>-11.7</v>
      </c>
      <c r="V19" s="1209"/>
      <c r="W19" s="1209">
        <f>'Capital IQ Sheet-GPC'!AX19</f>
        <v>14.6</v>
      </c>
      <c r="X19" s="1209" t="str">
        <f>'Capital IQ Sheet-GPC'!AY19</f>
        <v xml:space="preserve"> n/a </v>
      </c>
      <c r="Z19" s="1209">
        <f>'Capital IQ Sheet-GPC'!AZ19</f>
        <v>-31.2</v>
      </c>
      <c r="AA19" s="1209">
        <f>'Capital IQ Sheet-GPC'!BA19</f>
        <v>4.0999999999999996</v>
      </c>
      <c r="AB19" s="1209">
        <f>'Capital IQ Sheet-GPC'!BB19</f>
        <v>1.2</v>
      </c>
      <c r="AD19" s="1209">
        <f>'Capital IQ Sheet-GPC'!BC19</f>
        <v>5.8</v>
      </c>
      <c r="AE19" s="1209" t="str">
        <f>'Capital IQ Sheet-GPC'!BD19</f>
        <v xml:space="preserve"> n/a </v>
      </c>
      <c r="AG19" s="283">
        <f>'Beta Calc'!K16</f>
        <v>104.8</v>
      </c>
      <c r="AH19" s="283">
        <f>'Beta Calc'!L16</f>
        <v>22</v>
      </c>
      <c r="AI19" s="283" t="str">
        <f>'Beta Calc'!M16</f>
        <v xml:space="preserve"> n/a </v>
      </c>
      <c r="AJ19" s="283" t="str">
        <f>'Beta Calc'!N16</f>
        <v xml:space="preserve"> n/a </v>
      </c>
      <c r="AK19" s="283">
        <f t="shared" si="11"/>
        <v>22</v>
      </c>
      <c r="AL19" s="283">
        <f t="shared" si="12"/>
        <v>126.8</v>
      </c>
      <c r="AM19" s="283">
        <f>'Beta Calc'!Q16</f>
        <v>28.4</v>
      </c>
      <c r="AN19" s="378">
        <f t="shared" si="13"/>
        <v>98.4</v>
      </c>
      <c r="AP19" s="557" t="str">
        <f>IF('MASTER PubCo Inputs'!C34="","",'MASTER PubCo Inputs'!C34)</f>
        <v>IQ36769</v>
      </c>
      <c r="AQ19" s="1183" t="str">
        <f>'Comp.1'!AL18</f>
        <v>XOMA Corporation engages in the discovery, development, and licensing of therapeutic antibodies in the United States, Europe, and the Asia Pacific. The company has a portfolio of monoclonal antibodies and technologies to license to pharmaceutical and biotechnology companies to further their clinical development. Its proprietary product candidates include X213, an allosteric inhibitor of prolactin action; XMetA, an insulin receptor-activating antibody designed to provide long-acting reduction of hyperglycemia in Type 2 diabetic patients; and other preclinical product candidates, such as interleukin 2, a therapy for metastatic melanoma and renal cell carcinoma, as well as anti-parathyroid receptor to address unmet medical needs. The company also licenses antibody discovery, optimization, and development technologies. It has research and development collaboration and licensing agreements with Novartis AG; Takeda Pharmaceutical Company Limited; and Pfizer Inc. XOMA Corporation was founded in 1981 and is headquartered in Emeryville, California.</v>
      </c>
    </row>
    <row r="20" spans="2:43" ht="14.85" customHeight="1">
      <c r="B20" s="208" t="str">
        <f>'Comp.1'!B19</f>
        <v>Five Prime Therapeutics, Inc.</v>
      </c>
      <c r="C20" s="378">
        <f t="shared" si="0"/>
        <v>399</v>
      </c>
      <c r="E20" s="554">
        <f t="shared" si="1"/>
        <v>29.255089820359281</v>
      </c>
      <c r="F20" s="554" t="str">
        <f t="shared" si="2"/>
        <v>n/a</v>
      </c>
      <c r="G20" s="554" t="str">
        <f t="shared" si="3"/>
        <v>n/a</v>
      </c>
      <c r="H20" s="283"/>
      <c r="I20" s="554" t="str">
        <f t="shared" si="4"/>
        <v>n/a</v>
      </c>
      <c r="J20" s="554" t="str">
        <f t="shared" si="5"/>
        <v>n/a</v>
      </c>
      <c r="L20" s="554">
        <f t="shared" si="6"/>
        <v>18.139603960396038</v>
      </c>
      <c r="M20" s="554">
        <f t="shared" si="7"/>
        <v>25.614819993009434</v>
      </c>
      <c r="N20" s="554">
        <f t="shared" si="8"/>
        <v>24.691374663072775</v>
      </c>
      <c r="P20" s="554">
        <f t="shared" si="9"/>
        <v>27.633484162895929</v>
      </c>
      <c r="Q20" s="554" t="str">
        <f t="shared" si="10"/>
        <v>n/a</v>
      </c>
      <c r="S20" s="1209">
        <f>'Capital IQ Sheet-GPC'!AU20</f>
        <v>250.5</v>
      </c>
      <c r="T20" s="1209">
        <f>'Capital IQ Sheet-GPC'!AV20</f>
        <v>-141.1</v>
      </c>
      <c r="U20" s="1209">
        <f>'Capital IQ Sheet-GPC'!AW20</f>
        <v>-130.9</v>
      </c>
      <c r="V20" s="1209"/>
      <c r="W20" s="1209">
        <f>'Capital IQ Sheet-GPC'!AX20</f>
        <v>-150.19999999999999</v>
      </c>
      <c r="X20" s="1209" t="str">
        <f>'Capital IQ Sheet-GPC'!AY20</f>
        <v xml:space="preserve"> n/a </v>
      </c>
      <c r="Z20" s="1209">
        <f>'Capital IQ Sheet-GPC'!AZ20</f>
        <v>404</v>
      </c>
      <c r="AA20" s="1209">
        <f>'Capital IQ Sheet-GPC'!BA20</f>
        <v>286.10000000000002</v>
      </c>
      <c r="AB20" s="1209">
        <f>'Capital IQ Sheet-GPC'!BB20</f>
        <v>296.8</v>
      </c>
      <c r="AD20" s="1209">
        <f>'Capital IQ Sheet-GPC'!BC20</f>
        <v>265.2</v>
      </c>
      <c r="AE20" s="1209" t="str">
        <f>'Capital IQ Sheet-GPC'!BD20</f>
        <v xml:space="preserve"> n/a </v>
      </c>
      <c r="AG20" s="283">
        <f>'Beta Calc'!K17</f>
        <v>399</v>
      </c>
      <c r="AH20" s="283" t="str">
        <f>'Beta Calc'!L17</f>
        <v xml:space="preserve"> -   </v>
      </c>
      <c r="AI20" s="283" t="str">
        <f>'Beta Calc'!M17</f>
        <v xml:space="preserve"> n/a </v>
      </c>
      <c r="AJ20" s="283" t="str">
        <f>'Beta Calc'!N17</f>
        <v xml:space="preserve"> n/a </v>
      </c>
      <c r="AK20" s="283">
        <f t="shared" si="11"/>
        <v>0</v>
      </c>
      <c r="AL20" s="283">
        <f t="shared" si="12"/>
        <v>399</v>
      </c>
      <c r="AM20" s="283">
        <f>'Beta Calc'!Q17</f>
        <v>321.60000000000002</v>
      </c>
      <c r="AN20" s="378">
        <f t="shared" si="13"/>
        <v>77.399999999999977</v>
      </c>
      <c r="AP20" s="557" t="str">
        <f>IF('MASTER PubCo Inputs'!C35="","",'MASTER PubCo Inputs'!C35)</f>
        <v>IQ3366199</v>
      </c>
      <c r="AQ20" s="1183" t="str">
        <f>'Comp.1'!AL19</f>
        <v>Five Prime Therapeutics, Inc., a clinical-stage biotechnology company, focuses on the discovery and development of immuno-oncology protein therapeutics. The company’s product candidates include Cabiralizumab, an antibody that inhibits colony stimulating factor-1 receptor that is in Phase Ia/Ib clinical trials for the treatment of various cancers in combination with nivolumab; and is in Phase I/II clinical trials for the treatment of pigmented villonodular synovitis tumor. Its product candidates also comprise Bemarituzumab, an antibody that inhibits fibroblast growth factor receptor IIb, which is in Phase I clinical trials to treat patients with gastric or gastroesophageal junction and bladder cancer; and FPA150, a CD8 T cell checkpoint inhibitor antibody that targets B7-H4 as a monotherapy in various cancers. The company’s FP-1039 is in Phase Ib clinical trials to treat patients with malignant pleural mesothelioma. Its preclinical product candidates include FPA150, a CD8 T cell checkpoint inhibitor antibody; FPA154, a tetravalent agonistic antibody that activates glucocorticoid-induced tumor necrosis factor receptor; and FPT155, a CD80-Fc fusion protein, which modulates signaling pathways. The company has license and collaboration agreements with Bristol-Myers Squibb Company, GlaxoSmithKline LLC, INBRX 110 LP, UCB Pharma S.A., and Zai Lab (Shanghai) Co., Ltd.; collaboration agreement with Roche; and license agreements with bluebird bio, Inc., Galaxy Biotech, LLC, BioWa, Inc. and Lonza Sales AG. Five Prime Therapeutics, Inc. was founded in 2001 and is headquartered in South San Francisco, California.</v>
      </c>
    </row>
    <row r="21" spans="2:43" ht="14.85" customHeight="1">
      <c r="B21" s="208" t="str">
        <f>'Comp.1'!B20</f>
        <v>Cue Biopharma, Inc.</v>
      </c>
      <c r="C21" s="378">
        <f t="shared" si="0"/>
        <v>105.8</v>
      </c>
      <c r="E21" s="554" t="str">
        <f t="shared" si="1"/>
        <v>n/a</v>
      </c>
      <c r="F21" s="554" t="str">
        <f t="shared" si="2"/>
        <v>n/a</v>
      </c>
      <c r="G21" s="554" t="str">
        <f t="shared" si="3"/>
        <v>n/a</v>
      </c>
      <c r="H21" s="283"/>
      <c r="I21" s="554" t="str">
        <f t="shared" si="4"/>
        <v>n/a</v>
      </c>
      <c r="J21" s="554" t="str">
        <f t="shared" si="5"/>
        <v>n/a</v>
      </c>
      <c r="L21" s="554">
        <f t="shared" si="6"/>
        <v>1062.086956521739</v>
      </c>
      <c r="M21" s="554">
        <f t="shared" si="7"/>
        <v>1665.5454545454543</v>
      </c>
      <c r="N21" s="554">
        <f t="shared" si="8"/>
        <v>186</v>
      </c>
      <c r="P21" s="554">
        <f t="shared" si="9"/>
        <v>118.96753246753246</v>
      </c>
      <c r="Q21" s="554" t="str">
        <f t="shared" si="10"/>
        <v>n/a</v>
      </c>
      <c r="S21" s="1209">
        <f>'Capital IQ Sheet-GPC'!AU21</f>
        <v>-1.9</v>
      </c>
      <c r="T21" s="1209">
        <f>'Capital IQ Sheet-GPC'!AV21</f>
        <v>-15.6</v>
      </c>
      <c r="U21" s="1209">
        <f>'Capital IQ Sheet-GPC'!AW21</f>
        <v>-37.799999999999997</v>
      </c>
      <c r="V21" s="1209"/>
      <c r="W21" s="1209">
        <f>'Capital IQ Sheet-GPC'!AX21</f>
        <v>-23.2</v>
      </c>
      <c r="X21" s="1209" t="str">
        <f>'Capital IQ Sheet-GPC'!AY21</f>
        <v xml:space="preserve"> n/a </v>
      </c>
      <c r="Z21" s="1209">
        <f>'Capital IQ Sheet-GPC'!AZ21</f>
        <v>6.9</v>
      </c>
      <c r="AA21" s="1209">
        <f>'Capital IQ Sheet-GPC'!BA21</f>
        <v>4.4000000000000004</v>
      </c>
      <c r="AB21" s="1209">
        <f>'Capital IQ Sheet-GPC'!BB21</f>
        <v>39.4</v>
      </c>
      <c r="AD21" s="1209">
        <f>'Capital IQ Sheet-GPC'!BC21</f>
        <v>61.6</v>
      </c>
      <c r="AE21" s="1209" t="str">
        <f>'Capital IQ Sheet-GPC'!BD21</f>
        <v xml:space="preserve"> n/a </v>
      </c>
      <c r="AG21" s="283">
        <f>'Beta Calc'!K18</f>
        <v>105.8</v>
      </c>
      <c r="AH21" s="283" t="str">
        <f>'Beta Calc'!L18</f>
        <v xml:space="preserve"> -   </v>
      </c>
      <c r="AI21" s="283" t="str">
        <f>'Beta Calc'!M18</f>
        <v xml:space="preserve"> n/a </v>
      </c>
      <c r="AJ21" s="283" t="str">
        <f>'Beta Calc'!N18</f>
        <v xml:space="preserve"> n/a </v>
      </c>
      <c r="AK21" s="283">
        <f t="shared" si="11"/>
        <v>0</v>
      </c>
      <c r="AL21" s="283">
        <f t="shared" si="12"/>
        <v>105.8</v>
      </c>
      <c r="AM21" s="283">
        <f>'Beta Calc'!Q18</f>
        <v>39.200000000000003</v>
      </c>
      <c r="AN21" s="378">
        <f t="shared" si="13"/>
        <v>66.599999999999994</v>
      </c>
      <c r="AP21" s="557" t="str">
        <f>IF('MASTER PubCo Inputs'!C36="","",'MASTER PubCo Inputs'!C36)</f>
        <v>IQ417883814</v>
      </c>
      <c r="AQ21" s="1183" t="str">
        <f>'Comp.1'!AL20</f>
        <v>Cue Biopharma, Inc., a biopharmaceutical company, develops biologic drugs for the selective modulation of the human immune system to treat a range of cancers and autoimmune disorders. The company’s lead drug candidate includes CUE-101, a variant form of the cytokine Interleukin-2 and a T cell antigen to target and activate T cells specific to human papilloma virus related cancers. Its biologics drug candidates also comprise CUE-100 series to improve various tumor specific T cells; and CUE-200 series to reinvigorate exhausted T cells. The company also offers MOD costimulatory optimization and discovery platform and viraTope T cell epitope discovery platform to develop novel biologics for addressing new indications in oncology and autoimmune disorders. Cue Biopharma, Inc. has collaboration agreements with Merck &amp; Co. for the research and development of its proprietary biologics that target autoimmune disease indications; and Albert Einstein College of Medicine to develop Immuno-STAT biologics for chronic infectious diseases. It also has a strategic collaboration with LG Chem Life Sciences for Immuno- STATs biologics in oncology. The company was formerly known as Imagen Biopharma, Inc. and changed its name to Cue Biopharma, Inc. in October 2016. Cue Biopharma, Inc. was incorporated in 2014 and is based in Cambridge, Massachusetts.</v>
      </c>
    </row>
    <row r="22" spans="2:43" ht="14.85" customHeight="1">
      <c r="B22" s="208" t="str">
        <f>'Comp.1'!B21</f>
        <v>OncoSec Medical Incorporated</v>
      </c>
      <c r="C22" s="378">
        <f t="shared" si="0"/>
        <v>56.8</v>
      </c>
      <c r="E22" s="554" t="str">
        <f t="shared" si="1"/>
        <v>n/a</v>
      </c>
      <c r="F22" s="554" t="str">
        <f t="shared" si="2"/>
        <v>n/a</v>
      </c>
      <c r="G22" s="554" t="str">
        <f t="shared" si="3"/>
        <v>n/a</v>
      </c>
      <c r="H22" s="283"/>
      <c r="I22" s="554" t="str">
        <f t="shared" si="4"/>
        <v>n/a</v>
      </c>
      <c r="J22" s="554" t="str">
        <f t="shared" si="5"/>
        <v>n/a</v>
      </c>
      <c r="L22" s="554">
        <f t="shared" si="6"/>
        <v>310.52542372881351</v>
      </c>
      <c r="M22" s="554">
        <f t="shared" si="7"/>
        <v>542.84444444444443</v>
      </c>
      <c r="N22" s="554">
        <f t="shared" si="8"/>
        <v>290.8095238095238</v>
      </c>
      <c r="P22" s="554">
        <f t="shared" si="9"/>
        <v>407.13333333333333</v>
      </c>
      <c r="Q22" s="554" t="str">
        <f t="shared" si="10"/>
        <v>n/a</v>
      </c>
      <c r="S22" s="1209">
        <f>'Capital IQ Sheet-GPC'!AU22</f>
        <v>-25.5</v>
      </c>
      <c r="T22" s="1209">
        <f>'Capital IQ Sheet-GPC'!AV22</f>
        <v>-21.7</v>
      </c>
      <c r="U22" s="1209">
        <f>'Capital IQ Sheet-GPC'!AW22</f>
        <v>-40.799999999999997</v>
      </c>
      <c r="V22" s="1209"/>
      <c r="W22" s="1209">
        <f>'Capital IQ Sheet-GPC'!AX22</f>
        <v>-27.1</v>
      </c>
      <c r="X22" s="1209" t="str">
        <f>'Capital IQ Sheet-GPC'!AY22</f>
        <v xml:space="preserve"> n/a </v>
      </c>
      <c r="Z22" s="1209">
        <f>'Capital IQ Sheet-GPC'!AZ22</f>
        <v>23.6</v>
      </c>
      <c r="AA22" s="1209">
        <f>'Capital IQ Sheet-GPC'!BA22</f>
        <v>13.5</v>
      </c>
      <c r="AB22" s="1209">
        <f>'Capital IQ Sheet-GPC'!BB22</f>
        <v>25.2</v>
      </c>
      <c r="AD22" s="1209">
        <f>'Capital IQ Sheet-GPC'!BC22</f>
        <v>18</v>
      </c>
      <c r="AE22" s="1209" t="str">
        <f>'Capital IQ Sheet-GPC'!BD22</f>
        <v xml:space="preserve"> n/a </v>
      </c>
      <c r="AG22" s="283">
        <f>'Beta Calc'!K19</f>
        <v>56.8</v>
      </c>
      <c r="AH22" s="283" t="str">
        <f>'Beta Calc'!L19</f>
        <v xml:space="preserve"> -   </v>
      </c>
      <c r="AI22" s="283" t="str">
        <f>'Beta Calc'!M19</f>
        <v xml:space="preserve"> n/a </v>
      </c>
      <c r="AJ22" s="283" t="str">
        <f>'Beta Calc'!N19</f>
        <v xml:space="preserve"> n/a </v>
      </c>
      <c r="AK22" s="283">
        <f t="shared" si="11"/>
        <v>0</v>
      </c>
      <c r="AL22" s="283">
        <f t="shared" si="12"/>
        <v>56.8</v>
      </c>
      <c r="AM22" s="283">
        <f>'Beta Calc'!Q19</f>
        <v>28.5</v>
      </c>
      <c r="AN22" s="378">
        <f t="shared" si="13"/>
        <v>28.299999999999997</v>
      </c>
      <c r="AP22" s="557" t="str">
        <f>IF('MASTER PubCo Inputs'!C37="","",'MASTER PubCo Inputs'!C37)</f>
        <v>IQ47899619</v>
      </c>
      <c r="AQ22" s="1183" t="str">
        <f>'Comp.1'!AL21</f>
        <v>OncoSec Medical Incorporated, a biotechnology company, focuses on the development of cytokine-based intratumoral immunotherapies to stimulate the body’s immune system to target and attack cancer. Its lead product candidate is ImmunoPulse IL-12 that uses electroporation device to deliver a DNA-encoded interleukin-12 for reversing the immunosuppressive microenvironment in the treated tumor. The company is also developing ImmunoPulse IL-12 with KEYTRUDA in patients with advanced melanoma that is in the Phase IIb clinical trials (PISCES/KEYNOTE-695) and advanced or metastatic triple negative breast cancer (TNBC), which is in the Phase II clinical trials (OMS-141/KEYNOTE-890); ImmunoPulse IL-12 and KEYTRUDA in patients with advanced or metastatic melanoma that has completed Phase II clinical trials; and ImmunoPulse IL-12 monotherapy in patients with metastatic melanoma, which has completed the Phase II clinical trials. In addition, it undertakes the phase II monotherapy biomarker study in patients with advanced or metastatic TNBC. Further, the company has completed Phase I neoadjuvant clinical trial of ImmunoPulse IL-12 in combination with an anti-PD-1 in surgically resectable melanoma. Additionally, it is developing new DNA-encoded therapeutic candidates and tumor indications. OncoSec Medical Incorporated has clinical trial collaborations with Merck &amp; Co., Inc. and its subsidiary in connection with the PISCES/KEYNOTE-695 and OMS-141/KEYNOTE-890 studies; and a collaboration with the GOG Foundation, Inc. to conduct a registration-enabled study of tavokinogene telseplasmid in women with recurrent/persistent cervical cancer. The company was formerly known as NetVentory Solutions Inc. and changed its name to OncoSec Medical Incorporated in March 2011. OncoSec Medical Incorporated was incorporated in 2008 and is headquartered in Pennington, New Jersey.</v>
      </c>
    </row>
    <row r="23" spans="2:43" ht="14.85" customHeight="1">
      <c r="B23" s="208" t="str">
        <f>'Comp.1'!B22</f>
        <v>NantKwest, Inc.</v>
      </c>
      <c r="C23" s="378">
        <f t="shared" si="0"/>
        <v>85.6</v>
      </c>
      <c r="E23" s="554" t="str">
        <f t="shared" si="1"/>
        <v>n/a</v>
      </c>
      <c r="F23" s="554" t="str">
        <f t="shared" si="2"/>
        <v>n/a</v>
      </c>
      <c r="G23" s="554" t="str">
        <f t="shared" si="3"/>
        <v>n/a</v>
      </c>
      <c r="H23" s="283"/>
      <c r="I23" s="554" t="str">
        <f t="shared" si="4"/>
        <v>n/a</v>
      </c>
      <c r="J23" s="554" t="str">
        <f t="shared" si="5"/>
        <v>n/a</v>
      </c>
      <c r="L23" s="554">
        <f t="shared" si="6"/>
        <v>23.571566420070763</v>
      </c>
      <c r="M23" s="554">
        <f t="shared" si="7"/>
        <v>30.830458561211611</v>
      </c>
      <c r="N23" s="554">
        <f t="shared" si="8"/>
        <v>45.209130166563845</v>
      </c>
      <c r="P23" s="554">
        <f t="shared" si="9"/>
        <v>33.493601462522847</v>
      </c>
      <c r="Q23" s="554" t="str">
        <f t="shared" si="10"/>
        <v>n/a</v>
      </c>
      <c r="S23" s="1209">
        <f>'Capital IQ Sheet-GPC'!AU23</f>
        <v>-123.4</v>
      </c>
      <c r="T23" s="1209">
        <f>'Capital IQ Sheet-GPC'!AV23</f>
        <v>-96.2</v>
      </c>
      <c r="U23" s="1209">
        <f>'Capital IQ Sheet-GPC'!AW23</f>
        <v>-103.4</v>
      </c>
      <c r="V23" s="1209"/>
      <c r="W23" s="1209">
        <f>'Capital IQ Sheet-GPC'!AX23</f>
        <v>-96.4</v>
      </c>
      <c r="X23" s="1209" t="str">
        <f>'Capital IQ Sheet-GPC'!AY23</f>
        <v xml:space="preserve"> n/a </v>
      </c>
      <c r="Z23" s="1209">
        <f>'Capital IQ Sheet-GPC'!AZ23</f>
        <v>310.89999999999998</v>
      </c>
      <c r="AA23" s="1209">
        <f>'Capital IQ Sheet-GPC'!BA23</f>
        <v>237.7</v>
      </c>
      <c r="AB23" s="1209">
        <f>'Capital IQ Sheet-GPC'!BB23</f>
        <v>162.1</v>
      </c>
      <c r="AD23" s="1209">
        <f>'Capital IQ Sheet-GPC'!BC23</f>
        <v>218.8</v>
      </c>
      <c r="AE23" s="1209" t="str">
        <f>'Capital IQ Sheet-GPC'!BD23</f>
        <v xml:space="preserve"> n/a </v>
      </c>
      <c r="AG23" s="283">
        <f>'Beta Calc'!K20</f>
        <v>85.6</v>
      </c>
      <c r="AH23" s="283">
        <f>'Beta Calc'!L20</f>
        <v>7.3</v>
      </c>
      <c r="AI23" s="283" t="str">
        <f>'Beta Calc'!M20</f>
        <v xml:space="preserve"> n/a </v>
      </c>
      <c r="AJ23" s="283" t="str">
        <f>'Beta Calc'!N20</f>
        <v xml:space="preserve"> n/a </v>
      </c>
      <c r="AK23" s="283">
        <f t="shared" si="11"/>
        <v>7.3</v>
      </c>
      <c r="AL23" s="283">
        <f t="shared" si="12"/>
        <v>92.899999999999991</v>
      </c>
      <c r="AM23" s="283">
        <f>'Beta Calc'!Q20</f>
        <v>83.9</v>
      </c>
      <c r="AN23" s="378">
        <f t="shared" si="13"/>
        <v>8.9999999999999858</v>
      </c>
      <c r="AP23" s="557" t="str">
        <f>IF('MASTER PubCo Inputs'!C38="","",'MASTER PubCo Inputs'!C38)</f>
        <v>IQ262241549</v>
      </c>
      <c r="AQ23" s="1183" t="str">
        <f>'Comp.1'!AL22</f>
        <v>NantKwest, Inc., a clinical-stage immunotherapy biotechnology company, develops immunotherapeutic treatments for cancer, infectious diseases, and inflammatory diseases in the United States. The company develops activated natural killer cell, a natural killer cell-line and genetically modified derivative capable of killing cancer and virally infected cells; and NANT cancer vaccine, a personalized therapy that utilizes its off-the-shelf natural killer cells. It is also developing high-affinity natural killer product candidates primarily for the treatment of various cancers; and target activated natural killer product candidates to treat hematological malignancies and solid tumors. NantKwest, Inc. has a co-development agreement with Altor Bio Science Corporation to collaborate on the development of therapeutic applications combining the company’s proprietary natural killer cells with Altor's ALT-801 and/or ALT-803 products. The company was formerly known as Conkwest, Inc. and changed its name to NantKwest, Inc. in July 2015. NantKwest, Inc. was founded in 2002 and is headquartered in San Diego, California.</v>
      </c>
    </row>
    <row r="24" spans="2:43" ht="14.85" customHeight="1">
      <c r="B24" s="208" t="str">
        <f>'Comp.1'!B23</f>
        <v>Corvus Pharmaceuticals, Inc.</v>
      </c>
      <c r="C24" s="378">
        <f t="shared" si="0"/>
        <v>116.8</v>
      </c>
      <c r="E24" s="554" t="str">
        <f t="shared" si="1"/>
        <v>n/a</v>
      </c>
      <c r="F24" s="554" t="str">
        <f t="shared" si="2"/>
        <v>n/a</v>
      </c>
      <c r="G24" s="554" t="str">
        <f t="shared" si="3"/>
        <v>n/a</v>
      </c>
      <c r="H24" s="283"/>
      <c r="I24" s="554" t="str">
        <f t="shared" si="4"/>
        <v>n/a</v>
      </c>
      <c r="J24" s="554" t="str">
        <f t="shared" si="5"/>
        <v>n/a</v>
      </c>
      <c r="L24" s="554">
        <f t="shared" si="6"/>
        <v>51.283414975507341</v>
      </c>
      <c r="M24" s="554">
        <f t="shared" si="7"/>
        <v>78.211312700106717</v>
      </c>
      <c r="N24" s="554">
        <f t="shared" si="8"/>
        <v>61.686868686868685</v>
      </c>
      <c r="P24" s="554">
        <f t="shared" si="9"/>
        <v>86.419811320754718</v>
      </c>
      <c r="Q24" s="554" t="str">
        <f t="shared" si="10"/>
        <v>n/a</v>
      </c>
      <c r="S24" s="1209">
        <f>'Capital IQ Sheet-GPC'!AU24</f>
        <v>-31.3</v>
      </c>
      <c r="T24" s="1209">
        <f>'Capital IQ Sheet-GPC'!AV24</f>
        <v>-54.8</v>
      </c>
      <c r="U24" s="1209">
        <f>'Capital IQ Sheet-GPC'!AW24</f>
        <v>-48.4</v>
      </c>
      <c r="V24" s="1209"/>
      <c r="W24" s="1209">
        <f>'Capital IQ Sheet-GPC'!AX24</f>
        <v>-55.7</v>
      </c>
      <c r="X24" s="1209" t="str">
        <f>'Capital IQ Sheet-GPC'!AY24</f>
        <v xml:space="preserve"> n/a </v>
      </c>
      <c r="Z24" s="1209">
        <f>'Capital IQ Sheet-GPC'!AZ24</f>
        <v>142.9</v>
      </c>
      <c r="AA24" s="1209">
        <f>'Capital IQ Sheet-GPC'!BA24</f>
        <v>93.7</v>
      </c>
      <c r="AB24" s="1209">
        <f>'Capital IQ Sheet-GPC'!BB24</f>
        <v>118.8</v>
      </c>
      <c r="AD24" s="1209">
        <f>'Capital IQ Sheet-GPC'!BC24</f>
        <v>84.8</v>
      </c>
      <c r="AE24" s="1209" t="str">
        <f>'Capital IQ Sheet-GPC'!BD24</f>
        <v xml:space="preserve"> n/a </v>
      </c>
      <c r="AG24" s="283">
        <f>'Beta Calc'!K21</f>
        <v>116.8</v>
      </c>
      <c r="AH24" s="283" t="str">
        <f>'Beta Calc'!L21</f>
        <v xml:space="preserve"> -   </v>
      </c>
      <c r="AI24" s="283" t="str">
        <f>'Beta Calc'!M21</f>
        <v xml:space="preserve"> n/a </v>
      </c>
      <c r="AJ24" s="283" t="str">
        <f>'Beta Calc'!N21</f>
        <v xml:space="preserve"> n/a </v>
      </c>
      <c r="AK24" s="283">
        <f t="shared" si="11"/>
        <v>0</v>
      </c>
      <c r="AL24" s="283">
        <f t="shared" si="12"/>
        <v>116.8</v>
      </c>
      <c r="AM24" s="283">
        <f>'Beta Calc'!Q21</f>
        <v>122.6</v>
      </c>
      <c r="AN24" s="378">
        <f t="shared" si="13"/>
        <v>-5.7999999999999972</v>
      </c>
      <c r="AP24" s="557" t="str">
        <f>IF('MASTER PubCo Inputs'!C39="","",'MASTER PubCo Inputs'!C39)</f>
        <v>IQ279359732</v>
      </c>
      <c r="AQ24" s="1183" t="str">
        <f>'Comp.1'!AL23</f>
        <v>Corvus Pharmaceuticals, Inc., a clinical stage biopharmaceutical company, focuses on the development and commercialization of immuno-oncology therapies that are designed to harness the immune system to attack cancer cells. Its lead product candidate is CPI-444, an oral, small molecule antagonist of the A2A receptor that is in Phase I/Ib clinical trial for adenosine, an immune checkpoint. The company is also developing an anti-CD73 monoclonal antibody that inhibits the production of adenosine; an antagonist of the adenosine A2B receptor; and small molecule covalent inhibitors of interleukin-2 inducible kinase. Corvus Pharmaceuticals, Inc. was founded in 2014 and is based in Burlingame, California.</v>
      </c>
    </row>
    <row r="25" spans="2:43" ht="14.85" customHeight="1">
      <c r="B25" s="208" t="str">
        <f>'Comp.1'!B24</f>
        <v>Surface Oncology, Inc.</v>
      </c>
      <c r="C25" s="378">
        <f t="shared" si="0"/>
        <v>159.19999999999999</v>
      </c>
      <c r="E25" s="554" t="str">
        <f t="shared" si="1"/>
        <v>n/a</v>
      </c>
      <c r="F25" s="554" t="str">
        <f t="shared" si="2"/>
        <v>n/a</v>
      </c>
      <c r="G25" s="554" t="str">
        <f t="shared" si="3"/>
        <v>n/a</v>
      </c>
      <c r="H25" s="283"/>
      <c r="I25" s="554" t="str">
        <f t="shared" si="4"/>
        <v>n/a</v>
      </c>
      <c r="J25" s="554" t="str">
        <f t="shared" si="5"/>
        <v>n/a</v>
      </c>
      <c r="L25" s="554" t="str">
        <f t="shared" si="6"/>
        <v>n/a</v>
      </c>
      <c r="M25" s="554" t="str">
        <f t="shared" si="7"/>
        <v>n/a</v>
      </c>
      <c r="N25" s="554">
        <f t="shared" si="8"/>
        <v>69.135849056603774</v>
      </c>
      <c r="P25" s="554" t="str">
        <f t="shared" si="9"/>
        <v>n/a</v>
      </c>
      <c r="Q25" s="554" t="str">
        <f t="shared" si="10"/>
        <v>n/a</v>
      </c>
      <c r="S25" s="1209" t="str">
        <f>'Capital IQ Sheet-GPC'!AU25</f>
        <v xml:space="preserve"> n/a </v>
      </c>
      <c r="T25" s="1209">
        <f>'Capital IQ Sheet-GPC'!AV25</f>
        <v>-36.4</v>
      </c>
      <c r="U25" s="1209">
        <f>'Capital IQ Sheet-GPC'!AW25</f>
        <v>-17.600000000000001</v>
      </c>
      <c r="V25" s="1209"/>
      <c r="W25" s="1209">
        <f>'Capital IQ Sheet-GPC'!AX25</f>
        <v>-45.4</v>
      </c>
      <c r="X25" s="1209" t="str">
        <f>'Capital IQ Sheet-GPC'!AY25</f>
        <v xml:space="preserve"> n/a </v>
      </c>
      <c r="Z25" s="1209" t="str">
        <f>'Capital IQ Sheet-GPC'!AZ25</f>
        <v xml:space="preserve"> n/a </v>
      </c>
      <c r="AA25" s="1209">
        <f>'Capital IQ Sheet-GPC'!BA25</f>
        <v>-3.8</v>
      </c>
      <c r="AB25" s="1209">
        <f>'Capital IQ Sheet-GPC'!BB25</f>
        <v>106</v>
      </c>
      <c r="AD25" s="1209">
        <f>'Capital IQ Sheet-GPC'!BC25</f>
        <v>-18.8</v>
      </c>
      <c r="AE25" s="1209" t="str">
        <f>'Capital IQ Sheet-GPC'!BD25</f>
        <v xml:space="preserve"> n/a </v>
      </c>
      <c r="AG25" s="283">
        <f>'Beta Calc'!K22</f>
        <v>159.19999999999999</v>
      </c>
      <c r="AH25" s="283" t="str">
        <f>'Beta Calc'!L22</f>
        <v xml:space="preserve"> -   </v>
      </c>
      <c r="AI25" s="283" t="str">
        <f>'Beta Calc'!M22</f>
        <v xml:space="preserve"> n/a </v>
      </c>
      <c r="AJ25" s="283" t="str">
        <f>'Beta Calc'!N22</f>
        <v xml:space="preserve"> n/a </v>
      </c>
      <c r="AK25" s="283">
        <f t="shared" si="11"/>
        <v>0</v>
      </c>
      <c r="AL25" s="283">
        <f t="shared" si="12"/>
        <v>159.19999999999999</v>
      </c>
      <c r="AM25" s="283">
        <f>'Beta Calc'!Q22</f>
        <v>173.4</v>
      </c>
      <c r="AN25" s="378">
        <f t="shared" si="13"/>
        <v>-14.200000000000017</v>
      </c>
      <c r="AP25" s="557" t="str">
        <f>IF('MASTER PubCo Inputs'!C40="","",'MASTER PubCo Inputs'!C40)</f>
        <v>IQ281487796</v>
      </c>
      <c r="AQ25" s="1183" t="str">
        <f>'Comp.1'!AL24</f>
        <v>Surface Oncology, Inc., a clinical-stage immuno-oncology company, engages in the development of cancer therapies. The company’s lead product candidate is the SRF231 that is in Phase I clinical trial targeting protein called cluster of differentiation (CD) 47. It is also developing SRF373 inhibiting CD73; SRF617 inhibiting CD39; and SRF388, an antibody targeting interleukin 27. The company has a collaboration agreement with Novartis Institutes for Biomedical Research, Inc. for the development of cancer therapies. Surface Oncology, Inc. was founded in 2014 and is headquartered in Cambridge, Massachusetts.</v>
      </c>
    </row>
    <row r="26" spans="2:43" ht="14.85" customHeight="1">
      <c r="B26" s="208">
        <f>'Comp.1'!B25</f>
        <v>0</v>
      </c>
      <c r="C26" s="378">
        <f t="shared" si="0"/>
        <v>0</v>
      </c>
      <c r="E26" s="554" t="str">
        <f t="shared" si="1"/>
        <v>n/a</v>
      </c>
      <c r="F26" s="554" t="str">
        <f t="shared" si="2"/>
        <v>n/a</v>
      </c>
      <c r="G26" s="554" t="str">
        <f t="shared" si="3"/>
        <v>n/a</v>
      </c>
      <c r="H26" s="283"/>
      <c r="I26" s="554" t="str">
        <f t="shared" si="4"/>
        <v>n/a</v>
      </c>
      <c r="J26" s="554" t="str">
        <f t="shared" si="5"/>
        <v>n/a</v>
      </c>
      <c r="L26" s="554" t="str">
        <f t="shared" si="6"/>
        <v>n/a</v>
      </c>
      <c r="M26" s="554" t="str">
        <f t="shared" si="7"/>
        <v>n/a</v>
      </c>
      <c r="N26" s="554" t="str">
        <f t="shared" si="8"/>
        <v>n/a</v>
      </c>
      <c r="P26" s="554" t="str">
        <f t="shared" si="9"/>
        <v>n/a</v>
      </c>
      <c r="Q26" s="554" t="str">
        <f t="shared" si="10"/>
        <v>n/a</v>
      </c>
      <c r="S26" s="1209" t="str">
        <f>'Capital IQ Sheet-GPC'!AU26</f>
        <v xml:space="preserve"> (Invalid Identifier) </v>
      </c>
      <c r="T26" s="1209" t="str">
        <f>'Capital IQ Sheet-GPC'!AV26</f>
        <v xml:space="preserve"> (Invalid Identifier) </v>
      </c>
      <c r="U26" s="1209" t="str">
        <f>'Capital IQ Sheet-GPC'!AW26</f>
        <v xml:space="preserve"> (Invalid Identifier) </v>
      </c>
      <c r="V26" s="1209"/>
      <c r="W26" s="1209" t="str">
        <f>'Capital IQ Sheet-GPC'!AX26</f>
        <v xml:space="preserve"> (Invalid Identifier) </v>
      </c>
      <c r="X26" s="1209" t="str">
        <f>'Capital IQ Sheet-GPC'!AY26</f>
        <v xml:space="preserve"> (Invalid Identifier) </v>
      </c>
      <c r="Z26" s="1209" t="str">
        <f>'Capital IQ Sheet-GPC'!AZ26</f>
        <v xml:space="preserve"> (Invalid Identifier) </v>
      </c>
      <c r="AA26" s="1209" t="str">
        <f>'Capital IQ Sheet-GPC'!BA26</f>
        <v xml:space="preserve"> (Invalid Identifier) </v>
      </c>
      <c r="AB26" s="1209" t="str">
        <f>'Capital IQ Sheet-GPC'!BB26</f>
        <v xml:space="preserve"> (Invalid Identifier) </v>
      </c>
      <c r="AD26" s="1209" t="str">
        <f>'Capital IQ Sheet-GPC'!BC26</f>
        <v xml:space="preserve"> (Invalid Identifier) </v>
      </c>
      <c r="AE26" s="1209" t="str">
        <f>'Capital IQ Sheet-GPC'!BD26</f>
        <v xml:space="preserve"> (Invalid Identifier) </v>
      </c>
      <c r="AG26" s="283">
        <f>'Beta Calc'!K23</f>
        <v>0</v>
      </c>
      <c r="AH26" s="283">
        <f>'Beta Calc'!L23</f>
        <v>0</v>
      </c>
      <c r="AI26" s="283">
        <f>'Beta Calc'!M23</f>
        <v>0</v>
      </c>
      <c r="AJ26" s="283">
        <f>'Beta Calc'!N23</f>
        <v>0</v>
      </c>
      <c r="AK26" s="283">
        <f t="shared" si="11"/>
        <v>0</v>
      </c>
      <c r="AL26" s="283">
        <f t="shared" si="12"/>
        <v>0</v>
      </c>
      <c r="AM26" s="283">
        <f>'Beta Calc'!Q23</f>
        <v>0</v>
      </c>
      <c r="AN26" s="378">
        <f t="shared" si="13"/>
        <v>0</v>
      </c>
      <c r="AP26" s="557" t="str">
        <f>IF('MASTER PubCo Inputs'!C41="","",'MASTER PubCo Inputs'!C41)</f>
        <v>(Invalid Identifier)</v>
      </c>
      <c r="AQ26" s="1183">
        <f>'Comp.1'!AL25</f>
        <v>0</v>
      </c>
    </row>
    <row r="27" spans="2:43" ht="14.85" customHeight="1">
      <c r="B27" s="208">
        <f>'Comp.1'!B26</f>
        <v>0</v>
      </c>
      <c r="C27" s="378">
        <f t="shared" si="0"/>
        <v>0</v>
      </c>
      <c r="E27" s="554" t="str">
        <f t="shared" si="1"/>
        <v>n/a</v>
      </c>
      <c r="F27" s="554" t="str">
        <f t="shared" si="2"/>
        <v>n/a</v>
      </c>
      <c r="G27" s="554" t="str">
        <f t="shared" si="3"/>
        <v>n/a</v>
      </c>
      <c r="H27" s="283"/>
      <c r="I27" s="554" t="str">
        <f t="shared" si="4"/>
        <v>n/a</v>
      </c>
      <c r="J27" s="554" t="str">
        <f t="shared" si="5"/>
        <v>n/a</v>
      </c>
      <c r="L27" s="554" t="str">
        <f t="shared" si="6"/>
        <v>n/a</v>
      </c>
      <c r="M27" s="554" t="str">
        <f t="shared" si="7"/>
        <v>n/a</v>
      </c>
      <c r="N27" s="554" t="str">
        <f t="shared" si="8"/>
        <v>n/a</v>
      </c>
      <c r="P27" s="554" t="str">
        <f t="shared" si="9"/>
        <v>n/a</v>
      </c>
      <c r="Q27" s="554" t="str">
        <f t="shared" si="10"/>
        <v>n/a</v>
      </c>
      <c r="S27" s="1209" t="str">
        <f>'Capital IQ Sheet-GPC'!AU27</f>
        <v xml:space="preserve"> (Invalid Identifier) </v>
      </c>
      <c r="T27" s="1209" t="str">
        <f>'Capital IQ Sheet-GPC'!AV27</f>
        <v xml:space="preserve"> (Invalid Identifier) </v>
      </c>
      <c r="U27" s="1209" t="str">
        <f>'Capital IQ Sheet-GPC'!AW27</f>
        <v xml:space="preserve"> (Invalid Identifier) </v>
      </c>
      <c r="V27" s="1209"/>
      <c r="W27" s="1209" t="str">
        <f>'Capital IQ Sheet-GPC'!AX27</f>
        <v xml:space="preserve"> (Invalid Identifier) </v>
      </c>
      <c r="X27" s="1209" t="str">
        <f>'Capital IQ Sheet-GPC'!AY27</f>
        <v xml:space="preserve"> (Invalid Identifier) </v>
      </c>
      <c r="Z27" s="1209" t="str">
        <f>'Capital IQ Sheet-GPC'!AZ27</f>
        <v xml:space="preserve"> (Invalid Identifier) </v>
      </c>
      <c r="AA27" s="1209" t="str">
        <f>'Capital IQ Sheet-GPC'!BA27</f>
        <v xml:space="preserve"> (Invalid Identifier) </v>
      </c>
      <c r="AB27" s="1209" t="str">
        <f>'Capital IQ Sheet-GPC'!BB27</f>
        <v xml:space="preserve"> (Invalid Identifier) </v>
      </c>
      <c r="AD27" s="1209" t="str">
        <f>'Capital IQ Sheet-GPC'!BC27</f>
        <v xml:space="preserve"> (Invalid Identifier) </v>
      </c>
      <c r="AE27" s="1209" t="str">
        <f>'Capital IQ Sheet-GPC'!BD27</f>
        <v xml:space="preserve"> (Invalid Identifier) </v>
      </c>
      <c r="AG27" s="283">
        <f>'Beta Calc'!K24</f>
        <v>0</v>
      </c>
      <c r="AH27" s="283">
        <f>'Beta Calc'!L24</f>
        <v>0</v>
      </c>
      <c r="AI27" s="283">
        <f>'Beta Calc'!M24</f>
        <v>0</v>
      </c>
      <c r="AJ27" s="283">
        <f>'Beta Calc'!N24</f>
        <v>0</v>
      </c>
      <c r="AK27" s="283">
        <f t="shared" si="11"/>
        <v>0</v>
      </c>
      <c r="AL27" s="283">
        <f t="shared" si="12"/>
        <v>0</v>
      </c>
      <c r="AM27" s="283">
        <f>'Beta Calc'!Q24</f>
        <v>0</v>
      </c>
      <c r="AN27" s="378">
        <f t="shared" si="13"/>
        <v>0</v>
      </c>
      <c r="AP27" s="557" t="str">
        <f>IF('MASTER PubCo Inputs'!C42="","",'MASTER PubCo Inputs'!C42)</f>
        <v>(Invalid Identifier)</v>
      </c>
      <c r="AQ27" s="1183">
        <f>'Comp.1'!AL26</f>
        <v>0</v>
      </c>
    </row>
    <row r="28" spans="2:43" ht="14.85" customHeight="1">
      <c r="B28" s="208">
        <f>'Comp.1'!B27</f>
        <v>0</v>
      </c>
      <c r="C28" s="378">
        <f t="shared" si="0"/>
        <v>0</v>
      </c>
      <c r="E28" s="554" t="str">
        <f t="shared" si="1"/>
        <v>n/a</v>
      </c>
      <c r="F28" s="554" t="str">
        <f t="shared" si="2"/>
        <v>n/a</v>
      </c>
      <c r="G28" s="554" t="str">
        <f t="shared" si="3"/>
        <v>n/a</v>
      </c>
      <c r="H28" s="283"/>
      <c r="I28" s="554" t="str">
        <f t="shared" si="4"/>
        <v>n/a</v>
      </c>
      <c r="J28" s="554" t="str">
        <f t="shared" si="5"/>
        <v>n/a</v>
      </c>
      <c r="L28" s="554" t="str">
        <f t="shared" si="6"/>
        <v>n/a</v>
      </c>
      <c r="M28" s="554" t="str">
        <f t="shared" si="7"/>
        <v>n/a</v>
      </c>
      <c r="N28" s="554" t="str">
        <f t="shared" si="8"/>
        <v>n/a</v>
      </c>
      <c r="P28" s="554" t="str">
        <f t="shared" si="9"/>
        <v>n/a</v>
      </c>
      <c r="Q28" s="554" t="str">
        <f t="shared" si="10"/>
        <v>n/a</v>
      </c>
      <c r="S28" s="1209" t="str">
        <f>'Capital IQ Sheet-GPC'!AU28</f>
        <v xml:space="preserve"> (Invalid Identifier) </v>
      </c>
      <c r="T28" s="1209" t="str">
        <f>'Capital IQ Sheet-GPC'!AV28</f>
        <v xml:space="preserve"> (Invalid Identifier) </v>
      </c>
      <c r="U28" s="1209" t="str">
        <f>'Capital IQ Sheet-GPC'!AW28</f>
        <v xml:space="preserve"> (Invalid Identifier) </v>
      </c>
      <c r="V28" s="1209"/>
      <c r="W28" s="1209" t="str">
        <f>'Capital IQ Sheet-GPC'!AX28</f>
        <v xml:space="preserve"> (Invalid Identifier) </v>
      </c>
      <c r="X28" s="1209" t="str">
        <f>'Capital IQ Sheet-GPC'!AY28</f>
        <v xml:space="preserve"> (Invalid Identifier) </v>
      </c>
      <c r="Z28" s="1209" t="str">
        <f>'Capital IQ Sheet-GPC'!AZ28</f>
        <v xml:space="preserve"> (Invalid Identifier) </v>
      </c>
      <c r="AA28" s="1209" t="str">
        <f>'Capital IQ Sheet-GPC'!BA28</f>
        <v xml:space="preserve"> (Invalid Identifier) </v>
      </c>
      <c r="AB28" s="1209" t="str">
        <f>'Capital IQ Sheet-GPC'!BB28</f>
        <v xml:space="preserve"> (Invalid Identifier) </v>
      </c>
      <c r="AD28" s="1209" t="str">
        <f>'Capital IQ Sheet-GPC'!BC28</f>
        <v xml:space="preserve"> (Invalid Identifier) </v>
      </c>
      <c r="AE28" s="1209" t="str">
        <f>'Capital IQ Sheet-GPC'!BD28</f>
        <v xml:space="preserve"> (Invalid Identifier) </v>
      </c>
      <c r="AG28" s="283">
        <f>'Beta Calc'!K25</f>
        <v>0</v>
      </c>
      <c r="AH28" s="283">
        <f>'Beta Calc'!L25</f>
        <v>0</v>
      </c>
      <c r="AI28" s="283">
        <f>'Beta Calc'!M25</f>
        <v>0</v>
      </c>
      <c r="AJ28" s="283">
        <f>'Beta Calc'!N25</f>
        <v>0</v>
      </c>
      <c r="AK28" s="283">
        <f t="shared" si="11"/>
        <v>0</v>
      </c>
      <c r="AL28" s="283">
        <f t="shared" si="12"/>
        <v>0</v>
      </c>
      <c r="AM28" s="283">
        <f>'Beta Calc'!Q25</f>
        <v>0</v>
      </c>
      <c r="AN28" s="378">
        <f t="shared" si="13"/>
        <v>0</v>
      </c>
      <c r="AP28" s="557" t="str">
        <f>IF('MASTER PubCo Inputs'!C43="","",'MASTER PubCo Inputs'!C43)</f>
        <v>(Invalid Identifier)</v>
      </c>
      <c r="AQ28" s="1183">
        <f>'Comp.1'!AL27</f>
        <v>0</v>
      </c>
    </row>
    <row r="29" spans="2:43" ht="14.85" customHeight="1">
      <c r="B29" s="208">
        <f>'Comp.1'!B28</f>
        <v>0</v>
      </c>
      <c r="C29" s="378">
        <f t="shared" si="0"/>
        <v>0</v>
      </c>
      <c r="E29" s="554" t="str">
        <f t="shared" si="1"/>
        <v>n/a</v>
      </c>
      <c r="F29" s="554" t="str">
        <f t="shared" si="2"/>
        <v>n/a</v>
      </c>
      <c r="G29" s="554" t="str">
        <f t="shared" si="3"/>
        <v>n/a</v>
      </c>
      <c r="H29" s="283"/>
      <c r="I29" s="554" t="str">
        <f t="shared" si="4"/>
        <v>n/a</v>
      </c>
      <c r="J29" s="554" t="str">
        <f t="shared" si="5"/>
        <v>n/a</v>
      </c>
      <c r="L29" s="554" t="str">
        <f t="shared" si="6"/>
        <v>n/a</v>
      </c>
      <c r="M29" s="554" t="str">
        <f t="shared" si="7"/>
        <v>n/a</v>
      </c>
      <c r="N29" s="554" t="str">
        <f t="shared" si="8"/>
        <v>n/a</v>
      </c>
      <c r="P29" s="554" t="str">
        <f t="shared" si="9"/>
        <v>n/a</v>
      </c>
      <c r="Q29" s="554" t="str">
        <f t="shared" si="10"/>
        <v>n/a</v>
      </c>
      <c r="S29" s="1209" t="str">
        <f>'Capital IQ Sheet-GPC'!AU29</f>
        <v xml:space="preserve"> (Invalid Identifier) </v>
      </c>
      <c r="T29" s="1209" t="str">
        <f>'Capital IQ Sheet-GPC'!AV29</f>
        <v xml:space="preserve"> (Invalid Identifier) </v>
      </c>
      <c r="U29" s="1209" t="str">
        <f>'Capital IQ Sheet-GPC'!AW29</f>
        <v xml:space="preserve"> (Invalid Identifier) </v>
      </c>
      <c r="V29" s="1209"/>
      <c r="W29" s="1209" t="str">
        <f>'Capital IQ Sheet-GPC'!AX29</f>
        <v xml:space="preserve"> (Invalid Identifier) </v>
      </c>
      <c r="X29" s="1209" t="str">
        <f>'Capital IQ Sheet-GPC'!AY29</f>
        <v xml:space="preserve"> (Invalid Identifier) </v>
      </c>
      <c r="Z29" s="1209" t="str">
        <f>'Capital IQ Sheet-GPC'!AZ29</f>
        <v xml:space="preserve"> (Invalid Identifier) </v>
      </c>
      <c r="AA29" s="1209" t="str">
        <f>'Capital IQ Sheet-GPC'!BA29</f>
        <v xml:space="preserve"> (Invalid Identifier) </v>
      </c>
      <c r="AB29" s="1209" t="str">
        <f>'Capital IQ Sheet-GPC'!BB29</f>
        <v xml:space="preserve"> (Invalid Identifier) </v>
      </c>
      <c r="AD29" s="1209" t="str">
        <f>'Capital IQ Sheet-GPC'!BC29</f>
        <v xml:space="preserve"> (Invalid Identifier) </v>
      </c>
      <c r="AE29" s="1209" t="str">
        <f>'Capital IQ Sheet-GPC'!BD29</f>
        <v xml:space="preserve"> (Invalid Identifier) </v>
      </c>
      <c r="AG29" s="283">
        <f>'Beta Calc'!K26</f>
        <v>0</v>
      </c>
      <c r="AH29" s="283">
        <f>'Beta Calc'!L26</f>
        <v>0</v>
      </c>
      <c r="AI29" s="283">
        <f>'Beta Calc'!M26</f>
        <v>0</v>
      </c>
      <c r="AJ29" s="283">
        <f>'Beta Calc'!N26</f>
        <v>0</v>
      </c>
      <c r="AK29" s="283">
        <f t="shared" si="11"/>
        <v>0</v>
      </c>
      <c r="AL29" s="283">
        <f t="shared" si="12"/>
        <v>0</v>
      </c>
      <c r="AM29" s="283">
        <f>'Beta Calc'!Q26</f>
        <v>0</v>
      </c>
      <c r="AN29" s="378">
        <f t="shared" si="13"/>
        <v>0</v>
      </c>
      <c r="AP29" s="557" t="str">
        <f>IF('MASTER PubCo Inputs'!C44="","",'MASTER PubCo Inputs'!C44)</f>
        <v>(Invalid Identifier)</v>
      </c>
      <c r="AQ29" s="1183">
        <f>'Comp.1'!AL28</f>
        <v>0</v>
      </c>
    </row>
    <row r="30" spans="2:43" ht="14.85" customHeight="1">
      <c r="B30" s="208">
        <f>'Comp.1'!B29</f>
        <v>0</v>
      </c>
      <c r="C30" s="378">
        <f t="shared" si="0"/>
        <v>0</v>
      </c>
      <c r="E30" s="554" t="str">
        <f t="shared" si="1"/>
        <v>n/a</v>
      </c>
      <c r="F30" s="554" t="str">
        <f t="shared" si="2"/>
        <v>n/a</v>
      </c>
      <c r="G30" s="554" t="str">
        <f t="shared" si="3"/>
        <v>n/a</v>
      </c>
      <c r="H30" s="283"/>
      <c r="I30" s="554" t="str">
        <f t="shared" si="4"/>
        <v>n/a</v>
      </c>
      <c r="J30" s="554" t="str">
        <f t="shared" si="5"/>
        <v>n/a</v>
      </c>
      <c r="L30" s="554" t="str">
        <f t="shared" si="6"/>
        <v>n/a</v>
      </c>
      <c r="M30" s="554" t="str">
        <f t="shared" si="7"/>
        <v>n/a</v>
      </c>
      <c r="N30" s="554" t="str">
        <f t="shared" si="8"/>
        <v>n/a</v>
      </c>
      <c r="P30" s="554" t="str">
        <f t="shared" si="9"/>
        <v>n/a</v>
      </c>
      <c r="Q30" s="554" t="str">
        <f t="shared" si="10"/>
        <v>n/a</v>
      </c>
      <c r="S30" s="1209" t="str">
        <f>'Capital IQ Sheet-GPC'!AU30</f>
        <v xml:space="preserve"> (Invalid Identifier) </v>
      </c>
      <c r="T30" s="1209" t="str">
        <f>'Capital IQ Sheet-GPC'!AV30</f>
        <v xml:space="preserve"> (Invalid Identifier) </v>
      </c>
      <c r="U30" s="1209" t="str">
        <f>'Capital IQ Sheet-GPC'!AW30</f>
        <v xml:space="preserve"> (Invalid Identifier) </v>
      </c>
      <c r="V30" s="1209"/>
      <c r="W30" s="1209" t="str">
        <f>'Capital IQ Sheet-GPC'!AX30</f>
        <v xml:space="preserve"> (Invalid Identifier) </v>
      </c>
      <c r="X30" s="1209" t="str">
        <f>'Capital IQ Sheet-GPC'!AY30</f>
        <v xml:space="preserve"> (Invalid Identifier) </v>
      </c>
      <c r="Z30" s="1209" t="str">
        <f>'Capital IQ Sheet-GPC'!AZ30</f>
        <v xml:space="preserve"> (Invalid Identifier) </v>
      </c>
      <c r="AA30" s="1209" t="str">
        <f>'Capital IQ Sheet-GPC'!BA30</f>
        <v xml:space="preserve"> (Invalid Identifier) </v>
      </c>
      <c r="AB30" s="1209" t="str">
        <f>'Capital IQ Sheet-GPC'!BB30</f>
        <v xml:space="preserve"> (Invalid Identifier) </v>
      </c>
      <c r="AD30" s="1209" t="str">
        <f>'Capital IQ Sheet-GPC'!BC30</f>
        <v xml:space="preserve"> (Invalid Identifier) </v>
      </c>
      <c r="AE30" s="1209" t="str">
        <f>'Capital IQ Sheet-GPC'!BD30</f>
        <v xml:space="preserve"> (Invalid Identifier) </v>
      </c>
      <c r="AG30" s="283">
        <f>'Beta Calc'!K27</f>
        <v>0</v>
      </c>
      <c r="AH30" s="283">
        <f>'Beta Calc'!L27</f>
        <v>0</v>
      </c>
      <c r="AI30" s="283">
        <f>'Beta Calc'!M27</f>
        <v>0</v>
      </c>
      <c r="AJ30" s="283">
        <f>'Beta Calc'!N27</f>
        <v>0</v>
      </c>
      <c r="AK30" s="283">
        <f t="shared" si="11"/>
        <v>0</v>
      </c>
      <c r="AL30" s="283">
        <f t="shared" si="12"/>
        <v>0</v>
      </c>
      <c r="AM30" s="283">
        <f>'Beta Calc'!Q27</f>
        <v>0</v>
      </c>
      <c r="AN30" s="378">
        <f t="shared" si="13"/>
        <v>0</v>
      </c>
      <c r="AP30" s="557" t="str">
        <f>IF('MASTER PubCo Inputs'!C45="","",'MASTER PubCo Inputs'!C45)</f>
        <v>(Invalid Identifier)</v>
      </c>
      <c r="AQ30" s="1183">
        <f>'Comp.1'!AL29</f>
        <v>0</v>
      </c>
    </row>
    <row r="31" spans="2:43" ht="14.85" customHeight="1">
      <c r="B31" s="208">
        <f>'Comp.1'!B30</f>
        <v>0</v>
      </c>
      <c r="C31" s="378">
        <f t="shared" si="0"/>
        <v>0</v>
      </c>
      <c r="E31" s="554" t="str">
        <f t="shared" si="1"/>
        <v>n/a</v>
      </c>
      <c r="F31" s="554" t="str">
        <f t="shared" si="2"/>
        <v>n/a</v>
      </c>
      <c r="G31" s="554" t="str">
        <f t="shared" si="3"/>
        <v>n/a</v>
      </c>
      <c r="H31" s="283"/>
      <c r="I31" s="554" t="str">
        <f t="shared" si="4"/>
        <v>n/a</v>
      </c>
      <c r="J31" s="554" t="str">
        <f t="shared" si="5"/>
        <v>n/a</v>
      </c>
      <c r="L31" s="554" t="str">
        <f t="shared" si="6"/>
        <v>n/a</v>
      </c>
      <c r="M31" s="554" t="str">
        <f t="shared" si="7"/>
        <v>n/a</v>
      </c>
      <c r="N31" s="554" t="str">
        <f t="shared" si="8"/>
        <v>n/a</v>
      </c>
      <c r="P31" s="554" t="str">
        <f t="shared" si="9"/>
        <v>n/a</v>
      </c>
      <c r="Q31" s="554" t="str">
        <f t="shared" si="10"/>
        <v>n/a</v>
      </c>
      <c r="S31" s="1209" t="str">
        <f>'Capital IQ Sheet-GPC'!AU31</f>
        <v xml:space="preserve"> (Invalid Identifier) </v>
      </c>
      <c r="T31" s="1209" t="str">
        <f>'Capital IQ Sheet-GPC'!AV31</f>
        <v xml:space="preserve"> (Invalid Identifier) </v>
      </c>
      <c r="U31" s="1209" t="str">
        <f>'Capital IQ Sheet-GPC'!AW31</f>
        <v xml:space="preserve"> (Invalid Identifier) </v>
      </c>
      <c r="V31" s="1209"/>
      <c r="W31" s="1209" t="str">
        <f>'Capital IQ Sheet-GPC'!AX31</f>
        <v xml:space="preserve"> (Invalid Identifier) </v>
      </c>
      <c r="X31" s="1209" t="str">
        <f>'Capital IQ Sheet-GPC'!AY31</f>
        <v xml:space="preserve"> (Invalid Identifier) </v>
      </c>
      <c r="Z31" s="1209" t="str">
        <f>'Capital IQ Sheet-GPC'!AZ31</f>
        <v xml:space="preserve"> (Invalid Identifier) </v>
      </c>
      <c r="AA31" s="1209" t="str">
        <f>'Capital IQ Sheet-GPC'!BA31</f>
        <v xml:space="preserve"> (Invalid Identifier) </v>
      </c>
      <c r="AB31" s="1209" t="str">
        <f>'Capital IQ Sheet-GPC'!BB31</f>
        <v xml:space="preserve"> (Invalid Identifier) </v>
      </c>
      <c r="AD31" s="1209" t="str">
        <f>'Capital IQ Sheet-GPC'!BC31</f>
        <v xml:space="preserve"> (Invalid Identifier) </v>
      </c>
      <c r="AE31" s="1209" t="str">
        <f>'Capital IQ Sheet-GPC'!BD31</f>
        <v xml:space="preserve"> (Invalid Identifier) </v>
      </c>
      <c r="AG31" s="283">
        <f>'Beta Calc'!K28</f>
        <v>0</v>
      </c>
      <c r="AH31" s="283">
        <f>'Beta Calc'!L28</f>
        <v>0</v>
      </c>
      <c r="AI31" s="283">
        <f>'Beta Calc'!M28</f>
        <v>0</v>
      </c>
      <c r="AJ31" s="283">
        <f>'Beta Calc'!N28</f>
        <v>0</v>
      </c>
      <c r="AK31" s="283">
        <f t="shared" si="11"/>
        <v>0</v>
      </c>
      <c r="AL31" s="283">
        <f t="shared" si="12"/>
        <v>0</v>
      </c>
      <c r="AM31" s="283">
        <f>'Beta Calc'!Q28</f>
        <v>0</v>
      </c>
      <c r="AN31" s="378">
        <f t="shared" si="13"/>
        <v>0</v>
      </c>
      <c r="AP31" s="557" t="str">
        <f>IF('MASTER PubCo Inputs'!C46="","",'MASTER PubCo Inputs'!C46)</f>
        <v>(Invalid Identifier)</v>
      </c>
      <c r="AQ31" s="1183">
        <f>'Comp.1'!AL30</f>
        <v>0</v>
      </c>
    </row>
    <row r="32" spans="2:43" ht="14.85" customHeight="1">
      <c r="B32" s="208">
        <f>'Comp.1'!B31</f>
        <v>0</v>
      </c>
      <c r="C32" s="378">
        <f t="shared" si="0"/>
        <v>0</v>
      </c>
      <c r="E32" s="554" t="str">
        <f t="shared" si="1"/>
        <v>n/a</v>
      </c>
      <c r="F32" s="554" t="str">
        <f t="shared" si="2"/>
        <v>n/a</v>
      </c>
      <c r="G32" s="554" t="str">
        <f t="shared" si="3"/>
        <v>n/a</v>
      </c>
      <c r="H32" s="283"/>
      <c r="I32" s="554" t="str">
        <f t="shared" si="4"/>
        <v>n/a</v>
      </c>
      <c r="J32" s="554" t="str">
        <f t="shared" si="5"/>
        <v>n/a</v>
      </c>
      <c r="L32" s="554" t="str">
        <f t="shared" si="6"/>
        <v>n/a</v>
      </c>
      <c r="M32" s="554" t="str">
        <f t="shared" si="7"/>
        <v>n/a</v>
      </c>
      <c r="N32" s="554" t="str">
        <f t="shared" si="8"/>
        <v>n/a</v>
      </c>
      <c r="P32" s="554" t="str">
        <f t="shared" si="9"/>
        <v>n/a</v>
      </c>
      <c r="Q32" s="554" t="str">
        <f t="shared" si="10"/>
        <v>n/a</v>
      </c>
      <c r="S32" s="1209" t="str">
        <f>'Capital IQ Sheet-GPC'!AU32</f>
        <v xml:space="preserve"> (Invalid Identifier) </v>
      </c>
      <c r="T32" s="1209" t="str">
        <f>'Capital IQ Sheet-GPC'!AV32</f>
        <v xml:space="preserve"> (Invalid Identifier) </v>
      </c>
      <c r="U32" s="1209" t="str">
        <f>'Capital IQ Sheet-GPC'!AW32</f>
        <v xml:space="preserve"> (Invalid Identifier) </v>
      </c>
      <c r="V32" s="1209"/>
      <c r="W32" s="1209" t="str">
        <f>'Capital IQ Sheet-GPC'!AX32</f>
        <v xml:space="preserve"> (Invalid Identifier) </v>
      </c>
      <c r="X32" s="1209" t="str">
        <f>'Capital IQ Sheet-GPC'!AY32</f>
        <v xml:space="preserve"> (Invalid Identifier) </v>
      </c>
      <c r="Z32" s="1209" t="str">
        <f>'Capital IQ Sheet-GPC'!AZ32</f>
        <v xml:space="preserve"> (Invalid Identifier) </v>
      </c>
      <c r="AA32" s="1209" t="str">
        <f>'Capital IQ Sheet-GPC'!BA32</f>
        <v xml:space="preserve"> (Invalid Identifier) </v>
      </c>
      <c r="AB32" s="1209" t="str">
        <f>'Capital IQ Sheet-GPC'!BB32</f>
        <v xml:space="preserve"> (Invalid Identifier) </v>
      </c>
      <c r="AD32" s="1209" t="str">
        <f>'Capital IQ Sheet-GPC'!BC32</f>
        <v xml:space="preserve"> (Invalid Identifier) </v>
      </c>
      <c r="AE32" s="1209" t="str">
        <f>'Capital IQ Sheet-GPC'!BD32</f>
        <v xml:space="preserve"> (Invalid Identifier) </v>
      </c>
      <c r="AG32" s="283">
        <f>'Beta Calc'!K29</f>
        <v>0</v>
      </c>
      <c r="AH32" s="283">
        <f>'Beta Calc'!L29</f>
        <v>0</v>
      </c>
      <c r="AI32" s="283">
        <f>'Beta Calc'!M29</f>
        <v>0</v>
      </c>
      <c r="AJ32" s="283">
        <f>'Beta Calc'!N29</f>
        <v>0</v>
      </c>
      <c r="AK32" s="283">
        <f t="shared" si="11"/>
        <v>0</v>
      </c>
      <c r="AL32" s="283">
        <f t="shared" si="12"/>
        <v>0</v>
      </c>
      <c r="AM32" s="283">
        <f>'Beta Calc'!Q29</f>
        <v>0</v>
      </c>
      <c r="AN32" s="378">
        <f t="shared" si="13"/>
        <v>0</v>
      </c>
      <c r="AP32" s="557" t="str">
        <f>IF('MASTER PubCo Inputs'!C47="","",'MASTER PubCo Inputs'!C47)</f>
        <v>(Invalid Identifier)</v>
      </c>
      <c r="AQ32" s="1183">
        <f>'Comp.1'!AL31</f>
        <v>0</v>
      </c>
    </row>
    <row r="33" spans="2:43" ht="14.85" customHeight="1">
      <c r="B33" s="208">
        <f>'Comp.1'!B32</f>
        <v>0</v>
      </c>
      <c r="C33" s="378">
        <f t="shared" si="0"/>
        <v>0</v>
      </c>
      <c r="E33" s="554" t="str">
        <f t="shared" si="1"/>
        <v>n/a</v>
      </c>
      <c r="F33" s="554" t="str">
        <f t="shared" si="2"/>
        <v>n/a</v>
      </c>
      <c r="G33" s="554" t="str">
        <f t="shared" si="3"/>
        <v>n/a</v>
      </c>
      <c r="H33" s="283"/>
      <c r="I33" s="554" t="str">
        <f t="shared" si="4"/>
        <v>n/a</v>
      </c>
      <c r="J33" s="554" t="str">
        <f t="shared" si="5"/>
        <v>n/a</v>
      </c>
      <c r="L33" s="554" t="str">
        <f t="shared" si="6"/>
        <v>n/a</v>
      </c>
      <c r="M33" s="554" t="str">
        <f t="shared" si="7"/>
        <v>n/a</v>
      </c>
      <c r="N33" s="554" t="str">
        <f t="shared" si="8"/>
        <v>n/a</v>
      </c>
      <c r="P33" s="554" t="str">
        <f t="shared" si="9"/>
        <v>n/a</v>
      </c>
      <c r="Q33" s="554" t="str">
        <f t="shared" si="10"/>
        <v>n/a</v>
      </c>
      <c r="S33" s="1209" t="str">
        <f>'Capital IQ Sheet-GPC'!AU33</f>
        <v xml:space="preserve"> (Invalid Identifier) </v>
      </c>
      <c r="T33" s="1209" t="str">
        <f>'Capital IQ Sheet-GPC'!AV33</f>
        <v xml:space="preserve"> (Invalid Identifier) </v>
      </c>
      <c r="U33" s="1209" t="str">
        <f>'Capital IQ Sheet-GPC'!AW33</f>
        <v xml:space="preserve"> (Invalid Identifier) </v>
      </c>
      <c r="V33" s="1209"/>
      <c r="W33" s="1209" t="str">
        <f>'Capital IQ Sheet-GPC'!AX33</f>
        <v xml:space="preserve"> (Invalid Identifier) </v>
      </c>
      <c r="X33" s="1209" t="str">
        <f>'Capital IQ Sheet-GPC'!AY33</f>
        <v xml:space="preserve"> (Invalid Identifier) </v>
      </c>
      <c r="Z33" s="1209" t="str">
        <f>'Capital IQ Sheet-GPC'!AZ33</f>
        <v xml:space="preserve"> (Invalid Identifier) </v>
      </c>
      <c r="AA33" s="1209" t="str">
        <f>'Capital IQ Sheet-GPC'!BA33</f>
        <v xml:space="preserve"> (Invalid Identifier) </v>
      </c>
      <c r="AB33" s="1209" t="str">
        <f>'Capital IQ Sheet-GPC'!BB33</f>
        <v xml:space="preserve"> (Invalid Identifier) </v>
      </c>
      <c r="AD33" s="1209" t="str">
        <f>'Capital IQ Sheet-GPC'!BC33</f>
        <v xml:space="preserve"> (Invalid Identifier) </v>
      </c>
      <c r="AE33" s="1209" t="str">
        <f>'Capital IQ Sheet-GPC'!BD33</f>
        <v xml:space="preserve"> (Invalid Identifier) </v>
      </c>
      <c r="AG33" s="283">
        <f>'Beta Calc'!K30</f>
        <v>0</v>
      </c>
      <c r="AH33" s="283">
        <f>'Beta Calc'!L30</f>
        <v>0</v>
      </c>
      <c r="AI33" s="283">
        <f>'Beta Calc'!M30</f>
        <v>0</v>
      </c>
      <c r="AJ33" s="283">
        <f>'Beta Calc'!N30</f>
        <v>0</v>
      </c>
      <c r="AK33" s="283">
        <f t="shared" si="11"/>
        <v>0</v>
      </c>
      <c r="AL33" s="283">
        <f t="shared" si="12"/>
        <v>0</v>
      </c>
      <c r="AM33" s="283">
        <f>'Beta Calc'!Q30</f>
        <v>0</v>
      </c>
      <c r="AN33" s="378">
        <f t="shared" si="13"/>
        <v>0</v>
      </c>
      <c r="AP33" s="557" t="str">
        <f>IF('MASTER PubCo Inputs'!C48="","",'MASTER PubCo Inputs'!C48)</f>
        <v>(Invalid Identifier)</v>
      </c>
      <c r="AQ33" s="1183">
        <f>'Comp.1'!AL32</f>
        <v>0</v>
      </c>
    </row>
    <row r="34" spans="2:43" ht="14.85" customHeight="1">
      <c r="B34" s="208">
        <f>'Comp.1'!B33</f>
        <v>0</v>
      </c>
      <c r="C34" s="378">
        <f t="shared" si="0"/>
        <v>0</v>
      </c>
      <c r="E34" s="554" t="str">
        <f t="shared" si="1"/>
        <v>n/a</v>
      </c>
      <c r="F34" s="554" t="str">
        <f t="shared" si="2"/>
        <v>n/a</v>
      </c>
      <c r="G34" s="554" t="str">
        <f t="shared" si="3"/>
        <v>n/a</v>
      </c>
      <c r="H34" s="283"/>
      <c r="I34" s="554" t="str">
        <f t="shared" si="4"/>
        <v>n/a</v>
      </c>
      <c r="J34" s="554" t="str">
        <f t="shared" si="5"/>
        <v>n/a</v>
      </c>
      <c r="L34" s="554" t="str">
        <f t="shared" si="6"/>
        <v>n/a</v>
      </c>
      <c r="M34" s="554" t="str">
        <f t="shared" si="7"/>
        <v>n/a</v>
      </c>
      <c r="N34" s="554" t="str">
        <f t="shared" si="8"/>
        <v>n/a</v>
      </c>
      <c r="P34" s="554" t="str">
        <f t="shared" si="9"/>
        <v>n/a</v>
      </c>
      <c r="Q34" s="554" t="str">
        <f t="shared" si="10"/>
        <v>n/a</v>
      </c>
      <c r="S34" s="1209" t="str">
        <f>'Capital IQ Sheet-GPC'!AU34</f>
        <v xml:space="preserve"> (Invalid Identifier) </v>
      </c>
      <c r="T34" s="1209" t="str">
        <f>'Capital IQ Sheet-GPC'!AV34</f>
        <v xml:space="preserve"> (Invalid Identifier) </v>
      </c>
      <c r="U34" s="1209" t="str">
        <f>'Capital IQ Sheet-GPC'!AW34</f>
        <v xml:space="preserve"> (Invalid Identifier) </v>
      </c>
      <c r="V34" s="1209"/>
      <c r="W34" s="1209" t="str">
        <f>'Capital IQ Sheet-GPC'!AX34</f>
        <v xml:space="preserve"> (Invalid Identifier) </v>
      </c>
      <c r="X34" s="1209" t="str">
        <f>'Capital IQ Sheet-GPC'!AY34</f>
        <v xml:space="preserve"> (Invalid Identifier) </v>
      </c>
      <c r="Z34" s="1209" t="str">
        <f>'Capital IQ Sheet-GPC'!AZ34</f>
        <v xml:space="preserve"> (Invalid Identifier) </v>
      </c>
      <c r="AA34" s="1209" t="str">
        <f>'Capital IQ Sheet-GPC'!BA34</f>
        <v xml:space="preserve"> (Invalid Identifier) </v>
      </c>
      <c r="AB34" s="1209" t="str">
        <f>'Capital IQ Sheet-GPC'!BB34</f>
        <v xml:space="preserve"> (Invalid Identifier) </v>
      </c>
      <c r="AD34" s="1209" t="str">
        <f>'Capital IQ Sheet-GPC'!BC34</f>
        <v xml:space="preserve"> (Invalid Identifier) </v>
      </c>
      <c r="AE34" s="1209" t="str">
        <f>'Capital IQ Sheet-GPC'!BD34</f>
        <v xml:space="preserve"> (Invalid Identifier) </v>
      </c>
      <c r="AG34" s="283">
        <f>'Beta Calc'!K31</f>
        <v>0</v>
      </c>
      <c r="AH34" s="283">
        <f>'Beta Calc'!L31</f>
        <v>0</v>
      </c>
      <c r="AI34" s="283">
        <f>'Beta Calc'!M31</f>
        <v>0</v>
      </c>
      <c r="AJ34" s="283">
        <f>'Beta Calc'!N31</f>
        <v>0</v>
      </c>
      <c r="AK34" s="283">
        <f t="shared" si="11"/>
        <v>0</v>
      </c>
      <c r="AL34" s="283">
        <f t="shared" si="12"/>
        <v>0</v>
      </c>
      <c r="AM34" s="283">
        <f>'Beta Calc'!Q31</f>
        <v>0</v>
      </c>
      <c r="AN34" s="378">
        <f t="shared" si="13"/>
        <v>0</v>
      </c>
      <c r="AP34" s="557" t="str">
        <f>IF('MASTER PubCo Inputs'!C49="","",'MASTER PubCo Inputs'!C49)</f>
        <v>(Invalid Identifier)</v>
      </c>
      <c r="AQ34" s="1183">
        <f>'Comp.1'!AL33</f>
        <v>0</v>
      </c>
    </row>
    <row r="35" spans="2:43" ht="14.85" customHeight="1">
      <c r="B35" s="208">
        <f>'Comp.1'!B34</f>
        <v>0</v>
      </c>
      <c r="C35" s="378">
        <f t="shared" si="0"/>
        <v>0</v>
      </c>
      <c r="E35" s="554" t="str">
        <f t="shared" si="1"/>
        <v>n/a</v>
      </c>
      <c r="F35" s="554" t="str">
        <f t="shared" si="2"/>
        <v>n/a</v>
      </c>
      <c r="G35" s="554" t="str">
        <f t="shared" si="3"/>
        <v>n/a</v>
      </c>
      <c r="H35" s="283"/>
      <c r="I35" s="554" t="str">
        <f t="shared" si="4"/>
        <v>n/a</v>
      </c>
      <c r="J35" s="554" t="str">
        <f t="shared" si="5"/>
        <v>n/a</v>
      </c>
      <c r="L35" s="554" t="str">
        <f t="shared" si="6"/>
        <v>n/a</v>
      </c>
      <c r="M35" s="554" t="str">
        <f t="shared" si="7"/>
        <v>n/a</v>
      </c>
      <c r="N35" s="554" t="str">
        <f t="shared" si="8"/>
        <v>n/a</v>
      </c>
      <c r="P35" s="554" t="str">
        <f t="shared" si="9"/>
        <v>n/a</v>
      </c>
      <c r="Q35" s="554" t="str">
        <f t="shared" si="10"/>
        <v>n/a</v>
      </c>
      <c r="S35" s="1209" t="str">
        <f>'Capital IQ Sheet-GPC'!AU35</f>
        <v xml:space="preserve"> (Invalid Identifier) </v>
      </c>
      <c r="T35" s="1209" t="str">
        <f>'Capital IQ Sheet-GPC'!AV35</f>
        <v xml:space="preserve"> (Invalid Identifier) </v>
      </c>
      <c r="U35" s="1209" t="str">
        <f>'Capital IQ Sheet-GPC'!AW35</f>
        <v xml:space="preserve"> (Invalid Identifier) </v>
      </c>
      <c r="V35" s="1209"/>
      <c r="W35" s="1209" t="str">
        <f>'Capital IQ Sheet-GPC'!AX35</f>
        <v xml:space="preserve"> (Invalid Identifier) </v>
      </c>
      <c r="X35" s="1209" t="str">
        <f>'Capital IQ Sheet-GPC'!AY35</f>
        <v xml:space="preserve"> (Invalid Identifier) </v>
      </c>
      <c r="Z35" s="1209" t="str">
        <f>'Capital IQ Sheet-GPC'!AZ35</f>
        <v xml:space="preserve"> (Invalid Identifier) </v>
      </c>
      <c r="AA35" s="1209" t="str">
        <f>'Capital IQ Sheet-GPC'!BA35</f>
        <v xml:space="preserve"> (Invalid Identifier) </v>
      </c>
      <c r="AB35" s="1209" t="str">
        <f>'Capital IQ Sheet-GPC'!BB35</f>
        <v xml:space="preserve"> (Invalid Identifier) </v>
      </c>
      <c r="AD35" s="1209" t="str">
        <f>'Capital IQ Sheet-GPC'!BC35</f>
        <v xml:space="preserve"> (Invalid Identifier) </v>
      </c>
      <c r="AE35" s="1209" t="str">
        <f>'Capital IQ Sheet-GPC'!BD35</f>
        <v xml:space="preserve"> (Invalid Identifier) </v>
      </c>
      <c r="AG35" s="283">
        <f>'Beta Calc'!K32</f>
        <v>0</v>
      </c>
      <c r="AH35" s="283">
        <f>'Beta Calc'!L32</f>
        <v>0</v>
      </c>
      <c r="AI35" s="283">
        <f>'Beta Calc'!M32</f>
        <v>0</v>
      </c>
      <c r="AJ35" s="283">
        <f>'Beta Calc'!N32</f>
        <v>0</v>
      </c>
      <c r="AK35" s="283">
        <f t="shared" si="11"/>
        <v>0</v>
      </c>
      <c r="AL35" s="283">
        <f t="shared" si="12"/>
        <v>0</v>
      </c>
      <c r="AM35" s="283">
        <f>'Beta Calc'!Q32</f>
        <v>0</v>
      </c>
      <c r="AN35" s="378">
        <f t="shared" si="13"/>
        <v>0</v>
      </c>
      <c r="AP35" s="557" t="str">
        <f>IF('MASTER PubCo Inputs'!C50="","",'MASTER PubCo Inputs'!C50)</f>
        <v>(Invalid Identifier)</v>
      </c>
      <c r="AQ35" s="1183">
        <f>'Comp.1'!AL34</f>
        <v>0</v>
      </c>
    </row>
    <row r="36" spans="2:43" ht="14.85" customHeight="1">
      <c r="B36" s="208">
        <f>'Comp.1'!B35</f>
        <v>0</v>
      </c>
      <c r="C36" s="378">
        <f t="shared" si="0"/>
        <v>0</v>
      </c>
      <c r="E36" s="554" t="str">
        <f t="shared" si="1"/>
        <v>n/a</v>
      </c>
      <c r="F36" s="554" t="str">
        <f t="shared" si="2"/>
        <v>n/a</v>
      </c>
      <c r="G36" s="554" t="str">
        <f t="shared" si="3"/>
        <v>n/a</v>
      </c>
      <c r="H36" s="283"/>
      <c r="I36" s="554" t="str">
        <f t="shared" si="4"/>
        <v>n/a</v>
      </c>
      <c r="J36" s="554" t="str">
        <f t="shared" si="5"/>
        <v>n/a</v>
      </c>
      <c r="L36" s="554" t="str">
        <f t="shared" si="6"/>
        <v>n/a</v>
      </c>
      <c r="M36" s="554" t="str">
        <f t="shared" si="7"/>
        <v>n/a</v>
      </c>
      <c r="N36" s="554" t="str">
        <f t="shared" si="8"/>
        <v>n/a</v>
      </c>
      <c r="P36" s="554" t="str">
        <f t="shared" si="9"/>
        <v>n/a</v>
      </c>
      <c r="Q36" s="554" t="str">
        <f t="shared" si="10"/>
        <v>n/a</v>
      </c>
      <c r="S36" s="1209" t="str">
        <f>'Capital IQ Sheet-GPC'!AU36</f>
        <v xml:space="preserve"> (Invalid Identifier) </v>
      </c>
      <c r="T36" s="1209" t="str">
        <f>'Capital IQ Sheet-GPC'!AV36</f>
        <v xml:space="preserve"> (Invalid Identifier) </v>
      </c>
      <c r="U36" s="1209" t="str">
        <f>'Capital IQ Sheet-GPC'!AW36</f>
        <v xml:space="preserve"> (Invalid Identifier) </v>
      </c>
      <c r="V36" s="1209"/>
      <c r="W36" s="1209" t="str">
        <f>'Capital IQ Sheet-GPC'!AX36</f>
        <v xml:space="preserve"> (Invalid Identifier) </v>
      </c>
      <c r="X36" s="1209" t="str">
        <f>'Capital IQ Sheet-GPC'!AY36</f>
        <v xml:space="preserve"> (Invalid Identifier) </v>
      </c>
      <c r="Z36" s="1209" t="str">
        <f>'Capital IQ Sheet-GPC'!AZ36</f>
        <v xml:space="preserve"> (Invalid Identifier) </v>
      </c>
      <c r="AA36" s="1209" t="str">
        <f>'Capital IQ Sheet-GPC'!BA36</f>
        <v xml:space="preserve"> (Invalid Identifier) </v>
      </c>
      <c r="AB36" s="1209" t="str">
        <f>'Capital IQ Sheet-GPC'!BB36</f>
        <v xml:space="preserve"> (Invalid Identifier) </v>
      </c>
      <c r="AD36" s="1209" t="str">
        <f>'Capital IQ Sheet-GPC'!BC36</f>
        <v xml:space="preserve"> (Invalid Identifier) </v>
      </c>
      <c r="AE36" s="1209" t="str">
        <f>'Capital IQ Sheet-GPC'!BD36</f>
        <v xml:space="preserve"> (Invalid Identifier) </v>
      </c>
      <c r="AG36" s="283">
        <f>'Beta Calc'!K33</f>
        <v>0</v>
      </c>
      <c r="AH36" s="283">
        <f>'Beta Calc'!L33</f>
        <v>0</v>
      </c>
      <c r="AI36" s="283">
        <f>'Beta Calc'!M33</f>
        <v>0</v>
      </c>
      <c r="AJ36" s="283">
        <f>'Beta Calc'!N33</f>
        <v>0</v>
      </c>
      <c r="AK36" s="283">
        <f t="shared" si="11"/>
        <v>0</v>
      </c>
      <c r="AL36" s="283">
        <f t="shared" si="12"/>
        <v>0</v>
      </c>
      <c r="AM36" s="283">
        <f>'Beta Calc'!Q33</f>
        <v>0</v>
      </c>
      <c r="AN36" s="378">
        <f t="shared" si="13"/>
        <v>0</v>
      </c>
      <c r="AP36" s="557" t="str">
        <f>IF('MASTER PubCo Inputs'!C51="","",'MASTER PubCo Inputs'!C51)</f>
        <v>(Invalid Identifier)</v>
      </c>
      <c r="AQ36" s="1183">
        <f>'Comp.1'!AL35</f>
        <v>0</v>
      </c>
    </row>
    <row r="37" spans="2:43" ht="14.85" customHeight="1">
      <c r="B37" s="208">
        <f>'Comp.1'!B36</f>
        <v>0</v>
      </c>
      <c r="C37" s="378">
        <f t="shared" si="0"/>
        <v>0</v>
      </c>
      <c r="E37" s="554" t="str">
        <f t="shared" si="1"/>
        <v>n/a</v>
      </c>
      <c r="F37" s="554" t="str">
        <f t="shared" si="2"/>
        <v>n/a</v>
      </c>
      <c r="G37" s="554" t="str">
        <f t="shared" si="3"/>
        <v>n/a</v>
      </c>
      <c r="H37" s="283"/>
      <c r="I37" s="554" t="str">
        <f t="shared" si="4"/>
        <v>n/a</v>
      </c>
      <c r="J37" s="554" t="str">
        <f t="shared" si="5"/>
        <v>n/a</v>
      </c>
      <c r="L37" s="554" t="str">
        <f t="shared" si="6"/>
        <v>n/a</v>
      </c>
      <c r="M37" s="554" t="str">
        <f t="shared" si="7"/>
        <v>n/a</v>
      </c>
      <c r="N37" s="554" t="str">
        <f t="shared" si="8"/>
        <v>n/a</v>
      </c>
      <c r="P37" s="554" t="str">
        <f t="shared" si="9"/>
        <v>n/a</v>
      </c>
      <c r="Q37" s="554" t="str">
        <f t="shared" si="10"/>
        <v>n/a</v>
      </c>
      <c r="S37" s="1209" t="str">
        <f>'Capital IQ Sheet-GPC'!AU37</f>
        <v xml:space="preserve"> (Invalid Identifier) </v>
      </c>
      <c r="T37" s="1209" t="str">
        <f>'Capital IQ Sheet-GPC'!AV37</f>
        <v xml:space="preserve"> (Invalid Identifier) </v>
      </c>
      <c r="U37" s="1209" t="str">
        <f>'Capital IQ Sheet-GPC'!AW37</f>
        <v xml:space="preserve"> (Invalid Identifier) </v>
      </c>
      <c r="V37" s="1209"/>
      <c r="W37" s="1209" t="str">
        <f>'Capital IQ Sheet-GPC'!AX37</f>
        <v xml:space="preserve"> (Invalid Identifier) </v>
      </c>
      <c r="X37" s="1209" t="str">
        <f>'Capital IQ Sheet-GPC'!AY37</f>
        <v xml:space="preserve"> (Invalid Identifier) </v>
      </c>
      <c r="Z37" s="1209" t="str">
        <f>'Capital IQ Sheet-GPC'!AZ37</f>
        <v xml:space="preserve"> (Invalid Identifier) </v>
      </c>
      <c r="AA37" s="1209" t="str">
        <f>'Capital IQ Sheet-GPC'!BA37</f>
        <v xml:space="preserve"> (Invalid Identifier) </v>
      </c>
      <c r="AB37" s="1209" t="str">
        <f>'Capital IQ Sheet-GPC'!BB37</f>
        <v xml:space="preserve"> (Invalid Identifier) </v>
      </c>
      <c r="AD37" s="1209" t="str">
        <f>'Capital IQ Sheet-GPC'!BC37</f>
        <v xml:space="preserve"> (Invalid Identifier) </v>
      </c>
      <c r="AE37" s="1209" t="str">
        <f>'Capital IQ Sheet-GPC'!BD37</f>
        <v xml:space="preserve"> (Invalid Identifier) </v>
      </c>
      <c r="AG37" s="283">
        <f>'Beta Calc'!K34</f>
        <v>0</v>
      </c>
      <c r="AH37" s="283">
        <f>'Beta Calc'!L34</f>
        <v>0</v>
      </c>
      <c r="AI37" s="283">
        <f>'Beta Calc'!M34</f>
        <v>0</v>
      </c>
      <c r="AJ37" s="283">
        <f>'Beta Calc'!N34</f>
        <v>0</v>
      </c>
      <c r="AK37" s="283">
        <f t="shared" si="11"/>
        <v>0</v>
      </c>
      <c r="AL37" s="283">
        <f t="shared" si="12"/>
        <v>0</v>
      </c>
      <c r="AM37" s="283">
        <f>'Beta Calc'!Q34</f>
        <v>0</v>
      </c>
      <c r="AN37" s="378">
        <f t="shared" si="13"/>
        <v>0</v>
      </c>
      <c r="AP37" s="557" t="str">
        <f>IF('MASTER PubCo Inputs'!C52="","",'MASTER PubCo Inputs'!C52)</f>
        <v>(Invalid Identifier)</v>
      </c>
      <c r="AQ37" s="1183">
        <f>'Comp.1'!AL36</f>
        <v>0</v>
      </c>
    </row>
    <row r="38" spans="2:43" ht="14.85" customHeight="1">
      <c r="B38" s="208">
        <f>'Comp.1'!B37</f>
        <v>0</v>
      </c>
      <c r="C38" s="378">
        <f t="shared" si="0"/>
        <v>0</v>
      </c>
      <c r="E38" s="554" t="str">
        <f t="shared" si="1"/>
        <v>n/a</v>
      </c>
      <c r="F38" s="554" t="str">
        <f t="shared" si="2"/>
        <v>n/a</v>
      </c>
      <c r="G38" s="554" t="str">
        <f t="shared" si="3"/>
        <v>n/a</v>
      </c>
      <c r="H38" s="283"/>
      <c r="I38" s="554" t="str">
        <f t="shared" si="4"/>
        <v>n/a</v>
      </c>
      <c r="J38" s="554" t="str">
        <f t="shared" si="5"/>
        <v>n/a</v>
      </c>
      <c r="L38" s="554" t="str">
        <f t="shared" si="6"/>
        <v>n/a</v>
      </c>
      <c r="M38" s="554" t="str">
        <f t="shared" si="7"/>
        <v>n/a</v>
      </c>
      <c r="N38" s="554" t="str">
        <f t="shared" si="8"/>
        <v>n/a</v>
      </c>
      <c r="P38" s="554" t="str">
        <f t="shared" si="9"/>
        <v>n/a</v>
      </c>
      <c r="Q38" s="554" t="str">
        <f t="shared" si="10"/>
        <v>n/a</v>
      </c>
      <c r="S38" s="1209" t="str">
        <f>'Capital IQ Sheet-GPC'!AU38</f>
        <v xml:space="preserve"> (Invalid Identifier) </v>
      </c>
      <c r="T38" s="1209" t="str">
        <f>'Capital IQ Sheet-GPC'!AV38</f>
        <v xml:space="preserve"> (Invalid Identifier) </v>
      </c>
      <c r="U38" s="1209" t="str">
        <f>'Capital IQ Sheet-GPC'!AW38</f>
        <v xml:space="preserve"> (Invalid Identifier) </v>
      </c>
      <c r="V38" s="1209"/>
      <c r="W38" s="1209" t="str">
        <f>'Capital IQ Sheet-GPC'!AX38</f>
        <v xml:space="preserve"> (Invalid Identifier) </v>
      </c>
      <c r="X38" s="1209" t="str">
        <f>'Capital IQ Sheet-GPC'!AY38</f>
        <v xml:space="preserve"> (Invalid Identifier) </v>
      </c>
      <c r="Z38" s="1209" t="str">
        <f>'Capital IQ Sheet-GPC'!AZ38</f>
        <v xml:space="preserve"> (Invalid Identifier) </v>
      </c>
      <c r="AA38" s="1209" t="str">
        <f>'Capital IQ Sheet-GPC'!BA38</f>
        <v xml:space="preserve"> (Invalid Identifier) </v>
      </c>
      <c r="AB38" s="1209" t="str">
        <f>'Capital IQ Sheet-GPC'!BB38</f>
        <v xml:space="preserve"> (Invalid Identifier) </v>
      </c>
      <c r="AD38" s="1209" t="str">
        <f>'Capital IQ Sheet-GPC'!BC38</f>
        <v xml:space="preserve"> (Invalid Identifier) </v>
      </c>
      <c r="AE38" s="1209" t="str">
        <f>'Capital IQ Sheet-GPC'!BD38</f>
        <v xml:space="preserve"> (Invalid Identifier) </v>
      </c>
      <c r="AG38" s="283">
        <f>'Beta Calc'!K35</f>
        <v>0</v>
      </c>
      <c r="AH38" s="283">
        <f>'Beta Calc'!L35</f>
        <v>0</v>
      </c>
      <c r="AI38" s="283">
        <f>'Beta Calc'!M35</f>
        <v>0</v>
      </c>
      <c r="AJ38" s="283">
        <f>'Beta Calc'!N35</f>
        <v>0</v>
      </c>
      <c r="AK38" s="283">
        <f t="shared" si="11"/>
        <v>0</v>
      </c>
      <c r="AL38" s="283">
        <f t="shared" si="12"/>
        <v>0</v>
      </c>
      <c r="AM38" s="283">
        <f>'Beta Calc'!Q35</f>
        <v>0</v>
      </c>
      <c r="AN38" s="378">
        <f t="shared" si="13"/>
        <v>0</v>
      </c>
      <c r="AP38" s="557" t="str">
        <f>IF('MASTER PubCo Inputs'!C53="","",'MASTER PubCo Inputs'!C53)</f>
        <v>(Invalid Identifier)</v>
      </c>
      <c r="AQ38" s="1183">
        <f>'Comp.1'!AL37</f>
        <v>0</v>
      </c>
    </row>
    <row r="39" spans="2:43" ht="14.85" customHeight="1">
      <c r="B39" s="208">
        <f>'Comp.1'!B38</f>
        <v>0</v>
      </c>
      <c r="C39" s="378">
        <f t="shared" si="0"/>
        <v>0</v>
      </c>
      <c r="E39" s="554" t="str">
        <f t="shared" si="1"/>
        <v>n/a</v>
      </c>
      <c r="F39" s="554" t="str">
        <f t="shared" si="2"/>
        <v>n/a</v>
      </c>
      <c r="G39" s="554" t="str">
        <f t="shared" si="3"/>
        <v>n/a</v>
      </c>
      <c r="H39" s="283"/>
      <c r="I39" s="554" t="str">
        <f t="shared" si="4"/>
        <v>n/a</v>
      </c>
      <c r="J39" s="554" t="str">
        <f t="shared" si="5"/>
        <v>n/a</v>
      </c>
      <c r="L39" s="554" t="str">
        <f t="shared" si="6"/>
        <v>n/a</v>
      </c>
      <c r="M39" s="554" t="str">
        <f t="shared" si="7"/>
        <v>n/a</v>
      </c>
      <c r="N39" s="554" t="str">
        <f t="shared" si="8"/>
        <v>n/a</v>
      </c>
      <c r="P39" s="554" t="str">
        <f t="shared" si="9"/>
        <v>n/a</v>
      </c>
      <c r="Q39" s="554" t="str">
        <f t="shared" si="10"/>
        <v>n/a</v>
      </c>
      <c r="S39" s="1209" t="str">
        <f>'Capital IQ Sheet-GPC'!AU39</f>
        <v xml:space="preserve"> (Invalid Identifier) </v>
      </c>
      <c r="T39" s="1209" t="str">
        <f>'Capital IQ Sheet-GPC'!AV39</f>
        <v xml:space="preserve"> (Invalid Identifier) </v>
      </c>
      <c r="U39" s="1209" t="str">
        <f>'Capital IQ Sheet-GPC'!AW39</f>
        <v xml:space="preserve"> (Invalid Identifier) </v>
      </c>
      <c r="V39" s="1209"/>
      <c r="W39" s="1209" t="str">
        <f>'Capital IQ Sheet-GPC'!AX39</f>
        <v xml:space="preserve"> (Invalid Identifier) </v>
      </c>
      <c r="X39" s="1209" t="str">
        <f>'Capital IQ Sheet-GPC'!AY39</f>
        <v xml:space="preserve"> (Invalid Identifier) </v>
      </c>
      <c r="Z39" s="1209" t="str">
        <f>'Capital IQ Sheet-GPC'!AZ39</f>
        <v xml:space="preserve"> (Invalid Identifier) </v>
      </c>
      <c r="AA39" s="1209" t="str">
        <f>'Capital IQ Sheet-GPC'!BA39</f>
        <v xml:space="preserve"> (Invalid Identifier) </v>
      </c>
      <c r="AB39" s="1209" t="str">
        <f>'Capital IQ Sheet-GPC'!BB39</f>
        <v xml:space="preserve"> (Invalid Identifier) </v>
      </c>
      <c r="AD39" s="1209" t="str">
        <f>'Capital IQ Sheet-GPC'!BC39</f>
        <v xml:space="preserve"> (Invalid Identifier) </v>
      </c>
      <c r="AE39" s="1209" t="str">
        <f>'Capital IQ Sheet-GPC'!BD39</f>
        <v xml:space="preserve"> (Invalid Identifier) </v>
      </c>
      <c r="AG39" s="283">
        <f>'Beta Calc'!K36</f>
        <v>0</v>
      </c>
      <c r="AH39" s="283">
        <f>'Beta Calc'!L36</f>
        <v>0</v>
      </c>
      <c r="AI39" s="283">
        <f>'Beta Calc'!M36</f>
        <v>0</v>
      </c>
      <c r="AJ39" s="283">
        <f>'Beta Calc'!N36</f>
        <v>0</v>
      </c>
      <c r="AK39" s="283">
        <f t="shared" si="11"/>
        <v>0</v>
      </c>
      <c r="AL39" s="283">
        <f t="shared" si="12"/>
        <v>0</v>
      </c>
      <c r="AM39" s="283">
        <f>'Beta Calc'!Q36</f>
        <v>0</v>
      </c>
      <c r="AN39" s="378">
        <f t="shared" si="13"/>
        <v>0</v>
      </c>
      <c r="AP39" s="557" t="str">
        <f>IF('MASTER PubCo Inputs'!C54="","",'MASTER PubCo Inputs'!C54)</f>
        <v>(Invalid Identifier)</v>
      </c>
      <c r="AQ39" s="1183">
        <f>'Comp.1'!AL38</f>
        <v>0</v>
      </c>
    </row>
    <row r="40" spans="2:43" ht="14.85" customHeight="1">
      <c r="B40" s="208">
        <f>'Comp.1'!B39</f>
        <v>0</v>
      </c>
      <c r="C40" s="378">
        <f t="shared" si="0"/>
        <v>0</v>
      </c>
      <c r="E40" s="554" t="str">
        <f t="shared" si="1"/>
        <v>n/a</v>
      </c>
      <c r="F40" s="554" t="str">
        <f t="shared" si="2"/>
        <v>n/a</v>
      </c>
      <c r="G40" s="554" t="str">
        <f t="shared" si="3"/>
        <v>n/a</v>
      </c>
      <c r="H40" s="283"/>
      <c r="I40" s="554" t="str">
        <f t="shared" si="4"/>
        <v>n/a</v>
      </c>
      <c r="J40" s="554" t="str">
        <f t="shared" si="5"/>
        <v>n/a</v>
      </c>
      <c r="L40" s="554" t="str">
        <f t="shared" si="6"/>
        <v>n/a</v>
      </c>
      <c r="M40" s="554" t="str">
        <f t="shared" si="7"/>
        <v>n/a</v>
      </c>
      <c r="N40" s="554" t="str">
        <f t="shared" si="8"/>
        <v>n/a</v>
      </c>
      <c r="P40" s="554" t="str">
        <f t="shared" si="9"/>
        <v>n/a</v>
      </c>
      <c r="Q40" s="554" t="str">
        <f t="shared" si="10"/>
        <v>n/a</v>
      </c>
      <c r="S40" s="1209" t="str">
        <f>'Capital IQ Sheet-GPC'!AU40</f>
        <v xml:space="preserve"> (Invalid Identifier) </v>
      </c>
      <c r="T40" s="1209" t="str">
        <f>'Capital IQ Sheet-GPC'!AV40</f>
        <v xml:space="preserve"> (Invalid Identifier) </v>
      </c>
      <c r="U40" s="1209" t="str">
        <f>'Capital IQ Sheet-GPC'!AW40</f>
        <v xml:space="preserve"> (Invalid Identifier) </v>
      </c>
      <c r="V40" s="1209"/>
      <c r="W40" s="1209" t="str">
        <f>'Capital IQ Sheet-GPC'!AX40</f>
        <v xml:space="preserve"> (Invalid Identifier) </v>
      </c>
      <c r="X40" s="1209" t="str">
        <f>'Capital IQ Sheet-GPC'!AY40</f>
        <v xml:space="preserve"> (Invalid Identifier) </v>
      </c>
      <c r="Z40" s="1209" t="str">
        <f>'Capital IQ Sheet-GPC'!AZ40</f>
        <v xml:space="preserve"> (Invalid Identifier) </v>
      </c>
      <c r="AA40" s="1209" t="str">
        <f>'Capital IQ Sheet-GPC'!BA40</f>
        <v xml:space="preserve"> (Invalid Identifier) </v>
      </c>
      <c r="AB40" s="1209" t="str">
        <f>'Capital IQ Sheet-GPC'!BB40</f>
        <v xml:space="preserve"> (Invalid Identifier) </v>
      </c>
      <c r="AD40" s="1209" t="str">
        <f>'Capital IQ Sheet-GPC'!BC40</f>
        <v xml:space="preserve"> (Invalid Identifier) </v>
      </c>
      <c r="AE40" s="1209" t="str">
        <f>'Capital IQ Sheet-GPC'!BD40</f>
        <v xml:space="preserve"> (Invalid Identifier) </v>
      </c>
      <c r="AG40" s="283">
        <f>'Beta Calc'!K37</f>
        <v>0</v>
      </c>
      <c r="AH40" s="283">
        <f>'Beta Calc'!L37</f>
        <v>0</v>
      </c>
      <c r="AI40" s="283">
        <f>'Beta Calc'!M37</f>
        <v>0</v>
      </c>
      <c r="AJ40" s="283">
        <f>'Beta Calc'!N37</f>
        <v>0</v>
      </c>
      <c r="AK40" s="283">
        <f t="shared" si="11"/>
        <v>0</v>
      </c>
      <c r="AL40" s="283">
        <f t="shared" si="12"/>
        <v>0</v>
      </c>
      <c r="AM40" s="283">
        <f>'Beta Calc'!Q37</f>
        <v>0</v>
      </c>
      <c r="AN40" s="378">
        <f t="shared" si="13"/>
        <v>0</v>
      </c>
      <c r="AP40" s="557" t="str">
        <f>IF('MASTER PubCo Inputs'!C55="","",'MASTER PubCo Inputs'!C55)</f>
        <v>(Invalid Identifier)</v>
      </c>
      <c r="AQ40" s="1183">
        <f>'Comp.1'!AL39</f>
        <v>0</v>
      </c>
    </row>
    <row r="41" spans="2:43" ht="14.85" customHeight="1">
      <c r="B41" s="208">
        <f>'Comp.1'!B40</f>
        <v>0</v>
      </c>
      <c r="C41" s="378">
        <f t="shared" si="0"/>
        <v>0</v>
      </c>
      <c r="E41" s="554" t="str">
        <f t="shared" si="1"/>
        <v>n/a</v>
      </c>
      <c r="F41" s="554" t="str">
        <f t="shared" si="2"/>
        <v>n/a</v>
      </c>
      <c r="G41" s="554" t="str">
        <f t="shared" si="3"/>
        <v>n/a</v>
      </c>
      <c r="H41" s="283"/>
      <c r="I41" s="554" t="str">
        <f t="shared" si="4"/>
        <v>n/a</v>
      </c>
      <c r="J41" s="554" t="str">
        <f t="shared" si="5"/>
        <v>n/a</v>
      </c>
      <c r="L41" s="554" t="str">
        <f t="shared" si="6"/>
        <v>n/a</v>
      </c>
      <c r="M41" s="554" t="str">
        <f t="shared" si="7"/>
        <v>n/a</v>
      </c>
      <c r="N41" s="554" t="str">
        <f t="shared" si="8"/>
        <v>n/a</v>
      </c>
      <c r="P41" s="554" t="str">
        <f t="shared" si="9"/>
        <v>n/a</v>
      </c>
      <c r="Q41" s="554" t="str">
        <f t="shared" si="10"/>
        <v>n/a</v>
      </c>
      <c r="S41" s="1209" t="str">
        <f>'Capital IQ Sheet-GPC'!AU41</f>
        <v xml:space="preserve"> (Invalid Identifier) </v>
      </c>
      <c r="T41" s="1209" t="str">
        <f>'Capital IQ Sheet-GPC'!AV41</f>
        <v xml:space="preserve"> (Invalid Identifier) </v>
      </c>
      <c r="U41" s="1209" t="str">
        <f>'Capital IQ Sheet-GPC'!AW41</f>
        <v xml:space="preserve"> (Invalid Identifier) </v>
      </c>
      <c r="V41" s="1209"/>
      <c r="W41" s="1209" t="str">
        <f>'Capital IQ Sheet-GPC'!AX41</f>
        <v xml:space="preserve"> (Invalid Identifier) </v>
      </c>
      <c r="X41" s="1209" t="str">
        <f>'Capital IQ Sheet-GPC'!AY41</f>
        <v xml:space="preserve"> (Invalid Identifier) </v>
      </c>
      <c r="Z41" s="1209" t="str">
        <f>'Capital IQ Sheet-GPC'!AZ41</f>
        <v xml:space="preserve"> (Invalid Identifier) </v>
      </c>
      <c r="AA41" s="1209" t="str">
        <f>'Capital IQ Sheet-GPC'!BA41</f>
        <v xml:space="preserve"> (Invalid Identifier) </v>
      </c>
      <c r="AB41" s="1209" t="str">
        <f>'Capital IQ Sheet-GPC'!BB41</f>
        <v xml:space="preserve"> (Invalid Identifier) </v>
      </c>
      <c r="AD41" s="1209" t="str">
        <f>'Capital IQ Sheet-GPC'!BC41</f>
        <v xml:space="preserve"> (Invalid Identifier) </v>
      </c>
      <c r="AE41" s="1209" t="str">
        <f>'Capital IQ Sheet-GPC'!BD41</f>
        <v xml:space="preserve"> (Invalid Identifier) </v>
      </c>
      <c r="AG41" s="283">
        <f>'Beta Calc'!K38</f>
        <v>0</v>
      </c>
      <c r="AH41" s="283">
        <f>'Beta Calc'!L38</f>
        <v>0</v>
      </c>
      <c r="AI41" s="283">
        <f>'Beta Calc'!M38</f>
        <v>0</v>
      </c>
      <c r="AJ41" s="283">
        <f>'Beta Calc'!N38</f>
        <v>0</v>
      </c>
      <c r="AK41" s="283">
        <f t="shared" si="11"/>
        <v>0</v>
      </c>
      <c r="AL41" s="283">
        <f t="shared" si="12"/>
        <v>0</v>
      </c>
      <c r="AM41" s="283">
        <f>'Beta Calc'!Q38</f>
        <v>0</v>
      </c>
      <c r="AN41" s="378">
        <f t="shared" si="13"/>
        <v>0</v>
      </c>
      <c r="AP41" s="557" t="str">
        <f>IF('MASTER PubCo Inputs'!C56="","",'MASTER PubCo Inputs'!C56)</f>
        <v>(Invalid Identifier)</v>
      </c>
      <c r="AQ41" s="1183">
        <f>'Comp.1'!AL40</f>
        <v>0</v>
      </c>
    </row>
    <row r="42" spans="2:43" ht="14.85" customHeight="1">
      <c r="B42" s="208">
        <f>'Comp.1'!B41</f>
        <v>0</v>
      </c>
      <c r="C42" s="378">
        <f t="shared" si="0"/>
        <v>0</v>
      </c>
      <c r="E42" s="554" t="str">
        <f t="shared" si="1"/>
        <v>n/a</v>
      </c>
      <c r="F42" s="554" t="str">
        <f t="shared" si="2"/>
        <v>n/a</v>
      </c>
      <c r="G42" s="554" t="str">
        <f t="shared" si="3"/>
        <v>n/a</v>
      </c>
      <c r="H42" s="283"/>
      <c r="I42" s="554" t="str">
        <f t="shared" si="4"/>
        <v>n/a</v>
      </c>
      <c r="J42" s="554" t="str">
        <f t="shared" si="5"/>
        <v>n/a</v>
      </c>
      <c r="L42" s="554" t="str">
        <f t="shared" si="6"/>
        <v>n/a</v>
      </c>
      <c r="M42" s="554" t="str">
        <f t="shared" si="7"/>
        <v>n/a</v>
      </c>
      <c r="N42" s="554" t="str">
        <f t="shared" si="8"/>
        <v>n/a</v>
      </c>
      <c r="P42" s="554" t="str">
        <f t="shared" si="9"/>
        <v>n/a</v>
      </c>
      <c r="Q42" s="554" t="str">
        <f t="shared" si="10"/>
        <v>n/a</v>
      </c>
      <c r="S42" s="1209" t="str">
        <f>'Capital IQ Sheet-GPC'!AU42</f>
        <v xml:space="preserve"> (Invalid Identifier) </v>
      </c>
      <c r="T42" s="1209" t="str">
        <f>'Capital IQ Sheet-GPC'!AV42</f>
        <v xml:space="preserve"> (Invalid Identifier) </v>
      </c>
      <c r="U42" s="1209" t="str">
        <f>'Capital IQ Sheet-GPC'!AW42</f>
        <v xml:space="preserve"> (Invalid Identifier) </v>
      </c>
      <c r="V42" s="1209"/>
      <c r="W42" s="1209" t="str">
        <f>'Capital IQ Sheet-GPC'!AX42</f>
        <v xml:space="preserve"> (Invalid Identifier) </v>
      </c>
      <c r="X42" s="1209" t="str">
        <f>'Capital IQ Sheet-GPC'!AY42</f>
        <v xml:space="preserve"> (Invalid Identifier) </v>
      </c>
      <c r="Z42" s="1209" t="str">
        <f>'Capital IQ Sheet-GPC'!AZ42</f>
        <v xml:space="preserve"> (Invalid Identifier) </v>
      </c>
      <c r="AA42" s="1209" t="str">
        <f>'Capital IQ Sheet-GPC'!BA42</f>
        <v xml:space="preserve"> (Invalid Identifier) </v>
      </c>
      <c r="AB42" s="1209" t="str">
        <f>'Capital IQ Sheet-GPC'!BB42</f>
        <v xml:space="preserve"> (Invalid Identifier) </v>
      </c>
      <c r="AD42" s="1209" t="str">
        <f>'Capital IQ Sheet-GPC'!BC42</f>
        <v xml:space="preserve"> (Invalid Identifier) </v>
      </c>
      <c r="AE42" s="1209" t="str">
        <f>'Capital IQ Sheet-GPC'!BD42</f>
        <v xml:space="preserve"> (Invalid Identifier) </v>
      </c>
      <c r="AG42" s="283">
        <f>'Beta Calc'!K39</f>
        <v>0</v>
      </c>
      <c r="AH42" s="283">
        <f>'Beta Calc'!L39</f>
        <v>0</v>
      </c>
      <c r="AI42" s="283">
        <f>'Beta Calc'!M39</f>
        <v>0</v>
      </c>
      <c r="AJ42" s="283">
        <f>'Beta Calc'!N39</f>
        <v>0</v>
      </c>
      <c r="AK42" s="283">
        <f t="shared" si="11"/>
        <v>0</v>
      </c>
      <c r="AL42" s="283">
        <f t="shared" si="12"/>
        <v>0</v>
      </c>
      <c r="AM42" s="283">
        <f>'Beta Calc'!Q39</f>
        <v>0</v>
      </c>
      <c r="AN42" s="378">
        <f t="shared" si="13"/>
        <v>0</v>
      </c>
      <c r="AP42" s="557" t="str">
        <f>IF('MASTER PubCo Inputs'!C57="","",'MASTER PubCo Inputs'!C57)</f>
        <v>(Invalid Identifier)</v>
      </c>
      <c r="AQ42" s="1183">
        <f>'Comp.1'!AL41</f>
        <v>0</v>
      </c>
    </row>
    <row r="43" spans="2:43" ht="14.85" customHeight="1">
      <c r="C43" s="283"/>
      <c r="E43" s="283"/>
      <c r="F43" s="283"/>
      <c r="G43" s="283"/>
      <c r="H43" s="283"/>
      <c r="I43" s="283"/>
      <c r="J43" s="283"/>
    </row>
    <row r="44" spans="2:43" ht="14.85" customHeight="1">
      <c r="B44" s="561" t="s">
        <v>111</v>
      </c>
      <c r="C44" s="564">
        <f>MAX(C13:C43)</f>
        <v>7328.4</v>
      </c>
      <c r="D44" s="562"/>
      <c r="E44" s="564">
        <f>MAX(E13:E43)</f>
        <v>29.255089820359281</v>
      </c>
      <c r="F44" s="564">
        <f>MAX(F13:F43)</f>
        <v>0</v>
      </c>
      <c r="G44" s="564">
        <f>MAX(G13:G43)</f>
        <v>9.8275445889767994</v>
      </c>
      <c r="H44" s="562"/>
      <c r="I44" s="564">
        <f>MAX(I13:I43)</f>
        <v>501.94520547945206</v>
      </c>
      <c r="J44" s="564">
        <f>MAX(J13:J43)</f>
        <v>0</v>
      </c>
      <c r="K44" s="562"/>
      <c r="L44" s="564">
        <f>MAX(L13:L43)</f>
        <v>1062.086956521739</v>
      </c>
      <c r="M44" s="564">
        <f>MAX(M13:M43)</f>
        <v>1787.4146341463415</v>
      </c>
      <c r="N44" s="564">
        <f>MAX(N13:N43)</f>
        <v>6107</v>
      </c>
      <c r="O44" s="562"/>
      <c r="P44" s="564">
        <f>MAX(P13:P43)</f>
        <v>2035.6666666666665</v>
      </c>
      <c r="Q44" s="565">
        <f>MAX(Q13:Q43)</f>
        <v>0</v>
      </c>
      <c r="R44" s="354"/>
      <c r="S44" s="354"/>
    </row>
    <row r="45" spans="2:43" ht="14.85" customHeight="1">
      <c r="B45" s="567" t="s">
        <v>115</v>
      </c>
      <c r="C45" s="570">
        <f>QUARTILE(C13:C43,3)</f>
        <v>148.6</v>
      </c>
      <c r="D45" s="568"/>
      <c r="E45" s="570">
        <f>QUARTILE(E13:E43,3)</f>
        <v>29.255089820359281</v>
      </c>
      <c r="F45" s="570" t="e">
        <f>QUARTILE(F13:F43,3)</f>
        <v>#NUM!</v>
      </c>
      <c r="G45" s="570">
        <f>QUARTILE(G13:G43,3)</f>
        <v>9.8275445889767994</v>
      </c>
      <c r="H45" s="568"/>
      <c r="I45" s="570">
        <f>QUARTILE(I13:I43,3)</f>
        <v>501.94520547945206</v>
      </c>
      <c r="J45" s="570" t="e">
        <f>QUARTILE(J13:J43,3)</f>
        <v>#NUM!</v>
      </c>
      <c r="K45" s="568"/>
      <c r="L45" s="570">
        <f>QUARTILE(L13:L43,3)</f>
        <v>288.51968503937007</v>
      </c>
      <c r="M45" s="570">
        <f>QUARTILE(M13:M43,3)</f>
        <v>823.51969696969695</v>
      </c>
      <c r="N45" s="570">
        <f>QUARTILE(N13:N43,3)</f>
        <v>212.20238095238096</v>
      </c>
      <c r="O45" s="568"/>
      <c r="P45" s="570">
        <f>QUARTILE(P13:P43,3)</f>
        <v>218.47760084925687</v>
      </c>
      <c r="Q45" s="571" t="e">
        <f>QUARTILE(Q13:Q43,3)</f>
        <v>#NUM!</v>
      </c>
      <c r="R45" s="354"/>
      <c r="S45" s="354"/>
    </row>
    <row r="46" spans="2:43" ht="14.85" customHeight="1">
      <c r="B46" s="567" t="s">
        <v>113</v>
      </c>
      <c r="C46" s="570">
        <f>AVERAGE(C13:C43)</f>
        <v>361.39666666666659</v>
      </c>
      <c r="D46" s="568"/>
      <c r="E46" s="570">
        <f>AVERAGE(E13:E43)</f>
        <v>29.255089820359281</v>
      </c>
      <c r="F46" s="570" t="e">
        <f>AVERAGE(F13:F43)</f>
        <v>#DIV/0!</v>
      </c>
      <c r="G46" s="570">
        <f>AVERAGE(G13:G43)</f>
        <v>9.8275445889767994</v>
      </c>
      <c r="H46" s="568"/>
      <c r="I46" s="570">
        <f>AVERAGE(I13:I43)</f>
        <v>501.94520547945206</v>
      </c>
      <c r="J46" s="570" t="e">
        <f>AVERAGE(J13:J43)</f>
        <v>#DIV/0!</v>
      </c>
      <c r="K46" s="568"/>
      <c r="L46" s="570">
        <f>AVERAGE(L13:L43)</f>
        <v>235.79934571738073</v>
      </c>
      <c r="M46" s="570">
        <f>AVERAGE(M13:M43)</f>
        <v>534.04987597475611</v>
      </c>
      <c r="N46" s="570">
        <f>AVERAGE(N13:N43)</f>
        <v>740.04042796120518</v>
      </c>
      <c r="O46" s="568"/>
      <c r="P46" s="570">
        <f>AVERAGE(P13:P43)</f>
        <v>380.9550229458394</v>
      </c>
      <c r="Q46" s="571" t="e">
        <f>AVERAGE(Q13:Q43)</f>
        <v>#DIV/0!</v>
      </c>
      <c r="R46" s="354"/>
      <c r="S46" s="354"/>
    </row>
    <row r="47" spans="2:43" ht="14.85" customHeight="1">
      <c r="B47" s="567" t="s">
        <v>44</v>
      </c>
      <c r="C47" s="570">
        <f>MEDIAN(C13:C43)</f>
        <v>0</v>
      </c>
      <c r="D47" s="568"/>
      <c r="E47" s="570">
        <f>MEDIAN(E13:E43)</f>
        <v>29.255089820359281</v>
      </c>
      <c r="F47" s="570" t="e">
        <f>MEDIAN(F13:F43)</f>
        <v>#NUM!</v>
      </c>
      <c r="G47" s="570">
        <f>MEDIAN(G13:G43)</f>
        <v>9.8275445889767994</v>
      </c>
      <c r="H47" s="568"/>
      <c r="I47" s="570">
        <f>MEDIAN(I13:I43)</f>
        <v>501.94520547945206</v>
      </c>
      <c r="J47" s="570" t="e">
        <f>MEDIAN(J13:J43)</f>
        <v>#NUM!</v>
      </c>
      <c r="K47" s="568"/>
      <c r="L47" s="570">
        <f>MEDIAN(L13:L43)</f>
        <v>127.67247386759581</v>
      </c>
      <c r="M47" s="570">
        <f>MEDIAN(M13:M43)</f>
        <v>117.14134693274507</v>
      </c>
      <c r="N47" s="570">
        <f>MEDIAN(N13:N43)</f>
        <v>85.672527038762126</v>
      </c>
      <c r="O47" s="568"/>
      <c r="P47" s="570">
        <f>MEDIAN(P13:P43)</f>
        <v>114.17331847257219</v>
      </c>
      <c r="Q47" s="571" t="e">
        <f>MEDIAN(Q13:Q43)</f>
        <v>#NUM!</v>
      </c>
      <c r="R47" s="354"/>
      <c r="S47" s="354"/>
    </row>
    <row r="48" spans="2:43" ht="14.85" customHeight="1">
      <c r="B48" s="567" t="s">
        <v>114</v>
      </c>
      <c r="C48" s="570">
        <f>QUARTILE(C13:C43,1)</f>
        <v>0</v>
      </c>
      <c r="D48" s="568"/>
      <c r="E48" s="570">
        <f>QUARTILE(E13:E43,1)</f>
        <v>29.255089820359281</v>
      </c>
      <c r="F48" s="570" t="e">
        <f>QUARTILE(F13:F43,1)</f>
        <v>#NUM!</v>
      </c>
      <c r="G48" s="570">
        <f>QUARTILE(G13:G43,1)</f>
        <v>9.8275445889767994</v>
      </c>
      <c r="H48" s="568"/>
      <c r="I48" s="570">
        <f>QUARTILE(I13:I43,1)</f>
        <v>501.94520547945206</v>
      </c>
      <c r="J48" s="570" t="e">
        <f>QUARTILE(J13:J43,1)</f>
        <v>#NUM!</v>
      </c>
      <c r="K48" s="568"/>
      <c r="L48" s="570">
        <f>QUARTILE(L13:L43,1)</f>
        <v>51.283414975507341</v>
      </c>
      <c r="M48" s="570">
        <f>QUARTILE(M13:M43,1)</f>
        <v>84.829550265287963</v>
      </c>
      <c r="N48" s="570">
        <f>QUARTILE(N13:N43,1)</f>
        <v>44.442212777309308</v>
      </c>
      <c r="O48" s="568"/>
      <c r="P48" s="570">
        <f>QUARTILE(P13:P43,1)</f>
        <v>85.681601087376976</v>
      </c>
      <c r="Q48" s="571" t="e">
        <f>QUARTILE(Q13:Q43,1)</f>
        <v>#NUM!</v>
      </c>
      <c r="R48" s="354"/>
      <c r="S48" s="354"/>
    </row>
    <row r="49" spans="2:19" ht="14.85" customHeight="1">
      <c r="B49" s="572" t="s">
        <v>112</v>
      </c>
      <c r="C49" s="430">
        <f>MIN(C13:C43)</f>
        <v>0</v>
      </c>
      <c r="D49" s="427"/>
      <c r="E49" s="430">
        <f>MIN(E13:E43)</f>
        <v>29.255089820359281</v>
      </c>
      <c r="F49" s="430">
        <f>MIN(F13:F43)</f>
        <v>0</v>
      </c>
      <c r="G49" s="430">
        <f>MIN(G13:G43)</f>
        <v>9.8275445889767994</v>
      </c>
      <c r="H49" s="427"/>
      <c r="I49" s="430">
        <f>MIN(I13:I43)</f>
        <v>501.94520547945206</v>
      </c>
      <c r="J49" s="430">
        <f>MIN(J13:J43)</f>
        <v>0</v>
      </c>
      <c r="K49" s="427"/>
      <c r="L49" s="430">
        <f>MIN(L13:L43)</f>
        <v>18.139603960396038</v>
      </c>
      <c r="M49" s="430">
        <f>MIN(M13:M43)</f>
        <v>25.614819993009434</v>
      </c>
      <c r="N49" s="430">
        <f>MIN(N13:N43)</f>
        <v>4.0938495056142115</v>
      </c>
      <c r="O49" s="427"/>
      <c r="P49" s="430">
        <f>MIN(P13:P43)</f>
        <v>27.633484162895929</v>
      </c>
      <c r="Q49" s="574">
        <f>MIN(Q13:Q43)</f>
        <v>0</v>
      </c>
      <c r="R49" s="354"/>
      <c r="S49" s="354"/>
    </row>
    <row r="50" spans="2:19" ht="14.85" customHeight="1">
      <c r="I50" s="283"/>
      <c r="J50" s="283"/>
      <c r="K50" s="283"/>
      <c r="L50" s="283"/>
      <c r="M50" s="283"/>
      <c r="N50" s="283"/>
      <c r="O50" s="283"/>
      <c r="P50" s="283"/>
      <c r="Q50" s="283"/>
    </row>
    <row r="51" spans="2:19" ht="14.85" customHeight="1">
      <c r="B51" s="295" t="s">
        <v>116</v>
      </c>
    </row>
    <row r="52" spans="2:19" ht="14.85" customHeight="1">
      <c r="B52" s="295"/>
      <c r="C52" s="283"/>
      <c r="E52" s="283"/>
      <c r="F52" s="283"/>
      <c r="G52" s="283"/>
      <c r="H52" s="283"/>
      <c r="I52" s="283"/>
      <c r="J52" s="283"/>
    </row>
    <row r="53" spans="2:19" ht="14.85" customHeight="1">
      <c r="C53" s="283"/>
      <c r="E53" s="283"/>
      <c r="F53" s="283"/>
      <c r="G53" s="283"/>
      <c r="H53" s="283"/>
      <c r="I53" s="283"/>
      <c r="J53" s="283"/>
    </row>
    <row r="54" spans="2:19" ht="14.85" customHeight="1"/>
    <row r="55" spans="2:19" s="560" customFormat="1" ht="14.85" customHeight="1"/>
    <row r="56" spans="2:19" ht="14.85" customHeight="1"/>
    <row r="57" spans="2:19" ht="14.85" customHeight="1"/>
    <row r="58" spans="2:19" ht="14.85" customHeight="1"/>
    <row r="59" spans="2:19" ht="14.85" customHeight="1"/>
    <row r="60" spans="2:19" ht="14.85" customHeight="1"/>
    <row r="61" spans="2:19" ht="14.85" customHeight="1"/>
    <row r="62" spans="2:19" ht="14.85" customHeight="1"/>
    <row r="63" spans="2:19" ht="14.85" customHeight="1"/>
    <row r="64" spans="2:19"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spans="2:2" ht="14.85" customHeight="1"/>
    <row r="82" spans="2:2" ht="14.85" customHeight="1"/>
    <row r="83" spans="2:2" ht="14.85" customHeight="1"/>
    <row r="84" spans="2:2" ht="14.85" customHeight="1"/>
    <row r="85" spans="2:2" ht="14.85" customHeight="1"/>
    <row r="86" spans="2:2" ht="14.85" customHeight="1">
      <c r="B86" s="295"/>
    </row>
    <row r="87" spans="2:2" ht="14.85" customHeight="1"/>
    <row r="88" spans="2:2" ht="14.85" customHeight="1"/>
    <row r="89" spans="2:2" ht="14.85" customHeight="1"/>
    <row r="90" spans="2:2" ht="14.85" customHeight="1"/>
    <row r="91" spans="2:2" ht="14.85" customHeight="1"/>
    <row r="92" spans="2:2" ht="14.85" customHeight="1"/>
    <row r="93" spans="2:2" ht="14.85" customHeight="1"/>
    <row r="94" spans="2:2" ht="14.85" customHeight="1"/>
    <row r="95" spans="2:2" ht="14.85" customHeight="1"/>
    <row r="96" spans="2:2"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C4:I4">
    <cfRule type="cellIs" dxfId="37" priority="15" stopIfTrue="1" operator="equal">
      <formula>"input"</formula>
    </cfRule>
  </conditionalFormatting>
  <conditionalFormatting sqref="J4">
    <cfRule type="cellIs" dxfId="36" priority="13" stopIfTrue="1" operator="equal">
      <formula>"input"</formula>
    </cfRule>
  </conditionalFormatting>
  <conditionalFormatting sqref="J4">
    <cfRule type="cellIs" dxfId="35" priority="14" stopIfTrue="1" operator="equal">
      <formula>"input"</formula>
    </cfRule>
  </conditionalFormatting>
  <conditionalFormatting sqref="K4">
    <cfRule type="cellIs" dxfId="34" priority="11" stopIfTrue="1" operator="equal">
      <formula>"input"</formula>
    </cfRule>
  </conditionalFormatting>
  <conditionalFormatting sqref="K4">
    <cfRule type="cellIs" dxfId="33" priority="12" stopIfTrue="1" operator="equal">
      <formula>"input"</formula>
    </cfRule>
  </conditionalFormatting>
  <conditionalFormatting sqref="L4:P4">
    <cfRule type="cellIs" dxfId="32" priority="9" stopIfTrue="1" operator="equal">
      <formula>"input"</formula>
    </cfRule>
  </conditionalFormatting>
  <conditionalFormatting sqref="L4:P4">
    <cfRule type="cellIs" dxfId="31" priority="10" stopIfTrue="1" operator="equal">
      <formula>"input"</formula>
    </cfRule>
  </conditionalFormatting>
  <conditionalFormatting sqref="B13:C42">
    <cfRule type="cellIs" dxfId="30" priority="7" operator="equal">
      <formula>"(Invalid Identifier)"</formula>
    </cfRule>
  </conditionalFormatting>
  <conditionalFormatting sqref="Q4">
    <cfRule type="cellIs" dxfId="29" priority="2" stopIfTrue="1" operator="equal">
      <formula>"input"</formula>
    </cfRule>
  </conditionalFormatting>
  <conditionalFormatting sqref="Q4">
    <cfRule type="cellIs" dxfId="28" priority="3" stopIfTrue="1" operator="equal">
      <formula>"input"</formula>
    </cfRule>
  </conditionalFormatting>
  <conditionalFormatting sqref="B4">
    <cfRule type="cellIs" dxfId="27" priority="1" stopIfTrue="1" operator="equal">
      <formula>"input"</formula>
    </cfRule>
  </conditionalFormatting>
  <pageMargins left="0.5" right="0.5" top="0.5" bottom="0.5" header="0.5" footer="0.5"/>
  <pageSetup scale="66" fitToWidth="0" fitToHeight="0" orientation="landscape" r:id="rId1"/>
  <rowBreaks count="1" manualBreakCount="1">
    <brk id="53" max="17" man="1"/>
  </rowBreaks>
  <legacyDrawingHF r:id="rId2"/>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43"/>
  <dimension ref="B1:G764"/>
  <sheetViews>
    <sheetView showGridLines="0" view="pageBreakPreview" zoomScale="80" zoomScaleNormal="100" zoomScaleSheetLayoutView="80" workbookViewId="0">
      <selection activeCell="H10" sqref="H10"/>
    </sheetView>
  </sheetViews>
  <sheetFormatPr defaultRowHeight="12.75"/>
  <cols>
    <col min="1" max="1" width="2.83203125" style="208" customWidth="1"/>
    <col min="2" max="2" width="77.6640625" style="208" customWidth="1"/>
    <col min="3" max="4" width="20.83203125" style="208" customWidth="1"/>
    <col min="5" max="5" width="16" style="208" customWidth="1"/>
    <col min="6" max="6" width="19" style="208" customWidth="1"/>
    <col min="7" max="7" width="2.83203125" style="208" customWidth="1"/>
    <col min="8" max="16384" width="9.33203125" style="208"/>
  </cols>
  <sheetData>
    <row r="1" spans="2:7" ht="10.7" customHeight="1" thickBot="1"/>
    <row r="2" spans="2:7" ht="16.5" customHeight="1" thickTop="1">
      <c r="B2" s="216" t="str">
        <f>'MASTER PubCo Inputs'!$C$5</f>
        <v>Medikine, Inc.</v>
      </c>
      <c r="C2" s="216"/>
      <c r="D2" s="216"/>
      <c r="E2" s="216"/>
      <c r="F2" s="216"/>
    </row>
    <row r="3" spans="2:7" ht="15.75" customHeight="1">
      <c r="B3" s="217" t="e">
        <f>VLOOKUP(B4,Outline!$E$8:$G$79,COLUMNS(Outline!$E$8:$G$8),FALSE)</f>
        <v>#N/A</v>
      </c>
      <c r="C3" s="217"/>
      <c r="D3" s="217"/>
      <c r="E3" s="217"/>
      <c r="F3" s="217"/>
    </row>
    <row r="4" spans="2:7" ht="16.5" customHeight="1" thickBot="1">
      <c r="B4" s="444" t="s">
        <v>48</v>
      </c>
      <c r="C4" s="444"/>
      <c r="D4" s="444"/>
      <c r="E4" s="444"/>
      <c r="F4" s="444"/>
    </row>
    <row r="5" spans="2:7" ht="14.85" customHeight="1" thickTop="1">
      <c r="B5" s="332"/>
      <c r="C5" s="332"/>
      <c r="D5" s="332"/>
      <c r="E5" s="332"/>
      <c r="F5" s="332"/>
    </row>
    <row r="6" spans="2:7" s="326" customFormat="1" ht="14.85" customHeight="1">
      <c r="B6" s="208"/>
      <c r="C6" s="208"/>
      <c r="D6" s="208"/>
      <c r="E6" s="208"/>
      <c r="F6" s="208"/>
      <c r="G6" s="208"/>
    </row>
    <row r="7" spans="2:7" ht="14.85" customHeight="1">
      <c r="B7" s="810" t="s">
        <v>1</v>
      </c>
      <c r="C7" s="811"/>
      <c r="D7" s="811"/>
      <c r="E7" s="811"/>
      <c r="F7" s="812"/>
    </row>
    <row r="8" spans="2:7" ht="14.85" customHeight="1"/>
    <row r="9" spans="2:7" s="229" customFormat="1" ht="14.85" customHeight="1">
      <c r="B9" s="1229" t="s">
        <v>2</v>
      </c>
      <c r="C9" s="1230" t="s">
        <v>3</v>
      </c>
      <c r="D9" s="1230" t="s">
        <v>4</v>
      </c>
      <c r="E9" s="1230" t="s">
        <v>5</v>
      </c>
      <c r="F9" s="1231" t="s">
        <v>6</v>
      </c>
    </row>
    <row r="10" spans="2:7" ht="14.85" customHeight="1"/>
    <row r="11" spans="2:7" ht="14.85" customHeight="1">
      <c r="B11" s="208" t="s">
        <v>7</v>
      </c>
      <c r="C11" s="209">
        <v>2008</v>
      </c>
      <c r="D11" s="209" t="s">
        <v>8</v>
      </c>
      <c r="E11" s="1163">
        <v>457</v>
      </c>
      <c r="F11" s="284">
        <v>2.3E-2</v>
      </c>
    </row>
    <row r="12" spans="2:7" ht="14.85" customHeight="1">
      <c r="B12" s="208" t="s">
        <v>9</v>
      </c>
      <c r="C12" s="209">
        <v>1996</v>
      </c>
      <c r="D12" s="209">
        <v>1996</v>
      </c>
      <c r="E12" s="1163">
        <v>116</v>
      </c>
      <c r="F12" s="284">
        <v>2.7E-2</v>
      </c>
    </row>
    <row r="13" spans="2:7" ht="14.85" customHeight="1">
      <c r="B13" s="208" t="s">
        <v>10</v>
      </c>
      <c r="C13" s="209">
        <v>2002</v>
      </c>
      <c r="D13" s="209" t="s">
        <v>11</v>
      </c>
      <c r="E13" s="1163">
        <v>98</v>
      </c>
      <c r="F13" s="284">
        <v>0.1</v>
      </c>
    </row>
    <row r="14" spans="2:7" ht="14.85" customHeight="1">
      <c r="B14" s="208" t="s">
        <v>12</v>
      </c>
      <c r="C14" s="209" t="s">
        <v>13</v>
      </c>
      <c r="D14" s="209" t="s">
        <v>14</v>
      </c>
      <c r="E14" s="1163">
        <v>40</v>
      </c>
      <c r="F14" s="284">
        <v>2.7E-2</v>
      </c>
    </row>
    <row r="15" spans="2:7" ht="14.85" customHeight="1">
      <c r="B15" s="208" t="s">
        <v>15</v>
      </c>
      <c r="C15" s="209">
        <v>1995</v>
      </c>
      <c r="D15" s="209" t="s">
        <v>16</v>
      </c>
      <c r="E15" s="1163">
        <v>81</v>
      </c>
      <c r="F15" s="284">
        <v>0.06</v>
      </c>
    </row>
    <row r="16" spans="2:7" ht="14.85" customHeight="1">
      <c r="B16" s="208" t="s">
        <v>17</v>
      </c>
      <c r="C16" s="209">
        <v>1995</v>
      </c>
      <c r="D16" s="209" t="s">
        <v>18</v>
      </c>
      <c r="E16" s="1163">
        <v>94</v>
      </c>
      <c r="F16" s="284">
        <v>9.5000000000000001E-2</v>
      </c>
    </row>
    <row r="17" spans="2:6" ht="14.85" customHeight="1">
      <c r="B17" s="208" t="s">
        <v>19</v>
      </c>
      <c r="C17" s="209">
        <v>1991</v>
      </c>
      <c r="D17" s="209" t="s">
        <v>20</v>
      </c>
      <c r="E17" s="1163">
        <v>43</v>
      </c>
      <c r="F17" s="284">
        <v>1.2999999999999999E-2</v>
      </c>
    </row>
    <row r="18" spans="2:6" ht="14.85" customHeight="1">
      <c r="B18" s="208" t="s">
        <v>21</v>
      </c>
      <c r="C18" s="209">
        <v>1987</v>
      </c>
      <c r="D18" s="209" t="s">
        <v>13</v>
      </c>
      <c r="E18" s="1163">
        <v>63</v>
      </c>
      <c r="F18" s="458" t="s">
        <v>22</v>
      </c>
    </row>
    <row r="19" spans="2:6" ht="14.85" customHeight="1">
      <c r="B19" s="208" t="s">
        <v>23</v>
      </c>
      <c r="C19" s="209">
        <v>1983</v>
      </c>
      <c r="D19" s="209" t="s">
        <v>24</v>
      </c>
      <c r="E19" s="1163">
        <v>30</v>
      </c>
      <c r="F19" s="284">
        <v>5.1999999999999998E-2</v>
      </c>
    </row>
    <row r="20" spans="2:6" ht="14.85" customHeight="1"/>
    <row r="21" spans="2:6" ht="14.85" customHeight="1">
      <c r="B21" s="901" t="s">
        <v>25</v>
      </c>
      <c r="C21" s="1232"/>
      <c r="D21" s="1232"/>
      <c r="E21" s="1232"/>
      <c r="F21" s="1233">
        <f>AVERAGE(F11:F17,F19)</f>
        <v>4.9625000000000002E-2</v>
      </c>
    </row>
    <row r="22" spans="2:6" ht="14.85" customHeight="1">
      <c r="B22" s="572" t="s">
        <v>26</v>
      </c>
      <c r="C22" s="908"/>
      <c r="D22" s="908"/>
      <c r="E22" s="908"/>
      <c r="F22" s="708">
        <f>MEDIAN(F11:F17,F19)</f>
        <v>3.95E-2</v>
      </c>
    </row>
    <row r="23" spans="2:6" ht="14.85" customHeight="1"/>
    <row r="24" spans="2:6" ht="14.85" customHeight="1">
      <c r="B24" s="901" t="s">
        <v>27</v>
      </c>
      <c r="C24" s="1232"/>
      <c r="D24" s="1232"/>
      <c r="E24" s="1232"/>
      <c r="F24" s="1233">
        <f>AVERAGE(F11:F12,F14:F17,F19)</f>
        <v>4.2428571428571434E-2</v>
      </c>
    </row>
    <row r="25" spans="2:6" ht="14.85" customHeight="1">
      <c r="B25" s="572" t="s">
        <v>28</v>
      </c>
      <c r="C25" s="908"/>
      <c r="D25" s="908"/>
      <c r="E25" s="908"/>
      <c r="F25" s="708">
        <f>MEDIAN(F11:F12,F14:F17,F19)</f>
        <v>2.7E-2</v>
      </c>
    </row>
    <row r="26" spans="2:6" ht="14.85" customHeight="1"/>
    <row r="27" spans="2:6" ht="14.85" customHeight="1"/>
    <row r="28" spans="2:6" s="229" customFormat="1" ht="14.85" customHeight="1">
      <c r="B28" s="1234" t="s">
        <v>29</v>
      </c>
      <c r="C28" s="1235"/>
      <c r="D28" s="1235"/>
      <c r="E28" s="1235"/>
      <c r="F28" s="1236" t="s">
        <v>30</v>
      </c>
    </row>
    <row r="29" spans="2:6" ht="14.85" customHeight="1"/>
    <row r="30" spans="2:6" ht="14.85" customHeight="1">
      <c r="B30" s="208" t="s">
        <v>31</v>
      </c>
      <c r="F30" s="284">
        <v>0</v>
      </c>
    </row>
    <row r="31" spans="2:6" ht="14.85" customHeight="1">
      <c r="B31" s="208" t="s">
        <v>32</v>
      </c>
      <c r="F31" s="284">
        <v>3.6999999999999998E-2</v>
      </c>
    </row>
    <row r="32" spans="2:6" ht="14.85" customHeight="1">
      <c r="B32" s="208" t="s">
        <v>33</v>
      </c>
      <c r="F32" s="284">
        <v>0.04</v>
      </c>
    </row>
    <row r="33" spans="2:6" ht="14.85" customHeight="1">
      <c r="B33" s="208" t="s">
        <v>34</v>
      </c>
      <c r="F33" s="284">
        <v>0</v>
      </c>
    </row>
    <row r="34" spans="2:6" ht="14.85" customHeight="1">
      <c r="B34" s="208" t="s">
        <v>35</v>
      </c>
      <c r="F34" s="284">
        <v>5.1999999999999998E-2</v>
      </c>
    </row>
    <row r="35" spans="2:6" ht="14.85" customHeight="1">
      <c r="B35" s="208" t="s">
        <v>36</v>
      </c>
      <c r="F35" s="284">
        <v>9.0999999999999998E-2</v>
      </c>
    </row>
    <row r="36" spans="2:6" ht="14.85" customHeight="1">
      <c r="B36" s="208" t="s">
        <v>37</v>
      </c>
      <c r="F36" s="284">
        <v>0</v>
      </c>
    </row>
    <row r="37" spans="2:6" ht="14.85" customHeight="1">
      <c r="B37" s="208" t="s">
        <v>38</v>
      </c>
      <c r="F37" s="284">
        <v>0.03</v>
      </c>
    </row>
    <row r="38" spans="2:6" ht="14.85" customHeight="1">
      <c r="B38" s="208" t="s">
        <v>39</v>
      </c>
      <c r="F38" s="284">
        <v>4.8000000000000001E-2</v>
      </c>
    </row>
    <row r="39" spans="2:6" ht="14.85" customHeight="1">
      <c r="B39" s="208" t="s">
        <v>40</v>
      </c>
      <c r="F39" s="284">
        <v>4.3999999999999997E-2</v>
      </c>
    </row>
    <row r="40" spans="2:6" ht="14.85" customHeight="1">
      <c r="B40" s="208" t="s">
        <v>41</v>
      </c>
      <c r="F40" s="284">
        <v>5.3999999999999999E-2</v>
      </c>
    </row>
    <row r="41" spans="2:6" ht="14.85" customHeight="1">
      <c r="B41" s="208" t="s">
        <v>42</v>
      </c>
      <c r="F41" s="284">
        <v>3.9E-2</v>
      </c>
    </row>
    <row r="42" spans="2:6" ht="14.85" customHeight="1"/>
    <row r="43" spans="2:6" ht="14.85" customHeight="1">
      <c r="B43" s="901" t="s">
        <v>43</v>
      </c>
      <c r="C43" s="1232"/>
      <c r="D43" s="1232"/>
      <c r="E43" s="1232"/>
      <c r="F43" s="1233">
        <f>AVERAGE(F30:F41)</f>
        <v>3.6249999999999998E-2</v>
      </c>
    </row>
    <row r="44" spans="2:6" ht="14.85" customHeight="1">
      <c r="B44" s="572" t="s">
        <v>44</v>
      </c>
      <c r="C44" s="908"/>
      <c r="D44" s="908"/>
      <c r="E44" s="908"/>
      <c r="F44" s="708">
        <f>MEDIAN(F30:F41)</f>
        <v>3.95E-2</v>
      </c>
    </row>
    <row r="45" spans="2:6" ht="14.85" customHeight="1"/>
    <row r="46" spans="2:6" ht="14.85" customHeight="1">
      <c r="B46" s="295" t="s">
        <v>45</v>
      </c>
    </row>
    <row r="47" spans="2:6" ht="14.85" customHeight="1">
      <c r="B47" s="295" t="s">
        <v>46</v>
      </c>
    </row>
    <row r="48" spans="2:6" ht="14.85" customHeight="1">
      <c r="B48" s="295" t="s">
        <v>47</v>
      </c>
    </row>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4:F5">
    <cfRule type="cellIs" dxfId="26" priority="3" stopIfTrue="1" operator="equal">
      <formula>"input"</formula>
    </cfRule>
  </conditionalFormatting>
  <pageMargins left="0.5" right="0.5" top="0.5" bottom="0.5" header="0.5" footer="0.5"/>
  <pageSetup scale="79" fitToWidth="0" fitToHeight="0" orientation="landscape" r:id="rId1"/>
  <legacyDrawingHF r:id="rId2"/>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29"/>
  <dimension ref="B1:AC764"/>
  <sheetViews>
    <sheetView showGridLines="0" view="pageBreakPreview" topLeftCell="B4" zoomScale="70" zoomScaleNormal="100" zoomScaleSheetLayoutView="70" workbookViewId="0">
      <selection activeCell="B43" sqref="B43"/>
    </sheetView>
  </sheetViews>
  <sheetFormatPr defaultRowHeight="12.75" outlineLevelRow="1"/>
  <cols>
    <col min="1" max="1" width="4.5" style="208" customWidth="1"/>
    <col min="2" max="2" width="72.6640625" style="208" bestFit="1" customWidth="1"/>
    <col min="3" max="3" width="2.83203125" style="208" customWidth="1"/>
    <col min="4" max="7" width="15.83203125" style="208" customWidth="1"/>
    <col min="8" max="8" width="2.83203125" style="208" customWidth="1"/>
    <col min="9" max="11" width="15.83203125" style="208" customWidth="1"/>
    <col min="12" max="12" width="2.83203125" style="208" customWidth="1"/>
    <col min="13" max="15" width="11.83203125" style="208" customWidth="1"/>
    <col min="16" max="16" width="2.83203125" style="208" customWidth="1"/>
    <col min="17" max="19" width="11.83203125" style="208" customWidth="1"/>
    <col min="20" max="20" width="2.83203125" style="208" customWidth="1"/>
    <col min="21" max="23" width="11.83203125" style="208" customWidth="1"/>
    <col min="24" max="24" width="4.5" style="208" customWidth="1"/>
    <col min="25" max="25" width="2.83203125" style="208" customWidth="1"/>
    <col min="26" max="26" width="15.33203125" style="208" bestFit="1" customWidth="1"/>
    <col min="27" max="27" width="14.33203125" style="208" bestFit="1" customWidth="1"/>
    <col min="28" max="28" width="15.33203125" style="208" bestFit="1" customWidth="1"/>
    <col min="29" max="29" width="9.5" style="208" bestFit="1" customWidth="1"/>
    <col min="30" max="33" width="9.33203125" style="208"/>
    <col min="34" max="34" width="8.83203125" style="208" customWidth="1"/>
    <col min="35" max="16384" width="9.33203125" style="208"/>
  </cols>
  <sheetData>
    <row r="1" spans="2:29" ht="10.7" customHeight="1" thickBot="1"/>
    <row r="2" spans="2:29" ht="16.5" customHeight="1" thickTop="1">
      <c r="B2" s="216" t="str">
        <f>'MASTER PubCo Inputs'!$C$5</f>
        <v>Medikine, Inc.</v>
      </c>
      <c r="C2" s="216"/>
      <c r="D2" s="216"/>
      <c r="E2" s="216"/>
      <c r="F2" s="216"/>
      <c r="G2" s="216"/>
      <c r="H2" s="216"/>
      <c r="I2" s="216"/>
      <c r="J2" s="216"/>
      <c r="K2" s="216"/>
      <c r="L2" s="216"/>
      <c r="M2" s="216"/>
      <c r="N2" s="216"/>
      <c r="O2" s="216"/>
      <c r="P2" s="216"/>
      <c r="Q2" s="216"/>
      <c r="R2" s="216"/>
      <c r="S2" s="216"/>
      <c r="T2" s="216"/>
      <c r="U2" s="216"/>
      <c r="V2" s="216"/>
      <c r="W2" s="216"/>
      <c r="Z2" s="532" t="s">
        <v>87</v>
      </c>
      <c r="AA2" s="533">
        <f>+'Comp.1'!$AL$2</f>
        <v>43496</v>
      </c>
    </row>
    <row r="3" spans="2:29" ht="15.75" customHeight="1">
      <c r="B3" s="217" t="str">
        <f>VLOOKUP(B4,Outline!$E$8:$G$79,COLUMNS(Outline!$E$8:$G$8),FALSE)</f>
        <v>Exhibit D.3</v>
      </c>
      <c r="C3" s="217"/>
      <c r="D3" s="217"/>
      <c r="E3" s="217"/>
      <c r="F3" s="217"/>
      <c r="G3" s="217"/>
      <c r="H3" s="217"/>
      <c r="I3" s="217"/>
      <c r="J3" s="217"/>
      <c r="K3" s="217"/>
      <c r="L3" s="217"/>
      <c r="M3" s="217"/>
      <c r="N3" s="217"/>
      <c r="O3" s="217"/>
      <c r="P3" s="217"/>
      <c r="Q3" s="217"/>
      <c r="R3" s="217"/>
      <c r="S3" s="217"/>
      <c r="T3" s="217"/>
      <c r="U3" s="217"/>
      <c r="V3" s="217"/>
      <c r="W3" s="217"/>
      <c r="Z3" s="534" t="s">
        <v>378</v>
      </c>
      <c r="AA3" s="535" t="str">
        <f>+'Comp.1'!$AL$3</f>
        <v>F</v>
      </c>
    </row>
    <row r="4" spans="2:29" ht="16.5" customHeight="1" thickBot="1">
      <c r="B4" s="444" t="s">
        <v>603</v>
      </c>
      <c r="C4" s="444"/>
      <c r="D4" s="444"/>
      <c r="E4" s="444"/>
      <c r="F4" s="444"/>
      <c r="G4" s="444"/>
      <c r="H4" s="444"/>
      <c r="I4" s="444"/>
      <c r="J4" s="445"/>
      <c r="K4" s="445" t="str">
        <f>+'MASTER PubCo Inputs'!$C$24</f>
        <v>(in millions of USD)</v>
      </c>
      <c r="L4" s="444"/>
      <c r="M4" s="445"/>
      <c r="N4" s="445"/>
      <c r="O4" s="445"/>
      <c r="P4" s="445"/>
      <c r="Q4" s="445"/>
      <c r="R4" s="445"/>
      <c r="S4" s="445"/>
      <c r="T4" s="445"/>
      <c r="U4" s="445"/>
      <c r="V4" s="445"/>
      <c r="W4" s="445" t="str">
        <f>+'MASTER PubCo Inputs'!$C$24</f>
        <v>(in millions of USD)</v>
      </c>
      <c r="Z4" s="534" t="s">
        <v>379</v>
      </c>
      <c r="AA4" s="535" t="str">
        <f>+'Comp.1'!$AL$4</f>
        <v>USD</v>
      </c>
    </row>
    <row r="5" spans="2:29" ht="14.85" customHeight="1" thickTop="1">
      <c r="Z5" s="339" t="s">
        <v>89</v>
      </c>
      <c r="AA5" s="536" t="str">
        <f>+'Comp.1'!$AL$5</f>
        <v>H</v>
      </c>
    </row>
    <row r="6" spans="2:29" ht="14.85" customHeight="1">
      <c r="D6" s="651" t="s">
        <v>285</v>
      </c>
      <c r="E6" s="652"/>
      <c r="F6" s="652"/>
      <c r="G6" s="653"/>
    </row>
    <row r="7" spans="2:29" ht="14.85" customHeight="1">
      <c r="D7" s="415" t="s">
        <v>291</v>
      </c>
      <c r="E7" s="416"/>
      <c r="F7" s="417"/>
      <c r="G7" s="591"/>
      <c r="I7" s="415" t="s">
        <v>582</v>
      </c>
      <c r="J7" s="416"/>
      <c r="K7" s="417"/>
      <c r="M7" s="1949" t="s">
        <v>710</v>
      </c>
      <c r="N7" s="1950"/>
      <c r="O7" s="1951"/>
      <c r="Q7" s="415" t="s">
        <v>180</v>
      </c>
      <c r="R7" s="416"/>
      <c r="S7" s="417"/>
      <c r="U7" s="415" t="s">
        <v>298</v>
      </c>
      <c r="V7" s="416"/>
      <c r="W7" s="417"/>
      <c r="Z7" s="612" t="s">
        <v>784</v>
      </c>
      <c r="AA7" s="654">
        <v>1</v>
      </c>
      <c r="AB7" s="612" t="s">
        <v>785</v>
      </c>
      <c r="AC7" s="654">
        <v>-1</v>
      </c>
    </row>
    <row r="8" spans="2:29" s="229" customFormat="1" ht="14.85" customHeight="1">
      <c r="B8" s="655" t="s">
        <v>597</v>
      </c>
      <c r="D8" s="620" t="s">
        <v>289</v>
      </c>
      <c r="E8" s="621" t="s">
        <v>167</v>
      </c>
      <c r="F8" s="621" t="s">
        <v>168</v>
      </c>
      <c r="G8" s="656" t="s">
        <v>290</v>
      </c>
      <c r="H8" s="289"/>
      <c r="I8" s="620" t="s">
        <v>297</v>
      </c>
      <c r="J8" s="621" t="s">
        <v>284</v>
      </c>
      <c r="K8" s="656" t="s">
        <v>285</v>
      </c>
      <c r="L8" s="289"/>
      <c r="M8" s="620" t="s">
        <v>297</v>
      </c>
      <c r="N8" s="621" t="s">
        <v>284</v>
      </c>
      <c r="O8" s="648" t="s">
        <v>285</v>
      </c>
      <c r="P8" s="289"/>
      <c r="Q8" s="543" t="s">
        <v>297</v>
      </c>
      <c r="R8" s="544" t="s">
        <v>284</v>
      </c>
      <c r="S8" s="546" t="s">
        <v>285</v>
      </c>
      <c r="T8" s="289"/>
      <c r="U8" s="543" t="s">
        <v>297</v>
      </c>
      <c r="V8" s="544" t="s">
        <v>284</v>
      </c>
      <c r="W8" s="546" t="s">
        <v>285</v>
      </c>
      <c r="X8" s="208"/>
      <c r="Z8" s="550" t="s">
        <v>108</v>
      </c>
    </row>
    <row r="9" spans="2:29" ht="14.85" customHeight="1"/>
    <row r="10" spans="2:29" ht="14.85" customHeight="1">
      <c r="B10" s="208" t="str">
        <f>'Comp.1'!B12</f>
        <v>Nektar Therapeutics</v>
      </c>
      <c r="D10" s="458">
        <f>'Capital IQ Sheet-GPC'!AF13</f>
        <v>0.98</v>
      </c>
      <c r="E10" s="458">
        <f>'Capital IQ Sheet-GPC'!AG13</f>
        <v>0.63700000000000001</v>
      </c>
      <c r="F10" s="458">
        <f>'Capital IQ Sheet-GPC'!AH13</f>
        <v>0.628</v>
      </c>
      <c r="G10" s="458">
        <f>'Capital IQ Sheet-GPC'!AI13</f>
        <v>0.59699999999999998</v>
      </c>
      <c r="I10" s="378">
        <f>'Capital IQ Sheet-GPC'!AJ13</f>
        <v>-44.9</v>
      </c>
      <c r="J10" s="378">
        <f>'Capital IQ Sheet-GPC'!AK13</f>
        <v>-59.8</v>
      </c>
      <c r="K10" s="378">
        <f>'Capital IQ Sheet-GPC'!AL13</f>
        <v>-23.3</v>
      </c>
      <c r="M10" s="458">
        <f>IFERROR(IF(I10/'Comp.1'!H12&gt;$AA$7,"NM",IF((I10/'Comp.1'!H12)&lt;$AC$7,"NM",I10/'Comp.1'!H12)),"n/a")</f>
        <v>-0.26821983273596173</v>
      </c>
      <c r="N10" s="458">
        <f>IFERROR(IF(J10/'Comp.1'!I12&gt;$AA$7,"NM",IF((J10/'Comp.1'!I12)&lt;$AC$7,"NM",J10/'Comp.1'!I12)),"n/a")</f>
        <v>-0.23948738486183421</v>
      </c>
      <c r="O10" s="458">
        <f>IFERROR(IF(K10/'Comp.1'!J12&gt;$AA$7,"NM",IF((K10/'Comp.1'!J12)&lt;$AC$7,"NM",K10/'Comp.1'!J12)),"n/a")</f>
        <v>-1.8655476583373569E-2</v>
      </c>
      <c r="P10" s="283"/>
      <c r="Q10" s="378">
        <f>'Capital IQ Sheet-GPC'!AM13</f>
        <v>-6.2</v>
      </c>
      <c r="R10" s="378">
        <f>'Capital IQ Sheet-GPC'!AN13</f>
        <v>-9.9</v>
      </c>
      <c r="S10" s="378">
        <f>'Capital IQ Sheet-GPC'!AO13</f>
        <v>-7.9</v>
      </c>
      <c r="U10" s="458">
        <f>IFERROR(IF(Q10/'Comp.1'!H12&gt;$AA$7,"NM",IF((Q10/'Comp.1'!H12)&lt;$AC$7,"NM",Q10/'Comp.1'!H12)),"n/a")</f>
        <v>-3.7037037037037035E-2</v>
      </c>
      <c r="V10" s="458">
        <f>IFERROR(IF(R10/'Comp.1'!I12&gt;$AA$7,"NM",IF((R10/'Comp.1'!I12)&lt;$AC$7,"NM",R10/'Comp.1'!I12)),"n/a")</f>
        <v>-3.9647577092511016E-2</v>
      </c>
      <c r="W10" s="458">
        <f>IFERROR(IF(S10/'Comp.1'!J12&gt;$AA$7,"NM",IF((S10/'Comp.1'!J12)&lt;$AC$7,"NM",S10/'Comp.1'!J12)),"n/a")</f>
        <v>-6.3252474252639993E-3</v>
      </c>
      <c r="Z10" s="557" t="str">
        <f>IF('MASTER PubCo Inputs'!B28="","",'MASTER PubCo Inputs'!B28)</f>
        <v>NasdaqGS:NKTR</v>
      </c>
      <c r="AA10" s="208" t="str">
        <f>'Comp.2'!AI12</f>
        <v>Nektar Therapeutics, a research-based biopharmaceutical company, discovers and develops drug candidates for cancer, auto-immune disease, and chronic pain in the United States. The company offers ONZEALD, a topoisomerase I inhibitor that is in Phase III clinical trial for advanced metastatic breast cancer in patients with brain metastases; NKTR-181, an orally-available mu-opioid analgesic molecule, which is in Phase III clinical trial for moderate to severe chronic pain; NKTR-214, a cytokine immunostimulatory therapy that is in Phase I/II to treat cancer; NKTR-358, which is in Phase I to treat autoimmune diseases; and NKTR-262 for solid tumors, as well as NKTR-255 that is under research/preclinical stage for immuno-oncology. It is also developing MOVANTIK for opioid-induced constipation in adult patients with chronic non-cancer pain, and who have an inadequate response to laxatives; ADYNOVATE for hemophilia A; Somavert to treat acromegaly; and Neulasta for treating neutropenia. In addition, the company develops PEG-INTRON for the treatment of hepatitis-C; Macugen for age-related macular degeneration; CIMZIA to treat rheumatoid arthritis, Crohn’s disease, and psoriasis/ankylosing spondylitis; and MIRCERA for anemia related to chronic kidney disease in patients on and not on dialysis. Further, it is developing SEMPRANA to treat migraine; dapirolizumab pegol for systemic lupus erythematosus; PEGPH20 for ancreatic, non-small cell lung cancer, and other tumor types; and longer-acting blood clotting proteins for hemophilia. The company has collaboration agreement with AstraZeneca AB, Shire plc, Pfizer Inc., Amgen Inc., Merck &amp; Co., Inc., Valeant Pharmaceuticals International, Inc., UCB Pharma S.A., F. Hoffmann-La Roche Ltd, Allergan, Inc., Halozyme Therapeutics, Inc., Baxalta Incorporated, Bristol-Myers Squibb Company, and Takeda Pharmaceutical Company Limited. The company was founded in 1990 and is headquartered in San Francisco, California.</v>
      </c>
    </row>
    <row r="11" spans="2:29" ht="14.85" customHeight="1">
      <c r="B11" s="208" t="str">
        <f>'Comp.1'!B13</f>
        <v>Fate Therapeutics, Inc.</v>
      </c>
      <c r="D11" s="458" t="str">
        <f>'Capital IQ Sheet-GPC'!AF14</f>
        <v>n/a</v>
      </c>
      <c r="E11" s="458" t="str">
        <f>'Capital IQ Sheet-GPC'!AG14</f>
        <v>n/a</v>
      </c>
      <c r="F11" s="458" t="str">
        <f>'Capital IQ Sheet-GPC'!AH14</f>
        <v>n/a</v>
      </c>
      <c r="G11" s="458" t="str">
        <f>'Capital IQ Sheet-GPC'!AI14</f>
        <v>n/a</v>
      </c>
      <c r="I11" s="378">
        <f>'Capital IQ Sheet-GPC'!AJ14</f>
        <v>-5.9</v>
      </c>
      <c r="J11" s="378">
        <f>'Capital IQ Sheet-GPC'!AK14</f>
        <v>-8.9</v>
      </c>
      <c r="K11" s="378">
        <f>'Capital IQ Sheet-GPC'!AL14</f>
        <v>-16.7</v>
      </c>
      <c r="M11" s="458" t="str">
        <f>IFERROR(IF(I11/'Comp.1'!H13&gt;$AA$7,"NM",IF((I11/'Comp.1'!H13)&lt;$AC$7,"NM",I11/'Comp.1'!H13)),"n/a")</f>
        <v>NM</v>
      </c>
      <c r="N11" s="458" t="str">
        <f>IFERROR(IF(J11/'Comp.1'!I13&gt;$AA$7,"NM",IF((J11/'Comp.1'!I13)&lt;$AC$7,"NM",J11/'Comp.1'!I13)),"n/a")</f>
        <v>NM</v>
      </c>
      <c r="O11" s="458" t="str">
        <f>IFERROR(IF(K11/'Comp.1'!J13&gt;$AA$7,"NM",IF((K11/'Comp.1'!J13)&lt;$AC$7,"NM",K11/'Comp.1'!J13)),"n/a")</f>
        <v>NM</v>
      </c>
      <c r="P11" s="283"/>
      <c r="Q11" s="378">
        <f>'Capital IQ Sheet-GPC'!AM14</f>
        <v>-0.6</v>
      </c>
      <c r="R11" s="378">
        <f>'Capital IQ Sheet-GPC'!AN14</f>
        <v>-1</v>
      </c>
      <c r="S11" s="378">
        <f>'Capital IQ Sheet-GPC'!AO14</f>
        <v>-2</v>
      </c>
      <c r="U11" s="458">
        <f>IFERROR(IF(Q11/'Comp.1'!H13&gt;$AA$7,"NM",IF((Q11/'Comp.1'!H13)&lt;$AC$7,"NM",Q11/'Comp.1'!H13)),"n/a")</f>
        <v>-0.13333333333333333</v>
      </c>
      <c r="V11" s="458">
        <f>IFERROR(IF(R11/'Comp.1'!I13&gt;$AA$7,"NM",IF((R11/'Comp.1'!I13)&lt;$AC$7,"NM",R11/'Comp.1'!I13)),"n/a")</f>
        <v>-0.24390243902439027</v>
      </c>
      <c r="W11" s="458">
        <f>IFERROR(IF(S11/'Comp.1'!J13&gt;$AA$7,"NM",IF((S11/'Comp.1'!J13)&lt;$AC$7,"NM",S11/'Comp.1'!J13)),"n/a")</f>
        <v>-0.48709206039941549</v>
      </c>
      <c r="Z11" s="557" t="str">
        <f>IF('MASTER PubCo Inputs'!B29="","",'MASTER PubCo Inputs'!B29)</f>
        <v>NasdaqGM:FATE</v>
      </c>
      <c r="AA11" s="208" t="str">
        <f>'Comp.2'!AI13</f>
        <v>Fate Therapeutics, Inc., a clinical-stage biopharmaceutical company, develops programmed cellular immunotherapies for cancer and immune disorders worldwide. Its immuno-oncology product candidates include FATE-NK100, a natural killer (NK) cell cancer immunotherapy that consists of adaptive memory NK cells; FT500 induced pluripotent stem cells (iPSC)-derived NK cell product candidate for the treatment of advanced solid tumors; FT516 engineered iPSC-derived NK cell product candidate for the treatment of hematologic/solid tumors; and FT819 engineered chimeric antigen receptor 19 iPSC-derived T-cell product candidate for hematologic/solid tumors. The company’s immuno-regulation product candidates comprise ProTmune, an investigational programmed cellular immunotherapy for use as a next-generation allogeneic hematopoietic cell transplantation cell graft; ToleraCyte for the treatment of autoimmune and inflammatory diseases; and FT300 iPSC-derived myeloid derived suppressor cell product candidate for the treatment of autoimmune diseases. Fate Therapeutics, Inc. has a research collaboration and license agreement with Memorial Sloan Kettering Cancer Center to develop off-the-shelf engineered T-cell product candidates; a research collaboration partnership with the University of California San Diego to develop off-the-shelf chimeric antigen receptor-targeted natural killer cell cancer immunotherapies. It also has a strategic research collaboration and license agreement with Juno Therapeutics, Inc. to identify small molecule modulators that enhance the function of T cells; and a collaboration agreement with ONO Pharmaceutical Co., Ltd. for the development and commercialization of two off-the-shelf CAR-T cell product candidates. Fate Therapeutics, Inc. was founded in 2007 and is headquartered in San Diego, California.</v>
      </c>
    </row>
    <row r="12" spans="2:29" ht="14.85" customHeight="1">
      <c r="B12" s="208" t="str">
        <f>'Comp.1'!B14</f>
        <v>Synthorx, Inc.</v>
      </c>
      <c r="D12" s="458" t="str">
        <f>'Capital IQ Sheet-GPC'!AF15</f>
        <v>n/a</v>
      </c>
      <c r="E12" s="458" t="str">
        <f>'Capital IQ Sheet-GPC'!AG15</f>
        <v>n/a</v>
      </c>
      <c r="F12" s="458" t="str">
        <f>'Capital IQ Sheet-GPC'!AH15</f>
        <v>n/a</v>
      </c>
      <c r="G12" s="458" t="str">
        <f>'Capital IQ Sheet-GPC'!AI15</f>
        <v>n/a</v>
      </c>
      <c r="I12" s="378" t="str">
        <f>'Capital IQ Sheet-GPC'!AJ15</f>
        <v xml:space="preserve"> n/a </v>
      </c>
      <c r="J12" s="378">
        <f>'Capital IQ Sheet-GPC'!AK15</f>
        <v>-0.2</v>
      </c>
      <c r="K12" s="378">
        <f>'Capital IQ Sheet-GPC'!AL15</f>
        <v>-26.2</v>
      </c>
      <c r="M12" s="458" t="str">
        <f>IFERROR(IF(I12/'Comp.1'!H14&gt;$AA$7,"NM",IF((I12/'Comp.1'!H14)&lt;$AC$7,"NM",I12/'Comp.1'!H14)),"n/a")</f>
        <v>n/a</v>
      </c>
      <c r="N12" s="458" t="str">
        <f>IFERROR(IF(J12/'Comp.1'!I14&gt;$AA$7,"NM",IF((J12/'Comp.1'!I14)&lt;$AC$7,"NM",J12/'Comp.1'!I14)),"n/a")</f>
        <v>n/a</v>
      </c>
      <c r="O12" s="458" t="str">
        <f>IFERROR(IF(K12/'Comp.1'!J14&gt;$AA$7,"NM",IF((K12/'Comp.1'!J14)&lt;$AC$7,"NM",K12/'Comp.1'!J14)),"n/a")</f>
        <v>n/a</v>
      </c>
      <c r="P12" s="283"/>
      <c r="Q12" s="378" t="str">
        <f>'Capital IQ Sheet-GPC'!AM15</f>
        <v xml:space="preserve"> n/a </v>
      </c>
      <c r="R12" s="378">
        <f>'Capital IQ Sheet-GPC'!AN15</f>
        <v>-0.4</v>
      </c>
      <c r="S12" s="378">
        <f>'Capital IQ Sheet-GPC'!AO15</f>
        <v>-0.9</v>
      </c>
      <c r="U12" s="458" t="str">
        <f>IFERROR(IF(Q12/'Comp.1'!H14&gt;$AA$7,"NM",IF((Q12/'Comp.1'!H14)&lt;$AC$7,"NM",Q12/'Comp.1'!H14)),"n/a")</f>
        <v>n/a</v>
      </c>
      <c r="V12" s="458" t="str">
        <f>IFERROR(IF(R12/'Comp.1'!I14&gt;$AA$7,"NM",IF((R12/'Comp.1'!I14)&lt;$AC$7,"NM",R12/'Comp.1'!I14)),"n/a")</f>
        <v>n/a</v>
      </c>
      <c r="W12" s="458" t="str">
        <f>IFERROR(IF(S12/'Comp.1'!J14&gt;$AA$7,"NM",IF((S12/'Comp.1'!J14)&lt;$AC$7,"NM",S12/'Comp.1'!J14)),"n/a")</f>
        <v>n/a</v>
      </c>
      <c r="Z12" s="557" t="str">
        <f>IF('MASTER PubCo Inputs'!B30="","",'MASTER PubCo Inputs'!B30)</f>
        <v>NasdaqGS:THOR</v>
      </c>
      <c r="AA12" s="208" t="str">
        <f>'Comp.2'!AI14</f>
        <v>Synthorx, Inc., a biotechnology company, discovers and develops protein therapeutics. The company’s lead product candidate is THOR-707, a variant of IL-2 that is in development in various tumor types as a single agent and in combination with an immune checkpoint inhibitor. The company was founded in 2014 and is headquartered in La Jolla, California.</v>
      </c>
    </row>
    <row r="13" spans="2:29" ht="14.85" customHeight="1">
      <c r="B13" s="208" t="str">
        <f>'Comp.1'!B15</f>
        <v>ZIOPHARM Oncology, Inc.</v>
      </c>
      <c r="D13" s="458" t="str">
        <f>'Capital IQ Sheet-GPC'!AF16</f>
        <v>n/a</v>
      </c>
      <c r="E13" s="458" t="str">
        <f>'Capital IQ Sheet-GPC'!AG16</f>
        <v>n/a</v>
      </c>
      <c r="F13" s="458" t="str">
        <f>'Capital IQ Sheet-GPC'!AH16</f>
        <v>n/a</v>
      </c>
      <c r="G13" s="458" t="str">
        <f>'Capital IQ Sheet-GPC'!AI16</f>
        <v>n/a</v>
      </c>
      <c r="I13" s="378">
        <f>'Capital IQ Sheet-GPC'!AJ16</f>
        <v>5.3</v>
      </c>
      <c r="J13" s="378">
        <f>'Capital IQ Sheet-GPC'!AK16</f>
        <v>12.3</v>
      </c>
      <c r="K13" s="378">
        <f>'Capital IQ Sheet-GPC'!AL16</f>
        <v>-44.8</v>
      </c>
      <c r="M13" s="458">
        <f>IFERROR(IF(I13/'Comp.1'!H15&gt;$AA$7,"NM",IF((I13/'Comp.1'!H15)&lt;$AC$7,"NM",I13/'Comp.1'!H15)),"n/a")</f>
        <v>0.73611111111111105</v>
      </c>
      <c r="N13" s="458" t="str">
        <f>IFERROR(IF(J13/'Comp.1'!I15&gt;$AA$7,"NM",IF((J13/'Comp.1'!I15)&lt;$AC$7,"NM",J13/'Comp.1'!I15)),"n/a")</f>
        <v>NM</v>
      </c>
      <c r="O13" s="458" t="str">
        <f>IFERROR(IF(K13/'Comp.1'!J15&gt;$AA$7,"NM",IF((K13/'Comp.1'!J15)&lt;$AC$7,"NM",K13/'Comp.1'!J15)),"n/a")</f>
        <v>NM</v>
      </c>
      <c r="P13" s="283"/>
      <c r="Q13" s="378">
        <f>'Capital IQ Sheet-GPC'!AM16</f>
        <v>-0.9</v>
      </c>
      <c r="R13" s="378">
        <f>'Capital IQ Sheet-GPC'!AN16</f>
        <v>-0.5</v>
      </c>
      <c r="S13" s="378">
        <f>'Capital IQ Sheet-GPC'!AO16</f>
        <v>-0.8</v>
      </c>
      <c r="U13" s="458">
        <f>IFERROR(IF(Q13/'Comp.1'!H15&gt;$AA$7,"NM",IF((Q13/'Comp.1'!H15)&lt;$AC$7,"NM",Q13/'Comp.1'!H15)),"n/a")</f>
        <v>-0.125</v>
      </c>
      <c r="V13" s="458">
        <f>IFERROR(IF(R13/'Comp.1'!I15&gt;$AA$7,"NM",IF((R13/'Comp.1'!I15)&lt;$AC$7,"NM",R13/'Comp.1'!I15)),"n/a")</f>
        <v>-7.8125E-2</v>
      </c>
      <c r="W13" s="458">
        <f>IFERROR(IF(S13/'Comp.1'!J15&gt;$AA$7,"NM",IF((S13/'Comp.1'!J15)&lt;$AC$7,"NM",S13/'Comp.1'!J15)),"n/a")</f>
        <v>-0.45897877223178429</v>
      </c>
      <c r="Z13" s="557" t="str">
        <f>IF('MASTER PubCo Inputs'!B31="","",'MASTER PubCo Inputs'!B31)</f>
        <v>NasdaqCM:ZIOP</v>
      </c>
      <c r="AA13" s="208" t="str">
        <f>'Comp.2'!AI15</f>
        <v>ZIOPHARM Oncology, Inc., a biotechnology company, focuses on acquiring, developing, and commercializing a portfolio of immuno-oncology therapies for treating heterogenous solid tumors and unknown antigens. The company develops two immuno-oncology platform technologies, including Controlled IL-12, which delivers interleukin 12 or IL-12, a master regular of the immune system, in a controlled and safe manner to focus the patient’s immune system to cancer; and Sleeping Beauty (SB), which is based on the genetic engineering of T-cells using the (SB) system to rapidly reprogram T-cells outside of the body for infusion. Its lead gene therapy product candidate is Ad-RTS-hIL-12 plus veledimex, which is in Phase I clinical trial, a gene therapy product candidate to treat patients with recurrent glioblastoma. The company is also developing chimeric antigen receptor (CAR) T-cell and T-cell receptor T-cell therapies. ZIOPHARM Oncology, Inc. has collaboration agreements with Precigen, Inc., MD Anderson Cancer Center, the National Cancer Institute, and Ares Trading S.A. The company is headquartered in Boston, Massachusetts.</v>
      </c>
    </row>
    <row r="14" spans="2:29" ht="14.85" customHeight="1">
      <c r="B14" s="208" t="str">
        <f>'Comp.1'!B16</f>
        <v>Stemline Therapeutics, Inc.</v>
      </c>
      <c r="D14" s="458" t="str">
        <f>'Capital IQ Sheet-GPC'!AF17</f>
        <v>n/a</v>
      </c>
      <c r="E14" s="458" t="str">
        <f>'Capital IQ Sheet-GPC'!AG17</f>
        <v>n/a</v>
      </c>
      <c r="F14" s="458" t="str">
        <f>'Capital IQ Sheet-GPC'!AH17</f>
        <v>n/a</v>
      </c>
      <c r="G14" s="458" t="str">
        <f>'Capital IQ Sheet-GPC'!AI17</f>
        <v>n/a</v>
      </c>
      <c r="I14" s="378">
        <f>'Capital IQ Sheet-GPC'!AJ17</f>
        <v>-8.6</v>
      </c>
      <c r="J14" s="378">
        <f>'Capital IQ Sheet-GPC'!AK17</f>
        <v>-13.9</v>
      </c>
      <c r="K14" s="378">
        <f>'Capital IQ Sheet-GPC'!AL17</f>
        <v>-15.4</v>
      </c>
      <c r="M14" s="458" t="str">
        <f>IFERROR(IF(I14/'Comp.1'!H16&gt;$AA$7,"NM",IF((I14/'Comp.1'!H16)&lt;$AC$7,"NM",I14/'Comp.1'!H16)),"n/a")</f>
        <v>NM</v>
      </c>
      <c r="N14" s="458" t="str">
        <f>IFERROR(IF(J14/'Comp.1'!I16&gt;$AA$7,"NM",IF((J14/'Comp.1'!I16)&lt;$AC$7,"NM",J14/'Comp.1'!I16)),"n/a")</f>
        <v>NM</v>
      </c>
      <c r="O14" s="458" t="str">
        <f>IFERROR(IF(K14/'Comp.1'!J16&gt;$AA$7,"NM",IF((K14/'Comp.1'!J16)&lt;$AC$7,"NM",K14/'Comp.1'!J16)),"n/a")</f>
        <v>NM</v>
      </c>
      <c r="P14" s="283"/>
      <c r="Q14" s="378">
        <f>'Capital IQ Sheet-GPC'!AM17</f>
        <v>0</v>
      </c>
      <c r="R14" s="378">
        <f>'Capital IQ Sheet-GPC'!AN17</f>
        <v>-0.1</v>
      </c>
      <c r="S14" s="378">
        <f>'Capital IQ Sheet-GPC'!AO17</f>
        <v>-0.1</v>
      </c>
      <c r="U14" s="458">
        <f>IFERROR(IF(Q14/'Comp.1'!H16&gt;$AA$7,"NM",IF((Q14/'Comp.1'!H16)&lt;$AC$7,"NM",Q14/'Comp.1'!H16)),"n/a")</f>
        <v>0</v>
      </c>
      <c r="V14" s="458">
        <f>IFERROR(IF(R14/'Comp.1'!I16&gt;$AA$7,"NM",IF((R14/'Comp.1'!I16)&lt;$AC$7,"NM",R14/'Comp.1'!I16)),"n/a")</f>
        <v>-8.3333333333333343E-2</v>
      </c>
      <c r="W14" s="458">
        <f>IFERROR(IF(S14/'Comp.1'!J16&gt;$AA$7,"NM",IF((S14/'Comp.1'!J16)&lt;$AC$7,"NM",S14/'Comp.1'!J16)),"n/a")</f>
        <v>-0.2</v>
      </c>
      <c r="Z14" s="557" t="str">
        <f>IF('MASTER PubCo Inputs'!B32="","",'MASTER PubCo Inputs'!B32)</f>
        <v>NasdaqCM:STML</v>
      </c>
      <c r="AA14" s="208" t="str">
        <f>'Comp.2'!AI16</f>
        <v>Stemline Therapeutics, Inc., a clinical stage biopharmaceutical company, focuses on the discovery, acquisition, development, and commercialization of proprietary oncology therapeutics in the United States and internationally. The company develops SL-401, a targeted therapy directed to the interleukin-3 receptor (IL-3R), which has completed Phase II clinical trial for patients with blastic plasmacytoid dendritic cell neoplasm; is in Phase I/II clinical trials for patients with myeloproliferative neoplasms, chronic myelomonocytic leukemia, myelofibrosis, and acute myeloid leukemia; and is in Phase I clinical trial in combination with other agents for patients with relapsed/refractory multiple myeloma. It also develops SL-801, a novel oral small molecule reversible inhibitor of nuclear transport protein, which is in Phase I clinical trial for the treatment of solid and hematologic cancers; and SL-701, an immunotherapy that has completed Phase II clinical trial to attack brain cancer. The company's preclinical pipeline products include SL-501, a next generation IL-3R-targeted therapy; SL-101, a single chain monoclonal antibody fragment for the treatment of hematologic cancers; and SL-901, a small molecule kinase inhibitor. Stemline Therapeutics, Inc. was founded in 2003 and is based in New York, New York.</v>
      </c>
    </row>
    <row r="15" spans="2:29" ht="14.85" customHeight="1">
      <c r="B15" s="208" t="str">
        <f>'Comp.1'!B17</f>
        <v>TG Therapeutics, Inc.</v>
      </c>
      <c r="D15" s="458">
        <f>'Capital IQ Sheet-GPC'!AF18</f>
        <v>1</v>
      </c>
      <c r="E15" s="458" t="str">
        <f>'Capital IQ Sheet-GPC'!AG18</f>
        <v>n/a</v>
      </c>
      <c r="F15" s="458" t="str">
        <f>'Capital IQ Sheet-GPC'!AH18</f>
        <v>n/a</v>
      </c>
      <c r="G15" s="458" t="str">
        <f>'Capital IQ Sheet-GPC'!AI18</f>
        <v>n/a</v>
      </c>
      <c r="I15" s="378">
        <f>'Capital IQ Sheet-GPC'!AJ18</f>
        <v>-6</v>
      </c>
      <c r="J15" s="378">
        <f>'Capital IQ Sheet-GPC'!AK18</f>
        <v>-13.8</v>
      </c>
      <c r="K15" s="378">
        <f>'Capital IQ Sheet-GPC'!AL18</f>
        <v>-28.2</v>
      </c>
      <c r="M15" s="458" t="str">
        <f>IFERROR(IF(I15/'Comp.1'!H17&gt;$AA$7,"NM",IF((I15/'Comp.1'!H17)&lt;$AC$7,"NM",I15/'Comp.1'!H17)),"n/a")</f>
        <v>NM</v>
      </c>
      <c r="N15" s="458" t="str">
        <f>IFERROR(IF(J15/'Comp.1'!I17&gt;$AA$7,"NM",IF((J15/'Comp.1'!I17)&lt;$AC$7,"NM",J15/'Comp.1'!I17)),"n/a")</f>
        <v>NM</v>
      </c>
      <c r="O15" s="458" t="str">
        <f>IFERROR(IF(K15/'Comp.1'!J17&gt;$AA$7,"NM",IF((K15/'Comp.1'!J17)&lt;$AC$7,"NM",K15/'Comp.1'!J17)),"n/a")</f>
        <v>NM</v>
      </c>
      <c r="P15" s="283"/>
      <c r="Q15" s="378">
        <f>'Capital IQ Sheet-GPC'!AM18</f>
        <v>-0.3</v>
      </c>
      <c r="R15" s="378">
        <f>'Capital IQ Sheet-GPC'!AN18</f>
        <v>0</v>
      </c>
      <c r="S15" s="378">
        <f>'Capital IQ Sheet-GPC'!AO18</f>
        <v>-0.1</v>
      </c>
      <c r="U15" s="458" t="str">
        <f>IFERROR(IF(Q15/'Comp.1'!H17&gt;$AA$7,"NM",IF((Q15/'Comp.1'!H17)&lt;$AC$7,"NM",Q15/'Comp.1'!H17)),"n/a")</f>
        <v>NM</v>
      </c>
      <c r="V15" s="458">
        <f>IFERROR(IF(R15/'Comp.1'!I17&gt;$AA$7,"NM",IF((R15/'Comp.1'!I17)&lt;$AC$7,"NM",R15/'Comp.1'!I17)),"n/a")</f>
        <v>0</v>
      </c>
      <c r="W15" s="458">
        <f>IFERROR(IF(S15/'Comp.1'!J17&gt;$AA$7,"NM",IF((S15/'Comp.1'!J17)&lt;$AC$7,"NM",S15/'Comp.1'!J17)),"n/a")</f>
        <v>-0.65625410158813502</v>
      </c>
      <c r="Z15" s="557" t="str">
        <f>IF('MASTER PubCo Inputs'!B33="","",'MASTER PubCo Inputs'!B33)</f>
        <v>NasdaqCM:TGTX</v>
      </c>
      <c r="AA15" s="208" t="str">
        <f>'Comp.2'!AI17</f>
        <v>TG Therapeutics, Inc., a biopharmaceutical company, focuses on the acquisition, development, and commercialization of novel treatments for B-cell malignancies and autoimmune diseases in the United States. It develops TG-1101 (ublituximab), a chimeric, glycoengineered monoclonal antibody that targets an epitope on the CD20 antigen found on the surface of B-lymphocytes developed to aid in the depletion of circulating B-cells; and TG-1101 in combination with TGR-1202 for relapsed/refractory chronic lymphocytic leukemia. The company also develops TGR-1202, an orally available phosphoinositide-3-kinase delta inhibitor with nanomolar potency to the delta isoform and high selectivity over the alpha, beta, and gamma isoforms, as well as for hematologic malignancies. In addition, it develops a pre-clinical program to develop interleukin-1 receptor-associated kinase 4 (IRAK4) inhibitors; bromodomain and extra terminal (BET) inhibitor program for cancer treatment; and anti-PD-L1 and anti-GITR antibody research programs that are in pre-clinical development stage in the field of hematological malignancies. The company has license agreements with LFB Biotechnologies S.A.S, GTC Biotherapeutics, LFB/GTC LLC, and Ildong Pharmaceutical Co. Ltd. for the development and commercialization of TG-1101 (ublituximab); Rhizen Pharmaceuticals, SA for the development and commercialization of TGR-1202; Ligand Pharmaceuticals Incorporated for the development and commercialization of IRAK4 inhibitor technology; Checkpoint Therapeutics, Inc. for the development and commercialization of anti-PD-L1 and anti-GITR antibody research programs; and Jubilant Biosys for the development and commercialization of BET inhibitor program. TG Therapeutics, Inc. was incorporated in 1993 and is headquartered in New York, New York.</v>
      </c>
    </row>
    <row r="16" spans="2:29" ht="14.85" customHeight="1">
      <c r="B16" s="208" t="str">
        <f>'Comp.1'!B18</f>
        <v>XOMA Corporation</v>
      </c>
      <c r="D16" s="458">
        <f>'Capital IQ Sheet-GPC'!AF19</f>
        <v>0.76500000000000001</v>
      </c>
      <c r="E16" s="458">
        <f>'Capital IQ Sheet-GPC'!AG19</f>
        <v>-1.5649999999999999</v>
      </c>
      <c r="F16" s="458">
        <f>'Capital IQ Sheet-GPC'!AH19</f>
        <v>-1.57</v>
      </c>
      <c r="G16" s="458">
        <f>'Capital IQ Sheet-GPC'!AI19</f>
        <v>-1.2989999999999999</v>
      </c>
      <c r="I16" s="378">
        <f>'Capital IQ Sheet-GPC'!AJ19</f>
        <v>-8.5</v>
      </c>
      <c r="J16" s="378">
        <f>'Capital IQ Sheet-GPC'!AK19</f>
        <v>-12.9</v>
      </c>
      <c r="K16" s="378">
        <f>'Capital IQ Sheet-GPC'!AL19</f>
        <v>-3.9</v>
      </c>
      <c r="M16" s="458">
        <f>IFERROR(IF(I16/'Comp.1'!H18&gt;$AA$7,"NM",IF((I16/'Comp.1'!H18)&lt;$AC$7,"NM",I16/'Comp.1'!H18)),"n/a")</f>
        <v>-0.15977443609022557</v>
      </c>
      <c r="N16" s="458">
        <f>IFERROR(IF(J16/'Comp.1'!I18&gt;$AA$7,"NM",IF((J16/'Comp.1'!I18)&lt;$AC$7,"NM",J16/'Comp.1'!I18)),"n/a")</f>
        <v>-0.26931106471816285</v>
      </c>
      <c r="O16" s="458">
        <f>IFERROR(IF(K16/'Comp.1'!J18&gt;$AA$7,"NM",IF((K16/'Comp.1'!J18)&lt;$AC$7,"NM",K16/'Comp.1'!J18)),"n/a")</f>
        <v>-0.43473414335079702</v>
      </c>
      <c r="P16" s="283"/>
      <c r="Q16" s="378">
        <f>'Capital IQ Sheet-GPC'!AM19</f>
        <v>0</v>
      </c>
      <c r="R16" s="378">
        <f>'Capital IQ Sheet-GPC'!AN19</f>
        <v>-0.1</v>
      </c>
      <c r="S16" s="378">
        <f>'Capital IQ Sheet-GPC'!AO19</f>
        <v>0</v>
      </c>
      <c r="U16" s="458">
        <f>IFERROR(IF(Q16/'Comp.1'!H18&gt;$AA$7,"NM",IF((Q16/'Comp.1'!H18)&lt;$AC$7,"NM",Q16/'Comp.1'!H18)),"n/a")</f>
        <v>0</v>
      </c>
      <c r="V16" s="458">
        <f>IFERROR(IF(R16/'Comp.1'!I18&gt;$AA$7,"NM",IF((R16/'Comp.1'!I18)&lt;$AC$7,"NM",R16/'Comp.1'!I18)),"n/a")</f>
        <v>-2.0876826722338207E-3</v>
      </c>
      <c r="W16" s="458">
        <f>IFERROR(IF(S16/'Comp.1'!J18&gt;$AA$7,"NM",IF((S16/'Comp.1'!J18)&lt;$AC$7,"NM",S16/'Comp.1'!J18)),"n/a")</f>
        <v>0</v>
      </c>
      <c r="Z16" s="557" t="str">
        <f>IF('MASTER PubCo Inputs'!B34="","",'MASTER PubCo Inputs'!B34)</f>
        <v>NasdaqGM:XOMA</v>
      </c>
      <c r="AA16" s="208" t="str">
        <f>'Comp.2'!AI18</f>
        <v>XOMA Corporation engages in the discovery, development, and licensing of therapeutic antibodies in the United States, Europe, and the Asia Pacific. The company has a portfolio of monoclonal antibodies and technologies to license to pharmaceutical and biotechnology companies to further their clinical development. Its proprietary product candidates include X213, an allosteric inhibitor of prolactin action; XMetA, an insulin receptor-activating antibody designed to provide long-acting reduction of hyperglycemia in Type 2 diabetic patients; and other preclinical product candidates, such as interleukin 2, a therapy for metastatic melanoma and renal cell carcinoma, as well as anti-parathyroid receptor to address unmet medical needs. The company also licenses antibody discovery, optimization, and development technologies. It has research and development collaboration and licensing agreements with Novartis AG; Takeda Pharmaceutical Company Limited; and Pfizer Inc. XOMA Corporation was founded in 1981 and is headquartered in Emeryville, California.</v>
      </c>
    </row>
    <row r="17" spans="2:27" ht="14.85" customHeight="1">
      <c r="B17" s="208" t="str">
        <f>'Comp.1'!B19</f>
        <v>Five Prime Therapeutics, Inc.</v>
      </c>
      <c r="D17" s="458">
        <f>'Capital IQ Sheet-GPC'!AF20</f>
        <v>-1.613</v>
      </c>
      <c r="E17" s="458">
        <f>'Capital IQ Sheet-GPC'!AG20</f>
        <v>-2.2229999999999999</v>
      </c>
      <c r="F17" s="458">
        <f>'Capital IQ Sheet-GPC'!AH20</f>
        <v>-2.2999999999999998</v>
      </c>
      <c r="G17" s="458">
        <f>'Capital IQ Sheet-GPC'!AI20</f>
        <v>-2.2170000000000001</v>
      </c>
      <c r="I17" s="378">
        <f>'Capital IQ Sheet-GPC'!AJ20</f>
        <v>-25.9</v>
      </c>
      <c r="J17" s="378">
        <f>'Capital IQ Sheet-GPC'!AK20</f>
        <v>-33.1</v>
      </c>
      <c r="K17" s="378">
        <f>'Capital IQ Sheet-GPC'!AL20</f>
        <v>-28.3</v>
      </c>
      <c r="M17" s="458">
        <f>IFERROR(IF(I17/'Comp.1'!H19&gt;$AA$7,"NM",IF((I17/'Comp.1'!H19)&lt;$AC$7,"NM",I17/'Comp.1'!H19)),"n/a")</f>
        <v>-6.7133229652669768E-2</v>
      </c>
      <c r="N17" s="458">
        <f>IFERROR(IF(J17/'Comp.1'!I19&gt;$AA$7,"NM",IF((J17/'Comp.1'!I19)&lt;$AC$7,"NM",J17/'Comp.1'!I19)),"n/a")</f>
        <v>-0.95664739884393069</v>
      </c>
      <c r="O17" s="458">
        <f>IFERROR(IF(K17/'Comp.1'!J19&gt;$AA$7,"NM",IF((K17/'Comp.1'!J19)&lt;$AC$7,"NM",K17/'Comp.1'!J19)),"n/a")</f>
        <v>-0.47921429176191688</v>
      </c>
      <c r="P17" s="283"/>
      <c r="Q17" s="378">
        <f>'Capital IQ Sheet-GPC'!AM20</f>
        <v>-3</v>
      </c>
      <c r="R17" s="378">
        <f>'Capital IQ Sheet-GPC'!AN20</f>
        <v>-4.5</v>
      </c>
      <c r="S17" s="378">
        <f>'Capital IQ Sheet-GPC'!AO20</f>
        <v>-12.5</v>
      </c>
      <c r="U17" s="458">
        <f>IFERROR(IF(Q17/'Comp.1'!H19&gt;$AA$7,"NM",IF((Q17/'Comp.1'!H19)&lt;$AC$7,"NM",Q17/'Comp.1'!H19)),"n/a")</f>
        <v>-7.7760497667185065E-3</v>
      </c>
      <c r="V17" s="458">
        <f>IFERROR(IF(R17/'Comp.1'!I19&gt;$AA$7,"NM",IF((R17/'Comp.1'!I19)&lt;$AC$7,"NM",R17/'Comp.1'!I19)),"n/a")</f>
        <v>-0.13005780346820808</v>
      </c>
      <c r="W17" s="458">
        <f>IFERROR(IF(S17/'Comp.1'!J19&gt;$AA$7,"NM",IF((S17/'Comp.1'!J19)&lt;$AC$7,"NM",S17/'Comp.1'!J19)),"n/a")</f>
        <v>-0.21166709000084666</v>
      </c>
      <c r="Z17" s="557" t="str">
        <f>IF('MASTER PubCo Inputs'!B35="","",'MASTER PubCo Inputs'!B35)</f>
        <v>NasdaqGS:FPRX</v>
      </c>
      <c r="AA17" s="208" t="str">
        <f>'Comp.2'!AI19</f>
        <v>Five Prime Therapeutics, Inc., a clinical-stage biotechnology company, focuses on the discovery and development of immuno-oncology protein therapeutics. The company’s product candidates include Cabiralizumab, an antibody that inhibits colony stimulating factor-1 receptor that is in Phase Ia/Ib clinical trials for the treatment of various cancers in combination with nivolumab; and is in Phase I/II clinical trials for the treatment of pigmented villonodular synovitis tumor. Its product candidates also comprise Bemarituzumab, an antibody that inhibits fibroblast growth factor receptor IIb, which is in Phase I clinical trials to treat patients with gastric or gastroesophageal junction and bladder cancer; and FPA150, a CD8 T cell checkpoint inhibitor antibody that targets B7-H4 as a monotherapy in various cancers. The company’s FP-1039 is in Phase Ib clinical trials to treat patients with malignant pleural mesothelioma. Its preclinical product candidates include FPA150, a CD8 T cell checkpoint inhibitor antibody; FPA154, a tetravalent agonistic antibody that activates glucocorticoid-induced tumor necrosis factor receptor; and FPT155, a CD80-Fc fusion protein, which modulates signaling pathways. The company has license and collaboration agreements with Bristol-Myers Squibb Company, GlaxoSmithKline LLC, INBRX 110 LP, UCB Pharma S.A., and Zai Lab (Shanghai) Co., Ltd.; collaboration agreement with Roche; and license agreements with bluebird bio, Inc., Galaxy Biotech, LLC, BioWa, Inc. and Lonza Sales AG. Five Prime Therapeutics, Inc. was founded in 2001 and is headquartered in South San Francisco, California.</v>
      </c>
    </row>
    <row r="18" spans="2:27" ht="14.85" customHeight="1">
      <c r="B18" s="208" t="str">
        <f>'Comp.1'!B20</f>
        <v>Cue Biopharma, Inc.</v>
      </c>
      <c r="D18" s="458" t="str">
        <f>'Capital IQ Sheet-GPC'!AF21</f>
        <v>n/a</v>
      </c>
      <c r="E18" s="458" t="str">
        <f>'Capital IQ Sheet-GPC'!AG21</f>
        <v>n/a</v>
      </c>
      <c r="F18" s="458" t="str">
        <f>'Capital IQ Sheet-GPC'!AH21</f>
        <v>n/a</v>
      </c>
      <c r="G18" s="458" t="str">
        <f>'Capital IQ Sheet-GPC'!AI21</f>
        <v>n/a</v>
      </c>
      <c r="I18" s="378">
        <f>'Capital IQ Sheet-GPC'!AJ21</f>
        <v>-0.3</v>
      </c>
      <c r="J18" s="378">
        <f>'Capital IQ Sheet-GPC'!AK21</f>
        <v>-1.2</v>
      </c>
      <c r="K18" s="378">
        <f>'Capital IQ Sheet-GPC'!AL21</f>
        <v>-3.2</v>
      </c>
      <c r="M18" s="458" t="str">
        <f>IFERROR(IF(I18/'Comp.1'!H20&gt;$AA$7,"NM",IF((I18/'Comp.1'!H20)&lt;$AC$7,"NM",I18/'Comp.1'!H20)),"n/a")</f>
        <v>n/a</v>
      </c>
      <c r="N18" s="458" t="str">
        <f>IFERROR(IF(J18/'Comp.1'!I20&gt;$AA$7,"NM",IF((J18/'Comp.1'!I20)&lt;$AC$7,"NM",J18/'Comp.1'!I20)),"n/a")</f>
        <v>n/a</v>
      </c>
      <c r="O18" s="458" t="str">
        <f>IFERROR(IF(K18/'Comp.1'!J20&gt;$AA$7,"NM",IF((K18/'Comp.1'!J20)&lt;$AC$7,"NM",K18/'Comp.1'!J20)),"n/a")</f>
        <v>NM</v>
      </c>
      <c r="P18" s="283"/>
      <c r="Q18" s="378">
        <f>'Capital IQ Sheet-GPC'!AM21</f>
        <v>-0.8</v>
      </c>
      <c r="R18" s="378">
        <f>'Capital IQ Sheet-GPC'!AN21</f>
        <v>-1.1000000000000001</v>
      </c>
      <c r="S18" s="378">
        <f>'Capital IQ Sheet-GPC'!AO21</f>
        <v>-1.8</v>
      </c>
      <c r="U18" s="458" t="str">
        <f>IFERROR(IF(Q18/'Comp.1'!H20&gt;$AA$7,"NM",IF((Q18/'Comp.1'!H20)&lt;$AC$7,"NM",Q18/'Comp.1'!H20)),"n/a")</f>
        <v>n/a</v>
      </c>
      <c r="V18" s="458" t="str">
        <f>IFERROR(IF(R18/'Comp.1'!I20&gt;$AA$7,"NM",IF((R18/'Comp.1'!I20)&lt;$AC$7,"NM",R18/'Comp.1'!I20)),"n/a")</f>
        <v>n/a</v>
      </c>
      <c r="W18" s="458" t="str">
        <f>IFERROR(IF(S18/'Comp.1'!J20&gt;$AA$7,"NM",IF((S18/'Comp.1'!J20)&lt;$AC$7,"NM",S18/'Comp.1'!J20)),"n/a")</f>
        <v>NM</v>
      </c>
      <c r="Z18" s="557" t="str">
        <f>IF('MASTER PubCo Inputs'!B36="","",'MASTER PubCo Inputs'!B36)</f>
        <v>NasdaqCM:CUE</v>
      </c>
      <c r="AA18" s="208" t="str">
        <f>'Comp.2'!AI20</f>
        <v>Cue Biopharma, Inc., a biopharmaceutical company, develops biologic drugs for the selective modulation of the human immune system to treat a range of cancers and autoimmune disorders. The company’s lead drug candidate includes CUE-101, a variant form of the cytokine Interleukin-2 and a T cell antigen to target and activate T cells specific to human papilloma virus related cancers. Its biologics drug candidates also comprise CUE-100 series to improve various tumor specific T cells; and CUE-200 series to reinvigorate exhausted T cells. The company also offers MOD costimulatory optimization and discovery platform and viraTope T cell epitope discovery platform to develop novel biologics for addressing new indications in oncology and autoimmune disorders. Cue Biopharma, Inc. has collaboration agreements with Merck &amp; Co. for the research and development of its proprietary biologics that target autoimmune disease indications; and Albert Einstein College of Medicine to develop Immuno-STAT biologics for chronic infectious diseases. It also has a strategic collaboration with LG Chem Life Sciences for Immuno- STATs biologics in oncology. The company was formerly known as Imagen Biopharma, Inc. and changed its name to Cue Biopharma, Inc. in October 2016. Cue Biopharma, Inc. was incorporated in 2014 and is based in Cambridge, Massachusetts.</v>
      </c>
    </row>
    <row r="19" spans="2:27" ht="14.85" customHeight="1">
      <c r="B19" s="208" t="str">
        <f>'Comp.1'!B21</f>
        <v>OncoSec Medical Incorporated</v>
      </c>
      <c r="D19" s="458" t="str">
        <f>'Capital IQ Sheet-GPC'!AF22</f>
        <v>n/a</v>
      </c>
      <c r="E19" s="458" t="str">
        <f>'Capital IQ Sheet-GPC'!AG22</f>
        <v>n/a</v>
      </c>
      <c r="F19" s="458" t="str">
        <f>'Capital IQ Sheet-GPC'!AH22</f>
        <v>n/a</v>
      </c>
      <c r="G19" s="458" t="str">
        <f>'Capital IQ Sheet-GPC'!AI22</f>
        <v>n/a</v>
      </c>
      <c r="I19" s="378">
        <f>'Capital IQ Sheet-GPC'!AJ22</f>
        <v>-2.5</v>
      </c>
      <c r="J19" s="378">
        <f>'Capital IQ Sheet-GPC'!AK22</f>
        <v>-2.6</v>
      </c>
      <c r="K19" s="378">
        <f>'Capital IQ Sheet-GPC'!AL22</f>
        <v>-3.5</v>
      </c>
      <c r="M19" s="458" t="str">
        <f>IFERROR(IF(I19/'Comp.1'!H21&gt;$AA$7,"NM",IF((I19/'Comp.1'!H21)&lt;$AC$7,"NM",I19/'Comp.1'!H21)),"n/a")</f>
        <v>n/a</v>
      </c>
      <c r="N19" s="458" t="str">
        <f>IFERROR(IF(J19/'Comp.1'!I21&gt;$AA$7,"NM",IF((J19/'Comp.1'!I21)&lt;$AC$7,"NM",J19/'Comp.1'!I21)),"n/a")</f>
        <v>n/a</v>
      </c>
      <c r="O19" s="458" t="str">
        <f>IFERROR(IF(K19/'Comp.1'!J21&gt;$AA$7,"NM",IF((K19/'Comp.1'!J21)&lt;$AC$7,"NM",K19/'Comp.1'!J21)),"n/a")</f>
        <v>n/a</v>
      </c>
      <c r="P19" s="283"/>
      <c r="Q19" s="378">
        <f>'Capital IQ Sheet-GPC'!AM22</f>
        <v>-1.1000000000000001</v>
      </c>
      <c r="R19" s="378">
        <f>'Capital IQ Sheet-GPC'!AN22</f>
        <v>0</v>
      </c>
      <c r="S19" s="378">
        <f>'Capital IQ Sheet-GPC'!AO22</f>
        <v>-0.1</v>
      </c>
      <c r="U19" s="458" t="str">
        <f>IFERROR(IF(Q19/'Comp.1'!H21&gt;$AA$7,"NM",IF((Q19/'Comp.1'!H21)&lt;$AC$7,"NM",Q19/'Comp.1'!H21)),"n/a")</f>
        <v>n/a</v>
      </c>
      <c r="V19" s="458" t="str">
        <f>IFERROR(IF(R19/'Comp.1'!I21&gt;$AA$7,"NM",IF((R19/'Comp.1'!I21)&lt;$AC$7,"NM",R19/'Comp.1'!I21)),"n/a")</f>
        <v>n/a</v>
      </c>
      <c r="W19" s="458" t="str">
        <f>IFERROR(IF(S19/'Comp.1'!J21&gt;$AA$7,"NM",IF((S19/'Comp.1'!J21)&lt;$AC$7,"NM",S19/'Comp.1'!J21)),"n/a")</f>
        <v>n/a</v>
      </c>
      <c r="Z19" s="557" t="str">
        <f>IF('MASTER PubCo Inputs'!B37="","",'MASTER PubCo Inputs'!B37)</f>
        <v>NasdaqCM:ONCS</v>
      </c>
      <c r="AA19" s="208" t="str">
        <f>'Comp.2'!AI21</f>
        <v>OncoSec Medical Incorporated, a biotechnology company, focuses on the development of cytokine-based intratumoral immunotherapies to stimulate the body’s immune system to target and attack cancer. Its lead product candidate is ImmunoPulse IL-12 that uses electroporation device to deliver a DNA-encoded interleukin-12 for reversing the immunosuppressive microenvironment in the treated tumor. The company is also developing ImmunoPulse IL-12 with KEYTRUDA in patients with advanced melanoma that is in the Phase IIb clinical trials (PISCES/KEYNOTE-695) and advanced or metastatic triple negative breast cancer (TNBC), which is in the Phase II clinical trials (OMS-141/KEYNOTE-890); ImmunoPulse IL-12 and KEYTRUDA in patients with advanced or metastatic melanoma that has completed Phase II clinical trials; and ImmunoPulse IL-12 monotherapy in patients with metastatic melanoma, which has completed the Phase II clinical trials. In addition, it undertakes the phase II monotherapy biomarker study in patients with advanced or metastatic TNBC. Further, the company has completed Phase I neoadjuvant clinical trial of ImmunoPulse IL-12 in combination with an anti-PD-1 in surgically resectable melanoma. Additionally, it is developing new DNA-encoded therapeutic candidates and tumor indications. OncoSec Medical Incorporated has clinical trial collaborations with Merck &amp; Co., Inc. and its subsidiary in connection with the PISCES/KEYNOTE-695 and OMS-141/KEYNOTE-890 studies; and a collaboration with the GOG Foundation, Inc. to conduct a registration-enabled study of tavokinogene telseplasmid in women with recurrent/persistent cervical cancer. The company was formerly known as NetVentory Solutions Inc. and changed its name to OncoSec Medical Incorporated in March 2011. OncoSec Medical Incorporated was incorporated in 2008 and is headquartered in Pennington, New Jersey.</v>
      </c>
    </row>
    <row r="20" spans="2:27" ht="14.85" customHeight="1">
      <c r="B20" s="208" t="str">
        <f>'Comp.1'!B22</f>
        <v>NantKwest, Inc.</v>
      </c>
      <c r="D20" s="458">
        <f>'Capital IQ Sheet-GPC'!AF23</f>
        <v>1</v>
      </c>
      <c r="E20" s="458" t="str">
        <f>'Capital IQ Sheet-GPC'!AG23</f>
        <v>n/a</v>
      </c>
      <c r="F20" s="458" t="str">
        <f>'Capital IQ Sheet-GPC'!AH23</f>
        <v>n/a</v>
      </c>
      <c r="G20" s="458" t="str">
        <f>'Capital IQ Sheet-GPC'!AI23</f>
        <v>n/a</v>
      </c>
      <c r="I20" s="378">
        <f>'Capital IQ Sheet-GPC'!AJ23</f>
        <v>-5</v>
      </c>
      <c r="J20" s="378">
        <f>'Capital IQ Sheet-GPC'!AK23</f>
        <v>-23.5</v>
      </c>
      <c r="K20" s="378">
        <f>'Capital IQ Sheet-GPC'!AL23</f>
        <v>-12.5</v>
      </c>
      <c r="M20" s="458" t="str">
        <f>IFERROR(IF(I20/'Comp.1'!H22&gt;$AA$7,"NM",IF((I20/'Comp.1'!H22)&lt;$AC$7,"NM",I20/'Comp.1'!H22)),"n/a")</f>
        <v>n/a</v>
      </c>
      <c r="N20" s="458" t="str">
        <f>IFERROR(IF(J20/'Comp.1'!I22&gt;$AA$7,"NM",IF((J20/'Comp.1'!I22)&lt;$AC$7,"NM",J20/'Comp.1'!I22)),"n/a")</f>
        <v>n/a</v>
      </c>
      <c r="O20" s="458" t="str">
        <f>IFERROR(IF(K20/'Comp.1'!J22&gt;$AA$7,"NM",IF((K20/'Comp.1'!J22)&lt;$AC$7,"NM",K20/'Comp.1'!J22)),"n/a")</f>
        <v>NM</v>
      </c>
      <c r="P20" s="283"/>
      <c r="Q20" s="378">
        <f>'Capital IQ Sheet-GPC'!AM23</f>
        <v>-6.2</v>
      </c>
      <c r="R20" s="378">
        <f>'Capital IQ Sheet-GPC'!AN23</f>
        <v>-24.7</v>
      </c>
      <c r="S20" s="378">
        <f>'Capital IQ Sheet-GPC'!AO23</f>
        <v>-22.5</v>
      </c>
      <c r="U20" s="458" t="str">
        <f>IFERROR(IF(Q20/'Comp.1'!H22&gt;$AA$7,"NM",IF((Q20/'Comp.1'!H22)&lt;$AC$7,"NM",Q20/'Comp.1'!H22)),"n/a")</f>
        <v>n/a</v>
      </c>
      <c r="V20" s="458" t="str">
        <f>IFERROR(IF(R20/'Comp.1'!I22&gt;$AA$7,"NM",IF((R20/'Comp.1'!I22)&lt;$AC$7,"NM",R20/'Comp.1'!I22)),"n/a")</f>
        <v>n/a</v>
      </c>
      <c r="W20" s="458" t="str">
        <f>IFERROR(IF(S20/'Comp.1'!J22&gt;$AA$7,"NM",IF((S20/'Comp.1'!J22)&lt;$AC$7,"NM",S20/'Comp.1'!J22)),"n/a")</f>
        <v>NM</v>
      </c>
      <c r="Z20" s="557" t="str">
        <f>IF('MASTER PubCo Inputs'!B38="","",'MASTER PubCo Inputs'!B38)</f>
        <v>NasdaqGS:NK</v>
      </c>
      <c r="AA20" s="208" t="str">
        <f>'Comp.2'!AI22</f>
        <v>NantKwest, Inc., a clinical-stage immunotherapy biotechnology company, develops immunotherapeutic treatments for cancer, infectious diseases, and inflammatory diseases in the United States. The company develops activated natural killer cell, a natural killer cell-line and genetically modified derivative capable of killing cancer and virally infected cells; and NANT cancer vaccine, a personalized therapy that utilizes its off-the-shelf natural killer cells. It is also developing high-affinity natural killer product candidates primarily for the treatment of various cancers; and target activated natural killer product candidates to treat hematological malignancies and solid tumors. NantKwest, Inc. has a co-development agreement with Altor Bio Science Corporation to collaborate on the development of therapeutic applications combining the company’s proprietary natural killer cells with Altor's ALT-801 and/or ALT-803 products. The company was formerly known as Conkwest, Inc. and changed its name to NantKwest, Inc. in July 2015. NantKwest, Inc. was founded in 2002 and is headquartered in San Diego, California.</v>
      </c>
    </row>
    <row r="21" spans="2:27" ht="14.85" customHeight="1">
      <c r="B21" s="208" t="str">
        <f>'Comp.1'!B23</f>
        <v>Corvus Pharmaceuticals, Inc.</v>
      </c>
      <c r="D21" s="458" t="str">
        <f>'Capital IQ Sheet-GPC'!AF24</f>
        <v>n/a</v>
      </c>
      <c r="E21" s="458" t="str">
        <f>'Capital IQ Sheet-GPC'!AG24</f>
        <v>n/a</v>
      </c>
      <c r="F21" s="458" t="str">
        <f>'Capital IQ Sheet-GPC'!AH24</f>
        <v>n/a</v>
      </c>
      <c r="G21" s="458" t="str">
        <f>'Capital IQ Sheet-GPC'!AI24</f>
        <v>n/a</v>
      </c>
      <c r="I21" s="378">
        <f>'Capital IQ Sheet-GPC'!AJ24</f>
        <v>-4.7</v>
      </c>
      <c r="J21" s="378">
        <f>'Capital IQ Sheet-GPC'!AK24</f>
        <v>-8.8000000000000007</v>
      </c>
      <c r="K21" s="378">
        <f>'Capital IQ Sheet-GPC'!AL24</f>
        <v>-5.9</v>
      </c>
      <c r="M21" s="458" t="str">
        <f>IFERROR(IF(I21/'Comp.1'!H23&gt;$AA$7,"NM",IF((I21/'Comp.1'!H23)&lt;$AC$7,"NM",I21/'Comp.1'!H23)),"n/a")</f>
        <v>n/a</v>
      </c>
      <c r="N21" s="458" t="str">
        <f>IFERROR(IF(J21/'Comp.1'!I23&gt;$AA$7,"NM",IF((J21/'Comp.1'!I23)&lt;$AC$7,"NM",J21/'Comp.1'!I23)),"n/a")</f>
        <v>n/a</v>
      </c>
      <c r="O21" s="458" t="str">
        <f>IFERROR(IF(K21/'Comp.1'!J23&gt;$AA$7,"NM",IF((K21/'Comp.1'!J23)&lt;$AC$7,"NM",K21/'Comp.1'!J23)),"n/a")</f>
        <v>n/a</v>
      </c>
      <c r="P21" s="283"/>
      <c r="Q21" s="378">
        <f>'Capital IQ Sheet-GPC'!AM24</f>
        <v>-2.5</v>
      </c>
      <c r="R21" s="378">
        <f>'Capital IQ Sheet-GPC'!AN24</f>
        <v>-0.9</v>
      </c>
      <c r="S21" s="378">
        <f>'Capital IQ Sheet-GPC'!AO24</f>
        <v>-0.2</v>
      </c>
      <c r="U21" s="458" t="str">
        <f>IFERROR(IF(Q21/'Comp.1'!H23&gt;$AA$7,"NM",IF((Q21/'Comp.1'!H23)&lt;$AC$7,"NM",Q21/'Comp.1'!H23)),"n/a")</f>
        <v>n/a</v>
      </c>
      <c r="V21" s="458" t="str">
        <f>IFERROR(IF(R21/'Comp.1'!I23&gt;$AA$7,"NM",IF((R21/'Comp.1'!I23)&lt;$AC$7,"NM",R21/'Comp.1'!I23)),"n/a")</f>
        <v>n/a</v>
      </c>
      <c r="W21" s="458" t="str">
        <f>IFERROR(IF(S21/'Comp.1'!J23&gt;$AA$7,"NM",IF((S21/'Comp.1'!J23)&lt;$AC$7,"NM",S21/'Comp.1'!J23)),"n/a")</f>
        <v>n/a</v>
      </c>
      <c r="Z21" s="557" t="str">
        <f>IF('MASTER PubCo Inputs'!B39="","",'MASTER PubCo Inputs'!B39)</f>
        <v>NasdaqGM:CRVS</v>
      </c>
      <c r="AA21" s="208" t="str">
        <f>'Comp.2'!AI23</f>
        <v>Corvus Pharmaceuticals, Inc., a clinical stage biopharmaceutical company, focuses on the development and commercialization of immuno-oncology therapies that are designed to harness the immune system to attack cancer cells. Its lead product candidate is CPI-444, an oral, small molecule antagonist of the A2A receptor that is in Phase I/Ib clinical trial for adenosine, an immune checkpoint. The company is also developing an anti-CD73 monoclonal antibody that inhibits the production of adenosine; an antagonist of the adenosine A2B receptor; and small molecule covalent inhibitors of interleukin-2 inducible kinase. Corvus Pharmaceuticals, Inc. was founded in 2014 and is based in Burlingame, California.</v>
      </c>
    </row>
    <row r="22" spans="2:27" ht="14.85" customHeight="1">
      <c r="B22" s="208" t="str">
        <f>'Comp.1'!B24</f>
        <v>Surface Oncology, Inc.</v>
      </c>
      <c r="D22" s="458">
        <f>'Capital IQ Sheet-GPC'!AF25</f>
        <v>-0.11700000000000001</v>
      </c>
      <c r="E22" s="458">
        <f>'Capital IQ Sheet-GPC'!AG25</f>
        <v>-0.31900000000000001</v>
      </c>
      <c r="F22" s="458">
        <f>'Capital IQ Sheet-GPC'!AH25</f>
        <v>-0.34300000000000003</v>
      </c>
      <c r="G22" s="458">
        <f>'Capital IQ Sheet-GPC'!AI25</f>
        <v>-0.33800000000000002</v>
      </c>
      <c r="I22" s="378" t="str">
        <f>'Capital IQ Sheet-GPC'!AJ25</f>
        <v xml:space="preserve"> n/a </v>
      </c>
      <c r="J22" s="378">
        <f>'Capital IQ Sheet-GPC'!AK25</f>
        <v>-15.1</v>
      </c>
      <c r="K22" s="378">
        <f>'Capital IQ Sheet-GPC'!AL25</f>
        <v>-23.1</v>
      </c>
      <c r="M22" s="458" t="str">
        <f>IFERROR(IF(I22/'Comp.1'!H24&gt;$AA$7,"NM",IF((I22/'Comp.1'!H24)&lt;$AC$7,"NM",I22/'Comp.1'!H24)),"n/a")</f>
        <v>n/a</v>
      </c>
      <c r="N22" s="458" t="str">
        <f>IFERROR(IF(J22/'Comp.1'!I24&gt;$AA$7,"NM",IF((J22/'Comp.1'!I24)&lt;$AC$7,"NM",J22/'Comp.1'!I24)),"n/a")</f>
        <v>NM</v>
      </c>
      <c r="O22" s="458">
        <f>IFERROR(IF(K22/'Comp.1'!J24&gt;$AA$7,"NM",IF((K22/'Comp.1'!J24)&lt;$AC$7,"NM",K22/'Comp.1'!J24)),"n/a")</f>
        <v>-0.44310596178930411</v>
      </c>
      <c r="P22" s="283"/>
      <c r="Q22" s="378" t="str">
        <f>'Capital IQ Sheet-GPC'!AM25</f>
        <v xml:space="preserve"> n/a </v>
      </c>
      <c r="R22" s="378">
        <f>'Capital IQ Sheet-GPC'!AN25</f>
        <v>-1.8</v>
      </c>
      <c r="S22" s="378">
        <f>'Capital IQ Sheet-GPC'!AO25</f>
        <v>-1.5</v>
      </c>
      <c r="U22" s="458" t="str">
        <f>IFERROR(IF(Q22/'Comp.1'!H24&gt;$AA$7,"NM",IF((Q22/'Comp.1'!H24)&lt;$AC$7,"NM",Q22/'Comp.1'!H24)),"n/a")</f>
        <v>n/a</v>
      </c>
      <c r="V22" s="458">
        <f>IFERROR(IF(R22/'Comp.1'!I24&gt;$AA$7,"NM",IF((R22/'Comp.1'!I24)&lt;$AC$7,"NM",R22/'Comp.1'!I24)),"n/a")</f>
        <v>-0.1487603305785124</v>
      </c>
      <c r="W22" s="458">
        <f>IFERROR(IF(S22/'Comp.1'!J24&gt;$AA$7,"NM",IF((S22/'Comp.1'!J24)&lt;$AC$7,"NM",S22/'Comp.1'!J24)),"n/a")</f>
        <v>-2.8773114401902864E-2</v>
      </c>
      <c r="Z22" s="557" t="str">
        <f>IF('MASTER PubCo Inputs'!B40="","",'MASTER PubCo Inputs'!B40)</f>
        <v>NasdaqGM:SURF</v>
      </c>
      <c r="AA22" s="208" t="str">
        <f>'Comp.2'!AI24</f>
        <v>Surface Oncology, Inc., a clinical-stage immuno-oncology company, engages in the development of cancer therapies. The company’s lead product candidate is the SRF231 that is in Phase I clinical trial targeting protein called cluster of differentiation (CD) 47. It is also developing SRF373 inhibiting CD73; SRF617 inhibiting CD39; and SRF388, an antibody targeting interleukin 27. The company has a collaboration agreement with Novartis Institutes for Biomedical Research, Inc. for the development of cancer therapies. Surface Oncology, Inc. was founded in 2014 and is headquartered in Cambridge, Massachusetts.</v>
      </c>
    </row>
    <row r="23" spans="2:27" ht="14.85" hidden="1" customHeight="1" outlineLevel="1">
      <c r="D23" s="458"/>
      <c r="E23" s="458"/>
      <c r="F23" s="458"/>
      <c r="G23" s="458"/>
      <c r="I23" s="378"/>
      <c r="J23" s="378"/>
      <c r="K23" s="378"/>
      <c r="M23" s="458"/>
      <c r="N23" s="458"/>
      <c r="O23" s="458"/>
      <c r="P23" s="283"/>
      <c r="Q23" s="378"/>
      <c r="R23" s="378"/>
      <c r="S23" s="378"/>
      <c r="U23" s="458"/>
      <c r="V23" s="458"/>
      <c r="W23" s="458"/>
      <c r="Z23" s="557"/>
    </row>
    <row r="24" spans="2:27" ht="14.85" hidden="1" customHeight="1" outlineLevel="1">
      <c r="D24" s="458"/>
      <c r="E24" s="458"/>
      <c r="F24" s="458"/>
      <c r="G24" s="458"/>
      <c r="I24" s="378"/>
      <c r="J24" s="378"/>
      <c r="K24" s="378"/>
      <c r="M24" s="458"/>
      <c r="N24" s="458"/>
      <c r="O24" s="458"/>
      <c r="P24" s="283"/>
      <c r="Q24" s="378"/>
      <c r="R24" s="378"/>
      <c r="S24" s="378"/>
      <c r="U24" s="458"/>
      <c r="V24" s="458"/>
      <c r="W24" s="458"/>
      <c r="Z24" s="557"/>
    </row>
    <row r="25" spans="2:27" ht="14.85" hidden="1" customHeight="1" outlineLevel="1">
      <c r="D25" s="458"/>
      <c r="E25" s="458"/>
      <c r="F25" s="458"/>
      <c r="G25" s="458"/>
      <c r="I25" s="378"/>
      <c r="J25" s="378"/>
      <c r="K25" s="378"/>
      <c r="M25" s="458"/>
      <c r="N25" s="458"/>
      <c r="O25" s="458"/>
      <c r="P25" s="283"/>
      <c r="Q25" s="378"/>
      <c r="R25" s="378"/>
      <c r="S25" s="378"/>
      <c r="U25" s="458"/>
      <c r="V25" s="458"/>
      <c r="W25" s="458"/>
      <c r="Z25" s="557"/>
    </row>
    <row r="26" spans="2:27" ht="14.85" hidden="1" customHeight="1" outlineLevel="1">
      <c r="D26" s="458"/>
      <c r="E26" s="458"/>
      <c r="F26" s="458"/>
      <c r="G26" s="458"/>
      <c r="I26" s="378"/>
      <c r="J26" s="378"/>
      <c r="K26" s="378"/>
      <c r="M26" s="458"/>
      <c r="N26" s="458"/>
      <c r="O26" s="458"/>
      <c r="P26" s="283"/>
      <c r="Q26" s="378"/>
      <c r="R26" s="378"/>
      <c r="S26" s="378"/>
      <c r="U26" s="458"/>
      <c r="V26" s="458"/>
      <c r="W26" s="458"/>
      <c r="Z26" s="557"/>
    </row>
    <row r="27" spans="2:27" ht="14.85" hidden="1" customHeight="1" outlineLevel="1">
      <c r="D27" s="458"/>
      <c r="E27" s="458"/>
      <c r="F27" s="458"/>
      <c r="G27" s="458"/>
      <c r="I27" s="378"/>
      <c r="J27" s="378"/>
      <c r="K27" s="378"/>
      <c r="M27" s="458"/>
      <c r="N27" s="458"/>
      <c r="O27" s="458"/>
      <c r="P27" s="283"/>
      <c r="Q27" s="378"/>
      <c r="R27" s="378"/>
      <c r="S27" s="378"/>
      <c r="U27" s="458"/>
      <c r="V27" s="458"/>
      <c r="W27" s="458"/>
      <c r="Z27" s="557"/>
    </row>
    <row r="28" spans="2:27" ht="14.85" hidden="1" customHeight="1" outlineLevel="1">
      <c r="D28" s="458"/>
      <c r="E28" s="458"/>
      <c r="F28" s="458"/>
      <c r="G28" s="458"/>
      <c r="I28" s="378"/>
      <c r="J28" s="378"/>
      <c r="K28" s="378"/>
      <c r="M28" s="458"/>
      <c r="N28" s="458"/>
      <c r="O28" s="458"/>
      <c r="P28" s="283"/>
      <c r="Q28" s="378"/>
      <c r="R28" s="378"/>
      <c r="S28" s="378"/>
      <c r="U28" s="458"/>
      <c r="V28" s="458"/>
      <c r="W28" s="458"/>
      <c r="Z28" s="557"/>
    </row>
    <row r="29" spans="2:27" ht="14.85" hidden="1" customHeight="1" outlineLevel="1">
      <c r="D29" s="458"/>
      <c r="E29" s="458"/>
      <c r="F29" s="458"/>
      <c r="G29" s="458"/>
      <c r="I29" s="378"/>
      <c r="J29" s="378"/>
      <c r="K29" s="378"/>
      <c r="M29" s="458"/>
      <c r="N29" s="458"/>
      <c r="O29" s="458"/>
      <c r="P29" s="283"/>
      <c r="Q29" s="378"/>
      <c r="R29" s="378"/>
      <c r="S29" s="378"/>
      <c r="U29" s="458"/>
      <c r="V29" s="458"/>
      <c r="W29" s="458"/>
      <c r="Z29" s="557"/>
    </row>
    <row r="30" spans="2:27" ht="14.85" hidden="1" customHeight="1" outlineLevel="1">
      <c r="D30" s="458"/>
      <c r="E30" s="458"/>
      <c r="F30" s="458"/>
      <c r="G30" s="458"/>
      <c r="I30" s="378"/>
      <c r="J30" s="378"/>
      <c r="K30" s="378"/>
      <c r="M30" s="458"/>
      <c r="N30" s="458"/>
      <c r="O30" s="458"/>
      <c r="P30" s="283"/>
      <c r="Q30" s="378"/>
      <c r="R30" s="378"/>
      <c r="S30" s="378"/>
      <c r="U30" s="458"/>
      <c r="V30" s="458"/>
      <c r="W30" s="458"/>
      <c r="Z30" s="557"/>
    </row>
    <row r="31" spans="2:27" ht="14.85" hidden="1" customHeight="1" outlineLevel="1">
      <c r="D31" s="458"/>
      <c r="E31" s="458"/>
      <c r="F31" s="458"/>
      <c r="G31" s="458"/>
      <c r="I31" s="378"/>
      <c r="J31" s="378"/>
      <c r="K31" s="378"/>
      <c r="M31" s="458"/>
      <c r="N31" s="458"/>
      <c r="O31" s="458"/>
      <c r="P31" s="283"/>
      <c r="Q31" s="378"/>
      <c r="R31" s="378"/>
      <c r="S31" s="378"/>
      <c r="U31" s="458"/>
      <c r="V31" s="458"/>
      <c r="W31" s="458"/>
      <c r="Z31" s="557"/>
    </row>
    <row r="32" spans="2:27" ht="14.85" hidden="1" customHeight="1" outlineLevel="1">
      <c r="D32" s="458"/>
      <c r="E32" s="458"/>
      <c r="F32" s="458"/>
      <c r="G32" s="458"/>
      <c r="I32" s="378"/>
      <c r="J32" s="378"/>
      <c r="K32" s="378"/>
      <c r="M32" s="458"/>
      <c r="N32" s="458"/>
      <c r="O32" s="458"/>
      <c r="P32" s="283"/>
      <c r="Q32" s="378"/>
      <c r="R32" s="378"/>
      <c r="S32" s="378"/>
      <c r="U32" s="458"/>
      <c r="V32" s="458"/>
      <c r="W32" s="458"/>
      <c r="Z32" s="557"/>
    </row>
    <row r="33" spans="2:26" ht="14.85" hidden="1" customHeight="1" outlineLevel="1">
      <c r="D33" s="458"/>
      <c r="E33" s="458"/>
      <c r="F33" s="458"/>
      <c r="G33" s="458"/>
      <c r="I33" s="378"/>
      <c r="J33" s="378"/>
      <c r="K33" s="378"/>
      <c r="M33" s="458"/>
      <c r="N33" s="458"/>
      <c r="O33" s="458"/>
      <c r="P33" s="283"/>
      <c r="Q33" s="378"/>
      <c r="R33" s="378"/>
      <c r="S33" s="378"/>
      <c r="U33" s="458"/>
      <c r="V33" s="458"/>
      <c r="W33" s="458"/>
      <c r="Z33" s="557"/>
    </row>
    <row r="34" spans="2:26" ht="14.85" hidden="1" customHeight="1" outlineLevel="1">
      <c r="D34" s="458"/>
      <c r="E34" s="458"/>
      <c r="F34" s="458"/>
      <c r="G34" s="458"/>
      <c r="I34" s="378"/>
      <c r="J34" s="378"/>
      <c r="K34" s="378"/>
      <c r="M34" s="458"/>
      <c r="N34" s="458"/>
      <c r="O34" s="458"/>
      <c r="P34" s="283"/>
      <c r="Q34" s="378"/>
      <c r="R34" s="378"/>
      <c r="S34" s="378"/>
      <c r="U34" s="458"/>
      <c r="V34" s="458"/>
      <c r="W34" s="458"/>
      <c r="Z34" s="557"/>
    </row>
    <row r="35" spans="2:26" ht="14.85" hidden="1" customHeight="1" outlineLevel="1">
      <c r="D35" s="458"/>
      <c r="E35" s="458"/>
      <c r="F35" s="458"/>
      <c r="G35" s="458"/>
      <c r="I35" s="378"/>
      <c r="J35" s="378"/>
      <c r="K35" s="378"/>
      <c r="M35" s="458"/>
      <c r="N35" s="458"/>
      <c r="O35" s="458"/>
      <c r="P35" s="283"/>
      <c r="Q35" s="378"/>
      <c r="R35" s="378"/>
      <c r="S35" s="378"/>
      <c r="U35" s="458"/>
      <c r="V35" s="458"/>
      <c r="W35" s="458"/>
      <c r="Z35" s="557"/>
    </row>
    <row r="36" spans="2:26" ht="14.85" hidden="1" customHeight="1" outlineLevel="1">
      <c r="D36" s="458"/>
      <c r="E36" s="458"/>
      <c r="F36" s="458"/>
      <c r="G36" s="458"/>
      <c r="I36" s="378"/>
      <c r="J36" s="378"/>
      <c r="K36" s="378"/>
      <c r="M36" s="458"/>
      <c r="N36" s="458"/>
      <c r="O36" s="458"/>
      <c r="P36" s="283"/>
      <c r="Q36" s="378"/>
      <c r="R36" s="378"/>
      <c r="S36" s="378"/>
      <c r="U36" s="458"/>
      <c r="V36" s="458"/>
      <c r="W36" s="458"/>
      <c r="Z36" s="557"/>
    </row>
    <row r="37" spans="2:26" ht="14.85" hidden="1" customHeight="1" outlineLevel="1">
      <c r="D37" s="458"/>
      <c r="E37" s="458"/>
      <c r="F37" s="458"/>
      <c r="G37" s="458"/>
      <c r="I37" s="378"/>
      <c r="J37" s="378"/>
      <c r="K37" s="378"/>
      <c r="M37" s="458"/>
      <c r="N37" s="458"/>
      <c r="O37" s="458"/>
      <c r="P37" s="283"/>
      <c r="Q37" s="378"/>
      <c r="R37" s="378"/>
      <c r="S37" s="378"/>
      <c r="U37" s="458"/>
      <c r="V37" s="458"/>
      <c r="W37" s="458"/>
      <c r="Z37" s="557"/>
    </row>
    <row r="38" spans="2:26" ht="14.85" hidden="1" customHeight="1" outlineLevel="1">
      <c r="D38" s="458"/>
      <c r="E38" s="458"/>
      <c r="F38" s="458"/>
      <c r="G38" s="458"/>
      <c r="I38" s="378"/>
      <c r="J38" s="378"/>
      <c r="K38" s="378"/>
      <c r="M38" s="458"/>
      <c r="N38" s="458"/>
      <c r="O38" s="458"/>
      <c r="P38" s="283"/>
      <c r="Q38" s="378"/>
      <c r="R38" s="378"/>
      <c r="S38" s="378"/>
      <c r="U38" s="458"/>
      <c r="V38" s="458"/>
      <c r="W38" s="458"/>
      <c r="Z38" s="557"/>
    </row>
    <row r="39" spans="2:26" ht="14.85" hidden="1" customHeight="1" outlineLevel="1">
      <c r="D39" s="458"/>
      <c r="E39" s="458"/>
      <c r="F39" s="458"/>
      <c r="G39" s="458"/>
      <c r="I39" s="378"/>
      <c r="J39" s="378"/>
      <c r="K39" s="378"/>
      <c r="M39" s="458"/>
      <c r="N39" s="458"/>
      <c r="O39" s="458"/>
      <c r="P39" s="283"/>
      <c r="Q39" s="378"/>
      <c r="R39" s="378"/>
      <c r="S39" s="378"/>
      <c r="U39" s="458"/>
      <c r="V39" s="458"/>
      <c r="W39" s="458"/>
      <c r="Z39" s="557"/>
    </row>
    <row r="40" spans="2:26" ht="14.85" customHeight="1" collapsed="1">
      <c r="I40" s="283"/>
      <c r="J40" s="283"/>
      <c r="K40" s="283"/>
      <c r="M40" s="283"/>
      <c r="N40" s="283"/>
      <c r="O40" s="283"/>
      <c r="P40" s="283"/>
    </row>
    <row r="41" spans="2:26" ht="14.85" customHeight="1">
      <c r="B41" s="561" t="s">
        <v>111</v>
      </c>
      <c r="C41" s="562"/>
      <c r="D41" s="657">
        <f>MAX(D10:D40)</f>
        <v>1</v>
      </c>
      <c r="E41" s="657">
        <f>MAX(E10:E40)</f>
        <v>0.63700000000000001</v>
      </c>
      <c r="F41" s="657">
        <f>MAX(F10:F40)</f>
        <v>0.628</v>
      </c>
      <c r="G41" s="657">
        <f>MAX(G10:G40)</f>
        <v>0.59699999999999998</v>
      </c>
      <c r="H41" s="562"/>
      <c r="I41" s="564">
        <f>MAX(I10:I40)</f>
        <v>5.3</v>
      </c>
      <c r="J41" s="564">
        <f>MAX(J10:J40)</f>
        <v>12.3</v>
      </c>
      <c r="K41" s="565">
        <f>MAX(K10:K40)</f>
        <v>-3.2</v>
      </c>
      <c r="L41" s="562"/>
      <c r="M41" s="657">
        <f>MAX(M10:M40)</f>
        <v>0.73611111111111105</v>
      </c>
      <c r="N41" s="657">
        <f>MAX(N10:N40)</f>
        <v>-0.23948738486183421</v>
      </c>
      <c r="O41" s="657">
        <f>MAX(O10:O40)</f>
        <v>-1.8655476583373569E-2</v>
      </c>
      <c r="P41" s="564"/>
      <c r="Q41" s="564">
        <f>MAX(Q10:Q40)</f>
        <v>0</v>
      </c>
      <c r="R41" s="564">
        <f>MAX(R10:R40)</f>
        <v>0</v>
      </c>
      <c r="S41" s="564">
        <f>MAX(S10:S40)</f>
        <v>0</v>
      </c>
      <c r="T41" s="562"/>
      <c r="U41" s="657">
        <f>MAX(U10:U40)</f>
        <v>0</v>
      </c>
      <c r="V41" s="657">
        <f>MAX(V10:V40)</f>
        <v>0</v>
      </c>
      <c r="W41" s="658">
        <f>MAX(W10:W40)</f>
        <v>0</v>
      </c>
    </row>
    <row r="42" spans="2:26" ht="14.85" customHeight="1">
      <c r="B42" s="567" t="s">
        <v>115</v>
      </c>
      <c r="C42" s="568"/>
      <c r="D42" s="659">
        <f>QUARTILE(D10:D40,3)</f>
        <v>0.995</v>
      </c>
      <c r="E42" s="659">
        <f>QUARTILE(E10:E40,3)</f>
        <v>-8.0000000000000016E-2</v>
      </c>
      <c r="F42" s="659">
        <f>QUARTILE(F10:F40,3)</f>
        <v>-0.10025000000000001</v>
      </c>
      <c r="G42" s="659">
        <f>QUARTILE(G10:G40,3)</f>
        <v>-0.10425000000000001</v>
      </c>
      <c r="H42" s="568"/>
      <c r="I42" s="570">
        <f>QUARTILE(I10:I40,3)</f>
        <v>-3.6</v>
      </c>
      <c r="J42" s="570">
        <f>QUARTILE(J10:J40,3)</f>
        <v>-2.6</v>
      </c>
      <c r="K42" s="571">
        <f>QUARTILE(K10:K40,3)</f>
        <v>-5.9</v>
      </c>
      <c r="L42" s="568"/>
      <c r="M42" s="659">
        <f>QUARTILE(M10:M40,3)</f>
        <v>0.13367785553827544</v>
      </c>
      <c r="N42" s="659">
        <f>QUARTILE(N10:N40,3)</f>
        <v>-0.25439922478999855</v>
      </c>
      <c r="O42" s="659">
        <f>QUARTILE(O10:O40,3)</f>
        <v>-0.33071447665894116</v>
      </c>
      <c r="P42" s="570"/>
      <c r="Q42" s="570">
        <f>QUARTILE(Q10:Q40,3)</f>
        <v>-0.44999999999999996</v>
      </c>
      <c r="R42" s="570">
        <f>QUARTILE(R10:R40,3)</f>
        <v>-0.1</v>
      </c>
      <c r="S42" s="570">
        <f>QUARTILE(S10:S40,3)</f>
        <v>-0.1</v>
      </c>
      <c r="T42" s="568"/>
      <c r="U42" s="659">
        <f>QUARTILE(U10:U40,3)</f>
        <v>-1.9440124416796271E-3</v>
      </c>
      <c r="V42" s="659">
        <f>QUARTILE(V10:V40,3)</f>
        <v>-3.0257603487441716E-2</v>
      </c>
      <c r="W42" s="660">
        <f>QUARTILE(W10:W40,3)</f>
        <v>-2.3161147657743148E-2</v>
      </c>
    </row>
    <row r="43" spans="2:26" ht="14.85" customHeight="1">
      <c r="B43" s="567" t="s">
        <v>113</v>
      </c>
      <c r="C43" s="568"/>
      <c r="D43" s="659">
        <f>AVERAGE(D10:D40)</f>
        <v>0.33583333333333337</v>
      </c>
      <c r="E43" s="659">
        <f>AVERAGE(E10:E40)</f>
        <v>-0.86749999999999994</v>
      </c>
      <c r="F43" s="659">
        <f>AVERAGE(F10:F40)</f>
        <v>-0.89624999999999999</v>
      </c>
      <c r="G43" s="659">
        <f>AVERAGE(G10:G40)</f>
        <v>-0.81425000000000003</v>
      </c>
      <c r="H43" s="568"/>
      <c r="I43" s="570">
        <f>AVERAGE(I10:I40)</f>
        <v>-9.7272727272727266</v>
      </c>
      <c r="J43" s="570">
        <f>AVERAGE(J10:J40)</f>
        <v>-13.961538461538462</v>
      </c>
      <c r="K43" s="571">
        <f>AVERAGE(K10:K40)</f>
        <v>-18.076923076923077</v>
      </c>
      <c r="L43" s="568"/>
      <c r="M43" s="659">
        <f>AVERAGE(M10:M40)</f>
        <v>6.0245903158063496E-2</v>
      </c>
      <c r="N43" s="659">
        <f>AVERAGE(N10:N40)</f>
        <v>-0.48848194947464263</v>
      </c>
      <c r="O43" s="659">
        <f>AVERAGE(O10:O40)</f>
        <v>-0.34392746837134791</v>
      </c>
      <c r="P43" s="570"/>
      <c r="Q43" s="570">
        <f>AVERAGE(Q10:Q40)</f>
        <v>-1.9636363636363638</v>
      </c>
      <c r="R43" s="570">
        <f>AVERAGE(R10:R40)</f>
        <v>-3.4615384615384608</v>
      </c>
      <c r="S43" s="570">
        <f>AVERAGE(S10:S40)</f>
        <v>-3.8769230769230774</v>
      </c>
      <c r="T43" s="568"/>
      <c r="U43" s="659">
        <f>AVERAGE(U10:U40)</f>
        <v>-5.052440335618149E-2</v>
      </c>
      <c r="V43" s="659">
        <f>AVERAGE(V10:V40)</f>
        <v>-9.07392707711486E-2</v>
      </c>
      <c r="W43" s="660">
        <f>AVERAGE(W10:W40)</f>
        <v>-0.25613629825591855</v>
      </c>
    </row>
    <row r="44" spans="2:26" ht="14.85" customHeight="1">
      <c r="B44" s="567" t="s">
        <v>44</v>
      </c>
      <c r="C44" s="568"/>
      <c r="D44" s="659">
        <f>MEDIAN(D10:D40)</f>
        <v>0.87250000000000005</v>
      </c>
      <c r="E44" s="659">
        <f>MEDIAN(E10:E40)</f>
        <v>-0.94199999999999995</v>
      </c>
      <c r="F44" s="659">
        <f>MEDIAN(F10:F40)</f>
        <v>-0.95650000000000002</v>
      </c>
      <c r="G44" s="659">
        <f>MEDIAN(G10:G40)</f>
        <v>-0.81850000000000001</v>
      </c>
      <c r="H44" s="568"/>
      <c r="I44" s="570">
        <f>MEDIAN(I10:I40)</f>
        <v>-5.9</v>
      </c>
      <c r="J44" s="570">
        <f>MEDIAN(J10:J40)</f>
        <v>-12.9</v>
      </c>
      <c r="K44" s="571">
        <f>MEDIAN(K10:K40)</f>
        <v>-16.7</v>
      </c>
      <c r="L44" s="568"/>
      <c r="M44" s="659">
        <f>MEDIAN(M10:M40)</f>
        <v>-0.11345383287144767</v>
      </c>
      <c r="N44" s="659">
        <f>MEDIAN(N10:N40)</f>
        <v>-0.26931106471816285</v>
      </c>
      <c r="O44" s="659">
        <f>MEDIAN(O10:O40)</f>
        <v>-0.43892005257005057</v>
      </c>
      <c r="P44" s="570"/>
      <c r="Q44" s="570">
        <f>MEDIAN(Q10:Q40)</f>
        <v>-0.9</v>
      </c>
      <c r="R44" s="570">
        <f>MEDIAN(R10:R40)</f>
        <v>-0.9</v>
      </c>
      <c r="S44" s="570">
        <f>MEDIAN(S10:S40)</f>
        <v>-0.9</v>
      </c>
      <c r="T44" s="568"/>
      <c r="U44" s="659">
        <f>MEDIAN(U10:U40)</f>
        <v>-2.2406543401877772E-2</v>
      </c>
      <c r="V44" s="659">
        <f>MEDIAN(V10:V40)</f>
        <v>-8.0729166666666671E-2</v>
      </c>
      <c r="W44" s="660">
        <f>MEDIAN(W10:W40)</f>
        <v>-0.20583354500042333</v>
      </c>
    </row>
    <row r="45" spans="2:26" ht="14.85" customHeight="1">
      <c r="B45" s="567" t="s">
        <v>114</v>
      </c>
      <c r="C45" s="568"/>
      <c r="D45" s="659">
        <f>QUARTILE(D10:D40,1)</f>
        <v>0.10349999999999999</v>
      </c>
      <c r="E45" s="659">
        <f>QUARTILE(E10:E40,1)</f>
        <v>-1.7294999999999998</v>
      </c>
      <c r="F45" s="659">
        <f>QUARTILE(F10:F40,1)</f>
        <v>-1.7524999999999999</v>
      </c>
      <c r="G45" s="659">
        <f>QUARTILE(G10:G40,1)</f>
        <v>-1.5285</v>
      </c>
      <c r="H45" s="568"/>
      <c r="I45" s="570">
        <f>QUARTILE(I10:I40,1)</f>
        <v>-8.5500000000000007</v>
      </c>
      <c r="J45" s="570">
        <f>QUARTILE(J10:J40,1)</f>
        <v>-15.1</v>
      </c>
      <c r="K45" s="571">
        <f>QUARTILE(K10:K40,1)</f>
        <v>-26.2</v>
      </c>
      <c r="L45" s="568"/>
      <c r="M45" s="659">
        <f>QUARTILE(M10:M40,1)</f>
        <v>-0.18688578525165961</v>
      </c>
      <c r="N45" s="659">
        <f>QUARTILE(N10:N40,1)</f>
        <v>-0.61297923178104674</v>
      </c>
      <c r="O45" s="659">
        <f>QUARTILE(O10:O40,1)</f>
        <v>-0.45213304428245732</v>
      </c>
      <c r="P45" s="570"/>
      <c r="Q45" s="570">
        <f>QUARTILE(Q10:Q40,1)</f>
        <v>-2.75</v>
      </c>
      <c r="R45" s="570">
        <f>QUARTILE(R10:R40,1)</f>
        <v>-1.8</v>
      </c>
      <c r="S45" s="570">
        <f>QUARTILE(S10:S40,1)</f>
        <v>-2</v>
      </c>
      <c r="T45" s="568"/>
      <c r="U45" s="659">
        <f>QUARTILE(U10:U40,1)</f>
        <v>-0.10300925925925926</v>
      </c>
      <c r="V45" s="659">
        <f>QUARTILE(V10:V40,1)</f>
        <v>-0.13473343524578416</v>
      </c>
      <c r="W45" s="660">
        <f>QUARTILE(W10:W40,1)</f>
        <v>-0.46600709427369208</v>
      </c>
    </row>
    <row r="46" spans="2:26" ht="14.85" customHeight="1">
      <c r="B46" s="572" t="s">
        <v>112</v>
      </c>
      <c r="C46" s="427"/>
      <c r="D46" s="661">
        <f>MIN(D10:D40)</f>
        <v>-1.613</v>
      </c>
      <c r="E46" s="661">
        <f>MIN(E10:E40)</f>
        <v>-2.2229999999999999</v>
      </c>
      <c r="F46" s="661">
        <f>MIN(F10:F40)</f>
        <v>-2.2999999999999998</v>
      </c>
      <c r="G46" s="661">
        <f>MIN(G10:G40)</f>
        <v>-2.2170000000000001</v>
      </c>
      <c r="H46" s="427"/>
      <c r="I46" s="430">
        <f>MIN(I10:I40)</f>
        <v>-44.9</v>
      </c>
      <c r="J46" s="430">
        <f>MIN(J10:J40)</f>
        <v>-59.8</v>
      </c>
      <c r="K46" s="574">
        <f>MIN(K10:K40)</f>
        <v>-44.8</v>
      </c>
      <c r="L46" s="427"/>
      <c r="M46" s="661">
        <f>MIN(M10:M40)</f>
        <v>-0.26821983273596173</v>
      </c>
      <c r="N46" s="661">
        <f>MIN(N10:N40)</f>
        <v>-0.95664739884393069</v>
      </c>
      <c r="O46" s="661">
        <f>MIN(O10:O40)</f>
        <v>-0.47921429176191688</v>
      </c>
      <c r="P46" s="430"/>
      <c r="Q46" s="430">
        <f>MIN(Q10:Q40)</f>
        <v>-6.2</v>
      </c>
      <c r="R46" s="430">
        <f>MIN(R10:R40)</f>
        <v>-24.7</v>
      </c>
      <c r="S46" s="430">
        <f>MIN(S10:S40)</f>
        <v>-22.5</v>
      </c>
      <c r="T46" s="427"/>
      <c r="U46" s="661">
        <f>MIN(U10:U40)</f>
        <v>-0.13333333333333333</v>
      </c>
      <c r="V46" s="661">
        <f>MIN(V10:V40)</f>
        <v>-0.24390243902439027</v>
      </c>
      <c r="W46" s="662">
        <f>MIN(W10:W40)</f>
        <v>-0.65625410158813502</v>
      </c>
    </row>
    <row r="47" spans="2:26" ht="14.85" customHeight="1"/>
    <row r="48" spans="2:26" ht="14.85" customHeight="1">
      <c r="B48" s="295" t="s">
        <v>116</v>
      </c>
    </row>
    <row r="49" spans="2:24" ht="14.85" customHeight="1">
      <c r="B49" s="295"/>
    </row>
    <row r="50" spans="2:24" ht="14.85" customHeight="1"/>
    <row r="51" spans="2:24" ht="14.85" customHeight="1"/>
    <row r="52" spans="2:24" ht="14.85" customHeight="1"/>
    <row r="53" spans="2:24" ht="14.85" customHeight="1"/>
    <row r="54" spans="2:24" ht="14.85" customHeight="1"/>
    <row r="55" spans="2:24" s="229" customFormat="1" ht="14.85" customHeight="1">
      <c r="B55" s="663" t="s">
        <v>296</v>
      </c>
      <c r="C55" s="664"/>
      <c r="D55" s="665" t="s">
        <v>292</v>
      </c>
      <c r="E55" s="665" t="s">
        <v>293</v>
      </c>
      <c r="F55" s="665" t="s">
        <v>294</v>
      </c>
      <c r="G55" s="666" t="s">
        <v>295</v>
      </c>
      <c r="X55" s="208"/>
    </row>
    <row r="56" spans="2:24" ht="14.85" customHeight="1"/>
    <row r="57" spans="2:24" ht="14.85" customHeight="1"/>
    <row r="58" spans="2:24" ht="14.85" customHeight="1"/>
    <row r="59" spans="2:24" ht="14.85" customHeight="1"/>
    <row r="60" spans="2:24" ht="14.85" customHeight="1"/>
    <row r="61" spans="2:24" ht="14.85" customHeight="1"/>
    <row r="62" spans="2:24" ht="14.85" customHeight="1"/>
    <row r="63" spans="2:24" ht="14.85" customHeight="1"/>
    <row r="64" spans="2:2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mergeCells count="1">
    <mergeCell ref="M7:O7"/>
  </mergeCells>
  <conditionalFormatting sqref="B10:B39">
    <cfRule type="cellIs" dxfId="25" priority="21" operator="equal">
      <formula>"(Invalid Identifier)"</formula>
    </cfRule>
  </conditionalFormatting>
  <conditionalFormatting sqref="C4:I4 M4:W4">
    <cfRule type="cellIs" dxfId="24" priority="20" stopIfTrue="1" operator="equal">
      <formula>"input"</formula>
    </cfRule>
  </conditionalFormatting>
  <conditionalFormatting sqref="J4">
    <cfRule type="cellIs" dxfId="23" priority="18" stopIfTrue="1" operator="equal">
      <formula>"input"</formula>
    </cfRule>
  </conditionalFormatting>
  <conditionalFormatting sqref="J4">
    <cfRule type="cellIs" dxfId="22" priority="19" stopIfTrue="1" operator="equal">
      <formula>"input"</formula>
    </cfRule>
  </conditionalFormatting>
  <conditionalFormatting sqref="L4">
    <cfRule type="cellIs" dxfId="21" priority="9" stopIfTrue="1" operator="equal">
      <formula>"input"</formula>
    </cfRule>
  </conditionalFormatting>
  <conditionalFormatting sqref="B4">
    <cfRule type="cellIs" dxfId="20" priority="2" stopIfTrue="1" operator="equal">
      <formula>"input"</formula>
    </cfRule>
  </conditionalFormatting>
  <conditionalFormatting sqref="K4">
    <cfRule type="cellIs" dxfId="19" priority="1" stopIfTrue="1" operator="equal">
      <formula>"input"</formula>
    </cfRule>
  </conditionalFormatting>
  <pageMargins left="0.5" right="0.5" top="0.5" bottom="0.5" header="0.5" footer="0.5"/>
  <pageSetup scale="75" fitToWidth="0" fitToHeight="0" orientation="landscape" r:id="rId1"/>
  <colBreaks count="1" manualBreakCount="1">
    <brk id="11" max="47" man="1"/>
  </colBreaks>
  <legacyDrawingHF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Sheet31">
    <tabColor theme="3" tint="-0.499984740745262"/>
    <pageSetUpPr fitToPage="1"/>
  </sheetPr>
  <dimension ref="A6:G30"/>
  <sheetViews>
    <sheetView showGridLines="0" view="pageBreakPreview" zoomScale="80" zoomScaleNormal="100" zoomScaleSheetLayoutView="80" workbookViewId="0"/>
  </sheetViews>
  <sheetFormatPr defaultColWidth="9.33203125" defaultRowHeight="12.75"/>
  <cols>
    <col min="1" max="1" width="4.5" style="260" customWidth="1"/>
    <col min="2" max="2" width="3.83203125" style="260" customWidth="1"/>
    <col min="3" max="3" width="15.83203125" style="260" customWidth="1"/>
    <col min="4" max="4" width="108.83203125" style="300" customWidth="1"/>
    <col min="5" max="5" width="15.83203125" style="260" customWidth="1"/>
    <col min="6" max="6" width="3.83203125" style="260" customWidth="1"/>
    <col min="7" max="7" width="4.5" style="260" customWidth="1"/>
    <col min="8" max="8" width="9.33203125" style="260"/>
    <col min="9" max="9" width="16.33203125" style="260" bestFit="1" customWidth="1"/>
    <col min="10" max="10" width="19" style="260" bestFit="1" customWidth="1"/>
    <col min="11" max="16384" width="9.33203125" style="260"/>
  </cols>
  <sheetData>
    <row r="6" spans="1:7">
      <c r="B6" s="301"/>
      <c r="C6" s="442"/>
      <c r="D6" s="1252"/>
      <c r="E6" s="442"/>
      <c r="F6" s="442"/>
    </row>
    <row r="7" spans="1:7" ht="13.5" thickBot="1">
      <c r="B7" s="301"/>
      <c r="C7" s="442"/>
      <c r="D7" s="1252"/>
      <c r="E7" s="442"/>
      <c r="F7" s="442"/>
    </row>
    <row r="8" spans="1:7" s="185" customFormat="1" ht="15" thickTop="1">
      <c r="A8" s="260"/>
      <c r="B8" s="581"/>
      <c r="C8" s="582"/>
      <c r="D8" s="1251"/>
      <c r="E8" s="582"/>
      <c r="F8" s="582"/>
      <c r="G8" s="260"/>
    </row>
    <row r="9" spans="1:7" s="192" customFormat="1" ht="39.75">
      <c r="A9" s="260"/>
      <c r="B9" s="583"/>
      <c r="C9" s="584"/>
      <c r="D9" s="218" t="s">
        <v>2461</v>
      </c>
      <c r="E9" s="584"/>
      <c r="F9" s="584"/>
      <c r="G9" s="260"/>
    </row>
    <row r="10" spans="1:7" s="185" customFormat="1" ht="15" thickBot="1">
      <c r="A10" s="260"/>
      <c r="B10" s="585"/>
      <c r="C10" s="586"/>
      <c r="D10" s="1250"/>
      <c r="E10" s="586"/>
      <c r="F10" s="586"/>
      <c r="G10" s="260"/>
    </row>
    <row r="11" spans="1:7" s="185" customFormat="1" ht="15" thickTop="1">
      <c r="A11" s="260"/>
      <c r="B11" s="260"/>
      <c r="C11" s="260"/>
      <c r="D11" s="300"/>
      <c r="E11" s="260"/>
      <c r="F11" s="260"/>
      <c r="G11" s="260"/>
    </row>
    <row r="12" spans="1:7" s="185" customFormat="1" ht="14.25">
      <c r="A12" s="260"/>
      <c r="B12" s="260"/>
      <c r="C12" s="260"/>
      <c r="D12" s="300"/>
      <c r="E12" s="260"/>
      <c r="F12" s="260"/>
      <c r="G12" s="260"/>
    </row>
    <row r="13" spans="1:7" s="185" customFormat="1" ht="18">
      <c r="A13" s="260"/>
      <c r="B13" s="260"/>
      <c r="C13" s="260"/>
      <c r="D13" s="203"/>
      <c r="E13" s="260"/>
      <c r="F13" s="260"/>
      <c r="G13" s="260"/>
    </row>
    <row r="14" spans="1:7" s="185" customFormat="1" ht="18">
      <c r="A14" s="260"/>
      <c r="B14" s="260"/>
      <c r="C14" s="260"/>
      <c r="D14" s="204"/>
      <c r="E14" s="260"/>
      <c r="F14" s="260"/>
      <c r="G14" s="260"/>
    </row>
    <row r="15" spans="1:7" s="185" customFormat="1" ht="14.25">
      <c r="A15" s="260"/>
      <c r="B15" s="260"/>
      <c r="C15" s="260"/>
      <c r="D15" s="300"/>
      <c r="E15" s="260"/>
      <c r="F15" s="260"/>
      <c r="G15" s="260"/>
    </row>
    <row r="16" spans="1:7" s="185" customFormat="1" ht="14.25">
      <c r="A16" s="260"/>
      <c r="B16" s="260"/>
      <c r="C16" s="260"/>
      <c r="D16" s="300"/>
      <c r="E16" s="260"/>
      <c r="F16" s="260"/>
      <c r="G16" s="260"/>
    </row>
    <row r="17" spans="1:7" s="185" customFormat="1" ht="14.25">
      <c r="A17" s="260"/>
      <c r="B17" s="260"/>
      <c r="C17" s="260"/>
      <c r="D17" s="300"/>
      <c r="E17" s="260"/>
      <c r="F17" s="260"/>
      <c r="G17" s="260"/>
    </row>
    <row r="18" spans="1:7" s="185" customFormat="1" ht="14.25">
      <c r="A18" s="260"/>
      <c r="B18" s="260"/>
      <c r="C18" s="260"/>
      <c r="D18" s="300"/>
      <c r="E18" s="260"/>
      <c r="F18" s="260"/>
      <c r="G18" s="260"/>
    </row>
    <row r="19" spans="1:7" s="185" customFormat="1" ht="14.25">
      <c r="A19" s="260"/>
      <c r="B19" s="260"/>
      <c r="C19" s="260"/>
      <c r="D19" s="300"/>
      <c r="E19" s="260"/>
      <c r="F19" s="260"/>
      <c r="G19" s="260"/>
    </row>
    <row r="20" spans="1:7" s="185" customFormat="1" ht="14.25">
      <c r="A20" s="260"/>
      <c r="B20" s="260"/>
      <c r="C20" s="260"/>
      <c r="D20" s="300"/>
      <c r="E20" s="260"/>
      <c r="F20" s="260"/>
      <c r="G20" s="260"/>
    </row>
    <row r="21" spans="1:7" s="185" customFormat="1" ht="14.25">
      <c r="A21" s="260"/>
      <c r="B21" s="260"/>
      <c r="C21" s="260"/>
      <c r="D21" s="300"/>
      <c r="E21" s="260"/>
      <c r="F21" s="260"/>
      <c r="G21" s="260"/>
    </row>
    <row r="22" spans="1:7" s="185" customFormat="1" ht="14.25">
      <c r="A22" s="260"/>
      <c r="B22" s="260"/>
      <c r="C22" s="260"/>
      <c r="D22" s="300"/>
      <c r="E22" s="260"/>
      <c r="F22" s="260"/>
      <c r="G22" s="260"/>
    </row>
    <row r="23" spans="1:7" s="185" customFormat="1" ht="14.25">
      <c r="A23" s="260"/>
      <c r="B23" s="260"/>
      <c r="C23" s="260"/>
      <c r="D23" s="300"/>
      <c r="E23" s="260"/>
      <c r="F23" s="260"/>
      <c r="G23" s="260"/>
    </row>
    <row r="24" spans="1:7" s="185" customFormat="1" ht="14.25">
      <c r="A24" s="260"/>
      <c r="B24" s="260"/>
      <c r="C24" s="260"/>
      <c r="D24" s="300"/>
      <c r="E24" s="260"/>
      <c r="F24" s="260"/>
      <c r="G24" s="260"/>
    </row>
    <row r="25" spans="1:7" s="185" customFormat="1" ht="14.25">
      <c r="A25" s="260"/>
      <c r="B25" s="260"/>
      <c r="C25" s="260"/>
      <c r="D25" s="300"/>
      <c r="E25" s="260"/>
      <c r="F25" s="260"/>
      <c r="G25" s="260"/>
    </row>
    <row r="26" spans="1:7" s="185" customFormat="1" ht="14.25">
      <c r="A26" s="260"/>
      <c r="B26" s="260"/>
      <c r="C26" s="260"/>
      <c r="D26" s="300"/>
      <c r="E26" s="260"/>
      <c r="F26" s="260"/>
      <c r="G26" s="260"/>
    </row>
    <row r="27" spans="1:7" s="185" customFormat="1" ht="23.25">
      <c r="A27" s="260"/>
      <c r="B27" s="260"/>
      <c r="C27" s="260"/>
      <c r="D27" s="205"/>
      <c r="E27" s="260"/>
      <c r="F27" s="260"/>
      <c r="G27" s="260"/>
    </row>
    <row r="28" spans="1:7" s="185" customFormat="1" ht="14.25">
      <c r="A28" s="260"/>
      <c r="B28" s="260"/>
      <c r="C28" s="260"/>
      <c r="D28" s="300"/>
      <c r="E28" s="260"/>
      <c r="F28" s="260"/>
      <c r="G28" s="260"/>
    </row>
    <row r="29" spans="1:7" s="185" customFormat="1" ht="18">
      <c r="A29" s="260"/>
      <c r="B29" s="260"/>
      <c r="C29" s="260"/>
      <c r="D29" s="206"/>
      <c r="E29" s="260"/>
      <c r="F29" s="260"/>
      <c r="G29" s="260"/>
    </row>
    <row r="30" spans="1:7" s="185" customFormat="1" ht="36">
      <c r="A30" s="260"/>
      <c r="B30" s="260"/>
      <c r="C30" s="260"/>
      <c r="D30" s="207" t="s">
        <v>374</v>
      </c>
      <c r="E30" s="260"/>
      <c r="F30" s="260"/>
      <c r="G30" s="260"/>
    </row>
  </sheetData>
  <pageMargins left="0.5" right="0.5" top="0.5" bottom="0.5" header="0.5" footer="0.5"/>
  <pageSetup scale="98" orientation="landscape"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33"/>
  <dimension ref="B1:AR761"/>
  <sheetViews>
    <sheetView showGridLines="0" view="pageBreakPreview" topLeftCell="A13" zoomScale="80" zoomScaleNormal="100" zoomScaleSheetLayoutView="80" workbookViewId="0"/>
  </sheetViews>
  <sheetFormatPr defaultRowHeight="12.75" outlineLevelRow="1" outlineLevelCol="1"/>
  <cols>
    <col min="1" max="1" width="4.5" style="208" customWidth="1"/>
    <col min="2" max="2" width="14.83203125" style="208" customWidth="1"/>
    <col min="3" max="4" width="26" style="208" customWidth="1"/>
    <col min="5" max="5" width="26.33203125" style="208" hidden="1" customWidth="1" outlineLevel="1"/>
    <col min="6" max="6" width="10.6640625" style="208" bestFit="1" customWidth="1" collapsed="1"/>
    <col min="7" max="7" width="10" style="208" hidden="1" customWidth="1" outlineLevel="1"/>
    <col min="8" max="8" width="2.83203125" style="208" customWidth="1" collapsed="1"/>
    <col min="9" max="9" width="20.83203125" style="208" customWidth="1"/>
    <col min="10" max="10" width="16.83203125" style="208" customWidth="1"/>
    <col min="11" max="11" width="2.83203125" style="208" customWidth="1"/>
    <col min="12" max="12" width="12.83203125" style="208" customWidth="1"/>
    <col min="13" max="13" width="10.83203125" style="208" customWidth="1"/>
    <col min="14" max="14" width="13.83203125" style="208" customWidth="1"/>
    <col min="15" max="15" width="12.83203125" style="208" customWidth="1"/>
    <col min="16" max="16" width="2.83203125" style="208" customWidth="1"/>
    <col min="17" max="19" width="12.83203125" style="208" customWidth="1"/>
    <col min="20" max="20" width="2.83203125" style="208" customWidth="1"/>
    <col min="21" max="23" width="15.83203125" style="208" customWidth="1"/>
    <col min="24" max="25" width="11.33203125" style="208" hidden="1" customWidth="1" outlineLevel="1"/>
    <col min="26" max="26" width="2.83203125" style="208" customWidth="1" collapsed="1"/>
    <col min="27" max="29" width="11.33203125" style="208" hidden="1" customWidth="1" outlineLevel="1"/>
    <col min="30" max="30" width="2.83203125" style="208" hidden="1" customWidth="1" outlineLevel="1"/>
    <col min="31" max="33" width="11.33203125" style="208" hidden="1" customWidth="1" outlineLevel="1"/>
    <col min="34" max="34" width="2.83203125" style="310" hidden="1" customWidth="1" outlineLevel="1"/>
    <col min="35" max="35" width="20.6640625" style="208" customWidth="1" collapsed="1"/>
    <col min="36" max="36" width="20.6640625" style="208" customWidth="1"/>
    <col min="37" max="37" width="4.5" style="208" customWidth="1"/>
    <col min="38" max="38" width="14.33203125" style="208" bestFit="1" customWidth="1"/>
    <col min="39" max="39" width="10.33203125" style="208" customWidth="1"/>
    <col min="40" max="40" width="9.33203125" style="208"/>
    <col min="41" max="41" width="9.83203125" style="208" bestFit="1" customWidth="1"/>
    <col min="42" max="42" width="12" style="208" bestFit="1" customWidth="1"/>
    <col min="43" max="43" width="11.6640625" style="208" bestFit="1" customWidth="1"/>
    <col min="44" max="44" width="12" style="208" bestFit="1" customWidth="1"/>
    <col min="45" max="16384" width="9.33203125" style="208"/>
  </cols>
  <sheetData>
    <row r="1" spans="2:44" ht="10.7" customHeight="1" thickBot="1"/>
    <row r="2" spans="2:44" ht="16.5" customHeight="1" thickTop="1">
      <c r="B2" s="216" t="str">
        <f>'MASTER PubCo Inputs'!$C$5</f>
        <v>Medikine, Inc.</v>
      </c>
      <c r="C2" s="216"/>
      <c r="D2" s="216"/>
      <c r="E2" s="216"/>
      <c r="F2" s="216"/>
      <c r="G2" s="216"/>
      <c r="H2" s="216"/>
      <c r="I2" s="216"/>
      <c r="J2" s="216"/>
      <c r="K2" s="216"/>
      <c r="L2" s="216"/>
      <c r="M2" s="216"/>
      <c r="N2" s="216"/>
      <c r="O2" s="216"/>
      <c r="P2" s="216"/>
      <c r="Q2" s="216"/>
      <c r="R2" s="216"/>
      <c r="S2" s="216"/>
      <c r="T2" s="216"/>
      <c r="U2" s="216"/>
      <c r="V2" s="216"/>
      <c r="W2" s="216"/>
      <c r="X2" s="216"/>
      <c r="Y2" s="216"/>
      <c r="Z2" s="216"/>
      <c r="AA2" s="216"/>
      <c r="AB2" s="216"/>
      <c r="AC2" s="216"/>
      <c r="AD2" s="216"/>
      <c r="AE2" s="216"/>
      <c r="AF2" s="216"/>
      <c r="AG2" s="216"/>
      <c r="AH2" s="1240"/>
      <c r="AI2" s="216"/>
      <c r="AJ2" s="216"/>
      <c r="AL2" s="532" t="s">
        <v>87</v>
      </c>
      <c r="AM2" s="533">
        <f>+'Comp.1'!$AL$2</f>
        <v>43496</v>
      </c>
      <c r="AO2" s="596"/>
      <c r="AP2" s="597" t="s">
        <v>726</v>
      </c>
      <c r="AQ2" s="597" t="s">
        <v>727</v>
      </c>
      <c r="AR2" s="598" t="s">
        <v>110</v>
      </c>
    </row>
    <row r="3" spans="2:44" ht="15.75" customHeight="1">
      <c r="B3" s="217" t="str">
        <f>VLOOKUP(B4,Outline!$E$8:$G$79,COLUMNS(Outline!$E$8:$G$8),FALSE)</f>
        <v>Exhibit E.1</v>
      </c>
      <c r="C3" s="217"/>
      <c r="D3" s="217"/>
      <c r="E3" s="217"/>
      <c r="F3" s="217"/>
      <c r="G3" s="217"/>
      <c r="H3" s="217"/>
      <c r="I3" s="217"/>
      <c r="J3" s="217"/>
      <c r="K3" s="217"/>
      <c r="L3" s="217"/>
      <c r="M3" s="217"/>
      <c r="N3" s="217"/>
      <c r="O3" s="217"/>
      <c r="P3" s="217"/>
      <c r="Q3" s="217"/>
      <c r="R3" s="217"/>
      <c r="S3" s="217"/>
      <c r="T3" s="217"/>
      <c r="U3" s="217"/>
      <c r="V3" s="217"/>
      <c r="W3" s="217"/>
      <c r="X3" s="217"/>
      <c r="Y3" s="217"/>
      <c r="Z3" s="217"/>
      <c r="AA3" s="217"/>
      <c r="AB3" s="217"/>
      <c r="AC3" s="217"/>
      <c r="AD3" s="217"/>
      <c r="AE3" s="217"/>
      <c r="AF3" s="217"/>
      <c r="AG3" s="217"/>
      <c r="AH3" s="219"/>
      <c r="AI3" s="217"/>
      <c r="AJ3" s="217"/>
      <c r="AL3" s="534" t="s">
        <v>378</v>
      </c>
      <c r="AM3" s="535" t="str">
        <f>+'Comp.1'!$AL$3</f>
        <v>F</v>
      </c>
      <c r="AO3" s="599" t="str">
        <f>+L7</f>
        <v>Enterprise Value</v>
      </c>
      <c r="AP3" s="600" t="e">
        <f ca="1">SUM('STM Linked'!I10:I29)</f>
        <v>#NAME?</v>
      </c>
      <c r="AQ3" s="600">
        <f>+SUM('Capital IQ Sheet-STM'!I10:I29)</f>
        <v>31264.601780000001</v>
      </c>
      <c r="AR3" s="327" t="e">
        <f ca="1">AP3=AQ3</f>
        <v>#NAME?</v>
      </c>
    </row>
    <row r="4" spans="2:44" ht="16.5" customHeight="1" thickBot="1">
      <c r="B4" s="444" t="s">
        <v>605</v>
      </c>
      <c r="C4" s="444"/>
      <c r="D4" s="444"/>
      <c r="E4" s="444"/>
      <c r="F4" s="444"/>
      <c r="G4" s="444"/>
      <c r="H4" s="444"/>
      <c r="I4" s="444"/>
      <c r="J4" s="444"/>
      <c r="K4" s="444"/>
      <c r="L4" s="444"/>
      <c r="M4" s="444"/>
      <c r="N4" s="444"/>
      <c r="O4" s="444"/>
      <c r="P4" s="444"/>
      <c r="Q4" s="445"/>
      <c r="R4" s="445"/>
      <c r="S4" s="445" t="s">
        <v>2540</v>
      </c>
      <c r="T4" s="445"/>
      <c r="U4" s="445"/>
      <c r="V4" s="445"/>
      <c r="W4" s="445"/>
      <c r="X4" s="445"/>
      <c r="Y4" s="445"/>
      <c r="Z4" s="445"/>
      <c r="AA4" s="445"/>
      <c r="AB4" s="445"/>
      <c r="AC4" s="445"/>
      <c r="AD4" s="445"/>
      <c r="AE4" s="445"/>
      <c r="AF4" s="445"/>
      <c r="AG4" s="445"/>
      <c r="AH4" s="1241"/>
      <c r="AI4" s="445"/>
      <c r="AJ4" s="445"/>
      <c r="AL4" s="534" t="s">
        <v>379</v>
      </c>
      <c r="AM4" s="535" t="str">
        <f>+'Comp.1'!$AL$4</f>
        <v>USD</v>
      </c>
      <c r="AO4" s="599" t="str">
        <f>+Q7</f>
        <v>Revenue</v>
      </c>
      <c r="AP4" s="600" t="e">
        <f ca="1">+SUM('STM Linked'!N10:N29)</f>
        <v>#NAME?</v>
      </c>
      <c r="AQ4" s="600">
        <f>+SUM('Capital IQ Sheet-STM'!N10:N29)</f>
        <v>4581.1404999999995</v>
      </c>
      <c r="AR4" s="327" t="e">
        <f ca="1">AP4=AQ4</f>
        <v>#NAME?</v>
      </c>
    </row>
    <row r="5" spans="2:44" s="326" customFormat="1" ht="14.85" customHeight="1" thickTop="1">
      <c r="B5" s="208"/>
      <c r="C5" s="208"/>
      <c r="D5" s="208"/>
      <c r="E5" s="208"/>
      <c r="F5" s="208"/>
      <c r="G5" s="208"/>
      <c r="H5" s="208"/>
      <c r="I5" s="208"/>
      <c r="J5" s="208"/>
      <c r="K5" s="208"/>
      <c r="L5" s="208"/>
      <c r="M5" s="208"/>
      <c r="N5" s="208"/>
      <c r="O5" s="208"/>
      <c r="P5" s="208"/>
      <c r="Q5" s="208"/>
      <c r="R5" s="208"/>
      <c r="S5" s="208"/>
      <c r="T5" s="208"/>
      <c r="U5" s="208"/>
      <c r="V5" s="208"/>
      <c r="W5" s="208"/>
      <c r="X5" s="208"/>
      <c r="Y5" s="208"/>
      <c r="Z5" s="208"/>
      <c r="AA5" s="208"/>
      <c r="AB5" s="208"/>
      <c r="AC5" s="208"/>
      <c r="AD5" s="208"/>
      <c r="AE5" s="208"/>
      <c r="AF5" s="208"/>
      <c r="AG5" s="208"/>
      <c r="AH5" s="310"/>
      <c r="AI5" s="208"/>
      <c r="AJ5" s="208"/>
      <c r="AK5" s="208"/>
      <c r="AL5" s="339" t="s">
        <v>89</v>
      </c>
      <c r="AM5" s="536" t="str">
        <f>+'Comp.1'!$AL$5</f>
        <v>H</v>
      </c>
      <c r="AO5" s="602" t="str">
        <f>+R7</f>
        <v>EBITDA</v>
      </c>
      <c r="AP5" s="603" t="e">
        <f ca="1">+SUM('STM Linked'!O10:O29)</f>
        <v>#NAME?</v>
      </c>
      <c r="AQ5" s="603">
        <f>+SUM('Capital IQ Sheet-STM'!O10:O29)</f>
        <v>156.57754999999986</v>
      </c>
      <c r="AR5" s="440" t="e">
        <f ca="1">AP5=AQ5</f>
        <v>#NAME?</v>
      </c>
    </row>
    <row r="6" spans="2:44" ht="14.85" customHeight="1">
      <c r="L6" s="415" t="s">
        <v>393</v>
      </c>
      <c r="M6" s="675"/>
      <c r="N6" s="675"/>
      <c r="O6" s="417"/>
      <c r="Q6" s="415" t="s">
        <v>305</v>
      </c>
      <c r="R6" s="416"/>
      <c r="S6" s="417"/>
      <c r="U6" s="587" t="s">
        <v>304</v>
      </c>
      <c r="V6" s="588"/>
      <c r="W6" s="450"/>
      <c r="X6" s="588"/>
      <c r="Y6" s="589"/>
      <c r="AA6" s="415" t="s">
        <v>306</v>
      </c>
      <c r="AB6" s="416"/>
      <c r="AC6" s="417"/>
      <c r="AE6" s="415" t="s">
        <v>307</v>
      </c>
      <c r="AF6" s="416"/>
      <c r="AG6" s="417"/>
      <c r="AI6" s="676" t="s">
        <v>310</v>
      </c>
      <c r="AJ6" s="677"/>
    </row>
    <row r="7" spans="2:44" s="229" customFormat="1" ht="39.950000000000003" customHeight="1">
      <c r="B7" s="678" t="s">
        <v>299</v>
      </c>
      <c r="C7" s="679" t="s">
        <v>718</v>
      </c>
      <c r="D7" s="679" t="s">
        <v>300</v>
      </c>
      <c r="E7" s="679" t="s">
        <v>397</v>
      </c>
      <c r="F7" s="680" t="s">
        <v>301</v>
      </c>
      <c r="G7" s="681" t="s">
        <v>303</v>
      </c>
      <c r="I7" s="618" t="s">
        <v>2444</v>
      </c>
      <c r="J7" s="619" t="s">
        <v>1912</v>
      </c>
      <c r="L7" s="543" t="str">
        <f>'Capital IQ Sheet-STM'!I8</f>
        <v>Enterprise Value</v>
      </c>
      <c r="M7" s="682" t="str">
        <f>'Capital IQ Sheet-STM'!J8</f>
        <v>Upfront Value</v>
      </c>
      <c r="N7" s="682" t="str">
        <f>'Capital IQ Sheet-STM'!K8</f>
        <v>Contingent Payments</v>
      </c>
      <c r="O7" s="546" t="str">
        <f>'Capital IQ Sheet-STM'!L8</f>
        <v>Total Trans. Value</v>
      </c>
      <c r="P7" s="623"/>
      <c r="Q7" s="543" t="s">
        <v>158</v>
      </c>
      <c r="R7" s="544" t="s">
        <v>167</v>
      </c>
      <c r="S7" s="546" t="s">
        <v>168</v>
      </c>
      <c r="T7" s="289"/>
      <c r="U7" s="543" t="s">
        <v>158</v>
      </c>
      <c r="V7" s="544" t="s">
        <v>167</v>
      </c>
      <c r="W7" s="683" t="s">
        <v>168</v>
      </c>
      <c r="X7" s="544" t="s">
        <v>395</v>
      </c>
      <c r="Y7" s="546" t="s">
        <v>396</v>
      </c>
      <c r="Z7" s="289"/>
      <c r="AA7" s="543" t="s">
        <v>158</v>
      </c>
      <c r="AB7" s="544" t="s">
        <v>167</v>
      </c>
      <c r="AC7" s="546" t="s">
        <v>168</v>
      </c>
      <c r="AD7" s="289"/>
      <c r="AE7" s="543" t="s">
        <v>158</v>
      </c>
      <c r="AF7" s="544" t="s">
        <v>167</v>
      </c>
      <c r="AG7" s="546" t="s">
        <v>168</v>
      </c>
      <c r="AH7" s="684"/>
      <c r="AI7" s="685" t="s">
        <v>308</v>
      </c>
      <c r="AJ7" s="686" t="s">
        <v>309</v>
      </c>
      <c r="AL7" s="395" t="s">
        <v>784</v>
      </c>
      <c r="AM7" s="687">
        <v>50</v>
      </c>
      <c r="AN7" s="395" t="s">
        <v>785</v>
      </c>
      <c r="AO7" s="687">
        <v>0</v>
      </c>
    </row>
    <row r="8" spans="2:44" ht="14.85" customHeight="1">
      <c r="L8" s="289"/>
      <c r="M8" s="289"/>
      <c r="N8" s="289"/>
      <c r="O8" s="289"/>
      <c r="P8" s="289"/>
      <c r="Q8" s="289"/>
      <c r="R8" s="289"/>
      <c r="S8" s="289"/>
      <c r="T8" s="289"/>
      <c r="U8" s="289"/>
      <c r="V8" s="289"/>
      <c r="W8" s="289"/>
      <c r="X8" s="289"/>
      <c r="Y8" s="289"/>
      <c r="Z8" s="289"/>
      <c r="AA8" s="289"/>
      <c r="AB8" s="289"/>
      <c r="AC8" s="289"/>
      <c r="AD8" s="289"/>
      <c r="AE8" s="289"/>
      <c r="AF8" s="289"/>
      <c r="AG8" s="289"/>
      <c r="AH8" s="684"/>
      <c r="AI8" s="289"/>
      <c r="AJ8" s="289"/>
    </row>
    <row r="9" spans="2:44" s="690" customFormat="1" ht="27" customHeight="1">
      <c r="B9" s="688">
        <f>IFERROR('Capital IQ Sheet-STM'!B10,"n/a")</f>
        <v>43389</v>
      </c>
      <c r="C9" s="688" t="str">
        <f>'Capital IQ Sheet-STM'!C10</f>
        <v>Pediapharm Inc. (nka:Medexus Pharmaceuticals Inc.)</v>
      </c>
      <c r="D9" s="688" t="str">
        <f>'Capital IQ Sheet-STM'!D10</f>
        <v>Medac Pharma, Inc.</v>
      </c>
      <c r="E9" s="688" t="str">
        <f>'Capital IQ Sheet-STM'!E10</f>
        <v>Pharmaceuticals</v>
      </c>
      <c r="F9" s="689">
        <f>IFERROR('Capital IQ Sheet-STM'!F10,"n/a")</f>
        <v>1</v>
      </c>
      <c r="G9" s="688" t="str">
        <f>'Capital IQ Sheet-STM'!G10</f>
        <v>Majority</v>
      </c>
      <c r="I9" s="1836" t="s">
        <v>2541</v>
      </c>
      <c r="J9" s="1836" t="s">
        <v>1025</v>
      </c>
      <c r="L9" s="691">
        <f>'Capital IQ Sheet-STM'!I10</f>
        <v>49.868169999999999</v>
      </c>
      <c r="M9" s="691">
        <f>'Capital IQ Sheet-STM'!J10</f>
        <v>15.40733</v>
      </c>
      <c r="N9" s="691">
        <f>'Capital IQ Sheet-STM'!K10</f>
        <v>35</v>
      </c>
      <c r="O9" s="691">
        <f>'Capital IQ Sheet-STM'!L10</f>
        <v>50.407330000000002</v>
      </c>
      <c r="P9" s="692"/>
      <c r="Q9" s="691" t="str">
        <f>'Capital IQ Sheet-STM'!N10</f>
        <v>n/a</v>
      </c>
      <c r="R9" s="691" t="str">
        <f>'Capital IQ Sheet-STM'!O10</f>
        <v>n/a</v>
      </c>
      <c r="S9" s="691" t="str">
        <f>'Capital IQ Sheet-STM'!P10</f>
        <v>n/a</v>
      </c>
      <c r="T9" s="692"/>
      <c r="U9" s="693" t="str">
        <f>IFERROR(IF(($L9/Q9)&gt;$AM$7, "NM", IF(($L9/Q9)&lt;$AO$7, "NM", $L9/Q9)),"n/a")</f>
        <v>n/a</v>
      </c>
      <c r="V9" s="693" t="str">
        <f>IFERROR(IF(($L9/R9)&gt;$AM$7, "NM", IF(($L9/R9)&lt;$AO$7, "NM", $L9/R9)),"n/a")</f>
        <v>n/a</v>
      </c>
      <c r="W9" s="693" t="str">
        <f>IFERROR(IF(($L9/S9)&gt;$AM$7, "NM", IF(($L9/S9)&lt;$AO$7, "NM", $L9/S9)),"n/a")</f>
        <v>n/a</v>
      </c>
      <c r="X9" s="693" t="str">
        <f>'Capital IQ Sheet-STM'!U10</f>
        <v>n/a</v>
      </c>
      <c r="Y9" s="693" t="str">
        <f>'Capital IQ Sheet-STM'!V10</f>
        <v>n/a</v>
      </c>
      <c r="Z9" s="692"/>
      <c r="AA9" s="378">
        <f>'Capital IQ Sheet-STM'!X10</f>
        <v>0</v>
      </c>
      <c r="AB9" s="378">
        <f>'Capital IQ Sheet-STM'!Y10</f>
        <v>0</v>
      </c>
      <c r="AC9" s="378" t="str">
        <f>'Capital IQ Sheet-STM'!Z10</f>
        <v>n/a</v>
      </c>
      <c r="AD9" s="692"/>
      <c r="AE9" s="693" t="str">
        <f>IF(ISERROR($L9/AA9), "n/a", $L9/AA9)</f>
        <v>n/a</v>
      </c>
      <c r="AF9" s="693" t="str">
        <f>IF(ISERROR($L9/AB9), "n/a", $L9/AB9)</f>
        <v>n/a</v>
      </c>
      <c r="AG9" s="688" t="str">
        <f>'Capital IQ Sheet-STM'!AD10</f>
        <v>n/a</v>
      </c>
      <c r="AI9" s="689" t="str">
        <f>IFERROR('Capital IQ Sheet-STM'!AH10,"n/a")</f>
        <v>NM</v>
      </c>
      <c r="AJ9" s="689" t="str">
        <f>IFERROR('Capital IQ Sheet-STM'!AI10,"n/a")</f>
        <v>NM</v>
      </c>
      <c r="AL9" s="694"/>
    </row>
    <row r="10" spans="2:44" s="690" customFormat="1" ht="39.950000000000003" customHeight="1">
      <c r="B10" s="688">
        <f>IFERROR('Capital IQ Sheet-STM'!B11,"n/a")</f>
        <v>43364</v>
      </c>
      <c r="C10" s="688" t="str">
        <f>'Capital IQ Sheet-STM'!C11</f>
        <v>Gossamer Bio, Inc.</v>
      </c>
      <c r="D10" s="688" t="str">
        <f>'Capital IQ Sheet-STM'!D11</f>
        <v>Adhaere Pharmaceuticals, Inc.</v>
      </c>
      <c r="E10" s="688" t="str">
        <f>'Capital IQ Sheet-STM'!E11</f>
        <v>Pharmaceuticals</v>
      </c>
      <c r="F10" s="689">
        <f>IFERROR('Capital IQ Sheet-STM'!F11,"n/a")</f>
        <v>1</v>
      </c>
      <c r="G10" s="688" t="str">
        <f>'Capital IQ Sheet-STM'!G11</f>
        <v>Majority</v>
      </c>
      <c r="I10" s="1836" t="s">
        <v>2542</v>
      </c>
      <c r="J10" s="1836" t="s">
        <v>1025</v>
      </c>
      <c r="L10" s="691">
        <f>'Capital IQ Sheet-STM'!I11</f>
        <v>69.5</v>
      </c>
      <c r="M10" s="691">
        <f>'Capital IQ Sheet-STM'!J11</f>
        <v>7.5</v>
      </c>
      <c r="N10" s="691">
        <f>'Capital IQ Sheet-STM'!K11</f>
        <v>62</v>
      </c>
      <c r="O10" s="691">
        <f>'Capital IQ Sheet-STM'!L11</f>
        <v>69.5</v>
      </c>
      <c r="P10" s="692"/>
      <c r="Q10" s="691" t="str">
        <f>'Capital IQ Sheet-STM'!N11</f>
        <v>n/a</v>
      </c>
      <c r="R10" s="691" t="str">
        <f>'Capital IQ Sheet-STM'!O11</f>
        <v>n/a</v>
      </c>
      <c r="S10" s="691" t="str">
        <f>'Capital IQ Sheet-STM'!P11</f>
        <v>n/a</v>
      </c>
      <c r="T10" s="692"/>
      <c r="U10" s="693" t="str">
        <f t="shared" ref="U10:U26" si="0">IFERROR(IF(($L10/Q10)&gt;$AM$7, "NM", IF(($L10/Q10)&lt;$AO$7, "NM", $L10/Q10)),"n/a")</f>
        <v>n/a</v>
      </c>
      <c r="V10" s="693" t="str">
        <f t="shared" ref="V10:V26" si="1">IFERROR(IF(($L10/R10)&gt;$AM$7, "NM", IF(($L10/R10)&lt;$AO$7, "NM", $L10/R10)),"n/a")</f>
        <v>n/a</v>
      </c>
      <c r="W10" s="693" t="str">
        <f t="shared" ref="W10:W26" si="2">IFERROR(IF(($L10/S10)&gt;$AM$7, "NM", IF(($L10/S10)&lt;$AO$7, "NM", $L10/S10)),"n/a")</f>
        <v>n/a</v>
      </c>
      <c r="X10" s="693" t="str">
        <f>'Capital IQ Sheet-STM'!U11</f>
        <v>n/a</v>
      </c>
      <c r="Y10" s="693" t="str">
        <f>'Capital IQ Sheet-STM'!V11</f>
        <v>n/a</v>
      </c>
      <c r="Z10" s="692"/>
      <c r="AA10" s="378">
        <f>'Capital IQ Sheet-STM'!X11</f>
        <v>0</v>
      </c>
      <c r="AB10" s="378">
        <f>'Capital IQ Sheet-STM'!Y11</f>
        <v>0</v>
      </c>
      <c r="AC10" s="378" t="str">
        <f>'Capital IQ Sheet-STM'!Z11</f>
        <v>n/a</v>
      </c>
      <c r="AD10" s="692"/>
      <c r="AE10" s="693" t="str">
        <f t="shared" ref="AE10:AE26" si="3">IF(ISERROR($L10/AA10), "n/a", $L10/AA10)</f>
        <v>n/a</v>
      </c>
      <c r="AF10" s="693" t="str">
        <f t="shared" ref="AF10:AF26" si="4">IF(ISERROR($L10/AB10), "n/a", $L10/AB10)</f>
        <v>n/a</v>
      </c>
      <c r="AG10" s="688" t="str">
        <f>'Capital IQ Sheet-STM'!AD11</f>
        <v>n/a</v>
      </c>
      <c r="AI10" s="689" t="str">
        <f>IFERROR('Capital IQ Sheet-STM'!AH11,"n/a")</f>
        <v>NM</v>
      </c>
      <c r="AJ10" s="689" t="str">
        <f>IFERROR('Capital IQ Sheet-STM'!AI11,"n/a")</f>
        <v>NM</v>
      </c>
      <c r="AL10" s="694"/>
    </row>
    <row r="11" spans="2:44" s="690" customFormat="1" ht="27" customHeight="1">
      <c r="B11" s="688">
        <f>IFERROR('Capital IQ Sheet-STM'!B12,"n/a")</f>
        <v>43272</v>
      </c>
      <c r="C11" s="688" t="str">
        <f>'Capital IQ Sheet-STM'!C12</f>
        <v>Eli Lilly and Company</v>
      </c>
      <c r="D11" s="688" t="str">
        <f>'Capital IQ Sheet-STM'!D12</f>
        <v>ARMO BioSciences, Inc.</v>
      </c>
      <c r="E11" s="688" t="str">
        <f>'Capital IQ Sheet-STM'!E12</f>
        <v>Biotechnology</v>
      </c>
      <c r="F11" s="689">
        <f>IFERROR('Capital IQ Sheet-STM'!F12,"n/a")</f>
        <v>1</v>
      </c>
      <c r="G11" s="688" t="str">
        <f>'Capital IQ Sheet-STM'!G12</f>
        <v>Majority</v>
      </c>
      <c r="I11" s="1836" t="s">
        <v>2543</v>
      </c>
      <c r="J11" s="1836" t="s">
        <v>1111</v>
      </c>
      <c r="L11" s="691">
        <f>'Capital IQ Sheet-STM'!I12</f>
        <v>1462.6232399999999</v>
      </c>
      <c r="M11" s="691">
        <f>'Capital IQ Sheet-STM'!J12</f>
        <v>1520.2554500000001</v>
      </c>
      <c r="N11" s="691" t="str">
        <f>'Capital IQ Sheet-STM'!K12</f>
        <v>n/a</v>
      </c>
      <c r="O11" s="691">
        <f>'Capital IQ Sheet-STM'!L12</f>
        <v>1627.93624</v>
      </c>
      <c r="P11" s="692"/>
      <c r="Q11" s="691" t="str">
        <f>'Capital IQ Sheet-STM'!N12</f>
        <v>n/a</v>
      </c>
      <c r="R11" s="691">
        <f>'Capital IQ Sheet-STM'!O12</f>
        <v>-55.171999999999997</v>
      </c>
      <c r="S11" s="691">
        <f>'Capital IQ Sheet-STM'!P12</f>
        <v>-55.372</v>
      </c>
      <c r="T11" s="692"/>
      <c r="U11" s="693" t="str">
        <f t="shared" si="0"/>
        <v>n/a</v>
      </c>
      <c r="V11" s="693" t="str">
        <f t="shared" si="1"/>
        <v>NM</v>
      </c>
      <c r="W11" s="693" t="str">
        <f t="shared" si="2"/>
        <v>NM</v>
      </c>
      <c r="X11" s="693">
        <f>'Capital IQ Sheet-STM'!U12</f>
        <v>9.6916799999999999</v>
      </c>
      <c r="Y11" s="693" t="str">
        <f>'Capital IQ Sheet-STM'!V12</f>
        <v>NM</v>
      </c>
      <c r="Z11" s="692"/>
      <c r="AA11" s="378">
        <f>'Capital IQ Sheet-STM'!X12</f>
        <v>0</v>
      </c>
      <c r="AB11" s="378">
        <f>'Capital IQ Sheet-STM'!Y12</f>
        <v>0</v>
      </c>
      <c r="AC11" s="378" t="str">
        <f>'Capital IQ Sheet-STM'!Z12</f>
        <v>n/a</v>
      </c>
      <c r="AD11" s="692"/>
      <c r="AE11" s="693" t="str">
        <f t="shared" si="3"/>
        <v>n/a</v>
      </c>
      <c r="AF11" s="693" t="str">
        <f t="shared" si="4"/>
        <v>n/a</v>
      </c>
      <c r="AG11" s="688" t="str">
        <f>'Capital IQ Sheet-STM'!AD12</f>
        <v>n/a</v>
      </c>
      <c r="AI11" s="689">
        <f>IFERROR('Capital IQ Sheet-STM'!AH12,"n/a")</f>
        <v>0.81028199999999995</v>
      </c>
      <c r="AJ11" s="689">
        <f>IFERROR('Capital IQ Sheet-STM'!AI12,"n/a")</f>
        <v>0.55908899999999995</v>
      </c>
      <c r="AL11" s="694"/>
    </row>
    <row r="12" spans="2:44" s="690" customFormat="1" ht="27" customHeight="1">
      <c r="B12" s="688">
        <f>IFERROR('Capital IQ Sheet-STM'!B13,"n/a")</f>
        <v>43194</v>
      </c>
      <c r="C12" s="688" t="str">
        <f>'Capital IQ Sheet-STM'!C13</f>
        <v>Ferring Holding SA</v>
      </c>
      <c r="D12" s="688" t="str">
        <f>'Capital IQ Sheet-STM'!D13</f>
        <v>Rebiotix, Inc.</v>
      </c>
      <c r="E12" s="688" t="str">
        <f>'Capital IQ Sheet-STM'!E13</f>
        <v>Biotechnology</v>
      </c>
      <c r="F12" s="689">
        <f>IFERROR('Capital IQ Sheet-STM'!F13,"n/a")</f>
        <v>1</v>
      </c>
      <c r="G12" s="688" t="str">
        <f>'Capital IQ Sheet-STM'!G13</f>
        <v>Majority</v>
      </c>
      <c r="I12" s="1836" t="s">
        <v>2544</v>
      </c>
      <c r="J12" s="1836" t="s">
        <v>2528</v>
      </c>
      <c r="L12" s="691" t="str">
        <f>'Capital IQ Sheet-STM'!I13</f>
        <v>n/a</v>
      </c>
      <c r="M12" s="691">
        <f>'Capital IQ Sheet-STM'!J13</f>
        <v>0</v>
      </c>
      <c r="N12" s="691" t="str">
        <f>'Capital IQ Sheet-STM'!K13</f>
        <v>n/a</v>
      </c>
      <c r="O12" s="691" t="str">
        <f>'Capital IQ Sheet-STM'!L13</f>
        <v>n/a</v>
      </c>
      <c r="P12" s="692"/>
      <c r="Q12" s="691" t="str">
        <f>'Capital IQ Sheet-STM'!N13</f>
        <v>n/a</v>
      </c>
      <c r="R12" s="691" t="str">
        <f>'Capital IQ Sheet-STM'!O13</f>
        <v>n/a</v>
      </c>
      <c r="S12" s="691" t="str">
        <f>'Capital IQ Sheet-STM'!P13</f>
        <v>n/a</v>
      </c>
      <c r="T12" s="692"/>
      <c r="U12" s="693" t="str">
        <f t="shared" si="0"/>
        <v>n/a</v>
      </c>
      <c r="V12" s="693" t="str">
        <f t="shared" si="1"/>
        <v>n/a</v>
      </c>
      <c r="W12" s="693" t="str">
        <f t="shared" si="2"/>
        <v>n/a</v>
      </c>
      <c r="X12" s="693" t="str">
        <f>'Capital IQ Sheet-STM'!U13</f>
        <v>n/a</v>
      </c>
      <c r="Y12" s="693" t="str">
        <f>'Capital IQ Sheet-STM'!V13</f>
        <v>n/a</v>
      </c>
      <c r="Z12" s="692"/>
      <c r="AA12" s="378">
        <f>'Capital IQ Sheet-STM'!X13</f>
        <v>0</v>
      </c>
      <c r="AB12" s="378">
        <f>'Capital IQ Sheet-STM'!Y13</f>
        <v>0</v>
      </c>
      <c r="AC12" s="378" t="str">
        <f>'Capital IQ Sheet-STM'!Z13</f>
        <v>n/a</v>
      </c>
      <c r="AD12" s="692"/>
      <c r="AE12" s="693" t="str">
        <f t="shared" si="3"/>
        <v>n/a</v>
      </c>
      <c r="AF12" s="693" t="str">
        <f t="shared" si="4"/>
        <v>n/a</v>
      </c>
      <c r="AG12" s="688" t="str">
        <f>'Capital IQ Sheet-STM'!AD13</f>
        <v>n/a</v>
      </c>
      <c r="AI12" s="689" t="str">
        <f>IFERROR('Capital IQ Sheet-STM'!AH13,"n/a")</f>
        <v>NM</v>
      </c>
      <c r="AJ12" s="689" t="str">
        <f>IFERROR('Capital IQ Sheet-STM'!AI13,"n/a")</f>
        <v>NM</v>
      </c>
      <c r="AL12" s="694"/>
    </row>
    <row r="13" spans="2:44" s="690" customFormat="1" ht="27" customHeight="1">
      <c r="B13" s="688">
        <f>IFERROR('Capital IQ Sheet-STM'!B14,"n/a")</f>
        <v>43165</v>
      </c>
      <c r="C13" s="688" t="str">
        <f>'Capital IQ Sheet-STM'!C14</f>
        <v>Celgene Corporation</v>
      </c>
      <c r="D13" s="688" t="str">
        <f>'Capital IQ Sheet-STM'!D14</f>
        <v>Juno Therapeutics, Inc.</v>
      </c>
      <c r="E13" s="688" t="str">
        <f>'Capital IQ Sheet-STM'!E14</f>
        <v>Biotechnology</v>
      </c>
      <c r="F13" s="689">
        <f>IFERROR('Capital IQ Sheet-STM'!F14,"n/a")</f>
        <v>0.9029277</v>
      </c>
      <c r="G13" s="688" t="str">
        <f>'Capital IQ Sheet-STM'!G14</f>
        <v>Majority</v>
      </c>
      <c r="I13" s="1836" t="s">
        <v>2545</v>
      </c>
      <c r="J13" s="1836" t="s">
        <v>501</v>
      </c>
      <c r="L13" s="691">
        <f>'Capital IQ Sheet-STM'!I14</f>
        <v>9556.3503700000001</v>
      </c>
      <c r="M13" s="691">
        <f>'Capital IQ Sheet-STM'!J14</f>
        <v>9088.9225399999996</v>
      </c>
      <c r="N13" s="691" t="str">
        <f>'Capital IQ Sheet-STM'!K14</f>
        <v>n/a</v>
      </c>
      <c r="O13" s="691">
        <f>'Capital IQ Sheet-STM'!L14</f>
        <v>9305.3396400000001</v>
      </c>
      <c r="P13" s="692"/>
      <c r="Q13" s="691">
        <f>'Capital IQ Sheet-STM'!N14</f>
        <v>111.871</v>
      </c>
      <c r="R13" s="691">
        <f>'Capital IQ Sheet-STM'!O14</f>
        <v>-427.39800000000002</v>
      </c>
      <c r="S13" s="691">
        <f>'Capital IQ Sheet-STM'!P14</f>
        <v>-443.77600000000001</v>
      </c>
      <c r="T13" s="692"/>
      <c r="U13" s="693" t="str">
        <f t="shared" si="0"/>
        <v>NM</v>
      </c>
      <c r="V13" s="693" t="str">
        <f t="shared" si="1"/>
        <v>NM</v>
      </c>
      <c r="W13" s="693" t="str">
        <f t="shared" si="2"/>
        <v>NM</v>
      </c>
      <c r="X13" s="693">
        <f>'Capital IQ Sheet-STM'!U14</f>
        <v>9.6143599999999996</v>
      </c>
      <c r="Y13" s="693" t="str">
        <f>'Capital IQ Sheet-STM'!V14</f>
        <v>NM</v>
      </c>
      <c r="Z13" s="692"/>
      <c r="AA13" s="378">
        <f>'Capital IQ Sheet-STM'!X14</f>
        <v>0</v>
      </c>
      <c r="AB13" s="378">
        <f>'Capital IQ Sheet-STM'!Y14</f>
        <v>0</v>
      </c>
      <c r="AC13" s="378">
        <f>'Capital IQ Sheet-STM'!Z14</f>
        <v>68.006399999999999</v>
      </c>
      <c r="AD13" s="692"/>
      <c r="AE13" s="693" t="str">
        <f t="shared" si="3"/>
        <v>n/a</v>
      </c>
      <c r="AF13" s="693" t="str">
        <f t="shared" si="4"/>
        <v>n/a</v>
      </c>
      <c r="AG13" s="688">
        <f>'Capital IQ Sheet-STM'!AD14</f>
        <v>140.52133872694336</v>
      </c>
      <c r="AI13" s="689">
        <f>IFERROR('Capital IQ Sheet-STM'!AH14,"n/a")</f>
        <v>0.78461499999999995</v>
      </c>
      <c r="AJ13" s="689">
        <f>IFERROR('Capital IQ Sheet-STM'!AI14,"n/a")</f>
        <v>0.89130399999999999</v>
      </c>
      <c r="AL13" s="694"/>
    </row>
    <row r="14" spans="2:44" s="690" customFormat="1" ht="27" customHeight="1">
      <c r="B14" s="688">
        <f>IFERROR('Capital IQ Sheet-STM'!B15,"n/a")</f>
        <v>42997</v>
      </c>
      <c r="C14" s="688" t="str">
        <f>'Capital IQ Sheet-STM'!C15</f>
        <v>Acer Therapeutics Inc.</v>
      </c>
      <c r="D14" s="688" t="str">
        <f>'Capital IQ Sheet-STM'!D15</f>
        <v>Opexa Therapeutics, Inc.</v>
      </c>
      <c r="E14" s="688" t="str">
        <f>'Capital IQ Sheet-STM'!E15</f>
        <v>Biotechnology</v>
      </c>
      <c r="F14" s="689">
        <f>IFERROR('Capital IQ Sheet-STM'!F15,"n/a")</f>
        <v>1</v>
      </c>
      <c r="G14" s="688" t="str">
        <f>'Capital IQ Sheet-STM'!G15</f>
        <v>Majority</v>
      </c>
      <c r="I14" s="1836" t="s">
        <v>2541</v>
      </c>
      <c r="J14" s="1836" t="s">
        <v>2529</v>
      </c>
      <c r="L14" s="691" t="str">
        <f>'Capital IQ Sheet-STM'!I15</f>
        <v>n/a</v>
      </c>
      <c r="M14" s="691">
        <f>'Capital IQ Sheet-STM'!J15</f>
        <v>0</v>
      </c>
      <c r="N14" s="691" t="str">
        <f>'Capital IQ Sheet-STM'!K15</f>
        <v>n/a</v>
      </c>
      <c r="O14" s="691" t="str">
        <f>'Capital IQ Sheet-STM'!L15</f>
        <v>n/a</v>
      </c>
      <c r="P14" s="692"/>
      <c r="Q14" s="691">
        <f>'Capital IQ Sheet-STM'!N15</f>
        <v>2.28979</v>
      </c>
      <c r="R14" s="691">
        <f>'Capital IQ Sheet-STM'!O15</f>
        <v>-3.22994</v>
      </c>
      <c r="S14" s="691">
        <f>'Capital IQ Sheet-STM'!P15</f>
        <v>-3.44889</v>
      </c>
      <c r="T14" s="692"/>
      <c r="U14" s="693" t="str">
        <f t="shared" si="0"/>
        <v>n/a</v>
      </c>
      <c r="V14" s="693" t="str">
        <f t="shared" si="1"/>
        <v>n/a</v>
      </c>
      <c r="W14" s="693" t="str">
        <f t="shared" si="2"/>
        <v>n/a</v>
      </c>
      <c r="X14" s="693" t="str">
        <f>'Capital IQ Sheet-STM'!U15</f>
        <v>n/a</v>
      </c>
      <c r="Y14" s="693" t="str">
        <f>'Capital IQ Sheet-STM'!V15</f>
        <v>n/a</v>
      </c>
      <c r="Z14" s="692"/>
      <c r="AA14" s="378">
        <f>'Capital IQ Sheet-STM'!X15</f>
        <v>0</v>
      </c>
      <c r="AB14" s="378">
        <f>'Capital IQ Sheet-STM'!Y15</f>
        <v>0</v>
      </c>
      <c r="AC14" s="378" t="str">
        <f>'Capital IQ Sheet-STM'!Z15</f>
        <v>n/a</v>
      </c>
      <c r="AD14" s="692"/>
      <c r="AE14" s="693" t="str">
        <f t="shared" si="3"/>
        <v>n/a</v>
      </c>
      <c r="AF14" s="693" t="str">
        <f t="shared" si="4"/>
        <v>n/a</v>
      </c>
      <c r="AG14" s="688" t="str">
        <f>'Capital IQ Sheet-STM'!AD15</f>
        <v>n/a</v>
      </c>
      <c r="AI14" s="689" t="str">
        <f>IFERROR('Capital IQ Sheet-STM'!AH15,"n/a")</f>
        <v>NM</v>
      </c>
      <c r="AJ14" s="689" t="str">
        <f>IFERROR('Capital IQ Sheet-STM'!AI15,"n/a")</f>
        <v>NM</v>
      </c>
      <c r="AL14" s="694"/>
    </row>
    <row r="15" spans="2:44" s="690" customFormat="1" ht="27" customHeight="1">
      <c r="B15" s="688">
        <f>IFERROR('Capital IQ Sheet-STM'!B16,"n/a")</f>
        <v>42948</v>
      </c>
      <c r="C15" s="688" t="str">
        <f>'Capital IQ Sheet-STM'!C16</f>
        <v>NantCell, Inc.</v>
      </c>
      <c r="D15" s="688" t="str">
        <f>'Capital IQ Sheet-STM'!D16</f>
        <v>Altor BioScience Corporation</v>
      </c>
      <c r="E15" s="688" t="str">
        <f>'Capital IQ Sheet-STM'!E16</f>
        <v>Biotechnology</v>
      </c>
      <c r="F15" s="689">
        <f>IFERROR('Capital IQ Sheet-STM'!F16,"n/a")</f>
        <v>1</v>
      </c>
      <c r="G15" s="688" t="str">
        <f>'Capital IQ Sheet-STM'!G16</f>
        <v>Majority</v>
      </c>
      <c r="I15" s="1836" t="s">
        <v>2546</v>
      </c>
      <c r="J15" s="1836" t="s">
        <v>1146</v>
      </c>
      <c r="L15" s="691">
        <f>'Capital IQ Sheet-STM'!I16</f>
        <v>290</v>
      </c>
      <c r="M15" s="691">
        <f>'Capital IQ Sheet-STM'!J16</f>
        <v>0</v>
      </c>
      <c r="N15" s="691" t="str">
        <f>'Capital IQ Sheet-STM'!K16</f>
        <v>n/a</v>
      </c>
      <c r="O15" s="691">
        <f>'Capital IQ Sheet-STM'!L16</f>
        <v>290</v>
      </c>
      <c r="P15" s="692"/>
      <c r="Q15" s="691" t="str">
        <f>'Capital IQ Sheet-STM'!N16</f>
        <v>n/a</v>
      </c>
      <c r="R15" s="691" t="str">
        <f>'Capital IQ Sheet-STM'!O16</f>
        <v>n/a</v>
      </c>
      <c r="S15" s="691" t="str">
        <f>'Capital IQ Sheet-STM'!P16</f>
        <v>n/a</v>
      </c>
      <c r="T15" s="692"/>
      <c r="U15" s="693" t="str">
        <f t="shared" si="0"/>
        <v>n/a</v>
      </c>
      <c r="V15" s="693" t="str">
        <f t="shared" si="1"/>
        <v>n/a</v>
      </c>
      <c r="W15" s="693" t="str">
        <f t="shared" si="2"/>
        <v>n/a</v>
      </c>
      <c r="X15" s="693" t="str">
        <f>'Capital IQ Sheet-STM'!U16</f>
        <v>n/a</v>
      </c>
      <c r="Y15" s="693" t="str">
        <f>'Capital IQ Sheet-STM'!V16</f>
        <v>n/a</v>
      </c>
      <c r="Z15" s="692"/>
      <c r="AA15" s="378">
        <f>'Capital IQ Sheet-STM'!X16</f>
        <v>0</v>
      </c>
      <c r="AB15" s="378">
        <f>'Capital IQ Sheet-STM'!Y16</f>
        <v>0</v>
      </c>
      <c r="AC15" s="378" t="str">
        <f>'Capital IQ Sheet-STM'!Z16</f>
        <v>n/a</v>
      </c>
      <c r="AD15" s="692"/>
      <c r="AE15" s="693" t="str">
        <f t="shared" si="3"/>
        <v>n/a</v>
      </c>
      <c r="AF15" s="693" t="str">
        <f t="shared" si="4"/>
        <v>n/a</v>
      </c>
      <c r="AG15" s="688" t="str">
        <f>'Capital IQ Sheet-STM'!AD16</f>
        <v>n/a</v>
      </c>
      <c r="AI15" s="689" t="str">
        <f>IFERROR('Capital IQ Sheet-STM'!AH16,"n/a")</f>
        <v>NM</v>
      </c>
      <c r="AJ15" s="689" t="str">
        <f>IFERROR('Capital IQ Sheet-STM'!AI16,"n/a")</f>
        <v>NM</v>
      </c>
      <c r="AL15" s="694"/>
    </row>
    <row r="16" spans="2:44" s="690" customFormat="1" ht="39.950000000000003" customHeight="1">
      <c r="B16" s="688">
        <f>IFERROR('Capital IQ Sheet-STM'!B17,"n/a")</f>
        <v>42863</v>
      </c>
      <c r="C16" s="688" t="str">
        <f>'Capital IQ Sheet-STM'!C17</f>
        <v>Horizon Pharma Public Limited Company</v>
      </c>
      <c r="D16" s="688" t="str">
        <f>'Capital IQ Sheet-STM'!D17</f>
        <v>River Vision Development Corp.</v>
      </c>
      <c r="E16" s="688" t="str">
        <f>'Capital IQ Sheet-STM'!E17</f>
        <v>Biotechnology</v>
      </c>
      <c r="F16" s="689">
        <f>IFERROR('Capital IQ Sheet-STM'!F17,"n/a")</f>
        <v>1</v>
      </c>
      <c r="G16" s="688" t="str">
        <f>'Capital IQ Sheet-STM'!G17</f>
        <v>Majority</v>
      </c>
      <c r="I16" s="1836" t="s">
        <v>2547</v>
      </c>
      <c r="J16" s="1836" t="s">
        <v>1025</v>
      </c>
      <c r="L16" s="691">
        <f>'Capital IQ Sheet-STM'!I17</f>
        <v>145.6</v>
      </c>
      <c r="M16" s="691">
        <f>'Capital IQ Sheet-STM'!J17</f>
        <v>151.9</v>
      </c>
      <c r="N16" s="691" t="str">
        <f>'Capital IQ Sheet-STM'!K17</f>
        <v>n/a</v>
      </c>
      <c r="O16" s="691">
        <f>'Capital IQ Sheet-STM'!L17</f>
        <v>151.9</v>
      </c>
      <c r="P16" s="692"/>
      <c r="Q16" s="691" t="str">
        <f>'Capital IQ Sheet-STM'!N17</f>
        <v>n/a</v>
      </c>
      <c r="R16" s="691" t="str">
        <f>'Capital IQ Sheet-STM'!O17</f>
        <v>n/a</v>
      </c>
      <c r="S16" s="691" t="str">
        <f>'Capital IQ Sheet-STM'!P17</f>
        <v>n/a</v>
      </c>
      <c r="T16" s="692"/>
      <c r="U16" s="693" t="str">
        <f t="shared" si="0"/>
        <v>n/a</v>
      </c>
      <c r="V16" s="693" t="str">
        <f t="shared" si="1"/>
        <v>n/a</v>
      </c>
      <c r="W16" s="693" t="str">
        <f t="shared" si="2"/>
        <v>n/a</v>
      </c>
      <c r="X16" s="693" t="str">
        <f>'Capital IQ Sheet-STM'!U17</f>
        <v>n/a</v>
      </c>
      <c r="Y16" s="693" t="str">
        <f>'Capital IQ Sheet-STM'!V17</f>
        <v>n/a</v>
      </c>
      <c r="Z16" s="692"/>
      <c r="AA16" s="378">
        <f>'Capital IQ Sheet-STM'!X17</f>
        <v>0</v>
      </c>
      <c r="AB16" s="378">
        <f>'Capital IQ Sheet-STM'!Y17</f>
        <v>0</v>
      </c>
      <c r="AC16" s="378" t="str">
        <f>'Capital IQ Sheet-STM'!Z17</f>
        <v>n/a</v>
      </c>
      <c r="AD16" s="692"/>
      <c r="AE16" s="693" t="str">
        <f t="shared" si="3"/>
        <v>n/a</v>
      </c>
      <c r="AF16" s="693" t="str">
        <f t="shared" si="4"/>
        <v>n/a</v>
      </c>
      <c r="AG16" s="688" t="str">
        <f>'Capital IQ Sheet-STM'!AD17</f>
        <v>n/a</v>
      </c>
      <c r="AI16" s="689" t="str">
        <f>IFERROR('Capital IQ Sheet-STM'!AH17,"n/a")</f>
        <v>NM</v>
      </c>
      <c r="AJ16" s="689" t="str">
        <f>IFERROR('Capital IQ Sheet-STM'!AI17,"n/a")</f>
        <v>NM</v>
      </c>
      <c r="AL16" s="694"/>
    </row>
    <row r="17" spans="2:38" s="690" customFormat="1" ht="39.950000000000003" customHeight="1">
      <c r="B17" s="688">
        <f>IFERROR('Capital IQ Sheet-STM'!B18,"n/a")</f>
        <v>42776</v>
      </c>
      <c r="C17" s="688" t="str">
        <f>'Capital IQ Sheet-STM'!C18</f>
        <v>Seattle Genetics, Inc.</v>
      </c>
      <c r="D17" s="688" t="str">
        <f>'Capital IQ Sheet-STM'!D18</f>
        <v>Immunomedics, Inc.</v>
      </c>
      <c r="E17" s="688" t="str">
        <f>'Capital IQ Sheet-STM'!E18</f>
        <v>Biotechnology</v>
      </c>
      <c r="F17" s="689">
        <f>IFERROR('Capital IQ Sheet-STM'!F18,"n/a")</f>
        <v>2.8280699999999999E-2</v>
      </c>
      <c r="G17" s="688" t="str">
        <f>'Capital IQ Sheet-STM'!G18</f>
        <v>Minority</v>
      </c>
      <c r="I17" s="1836" t="s">
        <v>2548</v>
      </c>
      <c r="J17" s="1836" t="s">
        <v>502</v>
      </c>
      <c r="L17" s="691">
        <f>'Capital IQ Sheet-STM'!I18</f>
        <v>570.15260999999998</v>
      </c>
      <c r="M17" s="691">
        <f>'Capital IQ Sheet-STM'!J18</f>
        <v>14.7</v>
      </c>
      <c r="N17" s="691" t="str">
        <f>'Capital IQ Sheet-STM'!K18</f>
        <v>n/a</v>
      </c>
      <c r="O17" s="691">
        <f>'Capital IQ Sheet-STM'!L18</f>
        <v>14.7</v>
      </c>
      <c r="P17" s="692"/>
      <c r="Q17" s="691">
        <f>'Capital IQ Sheet-STM'!N18</f>
        <v>2.9572400000000001</v>
      </c>
      <c r="R17" s="691">
        <f>'Capital IQ Sheet-STM'!O18</f>
        <v>-58.647449999999999</v>
      </c>
      <c r="S17" s="691">
        <f>'Capital IQ Sheet-STM'!P18</f>
        <v>-59.508380000000002</v>
      </c>
      <c r="T17" s="692"/>
      <c r="U17" s="693" t="str">
        <f t="shared" si="0"/>
        <v>NM</v>
      </c>
      <c r="V17" s="693" t="str">
        <f t="shared" si="1"/>
        <v>NM</v>
      </c>
      <c r="W17" s="693" t="str">
        <f t="shared" si="2"/>
        <v>NM</v>
      </c>
      <c r="X17" s="693" t="str">
        <f>'Capital IQ Sheet-STM'!U18</f>
        <v>NM</v>
      </c>
      <c r="Y17" s="693" t="str">
        <f>'Capital IQ Sheet-STM'!V18</f>
        <v>NM</v>
      </c>
      <c r="Z17" s="692"/>
      <c r="AA17" s="378">
        <f>'Capital IQ Sheet-STM'!X18</f>
        <v>0</v>
      </c>
      <c r="AB17" s="378">
        <f>'Capital IQ Sheet-STM'!Y18</f>
        <v>0</v>
      </c>
      <c r="AC17" s="378">
        <f>'Capital IQ Sheet-STM'!Z18</f>
        <v>34.299999999999997</v>
      </c>
      <c r="AD17" s="692"/>
      <c r="AE17" s="693" t="str">
        <f t="shared" si="3"/>
        <v>n/a</v>
      </c>
      <c r="AF17" s="693" t="str">
        <f t="shared" si="4"/>
        <v>n/a</v>
      </c>
      <c r="AG17" s="688">
        <f>'Capital IQ Sheet-STM'!AD18</f>
        <v>16.622525072886297</v>
      </c>
      <c r="AI17" s="689">
        <f>IFERROR('Capital IQ Sheet-STM'!AH18,"n/a")</f>
        <v>0.113636</v>
      </c>
      <c r="AJ17" s="689">
        <f>IFERROR('Capital IQ Sheet-STM'!AI18,"n/a")</f>
        <v>0.36871500000000001</v>
      </c>
      <c r="AL17" s="694"/>
    </row>
    <row r="18" spans="2:38" s="690" customFormat="1" ht="27" customHeight="1">
      <c r="B18" s="688">
        <f>IFERROR('Capital IQ Sheet-STM'!B19,"n/a")</f>
        <v>42769</v>
      </c>
      <c r="C18" s="688" t="str">
        <f>'Capital IQ Sheet-STM'!C19</f>
        <v>Celgene Corporation</v>
      </c>
      <c r="D18" s="688" t="str">
        <f>'Capital IQ Sheet-STM'!D19</f>
        <v>Delinia, Inc.</v>
      </c>
      <c r="E18" s="688" t="str">
        <f>'Capital IQ Sheet-STM'!E19</f>
        <v>Biotechnology</v>
      </c>
      <c r="F18" s="689">
        <f>IFERROR('Capital IQ Sheet-STM'!F19,"n/a")</f>
        <v>1</v>
      </c>
      <c r="G18" s="688" t="str">
        <f>'Capital IQ Sheet-STM'!G19</f>
        <v>Majority</v>
      </c>
      <c r="I18" s="1836" t="s">
        <v>2549</v>
      </c>
      <c r="J18" s="1836" t="s">
        <v>2529</v>
      </c>
      <c r="L18" s="691">
        <f>'Capital IQ Sheet-STM'!I19</f>
        <v>775</v>
      </c>
      <c r="M18" s="691">
        <f>'Capital IQ Sheet-STM'!J19</f>
        <v>300</v>
      </c>
      <c r="N18" s="691">
        <f>'Capital IQ Sheet-STM'!K19</f>
        <v>475</v>
      </c>
      <c r="O18" s="691">
        <f>'Capital IQ Sheet-STM'!L19</f>
        <v>775</v>
      </c>
      <c r="P18" s="692"/>
      <c r="Q18" s="691" t="str">
        <f>'Capital IQ Sheet-STM'!N19</f>
        <v>n/a</v>
      </c>
      <c r="R18" s="691" t="str">
        <f>'Capital IQ Sheet-STM'!O19</f>
        <v>n/a</v>
      </c>
      <c r="S18" s="691" t="str">
        <f>'Capital IQ Sheet-STM'!P19</f>
        <v>n/a</v>
      </c>
      <c r="T18" s="692"/>
      <c r="U18" s="693" t="str">
        <f t="shared" si="0"/>
        <v>n/a</v>
      </c>
      <c r="V18" s="693" t="str">
        <f t="shared" si="1"/>
        <v>n/a</v>
      </c>
      <c r="W18" s="693" t="str">
        <f t="shared" si="2"/>
        <v>n/a</v>
      </c>
      <c r="X18" s="693" t="str">
        <f>'Capital IQ Sheet-STM'!U19</f>
        <v>n/a</v>
      </c>
      <c r="Y18" s="693" t="str">
        <f>'Capital IQ Sheet-STM'!V19</f>
        <v>n/a</v>
      </c>
      <c r="Z18" s="692"/>
      <c r="AA18" s="378">
        <f>'Capital IQ Sheet-STM'!X19</f>
        <v>0</v>
      </c>
      <c r="AB18" s="378">
        <f>'Capital IQ Sheet-STM'!Y19</f>
        <v>0</v>
      </c>
      <c r="AC18" s="378" t="str">
        <f>'Capital IQ Sheet-STM'!Z19</f>
        <v>n/a</v>
      </c>
      <c r="AD18" s="692"/>
      <c r="AE18" s="693" t="str">
        <f t="shared" si="3"/>
        <v>n/a</v>
      </c>
      <c r="AF18" s="693" t="str">
        <f t="shared" si="4"/>
        <v>n/a</v>
      </c>
      <c r="AG18" s="688" t="str">
        <f>'Capital IQ Sheet-STM'!AD19</f>
        <v>n/a</v>
      </c>
      <c r="AI18" s="689" t="str">
        <f>IFERROR('Capital IQ Sheet-STM'!AH19,"n/a")</f>
        <v>NM</v>
      </c>
      <c r="AJ18" s="689" t="str">
        <f>IFERROR('Capital IQ Sheet-STM'!AI19,"n/a")</f>
        <v>NM</v>
      </c>
      <c r="AL18" s="694"/>
    </row>
    <row r="19" spans="2:38" s="690" customFormat="1" ht="27" customHeight="1">
      <c r="B19" s="688">
        <f>IFERROR('Capital IQ Sheet-STM'!B20,"n/a")</f>
        <v>42692</v>
      </c>
      <c r="C19" s="688" t="str">
        <f>'Capital IQ Sheet-STM'!C20</f>
        <v>n/a</v>
      </c>
      <c r="D19" s="688" t="str">
        <f>'Capital IQ Sheet-STM'!D20</f>
        <v>Knight Knox Development Corp. (nka:Artelo Biosciences, Inc.)</v>
      </c>
      <c r="E19" s="688" t="str">
        <f>'Capital IQ Sheet-STM'!E20</f>
        <v>Pharmaceuticals</v>
      </c>
      <c r="F19" s="689">
        <f>IFERROR('Capital IQ Sheet-STM'!F20,"n/a")</f>
        <v>0.78534029999999999</v>
      </c>
      <c r="G19" s="688" t="str">
        <f>'Capital IQ Sheet-STM'!G20</f>
        <v>Majority</v>
      </c>
      <c r="I19" s="1836" t="s">
        <v>2550</v>
      </c>
      <c r="J19" s="1836" t="s">
        <v>2529</v>
      </c>
      <c r="L19" s="691" t="str">
        <f>'Capital IQ Sheet-STM'!I20</f>
        <v>n/a</v>
      </c>
      <c r="M19" s="691">
        <f>'Capital IQ Sheet-STM'!J20</f>
        <v>0</v>
      </c>
      <c r="N19" s="691" t="str">
        <f>'Capital IQ Sheet-STM'!K20</f>
        <v>n/a</v>
      </c>
      <c r="O19" s="691" t="str">
        <f>'Capital IQ Sheet-STM'!L20</f>
        <v>n/a</v>
      </c>
      <c r="P19" s="692"/>
      <c r="Q19" s="691" t="str">
        <f>'Capital IQ Sheet-STM'!N20</f>
        <v>n/a</v>
      </c>
      <c r="R19" s="691" t="str">
        <f>'Capital IQ Sheet-STM'!O20</f>
        <v>n/a</v>
      </c>
      <c r="S19" s="691">
        <f>'Capital IQ Sheet-STM'!P20</f>
        <v>-2.9690000000000001E-2</v>
      </c>
      <c r="T19" s="692"/>
      <c r="U19" s="693" t="str">
        <f t="shared" si="0"/>
        <v>n/a</v>
      </c>
      <c r="V19" s="693" t="str">
        <f t="shared" si="1"/>
        <v>n/a</v>
      </c>
      <c r="W19" s="693" t="str">
        <f t="shared" si="2"/>
        <v>n/a</v>
      </c>
      <c r="X19" s="693" t="str">
        <f>'Capital IQ Sheet-STM'!U20</f>
        <v>n/a</v>
      </c>
      <c r="Y19" s="693" t="str">
        <f>'Capital IQ Sheet-STM'!V20</f>
        <v>n/a</v>
      </c>
      <c r="Z19" s="692"/>
      <c r="AA19" s="378">
        <f>'Capital IQ Sheet-STM'!X20</f>
        <v>0</v>
      </c>
      <c r="AB19" s="378">
        <f>'Capital IQ Sheet-STM'!Y20</f>
        <v>0</v>
      </c>
      <c r="AC19" s="378" t="str">
        <f>'Capital IQ Sheet-STM'!Z20</f>
        <v>n/a</v>
      </c>
      <c r="AD19" s="692"/>
      <c r="AE19" s="693" t="str">
        <f t="shared" si="3"/>
        <v>n/a</v>
      </c>
      <c r="AF19" s="693" t="str">
        <f t="shared" si="4"/>
        <v>n/a</v>
      </c>
      <c r="AG19" s="688" t="str">
        <f>'Capital IQ Sheet-STM'!AD20</f>
        <v>n/a</v>
      </c>
      <c r="AI19" s="689" t="str">
        <f>IFERROR('Capital IQ Sheet-STM'!AH20,"n/a")</f>
        <v>NM</v>
      </c>
      <c r="AJ19" s="689" t="str">
        <f>IFERROR('Capital IQ Sheet-STM'!AI20,"n/a")</f>
        <v>NM</v>
      </c>
      <c r="AL19" s="694"/>
    </row>
    <row r="20" spans="2:38" s="690" customFormat="1" ht="27" customHeight="1">
      <c r="B20" s="688">
        <f>IFERROR('Capital IQ Sheet-STM'!B21,"n/a")</f>
        <v>42682</v>
      </c>
      <c r="C20" s="688" t="str">
        <f>'Capital IQ Sheet-STM'!C21</f>
        <v>Brown Technical Media Corp. (nka:ProBility Media Corporation)</v>
      </c>
      <c r="D20" s="688" t="str">
        <f>'Capital IQ Sheet-STM'!D21</f>
        <v>Panther Biotechnology, Inc.</v>
      </c>
      <c r="E20" s="688" t="str">
        <f>'Capital IQ Sheet-STM'!E21</f>
        <v>Biotechnology</v>
      </c>
      <c r="F20" s="689">
        <f>IFERROR('Capital IQ Sheet-STM'!F21,"n/a")</f>
        <v>1</v>
      </c>
      <c r="G20" s="688" t="str">
        <f>'Capital IQ Sheet-STM'!G21</f>
        <v>Majority</v>
      </c>
      <c r="I20" s="1836" t="s">
        <v>2551</v>
      </c>
      <c r="J20" s="1836" t="s">
        <v>13</v>
      </c>
      <c r="L20" s="691" t="str">
        <f>'Capital IQ Sheet-STM'!I21</f>
        <v>n/a</v>
      </c>
      <c r="M20" s="691">
        <f>'Capital IQ Sheet-STM'!J21</f>
        <v>0</v>
      </c>
      <c r="N20" s="691" t="str">
        <f>'Capital IQ Sheet-STM'!K21</f>
        <v>n/a</v>
      </c>
      <c r="O20" s="691" t="str">
        <f>'Capital IQ Sheet-STM'!L21</f>
        <v>n/a</v>
      </c>
      <c r="P20" s="692"/>
      <c r="Q20" s="691" t="str">
        <f>'Capital IQ Sheet-STM'!N21</f>
        <v>n/a</v>
      </c>
      <c r="R20" s="691">
        <f>'Capital IQ Sheet-STM'!O21</f>
        <v>-0.43082999999999999</v>
      </c>
      <c r="S20" s="691">
        <f>'Capital IQ Sheet-STM'!P21</f>
        <v>-0.45823000000000003</v>
      </c>
      <c r="T20" s="692"/>
      <c r="U20" s="693" t="str">
        <f t="shared" si="0"/>
        <v>n/a</v>
      </c>
      <c r="V20" s="693" t="str">
        <f t="shared" si="1"/>
        <v>n/a</v>
      </c>
      <c r="W20" s="693" t="str">
        <f t="shared" si="2"/>
        <v>n/a</v>
      </c>
      <c r="X20" s="693" t="str">
        <f>'Capital IQ Sheet-STM'!U21</f>
        <v>n/a</v>
      </c>
      <c r="Y20" s="693" t="str">
        <f>'Capital IQ Sheet-STM'!V21</f>
        <v>n/a</v>
      </c>
      <c r="Z20" s="692"/>
      <c r="AA20" s="378">
        <f>'Capital IQ Sheet-STM'!X21</f>
        <v>0</v>
      </c>
      <c r="AB20" s="378">
        <f>'Capital IQ Sheet-STM'!Y21</f>
        <v>0</v>
      </c>
      <c r="AC20" s="378" t="str">
        <f>'Capital IQ Sheet-STM'!Z21</f>
        <v>n/a</v>
      </c>
      <c r="AD20" s="692"/>
      <c r="AE20" s="693" t="str">
        <f t="shared" si="3"/>
        <v>n/a</v>
      </c>
      <c r="AF20" s="693" t="str">
        <f t="shared" si="4"/>
        <v>n/a</v>
      </c>
      <c r="AG20" s="688" t="str">
        <f>'Capital IQ Sheet-STM'!AD21</f>
        <v>n/a</v>
      </c>
      <c r="AI20" s="689" t="str">
        <f>IFERROR('Capital IQ Sheet-STM'!AH21,"n/a")</f>
        <v>NM</v>
      </c>
      <c r="AJ20" s="689" t="str">
        <f>IFERROR('Capital IQ Sheet-STM'!AI21,"n/a")</f>
        <v>NM</v>
      </c>
      <c r="AL20" s="694"/>
    </row>
    <row r="21" spans="2:38" s="690" customFormat="1" ht="27" customHeight="1">
      <c r="B21" s="688">
        <f>IFERROR('Capital IQ Sheet-STM'!B22,"n/a")</f>
        <v>42667</v>
      </c>
      <c r="C21" s="688" t="str">
        <f>'Capital IQ Sheet-STM'!C22</f>
        <v>Allergan plc</v>
      </c>
      <c r="D21" s="688" t="str">
        <f>'Capital IQ Sheet-STM'!D22</f>
        <v>Vitae Pharmaceuticals, Inc.</v>
      </c>
      <c r="E21" s="688" t="str">
        <f>'Capital IQ Sheet-STM'!E22</f>
        <v>Biotechnology</v>
      </c>
      <c r="F21" s="689">
        <f>IFERROR('Capital IQ Sheet-STM'!F22,"n/a")</f>
        <v>0.90961970000000003</v>
      </c>
      <c r="G21" s="688" t="str">
        <f>'Capital IQ Sheet-STM'!G22</f>
        <v>Majority</v>
      </c>
      <c r="I21" s="1836" t="s">
        <v>2552</v>
      </c>
      <c r="J21" s="1836" t="s">
        <v>2530</v>
      </c>
      <c r="L21" s="691">
        <f>'Capital IQ Sheet-STM'!I22</f>
        <v>528.23937000000001</v>
      </c>
      <c r="M21" s="691">
        <f>'Capital IQ Sheet-STM'!J22</f>
        <v>550.93940999999995</v>
      </c>
      <c r="N21" s="691" t="str">
        <f>'Capital IQ Sheet-STM'!K22</f>
        <v>n/a</v>
      </c>
      <c r="O21" s="691">
        <f>'Capital IQ Sheet-STM'!L22</f>
        <v>550.93940999999995</v>
      </c>
      <c r="P21" s="692"/>
      <c r="Q21" s="691">
        <f>'Capital IQ Sheet-STM'!N22</f>
        <v>0.32246999999999998</v>
      </c>
      <c r="R21" s="691">
        <f>'Capital IQ Sheet-STM'!O22</f>
        <v>-45.344230000000003</v>
      </c>
      <c r="S21" s="691">
        <f>'Capital IQ Sheet-STM'!P22</f>
        <v>-45.57047</v>
      </c>
      <c r="T21" s="692"/>
      <c r="U21" s="693" t="str">
        <f t="shared" si="0"/>
        <v>NM</v>
      </c>
      <c r="V21" s="693" t="str">
        <f t="shared" si="1"/>
        <v>NM</v>
      </c>
      <c r="W21" s="693" t="str">
        <f t="shared" si="2"/>
        <v>NM</v>
      </c>
      <c r="X21" s="693">
        <f>'Capital IQ Sheet-STM'!U22</f>
        <v>8.2933599999999998</v>
      </c>
      <c r="Y21" s="693" t="str">
        <f>'Capital IQ Sheet-STM'!V22</f>
        <v>NM</v>
      </c>
      <c r="Z21" s="692"/>
      <c r="AA21" s="378">
        <f>'Capital IQ Sheet-STM'!X22</f>
        <v>0</v>
      </c>
      <c r="AB21" s="378">
        <f>'Capital IQ Sheet-STM'!Y22</f>
        <v>0</v>
      </c>
      <c r="AC21" s="378">
        <f>'Capital IQ Sheet-STM'!Z22</f>
        <v>0.13450000000000001</v>
      </c>
      <c r="AD21" s="692"/>
      <c r="AE21" s="693" t="str">
        <f t="shared" si="3"/>
        <v>n/a</v>
      </c>
      <c r="AF21" s="693" t="str">
        <f t="shared" si="4"/>
        <v>n/a</v>
      </c>
      <c r="AG21" s="688">
        <f>'Capital IQ Sheet-STM'!AD22</f>
        <v>3927.4302602230482</v>
      </c>
      <c r="AI21" s="689">
        <f>IFERROR('Capital IQ Sheet-STM'!AH22,"n/a")</f>
        <v>1.634881</v>
      </c>
      <c r="AJ21" s="689">
        <f>IFERROR('Capital IQ Sheet-STM'!AI22,"n/a")</f>
        <v>1.3917999999999999</v>
      </c>
      <c r="AL21" s="694"/>
    </row>
    <row r="22" spans="2:38" s="690" customFormat="1" ht="27" customHeight="1">
      <c r="B22" s="688">
        <f>IFERROR('Capital IQ Sheet-STM'!B23,"n/a")</f>
        <v>42461</v>
      </c>
      <c r="C22" s="688" t="str">
        <f>'Capital IQ Sheet-STM'!C23</f>
        <v>Bristol-Myers Squibb Company</v>
      </c>
      <c r="D22" s="688" t="str">
        <f>'Capital IQ Sheet-STM'!D23</f>
        <v>Padlock Therapeutics, Inc.</v>
      </c>
      <c r="E22" s="688" t="str">
        <f>'Capital IQ Sheet-STM'!E23</f>
        <v>Biotechnology</v>
      </c>
      <c r="F22" s="689">
        <f>IFERROR('Capital IQ Sheet-STM'!F23,"n/a")</f>
        <v>1</v>
      </c>
      <c r="G22" s="688" t="str">
        <f>'Capital IQ Sheet-STM'!G23</f>
        <v>Majority</v>
      </c>
      <c r="I22" s="1836" t="s">
        <v>2541</v>
      </c>
      <c r="J22" s="1836" t="s">
        <v>13</v>
      </c>
      <c r="L22" s="691">
        <f>'Capital IQ Sheet-STM'!I23</f>
        <v>600</v>
      </c>
      <c r="M22" s="691">
        <f>'Capital IQ Sheet-STM'!J23</f>
        <v>0</v>
      </c>
      <c r="N22" s="691" t="str">
        <f>'Capital IQ Sheet-STM'!K23</f>
        <v>n/a</v>
      </c>
      <c r="O22" s="691">
        <f>'Capital IQ Sheet-STM'!L23</f>
        <v>600</v>
      </c>
      <c r="P22" s="692"/>
      <c r="Q22" s="691" t="str">
        <f>'Capital IQ Sheet-STM'!N23</f>
        <v>n/a</v>
      </c>
      <c r="R22" s="691" t="str">
        <f>'Capital IQ Sheet-STM'!O23</f>
        <v>n/a</v>
      </c>
      <c r="S22" s="691" t="str">
        <f>'Capital IQ Sheet-STM'!P23</f>
        <v>n/a</v>
      </c>
      <c r="T22" s="692"/>
      <c r="U22" s="693" t="str">
        <f t="shared" si="0"/>
        <v>n/a</v>
      </c>
      <c r="V22" s="693" t="str">
        <f t="shared" si="1"/>
        <v>n/a</v>
      </c>
      <c r="W22" s="693" t="str">
        <f t="shared" si="2"/>
        <v>n/a</v>
      </c>
      <c r="X22" s="693" t="str">
        <f>'Capital IQ Sheet-STM'!U23</f>
        <v>n/a</v>
      </c>
      <c r="Y22" s="693" t="str">
        <f>'Capital IQ Sheet-STM'!V23</f>
        <v>n/a</v>
      </c>
      <c r="Z22" s="692"/>
      <c r="AA22" s="378">
        <f>'Capital IQ Sheet-STM'!X23</f>
        <v>0</v>
      </c>
      <c r="AB22" s="378">
        <f>'Capital IQ Sheet-STM'!Y23</f>
        <v>0</v>
      </c>
      <c r="AC22" s="378" t="str">
        <f>'Capital IQ Sheet-STM'!Z23</f>
        <v>n/a</v>
      </c>
      <c r="AD22" s="692"/>
      <c r="AE22" s="693" t="str">
        <f t="shared" si="3"/>
        <v>n/a</v>
      </c>
      <c r="AF22" s="693" t="str">
        <f t="shared" si="4"/>
        <v>n/a</v>
      </c>
      <c r="AG22" s="688" t="str">
        <f>'Capital IQ Sheet-STM'!AD23</f>
        <v>n/a</v>
      </c>
      <c r="AI22" s="689" t="str">
        <f>IFERROR('Capital IQ Sheet-STM'!AH23,"n/a")</f>
        <v>NM</v>
      </c>
      <c r="AJ22" s="689" t="str">
        <f>IFERROR('Capital IQ Sheet-STM'!AI23,"n/a")</f>
        <v>NM</v>
      </c>
      <c r="AL22" s="694"/>
    </row>
    <row r="23" spans="2:38" s="690" customFormat="1" ht="27" customHeight="1">
      <c r="B23" s="688">
        <f>IFERROR('Capital IQ Sheet-STM'!B24,"n/a")</f>
        <v>42429</v>
      </c>
      <c r="C23" s="688" t="str">
        <f>'Capital IQ Sheet-STM'!C24</f>
        <v>Innovate Biopharmaceuticals, Inc.</v>
      </c>
      <c r="D23" s="688" t="str">
        <f>'Capital IQ Sheet-STM'!D24</f>
        <v>Alba Therapeutics Corporation</v>
      </c>
      <c r="E23" s="688" t="str">
        <f>'Capital IQ Sheet-STM'!E24</f>
        <v>Pharmaceuticals</v>
      </c>
      <c r="F23" s="689">
        <f>IFERROR('Capital IQ Sheet-STM'!F24,"n/a")</f>
        <v>1</v>
      </c>
      <c r="G23" s="688" t="str">
        <f>'Capital IQ Sheet-STM'!G24</f>
        <v>Majority</v>
      </c>
      <c r="I23" s="1836" t="s">
        <v>2541</v>
      </c>
      <c r="J23" s="1836" t="s">
        <v>13</v>
      </c>
      <c r="L23" s="691" t="str">
        <f>'Capital IQ Sheet-STM'!I24</f>
        <v>n/a</v>
      </c>
      <c r="M23" s="691">
        <f>'Capital IQ Sheet-STM'!J24</f>
        <v>0</v>
      </c>
      <c r="N23" s="691" t="str">
        <f>'Capital IQ Sheet-STM'!K24</f>
        <v>n/a</v>
      </c>
      <c r="O23" s="691" t="str">
        <f>'Capital IQ Sheet-STM'!L24</f>
        <v>n/a</v>
      </c>
      <c r="P23" s="692"/>
      <c r="Q23" s="691" t="str">
        <f>'Capital IQ Sheet-STM'!N24</f>
        <v>n/a</v>
      </c>
      <c r="R23" s="691" t="str">
        <f>'Capital IQ Sheet-STM'!O24</f>
        <v>n/a</v>
      </c>
      <c r="S23" s="691" t="str">
        <f>'Capital IQ Sheet-STM'!P24</f>
        <v>n/a</v>
      </c>
      <c r="T23" s="692"/>
      <c r="U23" s="693" t="str">
        <f t="shared" si="0"/>
        <v>n/a</v>
      </c>
      <c r="V23" s="693" t="str">
        <f t="shared" si="1"/>
        <v>n/a</v>
      </c>
      <c r="W23" s="693" t="str">
        <f t="shared" si="2"/>
        <v>n/a</v>
      </c>
      <c r="X23" s="693" t="str">
        <f>'Capital IQ Sheet-STM'!U24</f>
        <v>n/a</v>
      </c>
      <c r="Y23" s="693" t="str">
        <f>'Capital IQ Sheet-STM'!V24</f>
        <v>n/a</v>
      </c>
      <c r="Z23" s="692"/>
      <c r="AA23" s="378">
        <f>'Capital IQ Sheet-STM'!X24</f>
        <v>0</v>
      </c>
      <c r="AB23" s="378">
        <f>'Capital IQ Sheet-STM'!Y24</f>
        <v>0</v>
      </c>
      <c r="AC23" s="378" t="str">
        <f>'Capital IQ Sheet-STM'!Z24</f>
        <v>n/a</v>
      </c>
      <c r="AD23" s="692"/>
      <c r="AE23" s="693" t="str">
        <f t="shared" si="3"/>
        <v>n/a</v>
      </c>
      <c r="AF23" s="693" t="str">
        <f t="shared" si="4"/>
        <v>n/a</v>
      </c>
      <c r="AG23" s="688" t="str">
        <f>'Capital IQ Sheet-STM'!AD24</f>
        <v>n/a</v>
      </c>
      <c r="AI23" s="689" t="str">
        <f>IFERROR('Capital IQ Sheet-STM'!AH24,"n/a")</f>
        <v>NM</v>
      </c>
      <c r="AJ23" s="689" t="str">
        <f>IFERROR('Capital IQ Sheet-STM'!AI24,"n/a")</f>
        <v>NM</v>
      </c>
      <c r="AL23" s="694"/>
    </row>
    <row r="24" spans="2:38" s="690" customFormat="1" ht="27" customHeight="1">
      <c r="B24" s="688">
        <f>IFERROR('Capital IQ Sheet-STM'!B25,"n/a")</f>
        <v>42293</v>
      </c>
      <c r="C24" s="688" t="str">
        <f>'Capital IQ Sheet-STM'!C25</f>
        <v>Novartis International AG</v>
      </c>
      <c r="D24" s="688" t="str">
        <f>'Capital IQ Sheet-STM'!D25</f>
        <v>Admune Therapeutics LLC</v>
      </c>
      <c r="E24" s="688" t="str">
        <f>'Capital IQ Sheet-STM'!E25</f>
        <v>Biotechnology</v>
      </c>
      <c r="F24" s="689">
        <f>IFERROR('Capital IQ Sheet-STM'!F25,"n/a")</f>
        <v>1</v>
      </c>
      <c r="G24" s="688" t="str">
        <f>'Capital IQ Sheet-STM'!G25</f>
        <v>Majority</v>
      </c>
      <c r="I24" s="1836" t="s">
        <v>2553</v>
      </c>
      <c r="J24" s="1836" t="s">
        <v>501</v>
      </c>
      <c r="L24" s="691">
        <f>'Capital IQ Sheet-STM'!I25</f>
        <v>258</v>
      </c>
      <c r="M24" s="691">
        <f>'Capital IQ Sheet-STM'!J25</f>
        <v>140</v>
      </c>
      <c r="N24" s="691">
        <f>'Capital IQ Sheet-STM'!K25</f>
        <v>118</v>
      </c>
      <c r="O24" s="691">
        <f>'Capital IQ Sheet-STM'!L25</f>
        <v>258</v>
      </c>
      <c r="P24" s="692"/>
      <c r="Q24" s="691" t="str">
        <f>'Capital IQ Sheet-STM'!N25</f>
        <v>n/a</v>
      </c>
      <c r="R24" s="691" t="str">
        <f>'Capital IQ Sheet-STM'!O25</f>
        <v>n/a</v>
      </c>
      <c r="S24" s="691" t="str">
        <f>'Capital IQ Sheet-STM'!P25</f>
        <v>n/a</v>
      </c>
      <c r="T24" s="692"/>
      <c r="U24" s="693" t="str">
        <f t="shared" si="0"/>
        <v>n/a</v>
      </c>
      <c r="V24" s="693" t="str">
        <f t="shared" si="1"/>
        <v>n/a</v>
      </c>
      <c r="W24" s="693" t="str">
        <f t="shared" si="2"/>
        <v>n/a</v>
      </c>
      <c r="X24" s="693" t="str">
        <f>'Capital IQ Sheet-STM'!U25</f>
        <v>n/a</v>
      </c>
      <c r="Y24" s="693" t="str">
        <f>'Capital IQ Sheet-STM'!V25</f>
        <v>n/a</v>
      </c>
      <c r="Z24" s="692"/>
      <c r="AA24" s="378">
        <f>'Capital IQ Sheet-STM'!X25</f>
        <v>0</v>
      </c>
      <c r="AB24" s="378">
        <f>'Capital IQ Sheet-STM'!Y25</f>
        <v>0</v>
      </c>
      <c r="AC24" s="378" t="str">
        <f>'Capital IQ Sheet-STM'!Z25</f>
        <v>n/a</v>
      </c>
      <c r="AD24" s="692"/>
      <c r="AE24" s="693" t="str">
        <f t="shared" si="3"/>
        <v>n/a</v>
      </c>
      <c r="AF24" s="693" t="str">
        <f t="shared" si="4"/>
        <v>n/a</v>
      </c>
      <c r="AG24" s="688" t="str">
        <f>'Capital IQ Sheet-STM'!AD25</f>
        <v>n/a</v>
      </c>
      <c r="AI24" s="689" t="str">
        <f>IFERROR('Capital IQ Sheet-STM'!AH25,"n/a")</f>
        <v>NM</v>
      </c>
      <c r="AJ24" s="689" t="str">
        <f>IFERROR('Capital IQ Sheet-STM'!AI25,"n/a")</f>
        <v>NM</v>
      </c>
      <c r="AL24" s="694"/>
    </row>
    <row r="25" spans="2:38" s="690" customFormat="1" ht="27" customHeight="1">
      <c r="B25" s="688">
        <f>IFERROR('Capital IQ Sheet-STM'!B26,"n/a")</f>
        <v>42250</v>
      </c>
      <c r="C25" s="688" t="str">
        <f>'Capital IQ Sheet-STM'!C26</f>
        <v>Pfizer Inc.</v>
      </c>
      <c r="D25" s="688" t="str">
        <f>'Capital IQ Sheet-STM'!D26</f>
        <v>Hospira Inc.</v>
      </c>
      <c r="E25" s="688" t="str">
        <f>'Capital IQ Sheet-STM'!E26</f>
        <v>Pharmaceuticals</v>
      </c>
      <c r="F25" s="689">
        <f>IFERROR('Capital IQ Sheet-STM'!F26,"n/a")</f>
        <v>1</v>
      </c>
      <c r="G25" s="688" t="str">
        <f>'Capital IQ Sheet-STM'!G26</f>
        <v>Majority</v>
      </c>
      <c r="I25" s="1836" t="s">
        <v>2554</v>
      </c>
      <c r="J25" s="1836" t="s">
        <v>2531</v>
      </c>
      <c r="L25" s="691">
        <f>'Capital IQ Sheet-STM'!I26</f>
        <v>16917.076809999999</v>
      </c>
      <c r="M25" s="691">
        <f>'Capital IQ Sheet-STM'!J26</f>
        <v>15585.462810000001</v>
      </c>
      <c r="N25" s="691" t="str">
        <f>'Capital IQ Sheet-STM'!K26</f>
        <v>n/a</v>
      </c>
      <c r="O25" s="691">
        <f>'Capital IQ Sheet-STM'!L26</f>
        <v>17743.176810000001</v>
      </c>
      <c r="P25" s="692"/>
      <c r="Q25" s="691">
        <f>'Capital IQ Sheet-STM'!N26</f>
        <v>4463.7</v>
      </c>
      <c r="R25" s="691">
        <f>'Capital IQ Sheet-STM'!O26</f>
        <v>746.8</v>
      </c>
      <c r="S25" s="691">
        <f>'Capital IQ Sheet-STM'!P26</f>
        <v>514.20000000000005</v>
      </c>
      <c r="T25" s="692"/>
      <c r="U25" s="693">
        <f t="shared" si="0"/>
        <v>3.789922443264556</v>
      </c>
      <c r="V25" s="693">
        <f t="shared" si="1"/>
        <v>22.652754164434921</v>
      </c>
      <c r="W25" s="693">
        <f t="shared" si="2"/>
        <v>32.899799319330995</v>
      </c>
      <c r="X25" s="693">
        <f>'Capital IQ Sheet-STM'!U26</f>
        <v>4.6710599999999998</v>
      </c>
      <c r="Y25" s="693">
        <f>'Capital IQ Sheet-STM'!V26</f>
        <v>46.775100000000002</v>
      </c>
      <c r="Z25" s="692"/>
      <c r="AA25" s="378">
        <f>'Capital IQ Sheet-STM'!X26</f>
        <v>0</v>
      </c>
      <c r="AB25" s="378">
        <f>'Capital IQ Sheet-STM'!Y26</f>
        <v>0</v>
      </c>
      <c r="AC25" s="378">
        <f>'Capital IQ Sheet-STM'!Z26</f>
        <v>4452.0643</v>
      </c>
      <c r="AD25" s="692"/>
      <c r="AE25" s="693" t="str">
        <f t="shared" si="3"/>
        <v>n/a</v>
      </c>
      <c r="AF25" s="693" t="str">
        <f t="shared" si="4"/>
        <v>n/a</v>
      </c>
      <c r="AG25" s="688">
        <f>'Capital IQ Sheet-STM'!AD26</f>
        <v>3.7998276013219301</v>
      </c>
      <c r="AI25" s="689">
        <f>IFERROR('Capital IQ Sheet-STM'!AH26,"n/a")</f>
        <v>0.40884300000000001</v>
      </c>
      <c r="AJ25" s="689">
        <f>IFERROR('Capital IQ Sheet-STM'!AI26,"n/a")</f>
        <v>0.50527500000000003</v>
      </c>
      <c r="AL25" s="694"/>
    </row>
    <row r="26" spans="2:38" s="690" customFormat="1" ht="39.950000000000003" customHeight="1">
      <c r="B26" s="688">
        <f>IFERROR('Capital IQ Sheet-STM'!B27,"n/a")</f>
        <v>42139</v>
      </c>
      <c r="C26" s="688" t="str">
        <f>'Capital IQ Sheet-STM'!C27</f>
        <v>PlasmaTech Biopharmaceuticals, Inc. (nka:Abeona Therapeutics Inc.)</v>
      </c>
      <c r="D26" s="688" t="str">
        <f>'Capital IQ Sheet-STM'!D27</f>
        <v>Abeona Therapeutics LLC</v>
      </c>
      <c r="E26" s="688" t="str">
        <f>'Capital IQ Sheet-STM'!E27</f>
        <v>Biotechnology</v>
      </c>
      <c r="F26" s="689">
        <f>IFERROR('Capital IQ Sheet-STM'!F27,"n/a")</f>
        <v>1</v>
      </c>
      <c r="G26" s="688" t="str">
        <f>'Capital IQ Sheet-STM'!G27</f>
        <v>Majority</v>
      </c>
      <c r="I26" s="1836" t="s">
        <v>2555</v>
      </c>
      <c r="J26" s="1836" t="s">
        <v>2532</v>
      </c>
      <c r="L26" s="691">
        <f>'Capital IQ Sheet-STM'!I27</f>
        <v>42.191209999999998</v>
      </c>
      <c r="M26" s="691">
        <f>'Capital IQ Sheet-STM'!J27</f>
        <v>21.38326</v>
      </c>
      <c r="N26" s="691">
        <f>'Capital IQ Sheet-STM'!K27</f>
        <v>11.375920000000001</v>
      </c>
      <c r="O26" s="691">
        <f>'Capital IQ Sheet-STM'!L27</f>
        <v>32.759169999999997</v>
      </c>
      <c r="P26" s="692"/>
      <c r="Q26" s="691" t="str">
        <f>'Capital IQ Sheet-STM'!N27</f>
        <v>n/a</v>
      </c>
      <c r="R26" s="691" t="str">
        <f>'Capital IQ Sheet-STM'!O27</f>
        <v>n/a</v>
      </c>
      <c r="S26" s="691" t="str">
        <f>'Capital IQ Sheet-STM'!P27</f>
        <v>n/a</v>
      </c>
      <c r="T26" s="692"/>
      <c r="U26" s="693" t="str">
        <f t="shared" si="0"/>
        <v>n/a</v>
      </c>
      <c r="V26" s="693" t="str">
        <f t="shared" si="1"/>
        <v>n/a</v>
      </c>
      <c r="W26" s="693" t="str">
        <f t="shared" si="2"/>
        <v>n/a</v>
      </c>
      <c r="X26" s="693">
        <f>'Capital IQ Sheet-STM'!U27</f>
        <v>5.1156100000000002</v>
      </c>
      <c r="Y26" s="693" t="str">
        <f>'Capital IQ Sheet-STM'!V27</f>
        <v>NM</v>
      </c>
      <c r="Z26" s="692"/>
      <c r="AA26" s="378">
        <f>'Capital IQ Sheet-STM'!X27</f>
        <v>0</v>
      </c>
      <c r="AB26" s="378">
        <f>'Capital IQ Sheet-STM'!Y27</f>
        <v>0</v>
      </c>
      <c r="AC26" s="378" t="str">
        <f>'Capital IQ Sheet-STM'!Z27</f>
        <v>n/a</v>
      </c>
      <c r="AD26" s="692"/>
      <c r="AE26" s="693" t="str">
        <f t="shared" si="3"/>
        <v>n/a</v>
      </c>
      <c r="AF26" s="693" t="str">
        <f t="shared" si="4"/>
        <v>n/a</v>
      </c>
      <c r="AG26" s="688" t="str">
        <f>'Capital IQ Sheet-STM'!AD27</f>
        <v>n/a</v>
      </c>
      <c r="AI26" s="689" t="str">
        <f>IFERROR('Capital IQ Sheet-STM'!AH27,"n/a")</f>
        <v>NM</v>
      </c>
      <c r="AJ26" s="689" t="str">
        <f>IFERROR('Capital IQ Sheet-STM'!AI27,"n/a")</f>
        <v>NM</v>
      </c>
      <c r="AL26" s="694"/>
    </row>
    <row r="27" spans="2:38" s="690" customFormat="1" ht="14.85" hidden="1" customHeight="1" outlineLevel="1">
      <c r="B27" s="688"/>
      <c r="C27" s="688"/>
      <c r="D27" s="688"/>
      <c r="E27" s="688"/>
      <c r="F27" s="689"/>
      <c r="G27" s="688"/>
      <c r="L27" s="691"/>
      <c r="M27" s="691"/>
      <c r="N27" s="691"/>
      <c r="O27" s="691"/>
      <c r="P27" s="692"/>
      <c r="Q27" s="691"/>
      <c r="R27" s="691"/>
      <c r="S27" s="691"/>
      <c r="T27" s="692"/>
      <c r="U27" s="693"/>
      <c r="V27" s="693"/>
      <c r="W27" s="693"/>
      <c r="X27" s="693"/>
      <c r="Y27" s="693"/>
      <c r="Z27" s="692"/>
      <c r="AA27" s="378"/>
      <c r="AB27" s="378"/>
      <c r="AC27" s="378"/>
      <c r="AD27" s="692"/>
      <c r="AE27" s="693"/>
      <c r="AF27" s="693"/>
      <c r="AG27" s="688"/>
      <c r="AI27" s="689"/>
      <c r="AJ27" s="689"/>
      <c r="AL27" s="695"/>
    </row>
    <row r="28" spans="2:38" s="690" customFormat="1" ht="14.85" hidden="1" customHeight="1" outlineLevel="1">
      <c r="B28" s="688"/>
      <c r="C28" s="688"/>
      <c r="D28" s="688"/>
      <c r="E28" s="688"/>
      <c r="F28" s="689"/>
      <c r="G28" s="688"/>
      <c r="L28" s="691"/>
      <c r="M28" s="691"/>
      <c r="N28" s="691"/>
      <c r="O28" s="691"/>
      <c r="P28" s="692"/>
      <c r="Q28" s="691"/>
      <c r="R28" s="691"/>
      <c r="S28" s="691"/>
      <c r="T28" s="692"/>
      <c r="U28" s="693"/>
      <c r="V28" s="693"/>
      <c r="W28" s="693"/>
      <c r="X28" s="693"/>
      <c r="Y28" s="693"/>
      <c r="Z28" s="692"/>
      <c r="AA28" s="378"/>
      <c r="AB28" s="378"/>
      <c r="AC28" s="378"/>
      <c r="AD28" s="692"/>
      <c r="AE28" s="693"/>
      <c r="AF28" s="693"/>
      <c r="AG28" s="688"/>
      <c r="AI28" s="689"/>
      <c r="AJ28" s="689"/>
      <c r="AL28" s="695"/>
    </row>
    <row r="29" spans="2:38" s="690" customFormat="1" ht="14.85" hidden="1" customHeight="1" outlineLevel="1">
      <c r="B29" s="688"/>
      <c r="C29" s="688"/>
      <c r="D29" s="688"/>
      <c r="E29" s="688"/>
      <c r="F29" s="689"/>
      <c r="G29" s="688"/>
      <c r="L29" s="691"/>
      <c r="M29" s="691"/>
      <c r="N29" s="691"/>
      <c r="O29" s="691"/>
      <c r="P29" s="692"/>
      <c r="Q29" s="691"/>
      <c r="R29" s="691"/>
      <c r="S29" s="691"/>
      <c r="T29" s="692"/>
      <c r="U29" s="693"/>
      <c r="V29" s="693"/>
      <c r="W29" s="693"/>
      <c r="X29" s="693"/>
      <c r="Y29" s="693"/>
      <c r="Z29" s="692"/>
      <c r="AA29" s="378"/>
      <c r="AB29" s="378"/>
      <c r="AC29" s="378"/>
      <c r="AD29" s="692"/>
      <c r="AE29" s="693"/>
      <c r="AF29" s="693"/>
      <c r="AG29" s="688"/>
      <c r="AI29" s="689"/>
      <c r="AJ29" s="689"/>
      <c r="AL29" s="695"/>
    </row>
    <row r="30" spans="2:38" s="690" customFormat="1" ht="14.85" hidden="1" customHeight="1" outlineLevel="1">
      <c r="B30" s="688"/>
      <c r="C30" s="688"/>
      <c r="D30" s="688"/>
      <c r="E30" s="688"/>
      <c r="F30" s="689"/>
      <c r="G30" s="688"/>
      <c r="L30" s="691"/>
      <c r="M30" s="691"/>
      <c r="N30" s="691"/>
      <c r="O30" s="691"/>
      <c r="P30" s="692"/>
      <c r="Q30" s="691"/>
      <c r="R30" s="691"/>
      <c r="S30" s="691"/>
      <c r="T30" s="692"/>
      <c r="U30" s="693"/>
      <c r="V30" s="693"/>
      <c r="W30" s="693"/>
      <c r="X30" s="693"/>
      <c r="Y30" s="693"/>
      <c r="Z30" s="692"/>
      <c r="AA30" s="378"/>
      <c r="AB30" s="378"/>
      <c r="AC30" s="378"/>
      <c r="AD30" s="692"/>
      <c r="AE30" s="693"/>
      <c r="AF30" s="693"/>
      <c r="AG30" s="688"/>
      <c r="AI30" s="689"/>
      <c r="AJ30" s="689"/>
      <c r="AL30" s="695"/>
    </row>
    <row r="31" spans="2:38" s="690" customFormat="1" ht="14.85" hidden="1" customHeight="1" outlineLevel="1">
      <c r="B31" s="688"/>
      <c r="C31" s="688"/>
      <c r="D31" s="688"/>
      <c r="E31" s="688"/>
      <c r="F31" s="689"/>
      <c r="G31" s="688"/>
      <c r="L31" s="691"/>
      <c r="M31" s="691"/>
      <c r="N31" s="691"/>
      <c r="O31" s="691"/>
      <c r="P31" s="692"/>
      <c r="Q31" s="691"/>
      <c r="R31" s="691"/>
      <c r="S31" s="691"/>
      <c r="T31" s="692"/>
      <c r="U31" s="693"/>
      <c r="V31" s="693"/>
      <c r="W31" s="693"/>
      <c r="X31" s="693"/>
      <c r="Y31" s="693"/>
      <c r="Z31" s="692"/>
      <c r="AA31" s="378"/>
      <c r="AB31" s="378"/>
      <c r="AC31" s="378"/>
      <c r="AD31" s="692"/>
      <c r="AE31" s="693"/>
      <c r="AF31" s="693"/>
      <c r="AG31" s="688"/>
      <c r="AI31" s="689"/>
      <c r="AJ31" s="689"/>
      <c r="AL31" s="695"/>
    </row>
    <row r="32" spans="2:38" s="690" customFormat="1" ht="14.85" hidden="1" customHeight="1" outlineLevel="1">
      <c r="B32" s="688"/>
      <c r="C32" s="688"/>
      <c r="D32" s="688"/>
      <c r="E32" s="688"/>
      <c r="F32" s="689"/>
      <c r="G32" s="688"/>
      <c r="L32" s="691"/>
      <c r="M32" s="691"/>
      <c r="N32" s="691"/>
      <c r="O32" s="691"/>
      <c r="P32" s="692"/>
      <c r="Q32" s="691"/>
      <c r="R32" s="691"/>
      <c r="S32" s="691"/>
      <c r="T32" s="692"/>
      <c r="U32" s="693"/>
      <c r="V32" s="693"/>
      <c r="W32" s="693"/>
      <c r="X32" s="693"/>
      <c r="Y32" s="693"/>
      <c r="Z32" s="692"/>
      <c r="AA32" s="378"/>
      <c r="AB32" s="378"/>
      <c r="AC32" s="378"/>
      <c r="AD32" s="692"/>
      <c r="AE32" s="693"/>
      <c r="AF32" s="693"/>
      <c r="AG32" s="688"/>
      <c r="AI32" s="689"/>
      <c r="AJ32" s="689"/>
      <c r="AL32" s="695"/>
    </row>
    <row r="33" spans="2:38" s="690" customFormat="1" ht="14.85" hidden="1" customHeight="1" outlineLevel="1">
      <c r="B33" s="688"/>
      <c r="C33" s="688"/>
      <c r="D33" s="688"/>
      <c r="E33" s="688"/>
      <c r="F33" s="689"/>
      <c r="G33" s="688"/>
      <c r="L33" s="691"/>
      <c r="M33" s="691"/>
      <c r="N33" s="691"/>
      <c r="O33" s="691"/>
      <c r="P33" s="692"/>
      <c r="Q33" s="691"/>
      <c r="R33" s="691"/>
      <c r="S33" s="691"/>
      <c r="T33" s="692"/>
      <c r="U33" s="693"/>
      <c r="V33" s="693"/>
      <c r="W33" s="693"/>
      <c r="X33" s="693"/>
      <c r="Y33" s="693"/>
      <c r="Z33" s="692"/>
      <c r="AA33" s="378"/>
      <c r="AB33" s="378"/>
      <c r="AC33" s="378"/>
      <c r="AD33" s="692"/>
      <c r="AE33" s="693"/>
      <c r="AF33" s="693"/>
      <c r="AG33" s="688"/>
      <c r="AI33" s="689"/>
      <c r="AJ33" s="689"/>
      <c r="AL33" s="695"/>
    </row>
    <row r="34" spans="2:38" s="690" customFormat="1" ht="14.85" hidden="1" customHeight="1" outlineLevel="1">
      <c r="B34" s="688"/>
      <c r="C34" s="688"/>
      <c r="D34" s="688"/>
      <c r="E34" s="688"/>
      <c r="F34" s="689"/>
      <c r="G34" s="688"/>
      <c r="L34" s="691"/>
      <c r="M34" s="691"/>
      <c r="N34" s="691"/>
      <c r="O34" s="691"/>
      <c r="P34" s="692"/>
      <c r="Q34" s="691"/>
      <c r="R34" s="691"/>
      <c r="S34" s="691"/>
      <c r="T34" s="692"/>
      <c r="U34" s="693"/>
      <c r="V34" s="693"/>
      <c r="W34" s="693"/>
      <c r="X34" s="693"/>
      <c r="Y34" s="693"/>
      <c r="Z34" s="692"/>
      <c r="AA34" s="378"/>
      <c r="AB34" s="378"/>
      <c r="AC34" s="378"/>
      <c r="AD34" s="692"/>
      <c r="AE34" s="693"/>
      <c r="AF34" s="693"/>
      <c r="AG34" s="688"/>
      <c r="AI34" s="689"/>
      <c r="AJ34" s="689"/>
      <c r="AL34" s="695"/>
    </row>
    <row r="35" spans="2:38" s="690" customFormat="1" ht="14.85" hidden="1" customHeight="1" outlineLevel="1">
      <c r="B35" s="688"/>
      <c r="C35" s="688"/>
      <c r="D35" s="688"/>
      <c r="E35" s="688"/>
      <c r="F35" s="689"/>
      <c r="G35" s="688"/>
      <c r="L35" s="691"/>
      <c r="M35" s="691"/>
      <c r="N35" s="691"/>
      <c r="O35" s="691"/>
      <c r="P35" s="692"/>
      <c r="Q35" s="691"/>
      <c r="R35" s="691"/>
      <c r="S35" s="691"/>
      <c r="T35" s="692"/>
      <c r="U35" s="693"/>
      <c r="V35" s="693"/>
      <c r="W35" s="693"/>
      <c r="X35" s="693"/>
      <c r="Y35" s="693"/>
      <c r="Z35" s="692"/>
      <c r="AA35" s="378"/>
      <c r="AB35" s="378"/>
      <c r="AC35" s="378"/>
      <c r="AD35" s="692"/>
      <c r="AE35" s="693"/>
      <c r="AF35" s="693"/>
      <c r="AG35" s="688"/>
      <c r="AI35" s="689"/>
      <c r="AJ35" s="689"/>
      <c r="AL35" s="695"/>
    </row>
    <row r="36" spans="2:38" s="690" customFormat="1" ht="14.85" hidden="1" customHeight="1" outlineLevel="1">
      <c r="B36" s="688"/>
      <c r="C36" s="688"/>
      <c r="D36" s="688"/>
      <c r="E36" s="688"/>
      <c r="F36" s="689"/>
      <c r="G36" s="688"/>
      <c r="L36" s="691"/>
      <c r="M36" s="691"/>
      <c r="N36" s="691"/>
      <c r="O36" s="691"/>
      <c r="P36" s="692"/>
      <c r="Q36" s="691"/>
      <c r="R36" s="691"/>
      <c r="S36" s="691"/>
      <c r="T36" s="692"/>
      <c r="U36" s="693"/>
      <c r="V36" s="693"/>
      <c r="W36" s="693"/>
      <c r="X36" s="693"/>
      <c r="Y36" s="693"/>
      <c r="Z36" s="692"/>
      <c r="AA36" s="378"/>
      <c r="AB36" s="378"/>
      <c r="AC36" s="378"/>
      <c r="AD36" s="692"/>
      <c r="AE36" s="693"/>
      <c r="AF36" s="693"/>
      <c r="AG36" s="688"/>
      <c r="AI36" s="689"/>
      <c r="AJ36" s="689"/>
      <c r="AL36" s="695"/>
    </row>
    <row r="37" spans="2:38" s="690" customFormat="1" ht="14.85" hidden="1" customHeight="1" outlineLevel="1">
      <c r="B37" s="688"/>
      <c r="C37" s="688"/>
      <c r="D37" s="688"/>
      <c r="E37" s="688"/>
      <c r="F37" s="689"/>
      <c r="G37" s="688"/>
      <c r="L37" s="691"/>
      <c r="M37" s="691"/>
      <c r="N37" s="691"/>
      <c r="O37" s="691"/>
      <c r="P37" s="692"/>
      <c r="Q37" s="691"/>
      <c r="R37" s="691"/>
      <c r="S37" s="691"/>
      <c r="T37" s="692"/>
      <c r="U37" s="693"/>
      <c r="V37" s="693"/>
      <c r="W37" s="693"/>
      <c r="X37" s="693"/>
      <c r="Y37" s="693"/>
      <c r="Z37" s="692"/>
      <c r="AA37" s="378"/>
      <c r="AB37" s="378"/>
      <c r="AC37" s="378"/>
      <c r="AD37" s="692"/>
      <c r="AE37" s="693"/>
      <c r="AF37" s="693"/>
      <c r="AG37" s="688"/>
      <c r="AI37" s="689"/>
      <c r="AJ37" s="689"/>
      <c r="AL37" s="695"/>
    </row>
    <row r="38" spans="2:38" s="690" customFormat="1" ht="14.85" hidden="1" customHeight="1" outlineLevel="1">
      <c r="B38" s="688"/>
      <c r="C38" s="688"/>
      <c r="D38" s="688"/>
      <c r="E38" s="688"/>
      <c r="F38" s="689"/>
      <c r="G38" s="688"/>
      <c r="L38" s="691"/>
      <c r="M38" s="691"/>
      <c r="N38" s="691"/>
      <c r="O38" s="691"/>
      <c r="P38" s="692"/>
      <c r="Q38" s="691"/>
      <c r="R38" s="691"/>
      <c r="S38" s="691"/>
      <c r="T38" s="692"/>
      <c r="U38" s="693"/>
      <c r="V38" s="693"/>
      <c r="W38" s="693"/>
      <c r="X38" s="693"/>
      <c r="Y38" s="693"/>
      <c r="Z38" s="692"/>
      <c r="AA38" s="378"/>
      <c r="AB38" s="378"/>
      <c r="AC38" s="378"/>
      <c r="AD38" s="692"/>
      <c r="AE38" s="693"/>
      <c r="AF38" s="693"/>
      <c r="AG38" s="688"/>
      <c r="AI38" s="689"/>
      <c r="AJ38" s="689"/>
      <c r="AL38" s="695"/>
    </row>
    <row r="39" spans="2:38" ht="14.85" customHeight="1" collapsed="1">
      <c r="F39" s="331"/>
    </row>
    <row r="40" spans="2:38" ht="14.85" customHeight="1">
      <c r="B40" s="428" t="s">
        <v>111</v>
      </c>
      <c r="C40" s="696"/>
      <c r="D40" s="696"/>
      <c r="E40" s="422"/>
      <c r="F40" s="697"/>
      <c r="G40" s="696"/>
      <c r="H40" s="696"/>
      <c r="I40" s="698"/>
      <c r="J40" s="698"/>
      <c r="K40" s="698"/>
      <c r="L40" s="635">
        <f>MAX(L9:L26)</f>
        <v>16917.076809999999</v>
      </c>
      <c r="M40" s="699">
        <f>MAX(M9:M26)</f>
        <v>15585.462810000001</v>
      </c>
      <c r="N40" s="699">
        <f>MAX(N9:N26)</f>
        <v>475</v>
      </c>
      <c r="O40" s="700">
        <f>MAX(O9:O26)</f>
        <v>17743.176810000001</v>
      </c>
      <c r="P40" s="696"/>
      <c r="Q40" s="635">
        <f>MAX(Q9:Q26)</f>
        <v>4463.7</v>
      </c>
      <c r="R40" s="635">
        <f>MAX(R9:R26)</f>
        <v>746.8</v>
      </c>
      <c r="S40" s="635">
        <f>MAX(S9:S26)</f>
        <v>514.20000000000005</v>
      </c>
      <c r="T40" s="701"/>
      <c r="U40" s="638">
        <f>MAX(U9:U26)</f>
        <v>3.789922443264556</v>
      </c>
      <c r="V40" s="638">
        <f>MAX(V9:V26)</f>
        <v>22.652754164434921</v>
      </c>
      <c r="W40" s="638">
        <f>MAX(W9:W26)</f>
        <v>32.899799319330995</v>
      </c>
      <c r="X40" s="638">
        <f>MAX(X9:X26)</f>
        <v>9.6916799999999999</v>
      </c>
      <c r="Y40" s="638">
        <f>MAX(Y9:Y26)</f>
        <v>46.775100000000002</v>
      </c>
      <c r="Z40" s="696"/>
      <c r="AA40" s="635">
        <f>MAX(AA9:AA26)</f>
        <v>0</v>
      </c>
      <c r="AB40" s="635">
        <f>MAX(AB9:AB26)</f>
        <v>0</v>
      </c>
      <c r="AC40" s="635">
        <f>MAX(AC9:AC26)</f>
        <v>4452.0643</v>
      </c>
      <c r="AD40" s="696"/>
      <c r="AE40" s="638">
        <f>MAX(AE9:AE26)</f>
        <v>0</v>
      </c>
      <c r="AF40" s="638">
        <f>MAX(AF9:AF26)</f>
        <v>0</v>
      </c>
      <c r="AG40" s="638">
        <f>MAX(AG9:AG26)</f>
        <v>3927.4302602230482</v>
      </c>
      <c r="AH40" s="702"/>
      <c r="AI40" s="703">
        <f>MAX(AI9:AI26)</f>
        <v>1.634881</v>
      </c>
      <c r="AJ40" s="704">
        <f>MAX(AJ9:AJ26)</f>
        <v>1.3917999999999999</v>
      </c>
    </row>
    <row r="41" spans="2:38" ht="14.85" customHeight="1">
      <c r="B41" s="640" t="s">
        <v>115</v>
      </c>
      <c r="C41" s="424"/>
      <c r="D41" s="424"/>
      <c r="E41" s="424"/>
      <c r="F41" s="705"/>
      <c r="G41" s="424"/>
      <c r="H41" s="424"/>
      <c r="I41" s="424"/>
      <c r="J41" s="424"/>
      <c r="K41" s="424"/>
      <c r="L41" s="570">
        <f>QUARTILE(L9:L26,3)</f>
        <v>775</v>
      </c>
      <c r="M41" s="570">
        <f>QUARTILE(M9:M26,3)</f>
        <v>262.97500000000002</v>
      </c>
      <c r="N41" s="570">
        <f>QUARTILE(N9:N26,3)</f>
        <v>118</v>
      </c>
      <c r="O41" s="570">
        <f>QUARTILE(O9:O26,3)</f>
        <v>775</v>
      </c>
      <c r="P41" s="424"/>
      <c r="Q41" s="570">
        <f>QUARTILE(Q9:Q26,3)</f>
        <v>111.871</v>
      </c>
      <c r="R41" s="570">
        <f>QUARTILE(R9:R26,3)</f>
        <v>-1.8303849999999999</v>
      </c>
      <c r="S41" s="570">
        <f>QUARTILE(S9:S26,3)</f>
        <v>-0.35109500000000005</v>
      </c>
      <c r="T41" s="432"/>
      <c r="U41" s="569">
        <f>QUARTILE(U9:U26,3)</f>
        <v>3.789922443264556</v>
      </c>
      <c r="V41" s="569">
        <f>QUARTILE(V9:V26,3)</f>
        <v>22.652754164434921</v>
      </c>
      <c r="W41" s="569">
        <f>QUARTILE(W9:W26,3)</f>
        <v>32.899799319330995</v>
      </c>
      <c r="X41" s="569">
        <f>QUARTILE(X9:X26,3)</f>
        <v>9.6143599999999996</v>
      </c>
      <c r="Y41" s="569">
        <f>QUARTILE(Y9:Y26,3)</f>
        <v>46.775100000000002</v>
      </c>
      <c r="Z41" s="424"/>
      <c r="AA41" s="570">
        <f>QUARTILE(AA9:AA26,3)</f>
        <v>0</v>
      </c>
      <c r="AB41" s="570">
        <f>QUARTILE(AB9:AB26,3)</f>
        <v>0</v>
      </c>
      <c r="AC41" s="570">
        <f>QUARTILE(AC9:AC26,3)</f>
        <v>1164.0208749999999</v>
      </c>
      <c r="AD41" s="424"/>
      <c r="AE41" s="569" t="e">
        <f>QUARTILE(AE9:AE26,3)</f>
        <v>#NUM!</v>
      </c>
      <c r="AF41" s="569" t="e">
        <f>QUARTILE(AF9:AF26,3)</f>
        <v>#NUM!</v>
      </c>
      <c r="AG41" s="569">
        <f>QUARTILE(AG9:AG26,3)</f>
        <v>1087.2485691009697</v>
      </c>
      <c r="AH41" s="337"/>
      <c r="AI41" s="659">
        <f>QUARTILE(AI9:AI26,3)</f>
        <v>0.81028199999999995</v>
      </c>
      <c r="AJ41" s="660">
        <f>QUARTILE(AJ9:AJ26,3)</f>
        <v>0.89130399999999999</v>
      </c>
    </row>
    <row r="42" spans="2:38" ht="14.85" customHeight="1">
      <c r="B42" s="640" t="s">
        <v>113</v>
      </c>
      <c r="C42" s="424"/>
      <c r="D42" s="424"/>
      <c r="E42" s="424"/>
      <c r="F42" s="705"/>
      <c r="G42" s="424"/>
      <c r="H42" s="424"/>
      <c r="I42" s="424"/>
      <c r="J42" s="424"/>
      <c r="K42" s="424"/>
      <c r="L42" s="570">
        <f>AVERAGE(L9:L26)</f>
        <v>2404.969367692308</v>
      </c>
      <c r="M42" s="570">
        <f>AVERAGE(M9:M26)</f>
        <v>1522.0261555555555</v>
      </c>
      <c r="N42" s="570">
        <f>AVERAGE(N9:N26)</f>
        <v>140.275184</v>
      </c>
      <c r="O42" s="570">
        <f>AVERAGE(O9:O26)</f>
        <v>2420.7429692307696</v>
      </c>
      <c r="P42" s="424"/>
      <c r="Q42" s="570">
        <f>AVERAGE(Q9:Q26)</f>
        <v>916.22809999999993</v>
      </c>
      <c r="R42" s="570">
        <f>AVERAGE(R9:R26)</f>
        <v>22.36822142857141</v>
      </c>
      <c r="S42" s="570">
        <f>AVERAGE(S9:S26)</f>
        <v>-11.745457499999986</v>
      </c>
      <c r="T42" s="432"/>
      <c r="U42" s="569">
        <f>AVERAGE(U9:U26)</f>
        <v>3.789922443264556</v>
      </c>
      <c r="V42" s="569">
        <f>AVERAGE(V9:V26)</f>
        <v>22.652754164434921</v>
      </c>
      <c r="W42" s="569">
        <f>AVERAGE(W9:W26)</f>
        <v>32.899799319330995</v>
      </c>
      <c r="X42" s="569">
        <f>AVERAGE(X9:X26)</f>
        <v>7.4772140000000009</v>
      </c>
      <c r="Y42" s="569">
        <f>AVERAGE(Y9:Y26)</f>
        <v>46.775100000000002</v>
      </c>
      <c r="Z42" s="424"/>
      <c r="AA42" s="570">
        <f>AVERAGE(AA9:AA26)</f>
        <v>0</v>
      </c>
      <c r="AB42" s="570">
        <f>AVERAGE(AB9:AB26)</f>
        <v>0</v>
      </c>
      <c r="AC42" s="570">
        <f>AVERAGE(AC9:AC26)</f>
        <v>1138.6262999999999</v>
      </c>
      <c r="AD42" s="424"/>
      <c r="AE42" s="569" t="e">
        <f>AVERAGE(AE9:AE26)</f>
        <v>#DIV/0!</v>
      </c>
      <c r="AF42" s="569" t="e">
        <f>AVERAGE(AF9:AF26)</f>
        <v>#DIV/0!</v>
      </c>
      <c r="AG42" s="569">
        <f>AVERAGE(AG9:AG26)</f>
        <v>1022.09348790605</v>
      </c>
      <c r="AH42" s="337"/>
      <c r="AI42" s="659">
        <f>AVERAGE(AI9:AI26)</f>
        <v>0.75045139999999999</v>
      </c>
      <c r="AJ42" s="660">
        <f>AVERAGE(AJ9:AJ26)</f>
        <v>0.74323660000000003</v>
      </c>
    </row>
    <row r="43" spans="2:38" ht="14.85" customHeight="1">
      <c r="B43" s="640" t="s">
        <v>44</v>
      </c>
      <c r="C43" s="424"/>
      <c r="D43" s="424"/>
      <c r="E43" s="424"/>
      <c r="F43" s="705"/>
      <c r="G43" s="424"/>
      <c r="H43" s="424"/>
      <c r="I43" s="424"/>
      <c r="J43" s="424"/>
      <c r="K43" s="424"/>
      <c r="L43" s="570">
        <f>MEDIAN(L9:L26)</f>
        <v>528.23937000000001</v>
      </c>
      <c r="M43" s="570">
        <f>MEDIAN(M9:M26)</f>
        <v>15.053664999999999</v>
      </c>
      <c r="N43" s="570">
        <f>MEDIAN(N9:N26)</f>
        <v>62</v>
      </c>
      <c r="O43" s="570">
        <f>MEDIAN(O9:O26)</f>
        <v>290</v>
      </c>
      <c r="P43" s="424"/>
      <c r="Q43" s="570">
        <f>MEDIAN(Q9:Q26)</f>
        <v>2.9572400000000001</v>
      </c>
      <c r="R43" s="570">
        <f>MEDIAN(R9:R26)</f>
        <v>-45.344230000000003</v>
      </c>
      <c r="S43" s="570">
        <f>MEDIAN(S9:S26)</f>
        <v>-24.509679999999999</v>
      </c>
      <c r="T43" s="432"/>
      <c r="U43" s="569">
        <f>MEDIAN(U9:U26)</f>
        <v>3.789922443264556</v>
      </c>
      <c r="V43" s="569">
        <f>MEDIAN(V9:V26)</f>
        <v>22.652754164434921</v>
      </c>
      <c r="W43" s="569">
        <f>MEDIAN(W9:W26)</f>
        <v>32.899799319330995</v>
      </c>
      <c r="X43" s="569">
        <f>MEDIAN(X9:X26)</f>
        <v>8.2933599999999998</v>
      </c>
      <c r="Y43" s="569">
        <f>MEDIAN(Y9:Y26)</f>
        <v>46.775100000000002</v>
      </c>
      <c r="Z43" s="424"/>
      <c r="AA43" s="570">
        <f>MEDIAN(AA9:AA26)</f>
        <v>0</v>
      </c>
      <c r="AB43" s="570">
        <f>MEDIAN(AB9:AB26)</f>
        <v>0</v>
      </c>
      <c r="AC43" s="570">
        <f>MEDIAN(AC9:AC26)</f>
        <v>51.153199999999998</v>
      </c>
      <c r="AD43" s="424"/>
      <c r="AE43" s="569" t="e">
        <f>MEDIAN(AE9:AE26)</f>
        <v>#NUM!</v>
      </c>
      <c r="AF43" s="569" t="e">
        <f>MEDIAN(AF9:AF26)</f>
        <v>#NUM!</v>
      </c>
      <c r="AG43" s="569">
        <f>MEDIAN(AG9:AG26)</f>
        <v>78.57193189991483</v>
      </c>
      <c r="AH43" s="337"/>
      <c r="AI43" s="659">
        <f>MEDIAN(AI9:AI26)</f>
        <v>0.78461499999999995</v>
      </c>
      <c r="AJ43" s="660">
        <f>MEDIAN(AJ9:AJ26)</f>
        <v>0.55908899999999995</v>
      </c>
    </row>
    <row r="44" spans="2:38" ht="14.85" customHeight="1">
      <c r="B44" s="640" t="s">
        <v>114</v>
      </c>
      <c r="C44" s="424"/>
      <c r="D44" s="424"/>
      <c r="E44" s="424"/>
      <c r="F44" s="424"/>
      <c r="G44" s="424"/>
      <c r="H44" s="424"/>
      <c r="I44" s="424"/>
      <c r="J44" s="424"/>
      <c r="K44" s="424"/>
      <c r="L44" s="570">
        <f>QUARTILE(L9:L26,1)</f>
        <v>145.6</v>
      </c>
      <c r="M44" s="570">
        <f>QUARTILE(M9:M26,1)</f>
        <v>0</v>
      </c>
      <c r="N44" s="570">
        <f>QUARTILE(N9:N26,1)</f>
        <v>35</v>
      </c>
      <c r="O44" s="570">
        <f>QUARTILE(O9:O26,1)</f>
        <v>69.5</v>
      </c>
      <c r="P44" s="424"/>
      <c r="Q44" s="570">
        <f>QUARTILE(Q9:Q26,1)</f>
        <v>2.28979</v>
      </c>
      <c r="R44" s="570">
        <f>QUARTILE(R9:R26,1)</f>
        <v>-56.909724999999995</v>
      </c>
      <c r="S44" s="570">
        <f>QUARTILE(S9:S26,1)</f>
        <v>-56.406095000000001</v>
      </c>
      <c r="T44" s="432"/>
      <c r="U44" s="569">
        <f>QUARTILE(U9:U26,1)</f>
        <v>3.789922443264556</v>
      </c>
      <c r="V44" s="569">
        <f>QUARTILE(V9:V26,1)</f>
        <v>22.652754164434921</v>
      </c>
      <c r="W44" s="569">
        <f>QUARTILE(W9:W26,1)</f>
        <v>32.899799319330995</v>
      </c>
      <c r="X44" s="569">
        <f>QUARTILE(X9:X26,1)</f>
        <v>5.1156100000000002</v>
      </c>
      <c r="Y44" s="569">
        <f>QUARTILE(Y9:Y26,1)</f>
        <v>46.775100000000002</v>
      </c>
      <c r="Z44" s="424"/>
      <c r="AA44" s="570">
        <f>QUARTILE(AA9:AA26,1)</f>
        <v>0</v>
      </c>
      <c r="AB44" s="570">
        <f>QUARTILE(AB9:AB26,1)</f>
        <v>0</v>
      </c>
      <c r="AC44" s="570">
        <f>QUARTILE(AC9:AC26,1)</f>
        <v>25.758624999999995</v>
      </c>
      <c r="AD44" s="424"/>
      <c r="AE44" s="569" t="e">
        <f>QUARTILE(AE9:AE26,1)</f>
        <v>#NUM!</v>
      </c>
      <c r="AF44" s="569" t="e">
        <f>QUARTILE(AF9:AF26,1)</f>
        <v>#NUM!</v>
      </c>
      <c r="AG44" s="569">
        <f>QUARTILE(AG9:AG26,1)</f>
        <v>13.416850704995205</v>
      </c>
      <c r="AH44" s="337"/>
      <c r="AI44" s="659">
        <f>QUARTILE(AI9:AI26,1)</f>
        <v>0.40884300000000001</v>
      </c>
      <c r="AJ44" s="660">
        <f>QUARTILE(AJ9:AJ26,1)</f>
        <v>0.50527500000000003</v>
      </c>
    </row>
    <row r="45" spans="2:38" ht="14.85" customHeight="1">
      <c r="B45" s="572" t="s">
        <v>112</v>
      </c>
      <c r="C45" s="706"/>
      <c r="D45" s="706"/>
      <c r="E45" s="706"/>
      <c r="F45" s="706"/>
      <c r="G45" s="706"/>
      <c r="H45" s="706"/>
      <c r="I45" s="706"/>
      <c r="J45" s="706"/>
      <c r="K45" s="706"/>
      <c r="L45" s="430">
        <f>MIN(L9:L26)</f>
        <v>42.191209999999998</v>
      </c>
      <c r="M45" s="430">
        <f>MIN(M9:M26)</f>
        <v>0</v>
      </c>
      <c r="N45" s="430">
        <f>MIN(N9:N26)</f>
        <v>11.375920000000001</v>
      </c>
      <c r="O45" s="430">
        <f>MIN(O9:O26)</f>
        <v>14.7</v>
      </c>
      <c r="P45" s="706"/>
      <c r="Q45" s="430">
        <f>MIN(Q9:Q26)</f>
        <v>0.32246999999999998</v>
      </c>
      <c r="R45" s="430">
        <f>MIN(R9:R26)</f>
        <v>-427.39800000000002</v>
      </c>
      <c r="S45" s="430">
        <f>MIN(S9:S26)</f>
        <v>-443.77600000000001</v>
      </c>
      <c r="T45" s="707"/>
      <c r="U45" s="573">
        <f>MIN(U9:U26)</f>
        <v>3.789922443264556</v>
      </c>
      <c r="V45" s="573">
        <f>MIN(V9:V26)</f>
        <v>22.652754164434921</v>
      </c>
      <c r="W45" s="573">
        <f>MIN(W9:W26)</f>
        <v>32.899799319330995</v>
      </c>
      <c r="X45" s="573">
        <f>MIN(X9:X26)</f>
        <v>4.6710599999999998</v>
      </c>
      <c r="Y45" s="573">
        <f>MIN(Y9:Y26)</f>
        <v>46.775100000000002</v>
      </c>
      <c r="Z45" s="706"/>
      <c r="AA45" s="430">
        <f>MIN(AA9:AA26)</f>
        <v>0</v>
      </c>
      <c r="AB45" s="430">
        <f>MIN(AB9:AB26)</f>
        <v>0</v>
      </c>
      <c r="AC45" s="430">
        <f>MIN(AC9:AC26)</f>
        <v>0.13450000000000001</v>
      </c>
      <c r="AD45" s="706"/>
      <c r="AE45" s="573">
        <f>MIN(AE9:AE26)</f>
        <v>0</v>
      </c>
      <c r="AF45" s="573">
        <f>MIN(AF9:AF26)</f>
        <v>0</v>
      </c>
      <c r="AG45" s="573">
        <f>MIN(AG9:AG26)</f>
        <v>3.7998276013219301</v>
      </c>
      <c r="AH45" s="349"/>
      <c r="AI45" s="661">
        <f>MIN(AI9:AI26)</f>
        <v>0.113636</v>
      </c>
      <c r="AJ45" s="708">
        <f>MIN(AJ9:AJ26)</f>
        <v>0.36871500000000001</v>
      </c>
    </row>
    <row r="46" spans="2:38" ht="14.85" customHeight="1"/>
    <row r="47" spans="2:38" ht="14.85" customHeight="1">
      <c r="B47" s="295" t="s">
        <v>116</v>
      </c>
    </row>
    <row r="48" spans="2:38"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sheetData>
  <conditionalFormatting sqref="U4">
    <cfRule type="cellIs" dxfId="18" priority="13" stopIfTrue="1" operator="equal">
      <formula>"input"</formula>
    </cfRule>
  </conditionalFormatting>
  <conditionalFormatting sqref="B4:P4">
    <cfRule type="cellIs" dxfId="17" priority="19" stopIfTrue="1" operator="equal">
      <formula>"input"</formula>
    </cfRule>
  </conditionalFormatting>
  <conditionalFormatting sqref="Q4">
    <cfRule type="cellIs" dxfId="16" priority="17" stopIfTrue="1" operator="equal">
      <formula>"input"</formula>
    </cfRule>
  </conditionalFormatting>
  <conditionalFormatting sqref="Q4">
    <cfRule type="cellIs" dxfId="15" priority="18" stopIfTrue="1" operator="equal">
      <formula>"input"</formula>
    </cfRule>
  </conditionalFormatting>
  <conditionalFormatting sqref="R4:S4">
    <cfRule type="cellIs" dxfId="14" priority="15" stopIfTrue="1" operator="equal">
      <formula>"input"</formula>
    </cfRule>
  </conditionalFormatting>
  <conditionalFormatting sqref="R4:S4">
    <cfRule type="cellIs" dxfId="13" priority="16" stopIfTrue="1" operator="equal">
      <formula>"input"</formula>
    </cfRule>
  </conditionalFormatting>
  <conditionalFormatting sqref="U4">
    <cfRule type="cellIs" dxfId="12" priority="14" stopIfTrue="1" operator="equal">
      <formula>"input"</formula>
    </cfRule>
  </conditionalFormatting>
  <conditionalFormatting sqref="V4:AI4">
    <cfRule type="cellIs" dxfId="11" priority="11" stopIfTrue="1" operator="equal">
      <formula>"input"</formula>
    </cfRule>
  </conditionalFormatting>
  <conditionalFormatting sqref="V4:AI4">
    <cfRule type="cellIs" dxfId="10" priority="12" stopIfTrue="1" operator="equal">
      <formula>"input"</formula>
    </cfRule>
  </conditionalFormatting>
  <conditionalFormatting sqref="AJ4">
    <cfRule type="cellIs" dxfId="9" priority="5" stopIfTrue="1" operator="equal">
      <formula>"input"</formula>
    </cfRule>
  </conditionalFormatting>
  <conditionalFormatting sqref="AJ4">
    <cfRule type="cellIs" dxfId="8" priority="6" stopIfTrue="1" operator="equal">
      <formula>"input"</formula>
    </cfRule>
  </conditionalFormatting>
  <conditionalFormatting sqref="S4">
    <cfRule type="cellIs" dxfId="7" priority="3" stopIfTrue="1" operator="equal">
      <formula>"input"</formula>
    </cfRule>
  </conditionalFormatting>
  <conditionalFormatting sqref="S4">
    <cfRule type="cellIs" dxfId="6" priority="4" stopIfTrue="1" operator="equal">
      <formula>"input"</formula>
    </cfRule>
  </conditionalFormatting>
  <conditionalFormatting sqref="T4">
    <cfRule type="cellIs" dxfId="5" priority="1" stopIfTrue="1" operator="equal">
      <formula>"input"</formula>
    </cfRule>
  </conditionalFormatting>
  <conditionalFormatting sqref="T4">
    <cfRule type="cellIs" dxfId="4" priority="2" stopIfTrue="1" operator="equal">
      <formula>"input"</formula>
    </cfRule>
  </conditionalFormatting>
  <pageMargins left="0.5" right="0.5" top="0.5" bottom="0.5" header="0.5" footer="0.5"/>
  <pageSetup scale="70" fitToWidth="0" fitToHeight="0" orientation="landscape" r:id="rId1"/>
  <colBreaks count="1" manualBreakCount="1">
    <brk id="19" max="46" man="1"/>
  </colBreaks>
  <legacyDrawingHF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Sheet34"/>
  <dimension ref="B1:M762"/>
  <sheetViews>
    <sheetView showGridLines="0" view="pageBreakPreview" zoomScale="80" zoomScaleNormal="100" zoomScaleSheetLayoutView="80" workbookViewId="0"/>
  </sheetViews>
  <sheetFormatPr defaultRowHeight="12.75"/>
  <cols>
    <col min="1" max="1" width="4.5" style="208" customWidth="1"/>
    <col min="2" max="2" width="39" style="208" customWidth="1"/>
    <col min="3" max="3" width="2.83203125" style="208" customWidth="1"/>
    <col min="4" max="4" width="111" style="208" customWidth="1"/>
    <col min="5" max="5" width="4.5" style="208" customWidth="1"/>
    <col min="6" max="16384" width="9.33203125" style="208"/>
  </cols>
  <sheetData>
    <row r="1" spans="2:13" ht="13.5" thickBot="1"/>
    <row r="2" spans="2:13" ht="15" thickTop="1">
      <c r="B2" s="216" t="str">
        <f>'MASTER PubCo Inputs'!$C$5</f>
        <v>Medikine, Inc.</v>
      </c>
      <c r="C2" s="216"/>
      <c r="D2" s="216"/>
    </row>
    <row r="3" spans="2:13" ht="14.25">
      <c r="B3" s="217" t="str">
        <f>VLOOKUP(B4,Outline!$E$8:$G$79,COLUMNS(Outline!$E$8:$G$8),FALSE)</f>
        <v>Exhibit E.2</v>
      </c>
      <c r="C3" s="217"/>
      <c r="D3" s="217"/>
    </row>
    <row r="4" spans="2:13" ht="15" thickBot="1">
      <c r="B4" s="444" t="s">
        <v>606</v>
      </c>
      <c r="C4" s="444"/>
      <c r="D4" s="445"/>
    </row>
    <row r="5" spans="2:13" s="326" customFormat="1" ht="14.85" customHeight="1" thickTop="1">
      <c r="B5" s="208"/>
      <c r="C5" s="208"/>
      <c r="D5" s="208"/>
      <c r="E5" s="208"/>
      <c r="F5" s="208"/>
      <c r="G5" s="208"/>
      <c r="H5" s="208"/>
      <c r="I5" s="208"/>
      <c r="J5" s="208"/>
      <c r="K5" s="208"/>
      <c r="L5" s="208"/>
      <c r="M5" s="208"/>
    </row>
    <row r="6" spans="2:13" ht="14.85" customHeight="1">
      <c r="B6" s="667" t="s">
        <v>607</v>
      </c>
      <c r="C6" s="709"/>
      <c r="D6" s="668" t="s">
        <v>127</v>
      </c>
    </row>
    <row r="7" spans="2:13" ht="14.85" customHeight="1"/>
    <row r="8" spans="2:13" ht="51">
      <c r="B8" s="710" t="str">
        <f>Trans.1!D9</f>
        <v>Medac Pharma, Inc.</v>
      </c>
      <c r="C8" s="711"/>
      <c r="D8" s="710" t="str">
        <f>'Capital IQ Sheet-STM'!AL10</f>
        <v>Medac Pharma, Inc. engages in developing and commercializing medicines for autoimmune diseases and cancer. The company is headquartered in Chicago, Illinois. Medac Pharma, Inc. operates as a subsidiary of medac Gesellschaft für klinische Spezialpräparate mbH. As of October 16, 2018, Medac Pharma, Inc. operates as a subsidiary of Pediapharm Inc.</v>
      </c>
    </row>
    <row r="9" spans="2:13" ht="63.75">
      <c r="B9" s="710" t="str">
        <f>Trans.1!D10</f>
        <v>Adhaere Pharmaceuticals, Inc.</v>
      </c>
      <c r="C9" s="711"/>
      <c r="D9" s="710" t="str">
        <f>'Capital IQ Sheet-STM'!AL11</f>
        <v>Adhaere Pharmaceuticals, Inc. develops novel small molecule therapeutics for the treatment of cancer and inflammatory, and autoimmune diseases. It focuses on developing novel compounds to reduce leukocyte activation and tissue recruitment as a way to treat a various inflammatory and autoimmune diseases. The company was founded in 2010 and is based in Miami, Florida. As of September 21, 2018, Adhaere Pharmaceuticals, Inc. operates as a subsidiary of Gossamer Bio, Inc.</v>
      </c>
    </row>
    <row r="10" spans="2:13" ht="165.75">
      <c r="B10" s="710" t="str">
        <f>Trans.1!D11</f>
        <v>ARMO BioSciences, Inc.</v>
      </c>
      <c r="C10" s="711"/>
      <c r="D10" s="710" t="str">
        <f>'Capital IQ Sheet-STM'!AL12</f>
        <v>ARMO BioSciences, Inc., an immuno-oncology company, develops a pipeline of novel product candidates that activate the immune system of cancer patients to recognize and eradicate tumors in the United States. Its lead product candidate is AM0010, a long acting form of human interleukin-10 that is in Phase III randomized pivotal clinical trial for the treatment of pancreatic ductal adenocarcinoma. The company is also developing AM0010 that has completed Phase I/Ib clinical trial for the treatment of non-small cell lung cancer, renal cell carcinoma, colorectal cancer, and melanoma and breast cancer. In addition, it is developing AM0001, a monoclonal antibody against programmed cell death protein-1 checkpoint inhibitor; AM0015, a recombinant human interleukin-15; AM0012, a recombinant human Interleukin-12; and AM0003, a monoclonal antibody against leukocyte activating gene-3 protein program. The company was formerly known as Targenics, Inc. and changed its name to ARMO BioSciences, Inc. in December 2012. ARMO BioSciences, Inc. was incorporated in 2010 and is headquartered in Redwood City, California. As of June 21, 2018, ARMO BioSciences, Inc. operates as a subsidiary of Eli Lilly and Company.</v>
      </c>
    </row>
    <row r="11" spans="2:13" ht="76.5">
      <c r="B11" s="710" t="str">
        <f>Trans.1!D12</f>
        <v>Rebiotix, Inc.</v>
      </c>
      <c r="C11" s="711"/>
      <c r="D11" s="710" t="str">
        <f>'Capital IQ Sheet-STM'!AL13</f>
        <v>Rebiotix, Inc., a clinical stage biotechnology company, develops and commercializes medical therapies. It offers human microbiome, microbiota restoration therapy drug platform, clostridium difficile, inflammatory bowel disease/ulcerative colitis, hepatic encephalopathy, and multi-drug resistant organisms. Rebiotix, Inc. was formerly known as MikrobEX Inc. and changed its name to Rebiotix, Inc. in October 2018. The company was founded in 2011 and is based in Roseville, Minnesota. As of April 4, 2018, Rebiotix, Inc. operates as a subsidiary of Ferring Pharmaceuticals SA.</v>
      </c>
    </row>
    <row r="12" spans="2:13" ht="267.75">
      <c r="B12" s="710" t="str">
        <f>Trans.1!D13</f>
        <v>Juno Therapeutics, Inc.</v>
      </c>
      <c r="C12" s="711"/>
      <c r="D12" s="710" t="str">
        <f>'Capital IQ Sheet-STM'!AL14</f>
        <v>Juno Therapeutics, Inc. develops cell-based cancer immunotherapies based on its chimeric antigen receptor and T cell receptor technologies to genetically engineer T cells to recognize and kill cancer cells. Its CD19 product candidates include JCAR017 that is in Phase I/II trials for adults with relapsed or refractory (r/r) B cell aggressive non-Hodgkin lymphoma (NHL) and pediatric patients with r/r B cell acute lymphoblastic leukemia (ALL); and JCAR014, which is in Phase I/II trials to treat B cell malignancies in patients relapsed or refractory to standard therapies. The company’s CD22 product candidate comprise JCAR018 that is in Phase I trial for pediatric and young adult patients with CD22-positive r/r ALL or r/r NHL. Its additional product candidates include CD171, a cell-surface adhesion molecule for neuroblastoma; Lewis Y for the treatment of lung cancer; JCAR023, which is in Phase I trial for refractory or recurrent pediatric neuroblastoma; MUC-16 protein for ovarian cancers; and IL-12, a cytokine to overcome the inhibitory effects. The company’s additional product candidates also comprise ROR-1 protein for non-small cell lung, triple negative breast, pancreatic, and prostate cancers; WT-1, an intracellular protein that is in Phase I/II clinical trials; HPV e6/e7 for cancers; and IL13ra2 for glioblastoma. Juno Therapeutics, Inc. has collaboration agreements with Celgene Corporation, Fred Hutchinson Cancer Research Center, Memorial Sloan Kettering Cancer Center, St. Jude Children’s Research Hospital/Novartis, Seattle Children’s Research Institute, Opus Bio, Inc., Fate Therapeutics, Inc., Editas Medicine, Inc., and JW (Cayman) Therapeutics Co., Ltd. The company was formerly known as FC Therapeutics, Inc. and changed its name to Juno Therapeutics, Inc. in October 2013. Juno Therapeutics, Inc. was founded in 2013 and is headquartered in Seattle, Washington. As of March 6, 2018, Juno Therapeutics, Inc. operates as a subsidiary of Celgene Corporation.</v>
      </c>
    </row>
    <row r="13" spans="2:13" ht="114.75">
      <c r="B13" s="710" t="str">
        <f>Trans.1!D14</f>
        <v>Opexa Therapeutics, Inc.</v>
      </c>
      <c r="C13" s="711"/>
      <c r="D13" s="710" t="str">
        <f>'Capital IQ Sheet-STM'!AL15</f>
        <v>As of September 19, 2017, Opexa Therapeutics, Inc. was acquired by Acer Therapeutics Inc., in a reverse merger transaction. Opexa Therapeutics, Inc., a biopharmaceutical company, develops personalized immunotherapy to treat multiple sclerosis (MS) and other autoimmune diseases based on its proprietary T-cell technology. The company’s lead product candidate is Tcelna, a T-cell immunotherapy for the treatment of patients with secondary progressive MS. It is also developing OPX-212, an autologous T-cell immunotherapy that is in preclinical development to treat neuromyelitis optica. The company was formerly known as PharmaFrontiers Corp. and changed its name to Opexa Therapeutics, Inc. in June 2006. Opexa Therapeutics, Inc. was founded in 2003 and is headquartered in The Woodlands, Texas.</v>
      </c>
    </row>
    <row r="14" spans="2:13" ht="165.75">
      <c r="B14" s="710" t="str">
        <f>Trans.1!D15</f>
        <v>Altor BioScience Corporation</v>
      </c>
      <c r="C14" s="711"/>
      <c r="D14" s="710" t="str">
        <f>'Capital IQ Sheet-STM'!AL16</f>
        <v>As of August 1, 2018, Altor BioScience Corporation was acquired by NantCell, Inc. Altor BioScience Corporation, a biopharmaceutical company, engages in the discovery, development, and commercialization of immunotherapeutic agents for the treatment of cancer, viral infections, and inflammatory and autoimmune diseases. Its product candidates include ALT-801, a T-cell receptor-targeted immunotherapeutic for cancer; ALT-836, a monoclonal antibody-based tissue factor antagonist treatment of patients with acute respiratory distress syndrome and acute lung injury; and ALT-803, an IL-15 superagonist for patients with solid and hematological tumors/metastatic melanoma. The company’s product candidates also include ALT-802, a p53-TCR (T-cell receptors)/IgG1 fusion protein for treating non-small cell lung cancer; ALT-804, a p53-TCR/IL-15 fusion protein for treating cancer; antiviral TCR–Ck and TCR–Ig fusions targeted to antigens derived from HIV, cytomegalovirus, and hepatitis C; and other product candidates. In addition, it offers multimers reagents for the detection of disease targets presented on the surface of cells and tissues. Altor BioScience Corporation was founded in 2002 and is based in Miramar, Florida.</v>
      </c>
    </row>
    <row r="15" spans="2:13" ht="63.75">
      <c r="B15" s="710" t="str">
        <f>Trans.1!D16</f>
        <v>River Vision Development Corp.</v>
      </c>
      <c r="C15" s="711"/>
      <c r="D15" s="710" t="str">
        <f>'Capital IQ Sheet-STM'!AL17</f>
        <v>River Vision Development Corp. develops biologic medicine. It develops teprotumumab (RV001), a human monoclonal antibody (mAb) used for the treatment of Thyroid Eye Disease (TED), an autoimmune inflammatory disorder. The company was founded in 2011 and is based in New York, New York. As of May 8, 2017, River Vision Development Corp. operates as a subsidiary of Horizon Pharma Public Limited Company.</v>
      </c>
    </row>
    <row r="16" spans="2:13" ht="242.25">
      <c r="B16" s="710" t="str">
        <f>Trans.1!D17</f>
        <v>Immunomedics, Inc.</v>
      </c>
      <c r="C16" s="711"/>
      <c r="D16" s="710" t="str">
        <f>'Capital IQ Sheet-STM'!AL18</f>
        <v>Immunomedics, Inc., a clinical-stage biopharmaceutical company, develops monoclonal antibody-based products for the targeted treatment of cancer. Its advanced antibody-drug conjugates are sacituzumab govitecan and labetuzumab govitecan, which are in advanced trials for various solid tumors and metastatic colorectal cancer, respectively. The company focuses on commercializing sacituzumab govitecan as a third-line therapy for patients with metastatic triple-negative breast cancer in the United States. The company also develops IMMU-140, a humanized antibody directed against an immune response target. Its other product candidates include products for the treatment of cancer and autoimmune diseases, including epratuzumab, an anti-CD22 antibody; veltuzumab, an anti-CD20 antibody; milatuzumab, an anti-CD74 antibody; and IMMU-114, a humanized anti-HLA-DR antibody. Immunomedics, Inc. has clinical collaboration with AstraZeneca and MedImmune, to evaluate Imfinzi, a human monoclonal antibody against PD-L1, with sacituzumab govitecan as a frontline treatment of patients with TNBC and urothelial cancer; collaboration agreement with The Bayer Group for the development of epratuzumab; clinical and preclinical collaborations with academic cancer institutions, identifying new cancer indications for sacituzumab govitecan and the biology of the Trop-2 antigen; and research collaboration with the Memorial Sloan Kettering Cancer Center to investigate Sacituzumab Govitecan and Labetuzumab Govitecan in preclinical cancer models. Immunomedics, Inc. has a partnership agreement with the Samsung BioLogics Co., Ltd. to manufacture hRS7, an Immunomedics proprietary humanized antibody. The company was founded in 1982 and is headquartered in Morris Plains, New Jersey.</v>
      </c>
    </row>
    <row r="17" spans="2:4" ht="63.75">
      <c r="B17" s="710" t="str">
        <f>Trans.1!D18</f>
        <v>Delinia, Inc.</v>
      </c>
      <c r="C17" s="711"/>
      <c r="D17" s="710" t="str">
        <f>'Capital IQ Sheet-STM'!AL19</f>
        <v>Delinia, Inc., a biotechnology company, focuses on developing novel therapeutics for the treatment of autoimmune diseases. Its lead program is a molecule that potentiates and expands regulatory T cells (Tregs), which are critical to maintaining self-tolerance and immune system homeostasis. The company was incorporated in 2014 and is based in San Francisco, California. Delinia, Inc. As of February 3, 2017, Delinia, Inc. operates as a subsidiary of Celgene Corporation.</v>
      </c>
    </row>
    <row r="18" spans="2:4" ht="102">
      <c r="B18" s="710" t="str">
        <f>Trans.1!D19</f>
        <v>Knight Knox Development Corp. (nka:Artelo Biosciences, Inc.)</v>
      </c>
      <c r="C18" s="711"/>
      <c r="D18" s="710" t="str">
        <f>'Capital IQ Sheet-STM'!AL20</f>
        <v>Artelo Biosciences, Inc., an ethical biopharmaceutical company, focuses on developing, licensing, and commercializing cannabinoid therapeutic treatments. Its products pipeline includes ART12.11, a cannabidiol composition for the treatment of inflammatory bowel disease, stroke, and rare/orphan diseases; ART26.12, an endocannabinoid transport protein (FABP5) inhibitor for the treatment of breast cancer, prostate cancer, and neuropathic and nociceptive pain; and ART27.13 for the treatment of cancer and cachexia. The company was formerly known as Reactive Medical, Inc. and changed its name to Artelo Biosciences, Inc. in April 2017. Artelo Biosciences, Inc. was founded in 2011 and is based in La Jolla, California.</v>
      </c>
    </row>
    <row r="19" spans="2:4" ht="153">
      <c r="B19" s="710" t="str">
        <f>Trans.1!D20</f>
        <v>Panther Biotechnology, Inc.</v>
      </c>
      <c r="C19" s="711"/>
      <c r="D19" s="710" t="str">
        <f>'Capital IQ Sheet-STM'!AL21</f>
        <v>As of November 8, 2016, Panther Biotechnology, Inc. was acquired by Brown Technical Media Corp., in a reverse merger transaction. Panther Biotechnology, Inc., a biotechnology company, specializes in the acquisition and development of enhanced therapeutics for the treatment of neoplastic, autoimmune, and antiviral disorders. The company’s lead candidate, TRF-DOX, is a combination of transferrin glycoproteins with Doxorubicin for targeted delivery to tumors with the reduction of serious side effects. It also holds licensed rights from the University of Rochester to develop and commercialize TDZD-8, a small molecule engineered to kill leukemic stem cells; and from Northwestern University to develop and commercialize Numonafides, which are optimized derivatives of Amonafide, and are engineered to avoid acetylation and eliminate a toxic metabolite. The company was formerly known as NEF Enterprises, Inc. and changed its name to Panther Biotechnology, Inc. in May 2014. Panther Biotechnology, Inc. was founded in 2011 and is based in La Jolla, California.</v>
      </c>
    </row>
    <row r="20" spans="2:4" ht="127.5">
      <c r="B20" s="710" t="str">
        <f>Trans.1!D21</f>
        <v>Vitae Pharmaceuticals, Inc.</v>
      </c>
      <c r="C20" s="711"/>
      <c r="D20" s="710" t="str">
        <f>'Capital IQ Sheet-STM'!AL22</f>
        <v>Vitae Pharmaceuticals, Inc., a biotechnology company, focuses on discovering and developing novel and small molecule drugs for diseases with unmet medical needs in the United States. Its products include VTP-43742 in Phase I clinical trial for the treatment of autoimmune disorders, including psoriasis, psoriatic arthritis, ankylosing spondylitis, inflammatory bowel disease, and multiple sclerosis; VTP-38543 in Phase IIa for the treatment of atopic dermatitis; and BI 1147560 for the treatment and prevention of Alzheimer's disease. The company’s products also include VTP-34072 that is in Phase II clinical trial for the treatment of type 2 diabetes; and VTP-38443 for the treatment of acute coronary syndrome. Vitae Pharmaceuticals, Inc. was founded in 2001 and is headquartered in Fort Washington, Pennsylvania. As of October 24, 2016, Vitae Pharmaceuticals, Inc. operates as a subsidiary of Allergan plc.</v>
      </c>
    </row>
    <row r="21" spans="2:4" ht="51">
      <c r="B21" s="710" t="str">
        <f>Trans.1!D22</f>
        <v>Padlock Therapeutics, Inc.</v>
      </c>
      <c r="C21" s="711"/>
      <c r="D21" s="710" t="str">
        <f>'Capital IQ Sheet-STM'!AL23</f>
        <v>Padlock Therapeutics, Inc. is a biotechnology company that develops new medicines for destructive autoimmune diseases. It develops drugs that block the protein-arginine deiminase (PAD) enzymes. The company was founded in 2014 and is based in Cambridge, Massachusetts. As of April 1, 2016, Padlock Therapeutics, Inc. operates as a subsidiary of Bristol-Myers Squibb Company.</v>
      </c>
    </row>
    <row r="22" spans="2:4" ht="114.75">
      <c r="B22" s="710" t="str">
        <f>Trans.1!D23</f>
        <v>Alba Therapeutics Corporation</v>
      </c>
      <c r="C22" s="711"/>
      <c r="D22" s="710" t="str">
        <f>'Capital IQ Sheet-STM'!AL24</f>
        <v>Alba Therapeutics Corporation is a clinical-stage biopharmaceutical company in Maryland. The company focuses on the discovery, development, and commercialization of pharmaceutical products for the treatment of autoimmune and inflammatory diseases. It offers a technology platform based on modifying disease state epithelial permeability using compounds which impact the regulation of tight junctions in cell barriers throughout the body with applications in celiac disease, asthma/COPD, and acute lung injury. The company also focuses on providing solutions for various therapeutic areas that include immune-based disorders, as well as gastrointestinal, metabolic, pulmonary, renal, and other disease states. Alba Therapeutics Corporation has a strategic partnership with Peptisyntha. The company was founded in 2004 and is based in Baltimore, Maryland.</v>
      </c>
    </row>
    <row r="23" spans="2:4" ht="51">
      <c r="B23" s="710" t="str">
        <f>Trans.1!D24</f>
        <v>Admune Therapeutics LLC</v>
      </c>
      <c r="C23" s="711"/>
      <c r="D23" s="710" t="str">
        <f>'Capital IQ Sheet-STM'!AL25</f>
        <v>Admune Therapeutics LLC, a clinical-stage biotech company, develops and delivers cytokine therapy drugs for the treatment of various cancers. It focuses on heterodimeric IL-15, an IL-15 agonist for various applications in cancer immunotherapy. The company is based in Danvers, Massachusetts. As of October 16, 2015, Admune Therapeutics LLC operates as a subsidiary of Novartis International AG.</v>
      </c>
    </row>
    <row r="24" spans="2:4" ht="267.75">
      <c r="B24" s="710" t="str">
        <f>Trans.1!D25</f>
        <v>Hospira Inc.</v>
      </c>
      <c r="C24" s="711"/>
      <c r="D24" s="710" t="str">
        <f>'Capital IQ Sheet-STM'!AL26</f>
        <v>Hospira, Inc. provides injectable drugs and infusion technologies to develop, manufacture, distribute, and market products worldwide. The company operates through Americas, EMEA, and APAC segments. It provides specialty injectable pharmaceuticals, which include approximately 200 injectable generic drugs in multiple dosages and formulations; and proprietary specialty injectables, such as Precedex, a proprietary drug for sedation. The company’s specialty injectable pharmaceuticals also comprise Biosimilars that include Retacrit, an EPO, which is primarily used in the treatment of anemia in dialysis and in certain oncology applications; Nivestim, a biosimilar filgrastim used for the treatment of low white blood cells in patients who have received a chemotherapeutic agent; and Inflectra, a biosimilar infliximab for the treatment of patients with autoimmune diseases, such as rheumatoid arthritis and inflammatory bowel disease. In addition, it offers medication management products, including infusion pumps and dedicated administration sets; Hospira MedNet safety software system and related services; software applications and devices that support point-of-care medication administration; gravity administration sets; and other device products. Further, the company provides intravenous solutions and nutritional products; and contract manufacturing services, as well as develops proprietary pharmaceutical products, such as Dyloject, a nonsteroidal anti-inflammatory drug analgesic. It serves hospitals and alternate site providers, such as clinics, home healthcare providers, and long-term care facilities. The company has collaborative arrangements with Bioceuticals Arzneimittel AG to license and market Retacrit; and Q Core Medical, Ltd to market and distribute Sapphire, a multi-therapy infusion system. Hospira, Inc. was founded in 2003 and is headquartered in Lake Forest, Illinois. As of September 3, 2015, Hospira Inc. operates as a subsidiary of Pfizer Inc..</v>
      </c>
    </row>
    <row r="25" spans="2:4" ht="191.25">
      <c r="B25" s="710" t="str">
        <f>Trans.1!D26</f>
        <v>Abeona Therapeutics LLC</v>
      </c>
      <c r="C25" s="711"/>
      <c r="D25" s="710" t="str">
        <f>'Capital IQ Sheet-STM'!AL27</f>
        <v>Abeona Therapeutics LLC, a biopharmaceutical company, focuses on developing and delivering gene therapy and plasma-based products for severe and life-threatening rare diseases. It engages in developing adeno-associated viral (AAV)-based gene therapies for MPS III (Sanfilippo syndrome), which involves a one-time delivery of a normal copy of the defective gene to cells of the central nervous system to reverse the effects of the genetic errors that cause the disease. The company offers ABO-101 and ABO-102, which induce cells in the central nervous system and peripheral organs to produce the missing enzymes and help repair damage caused to the cells; ABO-201 for Juvenile Batten Disease (JBD); and ABO-301 (AAV LK19 FANCC), an AAV-based gene therapy for the delivery of a normal copy of the defective gene to cells of the hematopoietic or blood system to reverse the effects of the genetic errors that cause Fanconi anemia. It also provides Salt Diafiltration Process (SDF) that focuses on the ethanol-free extraction of therapeutic biologics from human plasma, including PTB-101 SDF Alpha (alpha1-proteinase inhibitor) for chronic augmentation and maintenance therapy in adults; and PTB-201 SDF IVIG for autoimmune, infectious, and idiopathic diseases. The company was founded in 2013 and is based in Cleveland, Ohio. As of May 15, 2015, Abeona Therapeutics LLC operates as a subsidiary of Abeona Therapeutics Inc.</v>
      </c>
    </row>
    <row r="26" spans="2:4" ht="14.85" customHeight="1">
      <c r="D26" s="672"/>
    </row>
    <row r="27" spans="2:4" ht="14.85" customHeight="1">
      <c r="B27" s="295" t="s">
        <v>116</v>
      </c>
      <c r="C27" s="295"/>
    </row>
    <row r="28" spans="2:4" ht="14.85" customHeight="1"/>
    <row r="29" spans="2:4" ht="14.85" customHeight="1"/>
    <row r="30" spans="2:4" ht="14.85" customHeight="1"/>
    <row r="31" spans="2:4" ht="14.85" customHeight="1"/>
    <row r="32" spans="2:4" ht="14.85" customHeight="1"/>
    <row r="33" ht="14.85" customHeight="1"/>
    <row r="34" ht="14.85" customHeight="1"/>
    <row r="35" ht="14.85" customHeight="1"/>
    <row r="36" ht="14.85" customHeight="1"/>
    <row r="37" ht="14.85" customHeight="1"/>
    <row r="38" ht="14.85" customHeight="1"/>
    <row r="39" ht="14.85" customHeight="1"/>
    <row r="40" ht="14.85" customHeight="1"/>
    <row r="41" ht="14.85" customHeight="1"/>
    <row r="42" ht="14.85" customHeight="1"/>
    <row r="43" ht="14.85" customHeight="1"/>
    <row r="44" ht="14.85" customHeight="1"/>
    <row r="45" ht="14.85" customHeight="1"/>
    <row r="46" ht="14.85" customHeight="1"/>
    <row r="47" ht="14.85" customHeight="1"/>
    <row r="48"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sheetData>
  <conditionalFormatting sqref="B8:C25">
    <cfRule type="cellIs" dxfId="3" priority="8" operator="equal">
      <formula>"(Invalid Identifier)"</formula>
    </cfRule>
  </conditionalFormatting>
  <conditionalFormatting sqref="D4">
    <cfRule type="cellIs" dxfId="2" priority="2" stopIfTrue="1" operator="equal">
      <formula>"input"</formula>
    </cfRule>
  </conditionalFormatting>
  <conditionalFormatting sqref="D4">
    <cfRule type="cellIs" dxfId="1" priority="3" stopIfTrue="1" operator="equal">
      <formula>"input"</formula>
    </cfRule>
  </conditionalFormatting>
  <conditionalFormatting sqref="B4:C4">
    <cfRule type="cellIs" dxfId="0" priority="1" stopIfTrue="1" operator="equal">
      <formula>"input"</formula>
    </cfRule>
  </conditionalFormatting>
  <pageMargins left="0.5" right="0.5" top="0.5" bottom="0.5" header="0.5" footer="0.5"/>
  <pageSetup scale="95" fitToHeight="0" orientation="landscape" r:id="rId1"/>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80</vt:i4>
      </vt:variant>
      <vt:variant>
        <vt:lpstr>Named Ranges</vt:lpstr>
      </vt:variant>
      <vt:variant>
        <vt:i4>77</vt:i4>
      </vt:variant>
    </vt:vector>
  </HeadingPairs>
  <TitlesOfParts>
    <vt:vector size="157" baseType="lpstr">
      <vt:lpstr>Model Guidelines</vt:lpstr>
      <vt:lpstr>MASTER PubCo Inputs</vt:lpstr>
      <vt:lpstr>Change Log</vt:lpstr>
      <vt:lpstr>Notes &amp; Assumptions</vt:lpstr>
      <vt:lpstr>Checklist</vt:lpstr>
      <vt:lpstr>Exhibits--&gt;&gt;</vt:lpstr>
      <vt:lpstr>Title</vt:lpstr>
      <vt:lpstr>Outline</vt:lpstr>
      <vt:lpstr>Val Summ</vt:lpstr>
      <vt:lpstr>Allocation Method &gt;&gt;</vt:lpstr>
      <vt:lpstr>CVM</vt:lpstr>
      <vt:lpstr>FS &gt;&gt;</vt:lpstr>
      <vt:lpstr>Forecast</vt:lpstr>
      <vt:lpstr>Hist IS</vt:lpstr>
      <vt:lpstr>Hist BS</vt:lpstr>
      <vt:lpstr>GCM FP &gt;&gt;</vt:lpstr>
      <vt:lpstr>Comp.1</vt:lpstr>
      <vt:lpstr>Comp.6</vt:lpstr>
      <vt:lpstr>Cap Structure FP &gt;&gt;</vt:lpstr>
      <vt:lpstr>Cap Table</vt:lpstr>
      <vt:lpstr>Econ Rights</vt:lpstr>
      <vt:lpstr>Support FP &gt;&gt;</vt:lpstr>
      <vt:lpstr>Metrick Gross Value</vt:lpstr>
      <vt:lpstr>DLOM - CVM</vt:lpstr>
      <vt:lpstr>Asset Vol- CVM</vt:lpstr>
      <vt:lpstr>Equity Vol</vt:lpstr>
      <vt:lpstr>Risk-Free Rates</vt:lpstr>
      <vt:lpstr>Title_Workpapers &gt; &gt;</vt:lpstr>
      <vt:lpstr>Outline_Workpapers</vt:lpstr>
      <vt:lpstr>Val Summ_OPM</vt:lpstr>
      <vt:lpstr>OPM 1</vt:lpstr>
      <vt:lpstr>OPM 2</vt:lpstr>
      <vt:lpstr>DLOM</vt:lpstr>
      <vt:lpstr>Asset Vol_OPM</vt:lpstr>
      <vt:lpstr>Asset Vol_OPM DLOM</vt:lpstr>
      <vt:lpstr>Risk-Free Rates - OPM</vt:lpstr>
      <vt:lpstr>Market Trends since Prior Val</vt:lpstr>
      <vt:lpstr>Comparative Sheet</vt:lpstr>
      <vt:lpstr>PBC -&gt;&gt;&gt;</vt:lpstr>
      <vt:lpstr>$4M Oper Plan MM 112018</vt:lpstr>
      <vt:lpstr>IS_2018</vt:lpstr>
      <vt:lpstr>BS_2018</vt:lpstr>
      <vt:lpstr>CF_2018</vt:lpstr>
      <vt:lpstr>IS_2017</vt:lpstr>
      <vt:lpstr>BS_2017</vt:lpstr>
      <vt:lpstr>CF_2017</vt:lpstr>
      <vt:lpstr>IS_2016</vt:lpstr>
      <vt:lpstr>BS_2016</vt:lpstr>
      <vt:lpstr>CF_2016</vt:lpstr>
      <vt:lpstr>IS_2015</vt:lpstr>
      <vt:lpstr>BS_2015</vt:lpstr>
      <vt:lpstr>CF_2015</vt:lpstr>
      <vt:lpstr>Draft Series Seed 2 Cap Table</vt:lpstr>
      <vt:lpstr>Stock Option Schedule 122018</vt:lpstr>
      <vt:lpstr>CAPIQ -&gt;&gt;&gt;</vt:lpstr>
      <vt:lpstr>Capital IQ Sheet-GPC</vt:lpstr>
      <vt:lpstr>Capital IQ Sheet-STM</vt:lpstr>
      <vt:lpstr>GPC Linked</vt:lpstr>
      <vt:lpstr>STM Linked</vt:lpstr>
      <vt:lpstr>&lt;DO NOT INCLUDE&gt;</vt:lpstr>
      <vt:lpstr>Beta Calc</vt:lpstr>
      <vt:lpstr>IPO Data_BioPharma_OPM</vt:lpstr>
      <vt:lpstr>Control Premium Summary</vt:lpstr>
      <vt:lpstr>IPO Data_BioPharma </vt:lpstr>
      <vt:lpstr>List Data</vt:lpstr>
      <vt:lpstr>Template Details</vt:lpstr>
      <vt:lpstr>WACC CAPM</vt:lpstr>
      <vt:lpstr>Discount Rate FP &gt;&gt;</vt:lpstr>
      <vt:lpstr>Comp.2</vt:lpstr>
      <vt:lpstr>RoR Stage of Dev</vt:lpstr>
      <vt:lpstr>Licensing Deals</vt:lpstr>
      <vt:lpstr>IPO Data_Med Device</vt:lpstr>
      <vt:lpstr>IPO Data_Diagnostic</vt:lpstr>
      <vt:lpstr>DLOM Rest Stock</vt:lpstr>
      <vt:lpstr>Comp.4</vt:lpstr>
      <vt:lpstr>Lack Voting</vt:lpstr>
      <vt:lpstr>Comp.5</vt:lpstr>
      <vt:lpstr>GTM FP &gt;&gt;</vt:lpstr>
      <vt:lpstr>Trans.1</vt:lpstr>
      <vt:lpstr>Trans.2</vt:lpstr>
      <vt:lpstr>'Allocation Method &gt;&gt;'!Print_Area</vt:lpstr>
      <vt:lpstr>'Asset Vol- CVM'!Print_Area</vt:lpstr>
      <vt:lpstr>'Asset Vol_OPM'!Print_Area</vt:lpstr>
      <vt:lpstr>'Asset Vol_OPM DLOM'!Print_Area</vt:lpstr>
      <vt:lpstr>'Beta Calc'!Print_Area</vt:lpstr>
      <vt:lpstr>'Cap Structure FP &gt;&gt;'!Print_Area</vt:lpstr>
      <vt:lpstr>'Cap Table'!Print_Area</vt:lpstr>
      <vt:lpstr>'Capital IQ Sheet-GPC'!Print_Area</vt:lpstr>
      <vt:lpstr>'Capital IQ Sheet-STM'!Print_Area</vt:lpstr>
      <vt:lpstr>Checklist!Print_Area</vt:lpstr>
      <vt:lpstr>Comp.1!Print_Area</vt:lpstr>
      <vt:lpstr>Comp.2!Print_Area</vt:lpstr>
      <vt:lpstr>Comp.4!Print_Area</vt:lpstr>
      <vt:lpstr>Comp.5!Print_Area</vt:lpstr>
      <vt:lpstr>Comp.6!Print_Area</vt:lpstr>
      <vt:lpstr>'Comparative Sheet'!Print_Area</vt:lpstr>
      <vt:lpstr>'Control Premium Summary'!Print_Area</vt:lpstr>
      <vt:lpstr>CVM!Print_Area</vt:lpstr>
      <vt:lpstr>'Discount Rate FP &gt;&gt;'!Print_Area</vt:lpstr>
      <vt:lpstr>DLOM!Print_Area</vt:lpstr>
      <vt:lpstr>'DLOM - CVM'!Print_Area</vt:lpstr>
      <vt:lpstr>'DLOM Rest Stock'!Print_Area</vt:lpstr>
      <vt:lpstr>'Econ Rights'!Print_Area</vt:lpstr>
      <vt:lpstr>'Equity Vol'!Print_Area</vt:lpstr>
      <vt:lpstr>Forecast!Print_Area</vt:lpstr>
      <vt:lpstr>'FS &gt;&gt;'!Print_Area</vt:lpstr>
      <vt:lpstr>'GCM FP &gt;&gt;'!Print_Area</vt:lpstr>
      <vt:lpstr>'GPC Linked'!Print_Area</vt:lpstr>
      <vt:lpstr>'GTM FP &gt;&gt;'!Print_Area</vt:lpstr>
      <vt:lpstr>'Hist BS'!Print_Area</vt:lpstr>
      <vt:lpstr>'Hist IS'!Print_Area</vt:lpstr>
      <vt:lpstr>'IPO Data_BioPharma '!Print_Area</vt:lpstr>
      <vt:lpstr>'IPO Data_BioPharma_OPM'!Print_Area</vt:lpstr>
      <vt:lpstr>'IPO Data_Diagnostic'!Print_Area</vt:lpstr>
      <vt:lpstr>'IPO Data_Med Device'!Print_Area</vt:lpstr>
      <vt:lpstr>'Lack Voting'!Print_Area</vt:lpstr>
      <vt:lpstr>'Licensing Deals'!Print_Area</vt:lpstr>
      <vt:lpstr>'Market Trends since Prior Val'!Print_Area</vt:lpstr>
      <vt:lpstr>'Metrick Gross Value'!Print_Area</vt:lpstr>
      <vt:lpstr>'OPM 1'!Print_Area</vt:lpstr>
      <vt:lpstr>'OPM 2'!Print_Area</vt:lpstr>
      <vt:lpstr>Outline!Print_Area</vt:lpstr>
      <vt:lpstr>Outline_Workpapers!Print_Area</vt:lpstr>
      <vt:lpstr>'Risk-Free Rates'!Print_Area</vt:lpstr>
      <vt:lpstr>'Risk-Free Rates - OPM'!Print_Area</vt:lpstr>
      <vt:lpstr>'RoR Stage of Dev'!Print_Area</vt:lpstr>
      <vt:lpstr>'STM Linked'!Print_Area</vt:lpstr>
      <vt:lpstr>'Support FP &gt;&gt;'!Print_Area</vt:lpstr>
      <vt:lpstr>Title!Print_Area</vt:lpstr>
      <vt:lpstr>'Title_Workpapers &gt; &gt;'!Print_Area</vt:lpstr>
      <vt:lpstr>Trans.1!Print_Area</vt:lpstr>
      <vt:lpstr>Trans.2!Print_Area</vt:lpstr>
      <vt:lpstr>'Val Summ'!Print_Area</vt:lpstr>
      <vt:lpstr>'Val Summ_OPM'!Print_Area</vt:lpstr>
      <vt:lpstr>'WACC CAPM'!Print_Area</vt:lpstr>
      <vt:lpstr>Comp.1!Print_Titles</vt:lpstr>
      <vt:lpstr>Comp.2!Print_Titles</vt:lpstr>
      <vt:lpstr>Comp.4!Print_Titles</vt:lpstr>
      <vt:lpstr>Comp.5!Print_Titles</vt:lpstr>
      <vt:lpstr>Comp.6!Print_Titles</vt:lpstr>
      <vt:lpstr>'Comparative Sheet'!Print_Titles</vt:lpstr>
      <vt:lpstr>'Control Premium Summary'!Print_Titles</vt:lpstr>
      <vt:lpstr>'IPO Data_BioPharma '!Print_Titles</vt:lpstr>
      <vt:lpstr>'IPO Data_BioPharma_OPM'!Print_Titles</vt:lpstr>
      <vt:lpstr>'IPO Data_Diagnostic'!Print_Titles</vt:lpstr>
      <vt:lpstr>'IPO Data_Med Device'!Print_Titles</vt:lpstr>
      <vt:lpstr>IS_2015!Print_Titles</vt:lpstr>
      <vt:lpstr>IS_2016!Print_Titles</vt:lpstr>
      <vt:lpstr>IS_2017!Print_Titles</vt:lpstr>
      <vt:lpstr>IS_2018!Print_Titles</vt:lpstr>
      <vt:lpstr>'Licensing Deals'!Print_Titles</vt:lpstr>
      <vt:lpstr>'Market Trends since Prior Val'!Print_Titles</vt:lpstr>
      <vt:lpstr>'OPM 1'!Print_Titles</vt:lpstr>
      <vt:lpstr>'Risk-Free Rates'!Print_Titles</vt:lpstr>
      <vt:lpstr>'Risk-Free Rates - OPM'!Print_Titles</vt:lpstr>
      <vt:lpstr>Trans.1!Print_Titles</vt:lpstr>
      <vt:lpstr>Trans.2!Print_Titles</vt:lpstr>
    </vt:vector>
  </TitlesOfParts>
  <Company>Burr Pilger Mayer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Ayush Mittal</cp:lastModifiedBy>
  <cp:lastPrinted>2019-02-13T11:12:10Z</cp:lastPrinted>
  <dcterms:created xsi:type="dcterms:W3CDTF">2014-03-18T02:31:57Z</dcterms:created>
  <dcterms:modified xsi:type="dcterms:W3CDTF">2019-02-13T11:13:36Z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utoColor">
    <vt:lpwstr>False</vt:lpwstr>
  </property>
</Properties>
</file>